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6.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gram" sheetId="1" r:id="rId5"/>
    <sheet state="visible" name="Session Chairs" sheetId="2" r:id="rId6"/>
    <sheet state="visible" name="Mapping to URL Main Proceedings" sheetId="3" r:id="rId7"/>
    <sheet state="visible" name="Mapping to URL Comp Proceedings" sheetId="4" r:id="rId8"/>
    <sheet state="visible" name="Sessions Counts" sheetId="5" r:id="rId9"/>
    <sheet state="visible" name="All Counts" sheetId="6" r:id="rId10"/>
    <sheet state="visible" name="Research assignment" sheetId="7" r:id="rId11"/>
    <sheet state="visible" name="Industry assignment" sheetId="8" r:id="rId12"/>
    <sheet state="visible" name="Web4Good assignment" sheetId="9" r:id="rId13"/>
    <sheet state="visible" name="HoW assignment" sheetId="10" r:id="rId14"/>
    <sheet state="visible" name="ShortPapers assignment" sheetId="11" r:id="rId15"/>
    <sheet state="visible" name="Demos assignment" sheetId="12" r:id="rId16"/>
    <sheet state="visible" name="Tutorials assignment" sheetId="13" r:id="rId17"/>
    <sheet state="visible" name="Workshops" sheetId="14" r:id="rId18"/>
    <sheet state="visible" name="PhD Symposium" sheetId="15" r:id="rId19"/>
    <sheet state="hidden" name="Research Papers" sheetId="16" r:id="rId20"/>
    <sheet state="hidden" name="Industry Papers" sheetId="17" r:id="rId21"/>
    <sheet state="hidden" name="Web4Good Papers" sheetId="18" r:id="rId22"/>
    <sheet state="visible" name="TWEB" sheetId="19" r:id="rId23"/>
    <sheet state="visible" name="Sheridan Main" sheetId="20" r:id="rId24"/>
    <sheet state="visible" name="Sheridan Comp" sheetId="21" r:id="rId25"/>
  </sheets>
  <definedNames>
    <definedName hidden="1" localSheetId="6" name="_xlnm._FilterDatabase">'Research assignment'!$H$1:$H$993</definedName>
    <definedName hidden="1" localSheetId="15" name="_xlnm._FilterDatabase">'Research Papers'!$A$1:$E$681</definedName>
    <definedName hidden="1" localSheetId="20" name="_xlnm._FilterDatabase">'Sheridan Comp'!$L$1:$L$960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tc={63236025-ea58-46d9-87c9-13c02d00e89c}</author>
    <author>tc={8cd5ce47-d0da-44c7-93ea-e347b713c895}</author>
  </authors>
  <commentList>
    <comment authorId="0" xr:uid="{63236025-ea58-46d9-87c9-13c02d00e89c}" ref="J57">
      <text>
        <t xml:space="preserve">[Threaded comment]
 Your version of Excel allows you to read this threaded comment; however, any edits to it will get removed if the file is opened in a newer version of Excel. Learn more: https://go.microsoft.com/fwlink/?linkid=870924
Comment:
	session of 4 after tweb2 withdrawal
</t>
      </text>
    </comment>
    <comment authorId="1" xr:uid="{8cd5ce47-d0da-44c7-93ea-e347b713c895}" ref="E57">
      <text>
        <t xml:space="preserve">[Threaded comment]
 Your version of Excel allows you to read this threaded comment; however, any edits to it will get removed if the file is opened in a newer version of Excel. Learn more: https://go.microsoft.com/fwlink/?linkid=870924
Comment:
	4 papers only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tc={00a28851-5ee0-41e6-9413-4439d6a13fa8}</author>
    <author>tc={02ef91a5-df82-47c4-ac9c-d7f2168b4d19}</author>
    <author>tc={08d3b455-0f4c-4ff7-b358-cfd5daf73767}</author>
    <author>tc={0e18c97b-3df4-478c-8ca1-96555a35154f}</author>
    <author>tc={12f1cedb-c995-4503-ace3-1407c034aa67}</author>
    <author>tc={138c5287-7036-4939-b1cd-e126a8f9e93d}</author>
    <author>tc={17ec2ede-7ab2-4eff-bb80-6a526be3dbb3}</author>
    <author>tc={19a2d281-05f0-4a7d-a5a4-325c6201d031}</author>
    <author>tc={1cd67302-1be9-4c8a-b7fc-5855930c2a14}</author>
    <author>tc={1d6719b9-22c8-4d59-90c9-cfcbbe7bcbed}</author>
    <author>tc={22d859fe-875c-4d3f-83a7-1abc9aa4b960}</author>
    <author>tc={302c6ef4-7b4f-4b4c-9bc5-7beb49d37ed2}</author>
    <author>tc={33736a97-fdb6-4851-b095-ae1c403d92c4}</author>
    <author>tc={33f64bc0-e587-42ab-820c-1b2fb75457d6}</author>
    <author>tc={3ace568b-e084-494b-b320-8f94e4cdd8e1}</author>
    <author>tc={3ba86151-2025-43c4-a1bb-dc00899c7af0}</author>
    <author>tc={3c31da14-726c-4363-ad18-453781adf875}</author>
    <author>tc={3f59f178-3a31-4146-81ae-eb3eb1f2d434}</author>
    <author>tc={4fef84ad-9c53-4d38-910e-f6b6bf57ae6c}</author>
    <author>tc={50117437-3dc2-4aee-8204-9e6ed0067a42}</author>
    <author>tc={517b5e1a-0d6d-4873-a3a9-53ecf7c47220}</author>
    <author>tc={525d7b05-8e04-4333-a7b7-da770b536bd7}</author>
    <author>tc={52609b31-9985-4fa1-b9fd-ae250d246756}</author>
    <author>tc={55db9185-f86e-46e7-9564-fc3d9ade7f43}</author>
    <author>tc={5770dab9-df3e-4b6b-8f4f-99bb46a52a4f}</author>
    <author>tc={5c4c99bd-eb6d-47c1-8232-3418c4891c46}</author>
    <author>tc={63d223ae-57ec-4056-9c14-661594a14a64}</author>
    <author>tc={68f85ef1-fa5e-4e9b-b96a-08ce5bcd7d40}</author>
    <author>tc={753734ef-5f4a-47aa-90dc-cdd314f5f81c}</author>
    <author>tc={772a2224-2efe-4fa3-ab14-b931e6e1e920}</author>
    <author>tc={7aea4071-5655-473a-9796-0ea02bb1582c}</author>
    <author>tc={7ead9176-316a-41c2-8ef0-0ddd962a060c}</author>
    <author>tc={842321c4-70f7-473e-903c-1b5e01e7898a}</author>
    <author>tc={87f0bae0-b00a-426c-849f-dc0be9a1112c}</author>
    <author>tc={88689d0f-a366-4d6a-b7c0-5c031b8c4b7a}</author>
    <author>tc={8cdee5b1-4783-4b6a-b04a-dc312c42ca2d}</author>
    <author>tc={8e34a19f-788a-414c-8fd3-1f73ffccfd4a}</author>
    <author>tc={8ea9202c-59c9-42d2-823c-12b8fb644684}</author>
    <author>tc={96a8eca8-5625-477a-9a6b-5141a3af2f69}</author>
    <author>tc={97815dd1-2bc3-4f38-8250-a355a93313b0}</author>
    <author>tc={97e0c336-803b-4d63-9063-5d86901001b1}</author>
    <author>tc={9ac1d4a9-90be-4bb1-8303-751640e8b442}</author>
    <author>tc={9b2dc91a-aa69-4c46-b7ce-00da2cb86bc9}</author>
    <author>tc={9d5a2974-8ccd-48e0-b406-b0aeb466e9c5}</author>
    <author>tc={9d8b6499-c70f-4a79-ba95-8582d95e3eb1}</author>
    <author>tc={a49d0b19-6878-46ad-9cb9-556b90bb2d1b}</author>
    <author>tc={a74c8ecc-d7e4-4ba3-b023-9b0620a6fab5}</author>
    <author>tc={a8e1163c-f11e-47df-8643-9c9e68f3aded}</author>
    <author>tc={aabd6163-ae31-43bb-82bc-94f57651c6b5}</author>
    <author>tc={b9672474-9db4-4820-8765-4c49cc19fb40}</author>
    <author>tc={b98e4964-155f-411d-8f0b-eecc3c5aabea}</author>
    <author>tc={ba90845e-c0dc-4e31-8113-ac99776399cc}</author>
    <author>tc={c79e3a9a-0f1c-4033-ad6a-a7957bf115e2}</author>
    <author>tc={cd1d24ca-43ae-4fca-8234-ca12b065e8d4}</author>
    <author>tc={ceba412a-23fd-4c05-9d30-40660c5bb727}</author>
    <author>tc={d98200ab-80be-4144-9683-f89d56188c1b}</author>
    <author>tc={db1d7176-d4f9-4a4a-83a0-1759d28112dc}</author>
    <author>tc={dbbd6259-fb4c-4b21-a28a-45be89a97895}</author>
    <author>tc={ddf643c1-a8bd-437d-9e7a-3fb47083ffe7}</author>
    <author>tc={e0c9df03-d69d-49eb-876c-bbfee4f724cf}</author>
    <author>tc={e310b461-e2a1-4a8b-a0b6-d5441b88503a}</author>
    <author>tc={e3f0ba70-4cf1-4da9-91f3-71fd3653710a}</author>
    <author>tc={edfe29cd-5a87-4ef3-b68f-422e946578b9}</author>
    <author>tc={ee9ae904-841c-4f60-93a5-28d999857264}</author>
    <author>tc={efe74092-ef3b-4024-85c0-14fe2279b4ca}</author>
    <author>tc={fdbc6c73-466c-4013-94aa-8005291ee1eb}</author>
    <author>tc={ff7eb5ea-6e78-4433-9dbe-c7b879e2be91}</author>
  </authors>
  <commentList>
    <comment authorId="0" xr:uid="{00a28851-5ee0-41e6-9413-4439d6a13fa8}" ref="I9">
      <text>
        <t xml:space="preserve">[Threaded comment]
 Your version of Excel allows you to read this threaded comment; however, any edits to it will get removed if the file is opened in a newer version of Excel. Learn more: https://go.microsoft.com/fwlink/?linkid=870924
Comment:
	xhao390@connect.hkust-gz.edu.cn
</t>
      </text>
    </comment>
    <comment authorId="1" xr:uid="{02ef91a5-df82-47c4-ac9c-d7f2168b4d19}" ref="F31">
      <text>
        <t xml:space="preserve">[Threaded comment]
 Your version of Excel allows you to read this threaded comment; however, any edits to it will get removed if the file is opened in a newer version of Excel. Learn more: https://go.microsoft.com/fwlink/?linkid=870924
Comment:
	jh.jj@antgroup.com
</t>
      </text>
    </comment>
    <comment authorId="2" xr:uid="{08d3b455-0f4c-4ff7-b358-cfd5daf73767}" ref="F51">
      <text>
        <t xml:space="preserve">[Threaded comment]
 Your version of Excel allows you to read this threaded comment; however, any edits to it will get removed if the file is opened in a newer version of Excel. Learn more: https://go.microsoft.com/fwlink/?linkid=870924
Comment:
	baiaitolkyn@gmail.com
</t>
      </text>
    </comment>
    <comment authorId="3" xr:uid="{0e18c97b-3df4-478c-8ca1-96555a35154f}" ref="F28">
      <text>
        <t xml:space="preserve">[Threaded comment]
 Your version of Excel allows you to read this threaded comment; however, any edits to it will get removed if the file is opened in a newer version of Excel. Learn more: https://go.microsoft.com/fwlink/?linkid=870924
Comment:
	jiantingtang@mail.ustc.edu.cn
</t>
      </text>
    </comment>
    <comment authorId="4" xr:uid="{12f1cedb-c995-4503-ace3-1407c034aa67}" ref="F64">
      <text>
        <t xml:space="preserve">[Threaded comment]
 Your version of Excel allows you to read this threaded comment; however, any edits to it will get removed if the file is opened in a newer version of Excel. Learn more: https://go.microsoft.com/fwlink/?linkid=870924
Comment:
	weijiejiang@pinterest.com
</t>
      </text>
    </comment>
    <comment authorId="5" xr:uid="{138c5287-7036-4939-b1cd-e126a8f9e93d}" ref="F27">
      <text>
        <t xml:space="preserve">[Threaded comment]
 Your version of Excel allows you to read this threaded comment; however, any edits to it will get removed if the file is opened in a newer version of Excel. Learn more: https://go.microsoft.com/fwlink/?linkid=870924
Comment:
	kjz@bupt.edu.cn
</t>
      </text>
    </comment>
    <comment authorId="6" xr:uid="{17ec2ede-7ab2-4eff-bb80-6a526be3dbb3}" ref="F38">
      <text>
        <t xml:space="preserve">[Threaded comment]
 Your version of Excel allows you to read this threaded comment; however, any edits to it will get removed if the file is opened in a newer version of Excel. Learn more: https://go.microsoft.com/fwlink/?linkid=870924
Comment:
	1310076814@qq.com
</t>
      </text>
    </comment>
    <comment authorId="7" xr:uid="{19a2d281-05f0-4a7d-a5a4-325c6201d031}" ref="F46">
      <text>
        <t xml:space="preserve">[Threaded comment]
 Your version of Excel allows you to read this threaded comment; however, any edits to it will get removed if the file is opened in a newer version of Excel. Learn more: https://go.microsoft.com/fwlink/?linkid=870924
Comment:
	Emanuel.Lacic@infobip.com
</t>
      </text>
    </comment>
    <comment authorId="8" xr:uid="{1cd67302-1be9-4c8a-b7fc-5855930c2a14}" ref="H8">
      <text>
        <t xml:space="preserve">[Threaded comment]
 Your version of Excel allows you to read this threaded comment; however, any edits to it will get removed if the file is opened in a newer version of Excel. Learn more: https://go.microsoft.com/fwlink/?linkid=870924
Comment:
	Mengmei Zhang
</t>
      </text>
    </comment>
    <comment authorId="9" xr:uid="{1d6719b9-22c8-4d59-90c9-cfcbbe7bcbed}" ref="F19">
      <text>
        <t xml:space="preserve">[Threaded comment]
 Your version of Excel allows you to read this threaded comment; however, any edits to it will get removed if the file is opened in a newer version of Excel. Learn more: https://go.microsoft.com/fwlink/?linkid=870924
Comment:
	yejing.wang@my.cityu.edu.hk
</t>
      </text>
    </comment>
    <comment authorId="10" xr:uid="{22d859fe-875c-4d3f-83a7-1abc9aa4b960}" ref="F55">
      <text>
        <t xml:space="preserve">[Threaded comment]
 Your version of Excel allows you to read this threaded comment; however, any edits to it will get removed if the file is opened in a newer version of Excel. Learn more: https://go.microsoft.com/fwlink/?linkid=870924
Comment:
	huangshanshan@kuaishou.com
</t>
      </text>
    </comment>
    <comment authorId="11" xr:uid="{302c6ef4-7b4f-4b4c-9bc5-7beb49d37ed2}" ref="H7">
      <text>
        <t xml:space="preserve">[Threaded comment]
 Your version of Excel allows you to read this threaded comment; however, any edits to it will get removed if the file is opened in a newer version of Excel. Learn more: https://go.microsoft.com/fwlink/?linkid=870924
Comment:
	Mengze Hong
</t>
      </text>
    </comment>
    <comment authorId="12" xr:uid="{33736a97-fdb6-4851-b095-ae1c403d92c4}" ref="F32">
      <text>
        <t xml:space="preserve">[Threaded comment]
 Your version of Excel allows you to read this threaded comment; however, any edits to it will get removed if the file is opened in a newer version of Excel. Learn more: https://go.microsoft.com/fwlink/?linkid=870924
Comment:
	niziheng@stu.pku.edu.cn
</t>
      </text>
    </comment>
    <comment authorId="13" xr:uid="{33f64bc0-e587-42ab-820c-1b2fb75457d6}" ref="F62">
      <text>
        <t xml:space="preserve">[Threaded comment]
 Your version of Excel allows you to read this threaded comment; however, any edits to it will get removed if the file is opened in a newer version of Excel. Learn more: https://go.microsoft.com/fwlink/?linkid=870924
Comment:
	tongpengfei@bytedance.com
</t>
      </text>
    </comment>
    <comment authorId="14" xr:uid="{3ace568b-e084-494b-b320-8f94e4cdd8e1}" ref="I7">
      <text>
        <t xml:space="preserve">[Threaded comment]
 Your version of Excel allows you to read this threaded comment; however, any edits to it will get removed if the file is opened in a newer version of Excel. Learn more: https://go.microsoft.com/fwlink/?linkid=870924
Comment:
	mengze.hong@connect.polyu.hk
</t>
      </text>
    </comment>
    <comment authorId="15" xr:uid="{3ba86151-2025-43c4-a1bb-dc00899c7af0}" ref="H3">
      <text>
        <t xml:space="preserve">[Threaded comment]
 Your version of Excel allows you to read this threaded comment; however, any edits to it will get removed if the file is opened in a newer version of Excel. Learn more: https://go.microsoft.com/fwlink/?linkid=870924
Comment:
	Roy Lee
</t>
      </text>
    </comment>
    <comment authorId="16" xr:uid="{3c31da14-726c-4363-ad18-453781adf875}" ref="F30">
      <text>
        <t xml:space="preserve">[Threaded comment]
 Your version of Excel allows you to read this threaded comment; however, any edits to it will get removed if the file is opened in a newer version of Excel. Learn more: https://go.microsoft.com/fwlink/?linkid=870924
Comment:
	lin_benshuo@m.scnu.edu.cn
</t>
      </text>
    </comment>
    <comment authorId="17" xr:uid="{3f59f178-3a31-4146-81ae-eb3eb1f2d434}" ref="F67">
      <text>
        <t xml:space="preserve">[Threaded comment]
 Your version of Excel allows you to read this threaded comment; however, any edits to it will get removed if the file is opened in a newer version of Excel. Learn more: https://go.microsoft.com/fwlink/?linkid=870924
Comment:
	wenyisir@gmail.com
</t>
      </text>
    </comment>
    <comment authorId="18" xr:uid="{4fef84ad-9c53-4d38-910e-f6b6bf57ae6c}" ref="F53">
      <text>
        <t xml:space="preserve">[Threaded comment]
 Your version of Excel allows you to read this threaded comment; however, any edits to it will get removed if the file is opened in a newer version of Excel. Learn more: https://go.microsoft.com/fwlink/?linkid=870924
Comment:
	zhuoning.guo@gmail.com
Reply:
	Hady see the email I just sent you ?
</t>
      </text>
    </comment>
    <comment authorId="19" xr:uid="{50117437-3dc2-4aee-8204-9e6ed0067a42}" ref="F29">
      <text>
        <t xml:space="preserve">[Threaded comment]
 Your version of Excel allows you to read this threaded comment; however, any edits to it will get removed if the file is opened in a newer version of Excel. Learn more: https://go.microsoft.com/fwlink/?linkid=870924
Comment:
	monster119120@gmail.com
</t>
      </text>
    </comment>
    <comment authorId="20" xr:uid="{517b5e1a-0d6d-4873-a3a9-53ecf7c47220}" ref="F60">
      <text>
        <t xml:space="preserve">[Threaded comment]
 Your version of Excel allows you to read this threaded comment; however, any edits to it will get removed if the file is opened in a newer version of Excel. Learn more: https://go.microsoft.com/fwlink/?linkid=870924
Comment:
	mj_you@tongji.edu.cn
</t>
      </text>
    </comment>
    <comment authorId="21" xr:uid="{525d7b05-8e04-4333-a7b7-da770b536bd7}" ref="F41">
      <text>
        <t xml:space="preserve">[Threaded comment]
 Your version of Excel allows you to read this threaded comment; however, any edits to it will get removed if the file is opened in a newer version of Excel. Learn more: https://go.microsoft.com/fwlink/?linkid=870924
Comment:
	jiyupeng02@meituan.com
</t>
      </text>
    </comment>
    <comment authorId="22" xr:uid="{52609b31-9985-4fa1-b9fd-ae250d246756}" ref="H5">
      <text>
        <t xml:space="preserve">[Threaded comment]
 Your version of Excel allows you to read this threaded comment; however, any edits to it will get removed if the file is opened in a newer version of Excel. Learn more: https://go.microsoft.com/fwlink/?linkid=870924
Comment:
	Elad Yom-Tov
</t>
      </text>
    </comment>
    <comment authorId="23" xr:uid="{55db9185-f86e-46e7-9564-fc3d9ade7f43}" ref="F47">
      <text>
        <t xml:space="preserve">[Threaded comment]
 Your version of Excel allows you to read this threaded comment; however, any edits to it will get removed if the file is opened in a newer version of Excel. Learn more: https://go.microsoft.com/fwlink/?linkid=870924
Comment:
	fnyi@amazon.com
</t>
      </text>
    </comment>
    <comment authorId="24" xr:uid="{5770dab9-df3e-4b6b-8f4f-99bb46a52a4f}" ref="F42">
      <text>
        <t xml:space="preserve">[Threaded comment]
 Your version of Excel allows you to read this threaded comment; however, any edits to it will get removed if the file is opened in a newer version of Excel. Learn more: https://go.microsoft.com/fwlink/?linkid=870924
Comment:
	chenhuabin.chb@taobao.com
</t>
      </text>
    </comment>
    <comment authorId="25" xr:uid="{5c4c99bd-eb6d-47c1-8232-3418c4891c46}" ref="F40">
      <text>
        <t xml:space="preserve">[Threaded comment]
 Your version of Excel allows you to read this threaded comment; however, any edits to it will get removed if the file is opened in a newer version of Excel. Learn more: https://go.microsoft.com/fwlink/?linkid=870924
Comment:
	qiubaopu.qbp@alibaba-inc.com
</t>
      </text>
    </comment>
    <comment authorId="26" xr:uid="{63d223ae-57ec-4056-9c14-661594a14a64}" ref="F65">
      <text>
        <t xml:space="preserve">[Threaded comment]
 Your version of Excel allows you to read this threaded comment; however, any edits to it will get removed if the file is opened in a newer version of Excel. Learn more: https://go.microsoft.com/fwlink/?linkid=870924
Comment:
	lianghebin@tju.edu.cn
</t>
      </text>
    </comment>
    <comment authorId="27" xr:uid="{68f85ef1-fa5e-4e9b-b96a-08ce5bcd7d40}" ref="I2">
      <text>
        <t xml:space="preserve">[Threaded comment]
 Your version of Excel allows you to read this threaded comment; however, any edits to it will get removed if the file is opened in a newer version of Excel. Learn more: https://go.microsoft.com/fwlink/?linkid=870924
Comment:
	christian.bizer@uni-mannheim.de
</t>
      </text>
    </comment>
    <comment authorId="28" xr:uid="{753734ef-5f4a-47aa-90dc-cdd314f5f81c}" ref="F35">
      <text>
        <t xml:space="preserve">[Threaded comment]
 Your version of Excel allows you to read this threaded comment; however, any edits to it will get removed if the file is opened in a newer version of Excel. Learn more: https://go.microsoft.com/fwlink/?linkid=870924
Comment:
	zhufanwei@zju.edu.cn
</t>
      </text>
    </comment>
    <comment authorId="29" xr:uid="{772a2224-2efe-4fa3-ab14-b931e6e1e920}" ref="F49">
      <text>
        <t xml:space="preserve">[Threaded comment]
 Your version of Excel allows you to read this threaded comment; however, any edits to it will get removed if the file is opened in a newer version of Excel. Learn more: https://go.microsoft.com/fwlink/?linkid=870924
Comment:
	felipe.marineli@meltwater.com
</t>
      </text>
    </comment>
    <comment authorId="30" xr:uid="{7aea4071-5655-473a-9796-0ea02bb1582c}" ref="H9">
      <text>
        <t xml:space="preserve">[Threaded comment]
 Your version of Excel allows you to read this threaded comment; however, any edits to it will get removed if the file is opened in a newer version of Excel. Learn more: https://go.microsoft.com/fwlink/?linkid=870924
Comment:
	Xixuan Hao
</t>
      </text>
    </comment>
    <comment authorId="31" xr:uid="{7ead9176-316a-41c2-8ef0-0ddd962a060c}" ref="F48">
      <text>
        <t xml:space="preserve">[Threaded comment]
 Your version of Excel allows you to read this threaded comment; however, any edits to it will get removed if the file is opened in a newer version of Excel. Learn more: https://go.microsoft.com/fwlink/?linkid=870924
Comment:
	cuihang@cnic.cn
</t>
      </text>
    </comment>
    <comment authorId="32" xr:uid="{842321c4-70f7-473e-903c-1b5e01e7898a}" ref="F14">
      <text>
        <t xml:space="preserve">[Threaded comment]
 Your version of Excel allows you to read this threaded comment; however, any edits to it will get removed if the file is opened in a newer version of Excel. Learn more: https://go.microsoft.com/fwlink/?linkid=870924
Comment:
	lfqian94@gmail.com
</t>
      </text>
    </comment>
    <comment authorId="33" xr:uid="{87f0bae0-b00a-426c-849f-dc0be9a1112c}" ref="F12">
      <text>
        <t xml:space="preserve">[Threaded comment]
 Your version of Excel allows you to read this threaded comment; however, any edits to it will get removed if the file is opened in a newer version of Excel. Learn more: https://go.microsoft.com/fwlink/?linkid=870924
Comment:
	mgwave87@gmail.com
</t>
      </text>
    </comment>
    <comment authorId="34" xr:uid="{88689d0f-a366-4d6a-b7c0-5c031b8c4b7a}" ref="F61">
      <text>
        <t xml:space="preserve">[Threaded comment]
 Your version of Excel allows you to read this threaded comment; however, any edits to it will get removed if the file is opened in a newer version of Excel. Learn more: https://go.microsoft.com/fwlink/?linkid=870924
Comment:
	pygongnlp@gmail.com
</t>
      </text>
    </comment>
    <comment authorId="35" xr:uid="{8cdee5b1-4783-4b6a-b04a-dc312c42ca2d}" ref="F24">
      <text>
        <t xml:space="preserve">[Threaded comment]
 Your version of Excel allows you to read this threaded comment; however, any edits to it will get removed if the file is opened in a newer version of Excel. Learn more: https://go.microsoft.com/fwlink/?linkid=870924
Comment:
	honnguyen@linkedin.com
</t>
      </text>
    </comment>
    <comment authorId="36" xr:uid="{8e34a19f-788a-414c-8fd3-1f73ffccfd4a}" ref="H6">
      <text>
        <t xml:space="preserve">[Threaded comment]
 Your version of Excel allows you to read this threaded comment; however, any edits to it will get removed if the file is opened in a newer version of Excel. Learn more: https://go.microsoft.com/fwlink/?linkid=870924
Comment:
	Heng Chang
</t>
      </text>
    </comment>
    <comment authorId="37" xr:uid="{8ea9202c-59c9-42d2-823c-12b8fb644684}" ref="F39">
      <text>
        <t xml:space="preserve">[Threaded comment]
 Your version of Excel allows you to read this threaded comment; however, any edits to it will get removed if the file is opened in a newer version of Excel. Learn more: https://go.microsoft.com/fwlink/?linkid=870924
Comment:
	yangjh23@mails.tsinghua.edu.cn
</t>
      </text>
    </comment>
    <comment authorId="38" xr:uid="{96a8eca8-5625-477a-9a6b-5141a3af2f69}" ref="F34">
      <text>
        <t xml:space="preserve">[Threaded comment]
 Your version of Excel allows you to read this threaded comment; however, any edits to it will get removed if the file is opened in a newer version of Excel. Learn more: https://go.microsoft.com/fwlink/?linkid=870924
Comment:
	shiran.golan@booking.com
</t>
      </text>
    </comment>
    <comment authorId="39" xr:uid="{97815dd1-2bc3-4f38-8250-a355a93313b0}" ref="I6">
      <text>
        <t xml:space="preserve">[Threaded comment]
 Your version of Excel allows you to read this threaded comment; however, any edits to it will get removed if the file is opened in a newer version of Excel. Learn more: https://go.microsoft.com/fwlink/?linkid=870924
Comment:
	changh17@tsinghua.org.cn
</t>
      </text>
    </comment>
    <comment authorId="40" xr:uid="{97e0c336-803b-4d63-9063-5d86901001b1}" ref="F13">
      <text>
        <t xml:space="preserve">[Threaded comment]
 Your version of Excel allows you to read this threaded comment; however, any edits to it will get removed if the file is opened in a newer version of Excel. Learn more: https://go.microsoft.com/fwlink/?linkid=870924
Comment:
	winfred.tai@mail.utoronto.ca
</t>
      </text>
    </comment>
    <comment authorId="41" xr:uid="{9ac1d4a9-90be-4bb1-8303-751640e8b442}" ref="F33">
      <text>
        <t xml:space="preserve">[Threaded comment]
 Your version of Excel allows you to read this threaded comment; however, any edits to it will get removed if the file is opened in a newer version of Excel. Learn more: https://go.microsoft.com/fwlink/?linkid=870924
Comment:
	fwang205@connect.hkust-gz.edu.cn
</t>
      </text>
    </comment>
    <comment authorId="42" xr:uid="{9b2dc91a-aa69-4c46-b7ce-00da2cb86bc9}" ref="F36">
      <text>
        <t xml:space="preserve">[Threaded comment]
 Your version of Excel allows you to read this threaded comment; however, any edits to it will get removed if the file is opened in a newer version of Excel. Learn more: https://go.microsoft.com/fwlink/?linkid=870924
Comment:
	xhao390@connect.hkust-gz.edu.cn
</t>
      </text>
    </comment>
    <comment authorId="43" xr:uid="{9d5a2974-8ccd-48e0-b406-b0aeb466e9c5}" ref="F66">
      <text>
        <t xml:space="preserve">[Threaded comment]
 Your version of Excel allows you to read this threaded comment; however, any edits to it will get removed if the file is opened in a newer version of Excel. Learn more: https://go.microsoft.com/fwlink/?linkid=870924
Comment:
	liuxiaofeng112@jd.com
</t>
      </text>
    </comment>
    <comment authorId="44" xr:uid="{9d8b6499-c70f-4a79-ba95-8582d95e3eb1}" ref="H2">
      <text>
        <t xml:space="preserve">[Threaded comment]
 Your version of Excel allows you to read this threaded comment; however, any edits to it will get removed if the file is opened in a newer version of Excel. Learn more: https://go.microsoft.com/fwlink/?linkid=870924
Comment:
	Christian Bizer
</t>
      </text>
    </comment>
    <comment authorId="45" xr:uid="{a49d0b19-6878-46ad-9cb9-556b90bb2d1b}" ref="H2">
      <text>
        <t xml:space="preserve">[Threaded comment]
 Your version of Excel allows you to read this threaded comment; however, any edits to it will get removed if the file is opened in a newer version of Excel. Learn more: https://go.microsoft.com/fwlink/?linkid=870924
Comment:
	Chris Bizer
Reply:
	Marked as resolved
Reply:
	Re-opened
</t>
      </text>
    </comment>
    <comment authorId="46" xr:uid="{a74c8ecc-d7e4-4ba3-b023-9b0620a6fab5}" ref="H4">
      <text>
        <t xml:space="preserve">[Threaded comment]
 Your version of Excel allows you to read this threaded comment; however, any edits to it will get removed if the file is opened in a newer version of Excel. Learn more: https://go.microsoft.com/fwlink/?linkid=870924
Comment:
	Maolin Wang
</t>
      </text>
    </comment>
    <comment authorId="47" xr:uid="{a8e1163c-f11e-47df-8643-9c9e68f3aded}" ref="F63">
      <text>
        <t xml:space="preserve">[Threaded comment]
 Your version of Excel allows you to read this threaded comment; however, any edits to it will get removed if the file is opened in a newer version of Excel. Learn more: https://go.microsoft.com/fwlink/?linkid=870924
Comment:
	hkraghunandan@google.com
</t>
      </text>
    </comment>
    <comment authorId="48" xr:uid="{aabd6163-ae31-43bb-82bc-94f57651c6b5}" ref="I8">
      <text>
        <t xml:space="preserve">[Threaded comment]
 Your version of Excel allows you to read this threaded comment; however, any edits to it will get removed if the file is opened in a newer version of Excel. Learn more: https://go.microsoft.com/fwlink/?linkid=870924
Comment:
	mgwave87@gmail.com
</t>
      </text>
    </comment>
    <comment authorId="49" xr:uid="{b9672474-9db4-4820-8765-4c49cc19fb40}" ref="F50">
      <text>
        <t xml:space="preserve">[Threaded comment]
 Your version of Excel allows you to read this threaded comment; however, any edits to it will get removed if the file is opened in a newer version of Excel. Learn more: https://go.microsoft.com/fwlink/?linkid=870924
Comment:
	mengze.hong@connect.polyu.hk
</t>
      </text>
    </comment>
    <comment authorId="50" xr:uid="{b98e4964-155f-411d-8f0b-eecc3c5aabea}" ref="F21">
      <text>
        <t xml:space="preserve">[Threaded comment]
 Your version of Excel allows you to read this threaded comment; however, any edits to it will get removed if the file is opened in a newer version of Excel. Learn more: https://go.microsoft.com/fwlink/?linkid=870924
Comment:
	hongtingfeng03@kuaishou.com
</t>
      </text>
    </comment>
    <comment authorId="51" xr:uid="{ba90845e-c0dc-4e31-8113-ac99776399cc}" ref="F37">
      <text>
        <t xml:space="preserve">[Threaded comment]
 Your version of Excel allows you to read this threaded comment; however, any edits to it will get removed if the file is opened in a newer version of Excel. Learn more: https://go.microsoft.com/fwlink/?linkid=870924
Comment:
	morin.wang@cityu.edu.hk
</t>
      </text>
    </comment>
    <comment authorId="52" xr:uid="{c79e3a9a-0f1c-4033-ad6a-a7957bf115e2}" ref="F68">
      <text>
        <t xml:space="preserve">[Threaded comment]
 Your version of Excel allows you to read this threaded comment; however, any edits to it will get removed if the file is opened in a newer version of Excel. Learn more: https://go.microsoft.com/fwlink/?linkid=870924
Comment:
	wenjingli@sjtu.edu.cn
</t>
      </text>
    </comment>
    <comment authorId="53" xr:uid="{cd1d24ca-43ae-4fca-8234-ca12b065e8d4}" ref="F52">
      <text>
        <t xml:space="preserve">[Threaded comment]
 Your version of Excel allows you to read this threaded comment; however, any edits to it will get removed if the file is opened in a newer version of Excel. Learn more: https://go.microsoft.com/fwlink/?linkid=870924
Comment:
	fanyu@stu.ecnu.edu.cn
</t>
      </text>
    </comment>
    <comment authorId="54" xr:uid="{ceba412a-23fd-4c05-9d30-40660c5bb727}" ref="F54">
      <text>
        <t xml:space="preserve">[Threaded comment]
 Your version of Excel allows you to read this threaded comment; however, any edits to it will get removed if the file is opened in a newer version of Excel. Learn more: https://go.microsoft.com/fwlink/?linkid=870924
Comment:
	lz482627@alibaba-inc.com
</t>
      </text>
    </comment>
    <comment authorId="55" xr:uid="{d98200ab-80be-4144-9683-f89d56188c1b}" ref="F17">
      <text>
        <t xml:space="preserve">[Threaded comment]
 Your version of Excel allows you to read this threaded comment; however, any edits to it will get removed if the file is opened in a newer version of Excel. Learn more: https://go.microsoft.com/fwlink/?linkid=870924
Comment:
	mmwang25@m.fdu.edu.cn
</t>
      </text>
    </comment>
    <comment authorId="56" xr:uid="{db1d7176-d4f9-4a4a-83a0-1759d28112dc}" ref="F15">
      <text>
        <t xml:space="preserve">[Threaded comment]
 Your version of Excel allows you to read this threaded comment; however, any edits to it will get removed if the file is opened in a newer version of Excel. Learn more: https://go.microsoft.com/fwlink/?linkid=870924
Comment:
	bcaoad@connect.ust.hk
</t>
      </text>
    </comment>
    <comment authorId="57" xr:uid="{dbbd6259-fb4c-4b21-a28a-45be89a97895}" ref="F59">
      <text>
        <t xml:space="preserve">[Threaded comment]
 Your version of Excel allows you to read this threaded comment; however, any edits to it will get removed if the file is opened in a newer version of Excel. Learn more: https://go.microsoft.com/fwlink/?linkid=870924
Comment:
	huangyuting@zju.edu.cn
</t>
      </text>
    </comment>
    <comment authorId="58" xr:uid="{ddf643c1-a8bd-437d-9e7a-3fb47083ffe7}" ref="F22">
      <text>
        <t xml:space="preserve">[Threaded comment]
 Your version of Excel allows you to read this threaded comment; however, any edits to it will get removed if the file is opened in a newer version of Excel. Learn more: https://go.microsoft.com/fwlink/?linkid=870924
Comment:
	wangshaoqing.wsq@alibaba-inc.com
</t>
      </text>
    </comment>
    <comment authorId="59" xr:uid="{e0c9df03-d69d-49eb-876c-bbfee4f724cf}" ref="F20">
      <text>
        <t xml:space="preserve">[Threaded comment]
 Your version of Excel allows you to read this threaded comment; however, any edits to it will get removed if the file is opened in a newer version of Excel. Learn more: https://go.microsoft.com/fwlink/?linkid=870924
Comment:
	zhaoqi.zhang@bytedance.com
</t>
      </text>
    </comment>
    <comment authorId="60" xr:uid="{e310b461-e2a1-4a8b-a0b6-d5441b88503a}" ref="F43">
      <text>
        <t xml:space="preserve">[Threaded comment]
 Your version of Excel allows you to read this threaded comment; however, any edits to it will get removed if the file is opened in a newer version of Excel. Learn more: https://go.microsoft.com/fwlink/?linkid=870924
Comment:
	douyuejia@ruc.edu.cn
</t>
      </text>
    </comment>
    <comment authorId="61" xr:uid="{e3f0ba70-4cf1-4da9-91f3-71fd3653710a}" ref="F45">
      <text>
        <t xml:space="preserve">[Threaded comment]
 Your version of Excel allows you to read this threaded comment; however, any edits to it will get removed if the file is opened in a newer version of Excel. Learn more: https://go.microsoft.com/fwlink/?linkid=870924
Comment:
	dengbingfeng@bytedance.com
</t>
      </text>
    </comment>
    <comment authorId="62" xr:uid="{edfe29cd-5a87-4ef3-b68f-422e946578b9}" ref="I4">
      <text>
        <t xml:space="preserve">[Threaded comment]
 Your version of Excel allows you to read this threaded comment; however, any edits to it will get removed if the file is opened in a newer version of Excel. Learn more: https://go.microsoft.com/fwlink/?linkid=870924
Comment:
	Morin.wang@cityu.edu.hk
</t>
      </text>
    </comment>
    <comment authorId="63" xr:uid="{ee9ae904-841c-4f60-93a5-28d999857264}" ref="I5">
      <text>
        <t xml:space="preserve">[Threaded comment]
 Your version of Excel allows you to read this threaded comment; however, any edits to it will get removed if the file is opened in a newer version of Excel. Learn more: https://go.microsoft.com/fwlink/?linkid=870924
Comment:
	elad.yom-tov@biu.ac.il
</t>
      </text>
    </comment>
    <comment authorId="64" xr:uid="{efe74092-ef3b-4024-85c0-14fe2279b4ca}" ref="F18">
      <text>
        <t xml:space="preserve">[Threaded comment]
 Your version of Excel allows you to read this threaded comment; however, any edits to it will get removed if the file is opened in a newer version of Excel. Learn more: https://go.microsoft.com/fwlink/?linkid=870924
Comment:
	changh17@tsinghua.org.cn
</t>
      </text>
    </comment>
    <comment authorId="65" xr:uid="{fdbc6c73-466c-4013-94aa-8005291ee1eb}" ref="I3">
      <text>
        <t xml:space="preserve">[Threaded comment]
 Your version of Excel allows you to read this threaded comment; however, any edits to it will get removed if the file is opened in a newer version of Excel. Learn more: https://go.microsoft.com/fwlink/?linkid=870924
Comment:
	roy_lee@sutd.edu.sg
</t>
      </text>
    </comment>
    <comment authorId="66" xr:uid="{ff7eb5ea-6e78-4433-9dbe-c7b879e2be91}" ref="F26">
      <text>
        <t xml:space="preserve">[Threaded comment]
 Your version of Excel allows you to read this threaded comment; however, any edits to it will get removed if the file is opened in a newer version of Excel. Learn more: https://go.microsoft.com/fwlink/?linkid=870924
Comment:
	an462@cornell.edu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tc={07b9cac0-9062-4dfb-a829-5ddb8cf38998}</author>
    <author>tc={892997cd-4e8e-4434-b9cf-2def3d8f7571}</author>
  </authors>
  <commentList>
    <comment authorId="0" xr:uid="{07b9cac0-9062-4dfb-a829-5ddb8cf38998}" ref="H2">
      <text>
        <t xml:space="preserve">[Threaded comment]
 Your version of Excel allows you to read this threaded comment; however, any edits to it will get removed if the file is opened in a newer version of Excel. Learn more: https://go.microsoft.com/fwlink/?linkid=870924
Comment:
	Pls see this (https://docs.google.com/spreadsheets/d/14FSQzr3mjJpvrzvUA85Y_meu2RdOkjfaMuVMP5oOtbk/edit?gid=1722360102#gid=1722360102)
</t>
      </text>
    </comment>
    <comment authorId="1" xr:uid="{892997cd-4e8e-4434-b9cf-2def3d8f7571}" ref="D2">
      <text>
        <t xml:space="preserve">[Threaded comment]
 Your version of Excel allows you to read this threaded comment; however, any edits to it will get removed if the file is opened in a newer version of Excel. Learn more: https://go.microsoft.com/fwlink/?linkid=870924
Comment:
	paper titles are missing here.  See details here (https://docs.google.com/spreadsheets/d/14FSQzr3mjJpvrzvUA85Y_meu2RdOkjfaMuVMP5oOtbk/edit?gid=1722360102#gid=1722360102)
</t>
      </text>
    </comment>
  </commentList>
</comments>
</file>

<file path=xl/sharedStrings.xml><?xml version="1.0" encoding="utf-8"?>
<sst xmlns="http://schemas.openxmlformats.org/spreadsheetml/2006/main" count="21598" uniqueCount="7586">
  <si>
    <t>All times UAE time</t>
  </si>
  <si>
    <t>Click  on the +/- icon on left trail to expand/collapse details of sessions</t>
  </si>
  <si>
    <t>Hall 1</t>
  </si>
  <si>
    <t>Hall 2</t>
  </si>
  <si>
    <t>Hall 3</t>
  </si>
  <si>
    <t>Hall 4</t>
  </si>
  <si>
    <t>Hall 5</t>
  </si>
  <si>
    <t>Hall 6</t>
  </si>
  <si>
    <t>Hall 7</t>
  </si>
  <si>
    <t>Hall 8</t>
  </si>
  <si>
    <t>Hall 9</t>
  </si>
  <si>
    <t>Hall 10</t>
  </si>
  <si>
    <t>Hall 11</t>
  </si>
  <si>
    <t>Hall 12</t>
  </si>
  <si>
    <t>Hall 13</t>
  </si>
  <si>
    <t>Hall 14</t>
  </si>
  <si>
    <t>10:00 - 13:30</t>
  </si>
  <si>
    <t>tut 1</t>
  </si>
  <si>
    <t>tut 2</t>
  </si>
  <si>
    <t>tut 3</t>
  </si>
  <si>
    <t>wk1101</t>
  </si>
  <si>
    <t>wk2001</t>
  </si>
  <si>
    <t>wk2301</t>
  </si>
  <si>
    <t>wk0900</t>
  </si>
  <si>
    <t>wk1900</t>
  </si>
  <si>
    <t>wk2100</t>
  </si>
  <si>
    <t>wk2200</t>
  </si>
  <si>
    <t>wk0100</t>
  </si>
  <si>
    <t>Web4All</t>
  </si>
  <si>
    <t>https://www.w4a.info/2026/</t>
  </si>
  <si>
    <t>13:00 - 14:00</t>
  </si>
  <si>
    <t>Break</t>
  </si>
  <si>
    <t>14:00- 17:30</t>
  </si>
  <si>
    <t>tut 6</t>
  </si>
  <si>
    <t>tut 9</t>
  </si>
  <si>
    <t>tut 10</t>
  </si>
  <si>
    <t>wk1102</t>
  </si>
  <si>
    <t>wk2002</t>
  </si>
  <si>
    <t>wk2302</t>
  </si>
  <si>
    <t>wk1500</t>
  </si>
  <si>
    <t>wk1300</t>
  </si>
  <si>
    <t>wk0400</t>
  </si>
  <si>
    <t>wk1400</t>
  </si>
  <si>
    <t>tut 4</t>
  </si>
  <si>
    <t>tut 7</t>
  </si>
  <si>
    <t>tut 11</t>
  </si>
  <si>
    <t>wk1000</t>
  </si>
  <si>
    <t>wk0501</t>
  </si>
  <si>
    <t>wk0601</t>
  </si>
  <si>
    <t>wk1601</t>
  </si>
  <si>
    <t>wk1801</t>
  </si>
  <si>
    <t>wk0300</t>
  </si>
  <si>
    <t>wk0800</t>
  </si>
  <si>
    <t>wk1700</t>
  </si>
  <si>
    <t>PhD Symposium</t>
  </si>
  <si>
    <t>14:00 - 17:30</t>
  </si>
  <si>
    <t>tut 5</t>
  </si>
  <si>
    <t>tut 12</t>
  </si>
  <si>
    <t>tut 13</t>
  </si>
  <si>
    <t>tut 14</t>
  </si>
  <si>
    <t>wk0502</t>
  </si>
  <si>
    <t>wk0602</t>
  </si>
  <si>
    <t>wk1602</t>
  </si>
  <si>
    <t>wk1802</t>
  </si>
  <si>
    <t>wk0200</t>
  </si>
  <si>
    <t>wk1200</t>
  </si>
  <si>
    <t>10:00 - 10:30</t>
  </si>
  <si>
    <t>Conference Opening</t>
  </si>
  <si>
    <t>10:30 - 11:30</t>
  </si>
  <si>
    <r>
      <rPr>
        <rFont val="Open Sans"/>
        <b/>
        <color theme="1"/>
      </rPr>
      <t xml:space="preserve">Keynote: </t>
    </r>
    <r>
      <rPr>
        <rFont val="Open Sans"/>
        <b val="0"/>
        <color theme="1"/>
      </rPr>
      <t>Katrina Liggett, The Hebrew University of Jerusalem, Israel</t>
    </r>
  </si>
  <si>
    <t>Data Degrades with Use</t>
  </si>
  <si>
    <r>
      <rPr>
        <rFont val="Open Sans"/>
        <b/>
        <color theme="1"/>
      </rPr>
      <t xml:space="preserve">Abstract
</t>
    </r>
    <r>
      <rPr>
        <rFont val="Open Sans"/>
        <b val="0"/>
        <color theme="1"/>
      </rPr>
      <t xml:space="preserve">We often treat data as an infinitely reusable resource: a single dataset can support many analyses, train multiple models, and be shared widely without apparent cost. This talk argues that in important ways, data is not endlessly reusable. Instead, in certain contexts, data behaves like a consumable resource that degrades with use. The clearest example arises in the presence of privacy concerns. Fundamental results show that any informative public analysis of personal data inevitably leaks some information about the underlying individuals, and that these privacy losses accumulate across repeated uses of the same or overlapping datasets. If some level of privacy is to be preserved, this imposes intrinsic limits on how many times data can be used. In joint work under submission, we connect this perspective to the mosaic effect from legal scholarship, arguing that privacy risks arise not only from combining data pieces, but also from combining seemingly innocuous data uses. This view suggests regulatory and technical approaches that treat data use itself as a rival good. Data can also degrade with use even when privacy is not at stake. A line of work on adaptive data analysis shows that repeatedly querying the same dataset can lead to overfitting: results that appear valid on the dataset but fail to generalize to the underlying distribution, even when the dataset is very large. In both privacy and generalization, each interaction with a dataset consumes part of a limited resource, constraining future computations. Recognizing data degradation opens a range of research directions, including systems for tracking and budgeting data use, algorithmic techniques to mitigate degradation, the role of synthetic data and data curators, and new models of non-worst-case adaptive computation. Together, these directions work towards a data ecosystem that explicitly accounts for data degradation.
</t>
    </r>
    <r>
      <rPr>
        <rFont val="Open Sans"/>
        <b/>
        <color theme="1"/>
      </rPr>
      <t xml:space="preserve">Bio
</t>
    </r>
    <r>
      <rPr>
        <rFont val="Open Sans"/>
        <b val="0"/>
        <color theme="1"/>
      </rPr>
      <t>Katrina Ligett is a Professor in the School of Computer Science and Engineering at The Hebrew University of Jerusalem, where he is also the director of the interdisciplinary Federmann Center for the Study of Rationality, and an affiliated faculty member and former head of the MATAR program on the Interfaces of Technology, Society, and Networks. Before joining Hebrew University, she was faculty in computer science and economics at Caltech. Katrina’s primary research interests are in data privacy, algorithmic fairness, machine learning theory, and algorithmic game theory. She received her PhD in Computer Science from Carnegie Mellon University in 2009 and did her postdoc at Cornell University. She is a recipient of an ERC grant, an NSF CAREER award, and a Microsoft Faculty Fellowship.</t>
    </r>
  </si>
  <si>
    <t>11:30 - 12:00</t>
  </si>
  <si>
    <t>12:00 - 13:30</t>
  </si>
  <si>
    <t>Econ1</t>
  </si>
  <si>
    <t>Graph1</t>
  </si>
  <si>
    <t>Graph7</t>
  </si>
  <si>
    <t>Search1</t>
  </si>
  <si>
    <t>Semantics3</t>
  </si>
  <si>
    <t>Social1</t>
  </si>
  <si>
    <t>Systems1</t>
  </si>
  <si>
    <t>Security3</t>
  </si>
  <si>
    <t>Mining1</t>
  </si>
  <si>
    <t>RecSys1</t>
  </si>
  <si>
    <t>Industry1</t>
  </si>
  <si>
    <t>Industry2</t>
  </si>
  <si>
    <t>History1</t>
  </si>
  <si>
    <t>13:30 - 14:30</t>
  </si>
  <si>
    <t>Posters and Demos Session 1</t>
  </si>
  <si>
    <t>Demos1</t>
  </si>
  <si>
    <t>ShortPapers1</t>
  </si>
  <si>
    <t>14:30 - 15:30</t>
  </si>
  <si>
    <r>
      <rPr>
        <rFont val="Open Sans"/>
        <b/>
        <color theme="1"/>
      </rPr>
      <t xml:space="preserve">Keynote: </t>
    </r>
    <r>
      <rPr>
        <rFont val="Open Sans"/>
        <b val="0"/>
        <color theme="1"/>
      </rPr>
      <t>Mounia Lalmas, Spotify, UK</t>
    </r>
  </si>
  <si>
    <t>Building AI-Driven Web Experiences at Scale</t>
  </si>
  <si>
    <r>
      <rPr>
        <rFont val="Open Sans"/>
        <b/>
        <color theme="1"/>
      </rPr>
      <t xml:space="preserve">Abstract
</t>
    </r>
    <r>
      <rPr>
        <rFont val="Open Sans"/>
        <b val="0"/>
        <color theme="1"/>
      </rPr>
      <t>AI is no longer just a component of Web systems; it is increasingly shaping the experiences users have online. From search and recommendation to conversational and generative interfaces, AI is redefining how people interact with content at Web scale. In this keynote, I reflect on how recent advances in AI, including deep learning and generative models, are reshaping the design space of Web technologies. Drawing on insights from developing AI-driven systems at Spotify, I discuss how search and recommendation are evolving into interactive, intent-aware experiences that support exploration and discovery. The talk highlights emerging system paradigms and research questions around building such experiences at scale, and reflects on the implications for the design of future Web systems and interactions.</t>
    </r>
    <r>
      <rPr>
        <rFont val="Open Sans"/>
        <b/>
        <color theme="1"/>
      </rPr>
      <t xml:space="preserve">
Bio
</t>
    </r>
    <r>
      <rPr>
        <rFont val="Open Sans"/>
        <b val="0"/>
        <color theme="1"/>
      </rPr>
      <t>Mounia Lalmas is Senior Director of Research at Spotify, where she leads Tech Research in Personalisation, focusing on search, recommendation, and discovery systems at scale. Her work spans information retrieval, recommender systems, user engagement, and the application of modern AI techniques, including generative models, to large-scale online platforms. She previously held senior roles in industry and academia, including Director of Research at Yahoo and Professor of Information Retrieval at Queen Mary University of London, and has also held a research professorship at the University of Glasgow. Mounia is an Honorary Professor at University College London and a Distinguished Research Fellow at the University of Amsterdam. An active member of the web, search, and recommender systems research communities, she has co-chaired major conferences including SIGIR, WWW, WSDM, and CIKM, and authored over 260 publications. Her work bridges foundational research and real-world deployment, with a current focus on how AI is reshaping large-scale systems.</t>
    </r>
  </si>
  <si>
    <t>15:30 - 16:00</t>
  </si>
  <si>
    <t>16:00 - 17:30</t>
  </si>
  <si>
    <t>Econ2</t>
  </si>
  <si>
    <t>Graph2</t>
  </si>
  <si>
    <t>Graph8</t>
  </si>
  <si>
    <t>Search2</t>
  </si>
  <si>
    <t>Semantics4</t>
  </si>
  <si>
    <t>Social2</t>
  </si>
  <si>
    <t>Systems2</t>
  </si>
  <si>
    <t>Security4</t>
  </si>
  <si>
    <t>Mining2</t>
  </si>
  <si>
    <t>RecSys2</t>
  </si>
  <si>
    <t>RecSys7</t>
  </si>
  <si>
    <t>Industry3</t>
  </si>
  <si>
    <t>History2</t>
  </si>
  <si>
    <t>17:30 - 18:30</t>
  </si>
  <si>
    <t>Posters and Demos Session 2</t>
  </si>
  <si>
    <t>Demos2</t>
  </si>
  <si>
    <t>ShortPapers2</t>
  </si>
  <si>
    <t>EconPoster2</t>
  </si>
  <si>
    <t>GraphPoster2</t>
  </si>
  <si>
    <t>SearchPoster2</t>
  </si>
  <si>
    <t>SemanticsPoster2</t>
  </si>
  <si>
    <t>SecurityPoster2</t>
  </si>
  <si>
    <t>SocialPoster2</t>
  </si>
  <si>
    <t>SystemsPoster2</t>
  </si>
  <si>
    <t>RecSysPoster2</t>
  </si>
  <si>
    <t>MiningPoster2</t>
  </si>
  <si>
    <t>IndustryPoster2</t>
  </si>
  <si>
    <t>Web4GoodPoster2</t>
  </si>
  <si>
    <t>10:00 - 11:00</t>
  </si>
  <si>
    <r>
      <rPr>
        <rFont val="Open Sans"/>
        <b/>
        <color theme="1"/>
      </rPr>
      <t>Keynote</t>
    </r>
    <r>
      <rPr>
        <rFont val="Open Sans"/>
        <color theme="1"/>
      </rPr>
      <t>: Alistair Moffat, University of Melbourne, Australia</t>
    </r>
  </si>
  <si>
    <t>(Everything You Never Knew You Needed To Know About), Rank-Biased Measurement For Web Search</t>
  </si>
  <si>
    <r>
      <rPr>
        <rFont val="Open Sans"/>
        <b/>
        <color theme="1"/>
      </rPr>
      <t>Abstract</t>
    </r>
    <r>
      <rPr>
        <rFont val="Open Sans"/>
        <color theme="1"/>
      </rPr>
      <t xml:space="preserve">
In information retrieval and web search we measure how good search engines are at ordering answers to user queries, how close two ranked lists are to each other, how good LLMs are at re-ranking sets of candidate documents, and how close generated answer sentences are to the ideal output. This talk begins by motivating the top-weighted measurements that arise when ordered sequences are involved, including reviewing the rank-biased precision and rank-biased overlap measurements proposed in 2008 and 2010 respectively. The second part of the talk then presents recent work unifying the two previous rank-biased approaches as elements in a larger framework that exposes a third rank-biased measurement, rank-biased recall, a dual of rank-biased precision. Finally, in the third part of the talk, new ways in which the degree of top-weighting bias can be controlled are described, allowing practitioners and researchers to better define their measurement goals, and hence more precisely target their experiments.
</t>
    </r>
    <r>
      <rPr>
        <rFont val="Open Sans"/>
        <b/>
        <color theme="1"/>
      </rPr>
      <t>Bio</t>
    </r>
    <r>
      <rPr>
        <rFont val="Open Sans"/>
        <color theme="1"/>
      </rPr>
      <t xml:space="preserve">
Professor Alistair Moffat is now in his 40th year as a faculty member at the University of Melbourne. Early work included coauthorship of the book “Managing Gigabytes: Compressing and Indexing Documents and Images” (1994, 1999), and development of innovative mechanisms for implementing ranked queries via compressed inverted indexes. Most recently Alistair has been focused on IR evaluation, including models for user query formulation and result perusal, and the material on rank-biased measurement that is the subject of this talk. Alistair was inducted into the SIGIR Academy in 2021, and recently became a Fellow of the ACM for his contributions to the implementation and evaluation of search systems.</t>
    </r>
  </si>
  <si>
    <t>11:00 - 11:30</t>
  </si>
  <si>
    <t>11:30 - 13:00</t>
  </si>
  <si>
    <t>Econ3</t>
  </si>
  <si>
    <t>Graph3</t>
  </si>
  <si>
    <t>Graph9</t>
  </si>
  <si>
    <t>Search3</t>
  </si>
  <si>
    <t>Semantics7</t>
  </si>
  <si>
    <t>Social3</t>
  </si>
  <si>
    <t>Systems3</t>
  </si>
  <si>
    <t>Security5</t>
  </si>
  <si>
    <t>Mining3</t>
  </si>
  <si>
    <t>RecSys3</t>
  </si>
  <si>
    <t>Industry4</t>
  </si>
  <si>
    <t>Industry5</t>
  </si>
  <si>
    <t>Web4Good1</t>
  </si>
  <si>
    <t>Posters and Demos Session 3</t>
  </si>
  <si>
    <t>Demos3</t>
  </si>
  <si>
    <t>ShortPapers3</t>
  </si>
  <si>
    <t>14:00 - 15:00</t>
  </si>
  <si>
    <r>
      <rPr>
        <rFont val="Open Sans"/>
        <b/>
        <color theme="1"/>
      </rPr>
      <t xml:space="preserve">Plenary Panel: </t>
    </r>
    <r>
      <rPr>
        <rFont val="Open Sans"/>
        <b val="0"/>
        <color theme="1"/>
      </rPr>
      <t>Yannis Ioannidis, ACM President</t>
    </r>
  </si>
  <si>
    <t xml:space="preserve">Artificial Intelligence Fueled by and Fueling Open Science </t>
  </si>
  <si>
    <r>
      <rPr>
        <rFont val="Open Sans"/>
        <b/>
        <color theme="1"/>
      </rPr>
      <t>Abstract</t>
    </r>
    <r>
      <rPr>
        <rFont val="Open Sans"/>
        <b val="0"/>
        <color theme="1"/>
      </rPr>
      <t>: It is now universally acknowledged that a single technology in possession of powerful tools and instruments must be in want of applications. Artificial Intelligence (AI) is such a new technology, but is in no such want, as it is already taking by storm all human activities: scientific creation, industrial processes, societal interactions.
We have entered the era of the 5th Paradigm of Science and the study of nature. After the paradigms of empirical/experimental science (followed for millennia), theoretical model science (for centuries), computational science (for decades), and data-driven science as envisioned by Jim Gray (for about 15 years), the 5th paradigm has emerged: AI-driven science. It is not just the speed at which AI generates and analyzes data; even more valuable are the correlations (and sometimes the causations) that AI identifies that far exceed the reach of conventional research.  AI is transforming our scientific discovery processes. Science represents an amazingly exciting frontier for AI, and AI represents the most exciting new instruments in the hands of scientists.
Next to the dramatic AI-centered changes in the technological foundations of science, however, for the past two decades, we have also witnessed dramatic Openness-centered changes in the policy foundations of the operation, management, and communication of science. Bottom-up demands by the scientific community for democratization of access to the scientific output have led to top-down mandates by governments and funding agencies for scientific transparency and accountability withing the scientific community and to society at large.
Where do these singular discontinuities in the scientific methodology meet? How do they interact? Does Openness in the research lifecycle facilitate the development of AI? Does Openness in AI models facilitate the advancement of Science and, in particular, Open Science? Can one imagine a virtuous cycle of the following form?
a)        open science →
b)        open papers/datasets/research artifacts →
c)        training sets available for AI models, general or specialized research LLMs, ... →
d)        research agents, literature/dataset search/summary, experiment design, ... →
e)        "AI research assistants" / "AI researchers" / "AI paper and review authors" / ... →
f)        infra use, fact checking, innovation, content-based research evaluation, ... →
g)        open science
Finally, what is the role of scientific societies in incorporating AI and Openness in their processes and what is ACM, the leading global professional society for Computing, doing in these directions? These and other such questions, including newly arising existential and ethical challenges for researchers and acceptability of research results, will be explored in the proposed panel.</t>
    </r>
  </si>
  <si>
    <t>15:00 - 15:30</t>
  </si>
  <si>
    <t>15:30 - 17:00</t>
  </si>
  <si>
    <t>RespWeb1</t>
  </si>
  <si>
    <t>Graph4</t>
  </si>
  <si>
    <t>Graph10</t>
  </si>
  <si>
    <t>Search4</t>
  </si>
  <si>
    <t>Semantics6</t>
  </si>
  <si>
    <t>Social4</t>
  </si>
  <si>
    <t>Systems4</t>
  </si>
  <si>
    <t>Security6</t>
  </si>
  <si>
    <t>Mining4</t>
  </si>
  <si>
    <t>RecSys4</t>
  </si>
  <si>
    <t>RecSys8</t>
  </si>
  <si>
    <t>Industry6</t>
  </si>
  <si>
    <t>Web4Good2</t>
  </si>
  <si>
    <t>17:00 - 18:00</t>
  </si>
  <si>
    <t>Posters and Demos Session 4</t>
  </si>
  <si>
    <t>Demos4</t>
  </si>
  <si>
    <t>ShortPapers4</t>
  </si>
  <si>
    <r>
      <rPr>
        <rFont val="Open Sans"/>
        <b/>
        <color theme="1"/>
      </rPr>
      <t xml:space="preserve">Keynote: </t>
    </r>
    <r>
      <rPr>
        <rFont val="Open Sans"/>
        <b val="0"/>
        <color theme="1"/>
      </rPr>
      <t>Pascale Fung, AMI Labs &amp; The Hong Kong University</t>
    </r>
  </si>
  <si>
    <t>Towards AI That Understands the Human World</t>
  </si>
  <si>
    <r>
      <rPr>
        <rFont val="Open Sans"/>
        <b/>
        <color theme="1"/>
      </rPr>
      <t xml:space="preserve">Abstract
</t>
    </r>
    <r>
      <rPr>
        <rFont val="Open Sans"/>
        <b val="0"/>
        <color theme="1"/>
      </rPr>
      <t>AI has reached a turning point. Systems can now perceive, generate, and act in language and image across digital platforms at unprecedented scale. Yet as AI moves from tools to collaborators—embedded in decision-making, institutions, and everyday life—a new requirement becomes unavoidable: AI must understand the world the way humans inhabit it. This talk introduces Cognitive World Modeling as the next phase of AI development. It unifies physical world modeling—time, space, causality, action—with mental world modeling—goals, beliefs, intentions, emotions, and social norms—into a single, persistent representation of reality as experienced by humans. Together, these models allow AI systems not only to predict outcomes, but to reason about meaning, context, and consequence. Cognitive World Modeling moves AI beyond reactive toward systems that can plan, explain, adapt, and collaborate over time. Alignment and trust emerge not as post hoc constraints, but as properties of systems that maintain accurate, evolving models of both the external world and the humans within it.</t>
    </r>
    <r>
      <rPr>
        <rFont val="Open Sans"/>
        <b/>
        <color theme="1"/>
      </rPr>
      <t xml:space="preserve">
Bio
</t>
    </r>
    <r>
      <rPr>
        <rFont val="Open Sans"/>
        <b val="0"/>
        <color theme="1"/>
      </rPr>
      <t>Pascale Fung’s long term research background is in multimodal interactive systems including audio, speech, text and video. She started research on world modeling after studying the limitation of generative models due to hallucinations. She is the Co-founder and Chief Research &amp; Innovation Officer at AMI Labs. She was previously the Senior Director of AI Research at Meta-FAIR, leading research on embodied AI agents. She is also a Chair Professor of ECE at The Hong Kong University of Science &amp; Technology (HKUST). She is a Fellow of the ACL, AAAI, IEEE, and ISCA for her significant contribution to human-machine interactions.</t>
    </r>
  </si>
  <si>
    <t>RespWeb2</t>
  </si>
  <si>
    <t>Graph5</t>
  </si>
  <si>
    <t>Semantics1</t>
  </si>
  <si>
    <t>Search5</t>
  </si>
  <si>
    <t>Semantics5</t>
  </si>
  <si>
    <t>Security1</t>
  </si>
  <si>
    <t>Systems5</t>
  </si>
  <si>
    <t>Security7</t>
  </si>
  <si>
    <t>Mining5</t>
  </si>
  <si>
    <t>RecSys5</t>
  </si>
  <si>
    <t>RecSys9</t>
  </si>
  <si>
    <t>Industry7</t>
  </si>
  <si>
    <t>Web4Good3</t>
  </si>
  <si>
    <t>Posters and Demos Session 5</t>
  </si>
  <si>
    <t>Demos5</t>
  </si>
  <si>
    <t>ShortPapers5</t>
  </si>
  <si>
    <t>GraphPoster5</t>
  </si>
  <si>
    <t>RespWebPoster5</t>
  </si>
  <si>
    <t>SearchPoster5</t>
  </si>
  <si>
    <t>SemanticsPoster5</t>
  </si>
  <si>
    <t>SecurityPoster5</t>
  </si>
  <si>
    <t>SystemsPoster5</t>
  </si>
  <si>
    <t>RecSysPoster5</t>
  </si>
  <si>
    <t>MiningPoster5</t>
  </si>
  <si>
    <t>IndustryPoster5</t>
  </si>
  <si>
    <t>Web4GoodPoster5</t>
  </si>
  <si>
    <t>Best paper candidates</t>
  </si>
  <si>
    <t>Graph6</t>
  </si>
  <si>
    <t>Semantics2</t>
  </si>
  <si>
    <t>Search6</t>
  </si>
  <si>
    <t>Semantics8</t>
  </si>
  <si>
    <t>Security2</t>
  </si>
  <si>
    <t>Systems6</t>
  </si>
  <si>
    <t>Security8</t>
  </si>
  <si>
    <t>Mining6</t>
  </si>
  <si>
    <t>RecSys6</t>
  </si>
  <si>
    <t>RecSys10</t>
  </si>
  <si>
    <t>Industry8</t>
  </si>
  <si>
    <t>Web4Good4</t>
  </si>
  <si>
    <t>RespWeb3</t>
  </si>
  <si>
    <t>Generative &amp; Next-Gen Recommendation Architectures</t>
  </si>
  <si>
    <t>Town Hall &amp; Closing Ceremony</t>
  </si>
  <si>
    <t>GCs</t>
  </si>
  <si>
    <t>Hakim Hacid, Yoelle Maarek</t>
  </si>
  <si>
    <t>Conference Opening Presenters</t>
  </si>
  <si>
    <t>Presenters</t>
  </si>
  <si>
    <t>Francesco Bonchi, Ido Guy, Emine Yilmaz, Chin-Wan Chung, Dame Wendy Hall, Jian Tang</t>
  </si>
  <si>
    <t>francesco.bonchi@intesasanpaolo.com, idoguy@gmail.com, emine.yilmaz@ucl.ac.uk, chung_cw@kaist.ac.kr, wh@ecs.soton.ac.uk, tangjianpku@gmail.com</t>
  </si>
  <si>
    <t>Keynote: Katrina Liggett, The Hebrew University of Jerusalem, Israel</t>
  </si>
  <si>
    <t>Liane Lewin-Eytan</t>
  </si>
  <si>
    <t>liane.leytan@gmail.com</t>
  </si>
  <si>
    <r>
      <rPr>
        <rFont val="Arial"/>
        <color theme="1"/>
      </rPr>
      <t xml:space="preserve">Keynote: </t>
    </r>
    <r>
      <rPr>
        <rFont val="Arial"/>
        <b val="0"/>
        <color theme="1"/>
      </rPr>
      <t>Mounia Lalmas, Spotify, UK</t>
    </r>
  </si>
  <si>
    <t>Hakim Hacid</t>
  </si>
  <si>
    <t>hakim.hacid@gmail.com</t>
  </si>
  <si>
    <r>
      <rPr>
        <rFont val="Arial"/>
        <color theme="1"/>
      </rPr>
      <t>Keynote</t>
    </r>
    <r>
      <rPr>
        <rFont val="Arial"/>
        <color theme="1"/>
      </rPr>
      <t>: Alistair Moffat, University of Melbourne, Australia</t>
    </r>
  </si>
  <si>
    <t>Ricardo-Baeza-Yates</t>
  </si>
  <si>
    <t>ricardo.baeza@upf.edu</t>
  </si>
  <si>
    <r>
      <rPr>
        <rFont val="Arial"/>
        <color theme="1"/>
      </rPr>
      <t xml:space="preserve">Keynote: </t>
    </r>
    <r>
      <rPr>
        <rFont val="Arial"/>
        <b val="0"/>
        <color theme="1"/>
      </rPr>
      <t>Pascale Fung, AMI Labs &amp; The Hong Kong University</t>
    </r>
  </si>
  <si>
    <t>Yoelle Maarek</t>
  </si>
  <si>
    <t>yoelle@yahoo.com</t>
  </si>
  <si>
    <t>Plenary Panel: Yannis Ioannidis, ACM President</t>
  </si>
  <si>
    <t>Plenary Panel: Yannis Ioannidis, ACM President Presenters</t>
  </si>
  <si>
    <t xml:space="preserve"> Philipp Christmann,Taylor Lynn Curtis, Giorgio Maria Di Nunzio, Dame Wendy Hall , Mounia Lalmas</t>
  </si>
  <si>
    <t>philipp.christmann@cispa.de, taylor.curtis@mila.quebec, giorgiomaria.dinunzio@unipd.it, wh@ecs.soton.ac.uk, mounia@acm.org</t>
  </si>
  <si>
    <t>Session Chairs</t>
  </si>
  <si>
    <t>Town Hall &amp; Closing Ceremony Presenters</t>
  </si>
  <si>
    <t>Mounia Lalmas. Liane Lewin-Eytan, Dick Bulterman, Chin-Wan Chung, Charles Clarke, Owen Conlan, Laurent Flory, Cathal Gurrin, Wendy Hall, Irwin King, Hady Lauw, Davood Rafiei, Raphael Troncy</t>
  </si>
  <si>
    <t xml:space="preserve">mounia@acm.org, liane.leytan@gmail.com, dick.bulterman@gmail.com, chung_cw@kaist.ac.kr, claclark@gmail.com, Owen.Conlan@tcd.ie, laurent.flory@cnlesr.fr, cathal.gurrin@dcu.ie, wh@ecs.soton.ac.uk, king@cse.cuhk.edu.hk, hadywlauw@smu.edu.sg, drafiei@ualberta.ca, raphael.troncy@eurecom.fr, </t>
  </si>
  <si>
    <t>Dame Wendy Hall, Oshani Seneviratne</t>
  </si>
  <si>
    <t>wh@ecs.soton.ac.uk, senevo@rpi.edu</t>
  </si>
  <si>
    <t>Award Chairs</t>
  </si>
  <si>
    <t>Mounia Lalmas, Liane Lewin-Eytan</t>
  </si>
  <si>
    <t>mounia@acm.org, liane.leytan@gmail.com</t>
  </si>
  <si>
    <t>Trustworthy, Fair &amp; Safe Web AI</t>
  </si>
  <si>
    <t>Roy Ka-Wei Lee</t>
  </si>
  <si>
    <t>roy_lee@sutd.edu.sg</t>
  </si>
  <si>
    <t>AI for Social Good: Health &amp; Vulnerable Populations</t>
  </si>
  <si>
    <t>Daniela Paolotti</t>
  </si>
  <si>
    <t>daniela.paolotti@isi.it</t>
  </si>
  <si>
    <t>Sustainable &amp; Energy-Efficient Web/AI Systems</t>
  </si>
  <si>
    <t>Shah Nawaz</t>
  </si>
  <si>
    <t>shah.nawaz@jku.at</t>
  </si>
  <si>
    <t>Intelligent Web Systems &amp; Societal Dynamics</t>
  </si>
  <si>
    <t>Mehwish Nasim</t>
  </si>
  <si>
    <t>mehwish.nasim@uwa.edu.au</t>
  </si>
  <si>
    <t>Financial Intelligence &amp; Market Simulation</t>
  </si>
  <si>
    <t>Christian Bizer</t>
  </si>
  <si>
    <t>christian.bizer@uni-mannheim.de</t>
  </si>
  <si>
    <t>Core Recommendation &amp; CTR Optimization</t>
  </si>
  <si>
    <t>Maolin Wang</t>
  </si>
  <si>
    <t>Morin.wang@cityu.edu.hk</t>
  </si>
  <si>
    <t>LLM Efficiency, Reasoning &amp; System Logs</t>
  </si>
  <si>
    <t>Elad Yom-Tov</t>
  </si>
  <si>
    <t>elad.yom-tov@biu.ac.il</t>
  </si>
  <si>
    <t>Logistics, Travel &amp; Geospatial Services</t>
  </si>
  <si>
    <t>Heng Chang</t>
  </si>
  <si>
    <t>changh17@tsinghua.org.cn</t>
  </si>
  <si>
    <t>E-Commerce Search &amp; Semantic Relevance</t>
  </si>
  <si>
    <t>Yufei Cui</t>
  </si>
  <si>
    <t>yufei.cui@huawei.com</t>
  </si>
  <si>
    <t>Content Platforms, Video &amp; Moderation</t>
  </si>
  <si>
    <t>Xixuan Hao</t>
  </si>
  <si>
    <t>xhao390@connect.hkust-gz.edu.cn</t>
  </si>
  <si>
    <t>Automation, Security &amp; Knowledge Management</t>
  </si>
  <si>
    <t>Ningren Han</t>
  </si>
  <si>
    <t>peterhan@google.com</t>
  </si>
  <si>
    <t>Social Dynamics, Voting, and Consensus</t>
  </si>
  <si>
    <t>Ana-Andreea Stoica</t>
  </si>
  <si>
    <t>ana-andreea.stoica@tuebingen.mpg.de</t>
  </si>
  <si>
    <t>Auto-bidding and Budget Allocation in Online Advertising</t>
  </si>
  <si>
    <t>Economics of Generative AI</t>
  </si>
  <si>
    <t>Ido Guy</t>
  </si>
  <si>
    <t>gid@bgu.ac.il</t>
  </si>
  <si>
    <t>Graph Foundation Models 1</t>
  </si>
  <si>
    <t>morin.wang@cityu.edu.hk</t>
  </si>
  <si>
    <t>Attacks &amp; Explainability</t>
  </si>
  <si>
    <t>Hyunjin Hwang</t>
  </si>
  <si>
    <t>hyunjinhwang@kaist.ac.kr</t>
  </si>
  <si>
    <t>Graph Neural Networks 1</t>
  </si>
  <si>
    <t>Tiehua Zhang</t>
  </si>
  <si>
    <t>tiehuaz@tongji.edu.cn</t>
  </si>
  <si>
    <t>Contrastive Learning 1</t>
  </si>
  <si>
    <t>Anchen Li</t>
  </si>
  <si>
    <t>anchen.li@aalto.fi</t>
  </si>
  <si>
    <t>Contrastive Learning 2</t>
  </si>
  <si>
    <t>LI Ni</t>
  </si>
  <si>
    <t>nili@ahu.edu.cn</t>
  </si>
  <si>
    <t>Graph Neural Networks 2</t>
  </si>
  <si>
    <t>Yaming Yang</t>
  </si>
  <si>
    <t>yym@xidian.edu.cn</t>
  </si>
  <si>
    <t>Anomaly Detection</t>
  </si>
  <si>
    <t>Kijung Shin</t>
  </si>
  <si>
    <t>kijungs@kaist.ac.kr</t>
  </si>
  <si>
    <t>Dynamics and Temporal</t>
  </si>
  <si>
    <t>Kyungho Kim</t>
  </si>
  <si>
    <t>kkyungho@kaist.ac.kr</t>
  </si>
  <si>
    <t>Graph Foundation Models 2</t>
  </si>
  <si>
    <t>Haonan Yuan</t>
  </si>
  <si>
    <t>yuanhn@buaa.edu.cn</t>
  </si>
  <si>
    <t>Graphs - Miscellanea</t>
  </si>
  <si>
    <t>Sunwoo Kim</t>
  </si>
  <si>
    <t>kswoo97@kaist.ac.kr</t>
  </si>
  <si>
    <t>Bias Detection, Auditing, and Monitoring</t>
  </si>
  <si>
    <t>Svetlana Churina</t>
  </si>
  <si>
    <t>churinas@nus.edu.sg</t>
  </si>
  <si>
    <t>Privacy, Consent, and User Control</t>
  </si>
  <si>
    <t>Basma Boussaha</t>
  </si>
  <si>
    <r>
      <rPr>
        <rFont val="Arial, sans-serif"/>
        <color rgb="FF1155CC"/>
        <u/>
      </rPr>
      <t>Basma.Boussaha@tii.ae</t>
    </r>
  </si>
  <si>
    <t>Mitigating Online Harms and Misinformation</t>
  </si>
  <si>
    <t xml:space="preserve">Ana-Andreea Stoica </t>
  </si>
  <si>
    <t>Zero-Shot &amp; Graph RAG</t>
  </si>
  <si>
    <t>Agents &amp; Reasoning</t>
  </si>
  <si>
    <t>Ead Yom-Tov</t>
  </si>
  <si>
    <t>Question Answering &amp; Knowledge Graphs</t>
  </si>
  <si>
    <t>David Carmel</t>
  </si>
  <si>
    <t>david.carmel@gmail.com</t>
  </si>
  <si>
    <t>Efficient &amp; Multimodal Retrieval</t>
  </si>
  <si>
    <t>Haoyu Han</t>
  </si>
  <si>
    <t>hanhaoy1@msu.edu</t>
  </si>
  <si>
    <t>Long-Context &amp; Document Understanding</t>
  </si>
  <si>
    <t>Hao Liang</t>
  </si>
  <si>
    <t>hao.liang@stu.pku.edu.cn</t>
  </si>
  <si>
    <t>Adaptive &amp; Dynamic Retrieval</t>
  </si>
  <si>
    <t>Jin Cheng</t>
  </si>
  <si>
    <t>jenniecheng2@gmail.com</t>
  </si>
  <si>
    <t>Security and Network Intrusion</t>
  </si>
  <si>
    <t>Eleana Kafeza</t>
  </si>
  <si>
    <t>eleana.kafeza@tii.ae</t>
  </si>
  <si>
    <t>Privacy Awareness</t>
  </si>
  <si>
    <t>Mingfei Zhang</t>
  </si>
  <si>
    <r>
      <rPr>
        <rFont val="Arial"/>
        <color rgb="FF1155CC"/>
        <u/>
      </rPr>
      <t>mingfei.zh@mail.sdu.edu.cn</t>
    </r>
  </si>
  <si>
    <t>Fingerprinting</t>
  </si>
  <si>
    <t>Xinxin Xing</t>
  </si>
  <si>
    <r>
      <rPr>
        <rFont val="Arial"/>
        <color rgb="FF1155CC"/>
        <u/>
      </rPr>
      <t>xxxshixiannva@gmail.com</t>
    </r>
  </si>
  <si>
    <t>Security &amp; Privacy for Federated Systems</t>
  </si>
  <si>
    <t>Huaxin Xu</t>
  </si>
  <si>
    <r>
      <rPr>
        <rFont val="Arial"/>
        <color rgb="FF1155CC"/>
        <u/>
      </rPr>
      <t>huaxin.xu@wit.edu.cn</t>
    </r>
  </si>
  <si>
    <t>Security &amp; Privacy for LLM I</t>
  </si>
  <si>
    <t>Xiaoyan Zhao</t>
  </si>
  <si>
    <r>
      <rPr>
        <rFont val="Arial"/>
        <color rgb="FF1155CC"/>
        <u/>
      </rPr>
      <t>xiaoyanzhao.ai@gmail.com</t>
    </r>
  </si>
  <si>
    <t>Security &amp; Privacy for LLM II</t>
  </si>
  <si>
    <t>Min Gao</t>
  </si>
  <si>
    <r>
      <rPr>
        <rFont val="Arial"/>
        <color rgb="FF1155CC"/>
        <u/>
      </rPr>
      <t>mgao21@m.fudan.edu.cn</t>
    </r>
  </si>
  <si>
    <t>Web Platform and Device Vulnerability</t>
  </si>
  <si>
    <t>Attacks and Intrusion</t>
  </si>
  <si>
    <t>Renda Han</t>
  </si>
  <si>
    <r>
      <rPr>
        <rFont val="Arial"/>
        <color rgb="FF1155CC"/>
        <u/>
      </rPr>
      <t>rd.h@computer.org</t>
    </r>
  </si>
  <si>
    <t>Multimodal Semantic Understanding</t>
  </si>
  <si>
    <t>Leslie F Sikos</t>
  </si>
  <si>
    <t>l.sikos@ecu.edu.au</t>
  </si>
  <si>
    <t>Semantic Representation Learning</t>
  </si>
  <si>
    <t>Xinshu Li</t>
  </si>
  <si>
    <t>xinshu.li@rmit.edu.au</t>
  </si>
  <si>
    <t>Logical Reasoning &amp; Graph Understanding</t>
  </si>
  <si>
    <t>Ziyu Lyu</t>
  </si>
  <si>
    <t>lvzy7@mail.sysu.edu.cn</t>
  </si>
  <si>
    <t>Knowledge Editing &amp; Maintenance</t>
  </si>
  <si>
    <t>Xiao Han</t>
  </si>
  <si>
    <t>hahahenha@gmail.com</t>
  </si>
  <si>
    <t>Continual &amp; Dynamic Knowledge</t>
  </si>
  <si>
    <t>Luis Galárraga</t>
  </si>
  <si>
    <t>luis.galarraga@inria.fr</t>
  </si>
  <si>
    <t>Knowledge Integration &amp; Transfer</t>
  </si>
  <si>
    <t>Yufan (Tina) Kang</t>
  </si>
  <si>
    <t>tina.kang@monash.edu</t>
  </si>
  <si>
    <t>Multimodal Knowledge Graphs</t>
  </si>
  <si>
    <t>Dongyu Zhang</t>
  </si>
  <si>
    <t>zhangdongyu@dlut.edu.cn</t>
  </si>
  <si>
    <t>Temporal Reasoning &amp; Planning</t>
  </si>
  <si>
    <t>Meng-Fen Chiang</t>
  </si>
  <si>
    <t>meng.chiang@nycu.edu.tw</t>
  </si>
  <si>
    <t>Opinion Dynamics and Misinformation</t>
  </si>
  <si>
    <t>Mark Spaniol</t>
  </si>
  <si>
    <t>marc.spaniol@unicaen.fr</t>
  </si>
  <si>
    <t>Information Diffusion and Influence</t>
  </si>
  <si>
    <t>Hao Huang</t>
  </si>
  <si>
    <t>haohuang@whu.edu.cn</t>
  </si>
  <si>
    <t>Trust, Safety, and Content Moderation</t>
  </si>
  <si>
    <t>Tangila Islam Tanni</t>
  </si>
  <si>
    <t>TangilaIslam.Tanni@ucf.edu</t>
  </si>
  <si>
    <t>Social Events and User-Centric Analysis</t>
  </si>
  <si>
    <t>Zitai Qiu</t>
  </si>
  <si>
    <t>zitai.qiu@hdr.mq.edu.au</t>
  </si>
  <si>
    <t>Client-Adaptive Federated Learning</t>
  </si>
  <si>
    <t xml:space="preserve">Longzhu He </t>
  </si>
  <si>
    <t>helongzhu@bupt.edu.cn</t>
  </si>
  <si>
    <t>Efficient and Privacy-Aware Federated Learning</t>
  </si>
  <si>
    <t>Yang Chen</t>
  </si>
  <si>
    <t>chenyang@fudan.edu.cn</t>
  </si>
  <si>
    <t>Cloud–Edge AI Systems</t>
  </si>
  <si>
    <t xml:space="preserve">Xiaoli Liu </t>
  </si>
  <si>
    <t>xiaoli.liu@helsinki.fi</t>
  </si>
  <si>
    <t>AI Systems for Time Series and Vision</t>
  </si>
  <si>
    <t xml:space="preserve">Dr. Tieke He </t>
  </si>
  <si>
    <t>hetieke@nju.edu.cn</t>
  </si>
  <si>
    <t>Real-Time Web and Mobile Systems</t>
  </si>
  <si>
    <t xml:space="preserve">Xianghang Mi </t>
  </si>
  <si>
    <t>scott.mi@monash.edu</t>
  </si>
  <si>
    <t>Smart Urban and IoT Systems</t>
  </si>
  <si>
    <t>Yang Chen (Fudan University)</t>
  </si>
  <si>
    <t>Multi-Behavior User Modeling</t>
  </si>
  <si>
    <t>Xiangjun Zai</t>
  </si>
  <si>
    <r>
      <rPr>
        <rFont val="Arial"/>
        <color rgb="FF000000"/>
      </rPr>
      <t>xiangjun.zai@student.unsw.edu.au</t>
    </r>
  </si>
  <si>
    <t>Cross-Domain Recommendation</t>
  </si>
  <si>
    <t>Kangzheng Liu</t>
  </si>
  <si>
    <r>
      <rPr>
        <rFont val="Arial"/>
        <color rgb="FF000000"/>
      </rPr>
      <t>frankluis@hust.edu.cn</t>
    </r>
  </si>
  <si>
    <t>Graph-Based Collaborative Filtering</t>
  </si>
  <si>
    <t>Weigang Lu</t>
  </si>
  <si>
    <r>
      <rPr>
        <rFont val="&quot;Times New Roman&quot;, Arial, Helvetica, sans-serif"/>
        <color rgb="FF000000"/>
        <sz val="11.0"/>
      </rPr>
      <t>weiganglu314@gmail.com</t>
    </r>
  </si>
  <si>
    <t>Advanced Sequential Recommendation</t>
  </si>
  <si>
    <t>Zhu Sun</t>
  </si>
  <si>
    <t>zhu_sun@sutd.edu.sg</t>
  </si>
  <si>
    <t>Long-Term Preferences &amp; Continual Personalization</t>
  </si>
  <si>
    <t>Oren Somekh</t>
  </si>
  <si>
    <t>orensomekh@yahoo.com</t>
  </si>
  <si>
    <t>Generative &amp; Collaborative Alignment</t>
  </si>
  <si>
    <t>Jing Du</t>
  </si>
  <si>
    <t>jing.du2@unsw.edu.au</t>
  </si>
  <si>
    <t>Causal &amp; Counterfactual Recommendation</t>
  </si>
  <si>
    <t>Intent Modeling &amp; CTR Prediction</t>
  </si>
  <si>
    <t>Xingyu Tan</t>
  </si>
  <si>
    <r>
      <rPr>
        <rFont val="Arial"/>
        <color rgb="FF000000"/>
      </rPr>
      <t>xingyu.tan@unsw.edu.au</t>
    </r>
  </si>
  <si>
    <t>Multimodal Recommendation Methods</t>
  </si>
  <si>
    <r>
      <rPr>
        <rFont val="Arial"/>
        <color rgb="FF000000"/>
      </rPr>
      <t>xingyu.tan@unsw.edu.au</t>
    </r>
  </si>
  <si>
    <t>LLM-Based Reasoning and Agents for Recommender Systems</t>
  </si>
  <si>
    <t>Xinyu Lin</t>
  </si>
  <si>
    <t>xylin1028@gmail.com</t>
  </si>
  <si>
    <t>Sequence and Temporal Pattern Mining</t>
  </si>
  <si>
    <t>Zijian Zhang</t>
  </si>
  <si>
    <t>zhangzijian@jlu.edu.cn</t>
  </si>
  <si>
    <t>Multimodal Web Content Representation and Understanding</t>
  </si>
  <si>
    <t>Akshar Prabhu Desai</t>
  </si>
  <si>
    <t>akshar.iitb@gmail.com</t>
  </si>
  <si>
    <t>Misinformation, Content Authenticity, and Social Mining</t>
  </si>
  <si>
    <t>Robustness, Anomaly Detection, and Web Data Quality</t>
  </si>
  <si>
    <t>Marialena Kyriakidi</t>
  </si>
  <si>
    <t>marialena@google.com</t>
  </si>
  <si>
    <t>Learning, Representation, and Model Augmentation for Web Data</t>
  </si>
  <si>
    <t>Yuanyuan Xu</t>
  </si>
  <si>
    <t>yuanyuan.xu@unsw.edu.au</t>
  </si>
  <si>
    <t>Web Traffic, Logs, and Agent-Based Analytics</t>
  </si>
  <si>
    <t>knt026</t>
  </si>
  <si>
    <t>knt052</t>
  </si>
  <si>
    <t>rfp0016</t>
  </si>
  <si>
    <t>ThinkRec: Thinking-based recommendation via LLM</t>
  </si>
  <si>
    <t>rfp0017</t>
  </si>
  <si>
    <t>Cardinality is Not Enough: Super Host Detection via Segmented Cardinality Estimation</t>
  </si>
  <si>
    <t>rfp0027</t>
  </si>
  <si>
    <t>Difference-based Sample Selection for Federated Graph Rationalization</t>
  </si>
  <si>
    <t>rfp0028</t>
  </si>
  <si>
    <t>Smaller but Better: ​​Plasticity-Preserving Continual Learning for Embedded AI​</t>
  </si>
  <si>
    <t>rfp0042</t>
  </si>
  <si>
    <t>Cross-city Time Series Forecasting with Retrieval-Augmented Large Language Models</t>
  </si>
  <si>
    <t>rfp0046</t>
  </si>
  <si>
    <t>What Should I Cite? A RAG Benchmark for Academic Citation Prediction</t>
  </si>
  <si>
    <t>rfp0061</t>
  </si>
  <si>
    <t>Med-R$^2$: Crafting Trustworthy LLM Physicians via Retrieval and Reasoning of Evidence-Based Medicine</t>
  </si>
  <si>
    <t>rfp0068</t>
  </si>
  <si>
    <t>Toward Graph-Tokenizing Large Language Models with Reconstructive Graph Instruction Tuning</t>
  </si>
  <si>
    <t>rfp0072</t>
  </si>
  <si>
    <t>Generalized Pseudo-Relevance Feedback</t>
  </si>
  <si>
    <t>rfp0109</t>
  </si>
  <si>
    <t>Multi-Source Unsupervised Graph Domain Adaptation via Concise Propagation–Transformation Pipeline</t>
  </si>
  <si>
    <t>rfp0110</t>
  </si>
  <si>
    <t>Opinion Dynamics with Multiple Adversaries</t>
  </si>
  <si>
    <t>rfp0111</t>
  </si>
  <si>
    <t>Adaptive Graph Reweighting for Collaborative Filtering</t>
  </si>
  <si>
    <t>rfp0126</t>
  </si>
  <si>
    <t>Many Hands Make Light Work: Group-based Information Diffusion Prediction over Long-Context Cascades</t>
  </si>
  <si>
    <t>rfp0134</t>
  </si>
  <si>
    <t>Bridging Expert Reasoning and LLM Detection: A Knowledge-Driven Framework for Malicious Packages</t>
  </si>
  <si>
    <t>rfp0137</t>
  </si>
  <si>
    <t>FedBridge: Accelerating Edge-Assisted Federated Learning for Model-Heterogeneous Clients</t>
  </si>
  <si>
    <t>rfp0147</t>
  </si>
  <si>
    <t>Rethinking the Hidden Risk of Reranking: Achieving Risk-aware Reranking with Information Gain for RAG with LLMs</t>
  </si>
  <si>
    <t>rfp0151</t>
  </si>
  <si>
    <t>Quantum-enhanced Representation Learning and Matching Learning for Recommendation</t>
  </si>
  <si>
    <t>rfp0153</t>
  </si>
  <si>
    <t>Multimodal Graph Conditioned Diffusion Model for Video Captioning</t>
  </si>
  <si>
    <t>rfp0161</t>
  </si>
  <si>
    <t>Class-Domain Incremental Learning on Graphs via Disentangled Knowledge Distillation</t>
  </si>
  <si>
    <t>rfp0188</t>
  </si>
  <si>
    <t>HingeMem: Boundary Guided Long-Term Memory with Query Adaptive Retrieval for Scalable Dialogues</t>
  </si>
  <si>
    <t>rfp0199</t>
  </si>
  <si>
    <t>Riemannian Liquid Spatio-Temporal Graph Network</t>
  </si>
  <si>
    <t>rfp0207</t>
  </si>
  <si>
    <t>Topology-Aware Feature Sorting Enables Universal Modeling on Homophilic and Heterophilic Graphs</t>
  </si>
  <si>
    <t>rfp0208</t>
  </si>
  <si>
    <t>SEAR: LLM-Powered Sequential Recommendation via Fusion of Collaborative, Semantic, and Rating Information</t>
  </si>
  <si>
    <t>rfp0210</t>
  </si>
  <si>
    <t>NeocorRAG: Less Irrelevant Information, More Explicit Evidence, and More Effective Recall via Evidence Chains</t>
  </si>
  <si>
    <t>rfp0241</t>
  </si>
  <si>
    <t>Beyond Patches: Superpixel Token-based Transformers for Attribute-Specific Fashion Retrieval</t>
  </si>
  <si>
    <t>rfp0255</t>
  </si>
  <si>
    <t>VarParser: Unleashing the Neglected Power of Variables for LLM-based Log Parsing</t>
  </si>
  <si>
    <t>rfp0263</t>
  </si>
  <si>
    <t>Beyond Single view Decoding: Dual-view Map Inference from Trajectories via Primal-Dual Graphs Co-generation</t>
  </si>
  <si>
    <t>rfp0280</t>
  </si>
  <si>
    <t>Exploring and Exploiting Security Vulnerabilities in Self-Hosted LLM Services</t>
  </si>
  <si>
    <t>rfp0282</t>
  </si>
  <si>
    <t>Collusion-Aware Set-level Learning Framework for Detecting Spamming Activities</t>
  </si>
  <si>
    <t>rfp0291</t>
  </si>
  <si>
    <t>LoVR: A Benchmark for Long Video Retrieval in Multimodal Contexts</t>
  </si>
  <si>
    <t>rfp0294</t>
  </si>
  <si>
    <t>Guiding Generative Recommender Systems with Structured Human Priors via Multi-head Decoding</t>
  </si>
  <si>
    <t>rfp0296</t>
  </si>
  <si>
    <t>Exploring Sequential Dynamics on Temporal Graphs via Composite Filtering</t>
  </si>
  <si>
    <t>rfp0310</t>
  </si>
  <si>
    <t>The Devil Within, The Cure Without: Securing Locally Private Graph Learning under Poisoning</t>
  </si>
  <si>
    <t>rfp0312</t>
  </si>
  <si>
    <t>PruneRAG: Confidence-Guided Query Decomposition Trees for Efficient Retrieval-Augmented Generation</t>
  </si>
  <si>
    <t>rfp0318</t>
  </si>
  <si>
    <t>Diffusion-based Kriging Model with Graph-enhanced Attention</t>
  </si>
  <si>
    <t>rfp0334</t>
  </si>
  <si>
    <t>SIsomap: Secure Collaborative Manifold Learning with Reducing Communication Costs</t>
  </si>
  <si>
    <t>rfp0347</t>
  </si>
  <si>
    <t>Open or Blocked Skies? Community Moderation Practices in Bluesky</t>
  </si>
  <si>
    <t>rfp0362</t>
  </si>
  <si>
    <t>Graph Retention Networks for Dynamic Graphs</t>
  </si>
  <si>
    <t>rfp0364</t>
  </si>
  <si>
    <t>A Graph Foundation Model for Unified Anomaly Detection</t>
  </si>
  <si>
    <t>rfp0366</t>
  </si>
  <si>
    <t>Auto-bidding under Return-on-Spend Constraints with Uncertainty Quantification</t>
  </si>
  <si>
    <t>rfp0368</t>
  </si>
  <si>
    <t>Glasses: Enabling Fast Environment-aware Few-Shot Learning via Device-Cloud Collaboration</t>
  </si>
  <si>
    <t>rfp0376</t>
  </si>
  <si>
    <t>Aligning Multiple Knowledge Graphs in A Single Pass</t>
  </si>
  <si>
    <t>rfp0379</t>
  </si>
  <si>
    <t>PrivSplit: A Lossless Method for Prompt Privacy in Distributed Parameter-Efficient Fine-Tuning</t>
  </si>
  <si>
    <t>rfp0381</t>
  </si>
  <si>
    <t>H-NeiFi: Non-Invasive and Consensus-Efficient Multi-Agent Opinion Guidance</t>
  </si>
  <si>
    <t>rfp0382</t>
  </si>
  <si>
    <t>Maximum Edge-based Quasi-Clique: Novel Iterative Frameworks</t>
  </si>
  <si>
    <t>rfp0383</t>
  </si>
  <si>
    <t>Beyond Single-Granularity Prompts: A Multi-Scale Chain-of-Thought Prompt Learning for Graph</t>
  </si>
  <si>
    <t>rfp0389</t>
  </si>
  <si>
    <t>Scalable and Provable Biclique-Preserving Clustering: The Power of Counting-based Approaches</t>
  </si>
  <si>
    <t>rfp0405</t>
  </si>
  <si>
    <t>Unveiling and Mitigating Untargeted Poisoning Attacks on Federated Knowledge Graph Embedding</t>
  </si>
  <si>
    <t>rfp0409</t>
  </si>
  <si>
    <t>Graph Diffusion Evolution Model for Multi-Conditional Molecular Generation</t>
  </si>
  <si>
    <t>rfp0413</t>
  </si>
  <si>
    <t>Multi-Source Information Driven Spatio-Temporal Hypergraph Learning for Traffic Forecasting</t>
  </si>
  <si>
    <t>rfp0432</t>
  </si>
  <si>
    <t>Riemannian Graph Tokenizer for Structural Knowledge Transfer</t>
  </si>
  <si>
    <t>rfp0434</t>
  </si>
  <si>
    <t>Deterring A Small Collusion is All You Need</t>
  </si>
  <si>
    <t>rfp0446</t>
  </si>
  <si>
    <t>Integrated Mixture of Neighborhood and Community Experts for Graph-Based Fraud Detection</t>
  </si>
  <si>
    <t>rfp0450</t>
  </si>
  <si>
    <t>Iterative Semantic Reasoning from Individual to Group Interests for Generative Recommendation with LLMs</t>
  </si>
  <si>
    <t>rfp0478</t>
  </si>
  <si>
    <t>Generative Data Transformation: From Mixed to Unified Data</t>
  </si>
  <si>
    <t>rfp0491</t>
  </si>
  <si>
    <t>Macro-Micro Collaborative Learning for Logical Data Center Microservice Indicators Forecasting</t>
  </si>
  <si>
    <t>rfp0498</t>
  </si>
  <si>
    <t>LEDA: Latent Semantic Distribution Alignment for Multi-domain Graph Pre-training</t>
  </si>
  <si>
    <t>rfp0500</t>
  </si>
  <si>
    <t>Task-Aware Cloud-End Offloading for Vision-Language Model Serving via Dynamic Modality-Specific Adapter Scheduling</t>
  </si>
  <si>
    <t>rfp0505</t>
  </si>
  <si>
    <t>From Entity Reliability to Clean Feedback: An Entity-Aware Denoising Framework Beyond Interaction-Level Signals</t>
  </si>
  <si>
    <t>rfp0507</t>
  </si>
  <si>
    <t>DARA: Few-shot Budget Allocation in Online Advertising via In-Context Decision Making with RL-Finetuned LLMs</t>
  </si>
  <si>
    <t>rfp0512</t>
  </si>
  <si>
    <t>Reinforcement Learning-Constrained Segmented User Modeling with Large Language Models for Recommendation</t>
  </si>
  <si>
    <t>rfp0513</t>
  </si>
  <si>
    <t>SkyCL: Swift Continuous Learning with Kinship-Awareness for Multi-Drone Video Analytics under Drastic Drift</t>
  </si>
  <si>
    <t>rfp0521</t>
  </si>
  <si>
    <t>ST-LEGO: Large Language Models as Modular Architects for Traffic Prediction</t>
  </si>
  <si>
    <t>rfp0524</t>
  </si>
  <si>
    <t>Unifying Deductive and Abductive Reasoning in Knowledge Graphs with Masked Diffusion Model</t>
  </si>
  <si>
    <t>rfp0535</t>
  </si>
  <si>
    <t>Pedestrian-Centric Discriminative and Fine-grained Semantic Mining for Text-based Person Retrieval</t>
  </si>
  <si>
    <t>rfp0542</t>
  </si>
  <si>
    <t>Meteor: High-Performance Control Message Delivery for Large-Scale Clouds</t>
  </si>
  <si>
    <t>rfp0561</t>
  </si>
  <si>
    <t>MASI: Memory-Adaptive Inference Framework for Spiking Neural Networks on Edge Devices</t>
  </si>
  <si>
    <t>rfp0564</t>
  </si>
  <si>
    <t>LHG: LLM-enhanced and Heterogeneous Graph-induced for Unsupervised Social Event Detection</t>
  </si>
  <si>
    <t>rfp0570</t>
  </si>
  <si>
    <t>Effective and Unsupervised Social Event Detection and Evolution via RAG and Structural Entropy</t>
  </si>
  <si>
    <t>rfp0571</t>
  </si>
  <si>
    <t>RAG-GFM: Overcoming In-Memory Bottlenecks in Graph Foundation Models via Retrieval-Augmented Generation</t>
  </si>
  <si>
    <t>rfp0576</t>
  </si>
  <si>
    <t>Thorki: Decoupling General and Personalized Knowledge with Collaborative Fusion for Personalized Federated Learning</t>
  </si>
  <si>
    <t>rfp0587</t>
  </si>
  <si>
    <t>QuiZSF: A Retrieval-Augmented Framework for Zero-Shot Time Series Forecasting</t>
  </si>
  <si>
    <t>rfp0589</t>
  </si>
  <si>
    <t>FedRGL: Federated Riemannian Graph Learning in Mixed-Curvature Spaces with Ricci-Gated Convolution</t>
  </si>
  <si>
    <t>rfp0594</t>
  </si>
  <si>
    <t>ES-MemEval: Benchmarking Conversational Agents on Personalized Long-Term Emotional Support</t>
  </si>
  <si>
    <t>rfp0595</t>
  </si>
  <si>
    <t>FedSRD: Sparsify-Reconstruct-Decompose for Communication-Efficient Federated Large Language Models Fine-Tuning</t>
  </si>
  <si>
    <t>rfp0606</t>
  </si>
  <si>
    <t>Pathways of Thoughts: Multi-Directional Thinking for Long-form Personalized Question Answering</t>
  </si>
  <si>
    <t>rfp0608</t>
  </si>
  <si>
    <t>SGExplainer: Balanced Path-based Signed Graph Neural Network Explanation for Link Sign Prediction</t>
  </si>
  <si>
    <t>rfp0613</t>
  </si>
  <si>
    <t>Personalized Federated Fine-Tuning for LLMs via Data-Driven Heterogeneous Model Architectures</t>
  </si>
  <si>
    <t>rfp0619</t>
  </si>
  <si>
    <t>Large Language Models-Enhanced Semantic Diffusion for User-Centric Recommendation</t>
  </si>
  <si>
    <t>rfp0625</t>
  </si>
  <si>
    <t>TGNN: Enhancing Pixel Tracking Detection via LLM-driven Annotation and GAT-powered Structural Representation</t>
  </si>
  <si>
    <t>rfp0628</t>
  </si>
  <si>
    <t>MoE-LC: General-Purpose Lossless Compression for Multi-modal Data via Entropy-Aware Multi-Experts</t>
  </si>
  <si>
    <t>rfp0632</t>
  </si>
  <si>
    <t>Decoding Web Memorization: A Semantic Membership Inference Attack on LLMs</t>
  </si>
  <si>
    <t>rfp0637</t>
  </si>
  <si>
    <t>Not All Information Brings Benefits: Personalization-Driven Agent Debate for Conversational Recommendation</t>
  </si>
  <si>
    <t>rfp0642</t>
  </si>
  <si>
    <t>DiSCoQR: Diffusion-Driven Semantic Compression for Robust Image Steganography in Standard QR Codes</t>
  </si>
  <si>
    <t>rfp0643</t>
  </si>
  <si>
    <t>Dual-Branch Multi-Granularity Network with Structured Contrastive Ranking for Cross-Modal Retrieval</t>
  </si>
  <si>
    <t>rfp0647</t>
  </si>
  <si>
    <t>FeedGuard: Online Critic-Guided Reinforcement Learning with Privacy-Preserving Feedback for Recommendation</t>
  </si>
  <si>
    <t>rfp0649</t>
  </si>
  <si>
    <t>DiffGRM: Diffusion-based Generative Recommendation Model</t>
  </si>
  <si>
    <t>rfp0664</t>
  </si>
  <si>
    <t>HomeRun: Performing Curveball Trades quasi in Streaming for Fast Null Modeling of Graphs, Hypergraphs, and Binary Matrices</t>
  </si>
  <si>
    <t>rfp0667</t>
  </si>
  <si>
    <t>Less is More: Compact Clue Selection for Efficient Retrieval-Augmented Generation Reasoning</t>
  </si>
  <si>
    <t>rfp0672</t>
  </si>
  <si>
    <t>Rethinking Implicit Hate Speech Detection: Focusing on Latent Hate Components via Dual-Process Argumentation</t>
  </si>
  <si>
    <t>rfp0679</t>
  </si>
  <si>
    <t>IACLR: Intention Alignment via Contrastive Learning for Bipartite Graph Recommendation</t>
  </si>
  <si>
    <t>rfp0685</t>
  </si>
  <si>
    <t>Are LLMs Stable Formal Logic Translators in Logical Reasoning Across Linguistically Diversified Texts?</t>
  </si>
  <si>
    <t>rfp0697</t>
  </si>
  <si>
    <t>Dir-GD: Directed Graph Distillation</t>
  </si>
  <si>
    <t>rfp0698</t>
  </si>
  <si>
    <t>TAWRMAC: A Novel Dynamic Graph Representation Learning Method</t>
  </si>
  <si>
    <t>rfp0705</t>
  </si>
  <si>
    <t>TraceLLM: Evaluating and Exploring Large Language Models on Trace Analysis in Microservice-based Web Applications</t>
  </si>
  <si>
    <t>rfp0711</t>
  </si>
  <si>
    <t>DSTAG: A Semantic Tag-Enhanced Dual-Graph Convolutional Network for Temporal Knowledge Graph Completion</t>
  </si>
  <si>
    <t>rfp0713</t>
  </si>
  <si>
    <t>PAMAS: Self-Adaptive Multi-Agent System with Perspective Aggregation for Misinformation Detection</t>
  </si>
  <si>
    <t>rfp0716</t>
  </si>
  <si>
    <t>FairFS: Addressing Deep Feature Selection Biases for Recommender System</t>
  </si>
  <si>
    <t>rfp0726</t>
  </si>
  <si>
    <t>Bridging Semantic Understanding and Popularity Bias with LLMs</t>
  </si>
  <si>
    <t>rfp0729</t>
  </si>
  <si>
    <t>FairGE: Fairness-Aware Graph Encoding in Incomplete Social Networks</t>
  </si>
  <si>
    <t>rfp0730</t>
  </si>
  <si>
    <t>The Power of Penalties: Negativity-Aware Incentives for High-Quality Crowdsourced Data Labeling</t>
  </si>
  <si>
    <t>rfp0731</t>
  </si>
  <si>
    <t>Tail-Aware Data Augmentation for Long-Tail Sequential Recommendation</t>
  </si>
  <si>
    <t>rfp0734</t>
  </si>
  <si>
    <t>Graph Neural Network Model Transferability Estimation via Decomposition-Augmented Discriminant Analysis</t>
  </si>
  <si>
    <t>rfp0739</t>
  </si>
  <si>
    <t>TimeMar: Multi-Scale Autoregressive Modeling for Unconditional Time Series Generation</t>
  </si>
  <si>
    <t>rfp0747</t>
  </si>
  <si>
    <t>Explaining Synergistic Effects in Social Recommendations</t>
  </si>
  <si>
    <t>rfp0751</t>
  </si>
  <si>
    <t>Multi-Aspect Mining and Anomaly Detection for Heterogeneous Tensor Streams</t>
  </si>
  <si>
    <t>rfp0757</t>
  </si>
  <si>
    <t>Lifelong Sequential Recommendation with Adaptive Subsequence Compression and Contextual Fusion</t>
  </si>
  <si>
    <t>rfp0776</t>
  </si>
  <si>
    <t>Déjà Vu of Strange Stickers! Enhancing Out-of-Distribution Robustness in Sticker Retrieval via Cross-Modal Intent Alignment</t>
  </si>
  <si>
    <t>rfp0788</t>
  </si>
  <si>
    <t>Model Editing for New Document Integration in Generative Information Retrieval</t>
  </si>
  <si>
    <t>rfp0791</t>
  </si>
  <si>
    <t>LongRanker: Efficient One-Pass Document Reranking with Long-Context Large Language Models</t>
  </si>
  <si>
    <t>rfp0797</t>
  </si>
  <si>
    <t>negMIX: Negative Mixup for OOD Generalization in Open-Set Node Classification</t>
  </si>
  <si>
    <t>rfp0804</t>
  </si>
  <si>
    <t>Off-Policy Learning with Limited Supply</t>
  </si>
  <si>
    <t>rfp0806</t>
  </si>
  <si>
    <t>Reconstructing Training Data from Adapter-based Federated Large Language Models</t>
  </si>
  <si>
    <t>rfp0808</t>
  </si>
  <si>
    <t>Does This Button Work? Investigating YouTube's Ineffective User Controls</t>
  </si>
  <si>
    <t>rfp0819</t>
  </si>
  <si>
    <t>Has the Two-Decade-Old Prophecy Come True? Artificial Bad Intelligence Triggered by Merely a Single-Bit Flip in Large Language Models</t>
  </si>
  <si>
    <t>rfp0822</t>
  </si>
  <si>
    <t>Analysis of CEX-DEX Arbitrage Opportunities with Hidden Markov Models</t>
  </si>
  <si>
    <t>rfp0832</t>
  </si>
  <si>
    <t>UTAG: Leveraging LLM as a Unified Embedding Generator for Text-Attributed Graphs</t>
  </si>
  <si>
    <t>rfp0833</t>
  </si>
  <si>
    <t>Multi-Task Multi-Behavior Sequential Recommendation</t>
  </si>
  <si>
    <t>rfp0848</t>
  </si>
  <si>
    <t>Netting Phish in the IPFS Ocean: Real-Time Monitoring and Characterization of Decentralized Phishing Campaigns</t>
  </si>
  <si>
    <t>rfp0850</t>
  </si>
  <si>
    <t>S2CDR: Smoothing-Sharpening Process Model for Cross-Domain Recommendation</t>
  </si>
  <si>
    <t>rfp0851</t>
  </si>
  <si>
    <t>Mitigating Dynamic Graph Distribution Shifts via Mixture of Variational Experts</t>
  </si>
  <si>
    <t>rfp0857</t>
  </si>
  <si>
    <t>Plan Then Retrieve: Reinforcement Learning-Guided Complex Reasoning over Knowledge Graphs</t>
  </si>
  <si>
    <t>rfp0882</t>
  </si>
  <si>
    <t>Multi-view Semantic Contrastive Alignment for Multimodal Recommendation</t>
  </si>
  <si>
    <t>rfp0893</t>
  </si>
  <si>
    <t>Broken Promise: Differential Analysis of Functional Discrepancies Between WebAssembly and Native Binaries</t>
  </si>
  <si>
    <t>rfp0901</t>
  </si>
  <si>
    <t>EIAN: Explicit Interaction-aware Attention Network for Interpretable Event Modeling</t>
  </si>
  <si>
    <t>rfp0905</t>
  </si>
  <si>
    <t>STG-DGR: Fraud Detection on Streaming Transaction Graphs with Diffusion-based Generative Replay</t>
  </si>
  <si>
    <t>rfp0907</t>
  </si>
  <si>
    <t>Reading Between the Lines: Towards Reliable Black-box LLM Fingerprinting via Zeroth-order Gradient Estimation</t>
  </si>
  <si>
    <t>rfp0915</t>
  </si>
  <si>
    <t>Byte-token Enhanced Language Models for Temporal Point Processes Analysis</t>
  </si>
  <si>
    <t>rfp0920</t>
  </si>
  <si>
    <t>Graph Adversarial Defense via Hilbert-Schmidt Independence Criterion against Influence Maximization Attacks</t>
  </si>
  <si>
    <t>rfp0921</t>
  </si>
  <si>
    <t>FraudShield: Knowledge Graph Empowered Defense for LLMs against Fraud Attacks</t>
  </si>
  <si>
    <t>rfp0923</t>
  </si>
  <si>
    <t>Combating Knowledge Corruption in Agent Systems: A Byzantine-Tolerant Secure Collaborative RAG Framework</t>
  </si>
  <si>
    <t>rfp0936</t>
  </si>
  <si>
    <t>HyperDetector: Advanced Persistent Threat Detection via Hypergraph Neural Networks with Enhanced Global Perception</t>
  </si>
  <si>
    <t>rfp0939</t>
  </si>
  <si>
    <t>LBM: Hierarchical Large Auto-Bidding Model via Reasoning and Acting</t>
  </si>
  <si>
    <t>rfp0941</t>
  </si>
  <si>
    <t>pFedDKS: Detached Knowledge Sharing for Personalized Federated Learning</t>
  </si>
  <si>
    <t>rfp0946</t>
  </si>
  <si>
    <t>PADD: Prefix-based Attention Divergence Detector for LLM Jailbreaks</t>
  </si>
  <si>
    <t>rfp0950</t>
  </si>
  <si>
    <t>Text-attributed Graph Condensation via Text Selection and Attribute Matching</t>
  </si>
  <si>
    <t>rfp0955</t>
  </si>
  <si>
    <t>Multi-Granularity Multi-Modal Knowledge Graph Representation Learning via Subgraph-Aware Adaptive Fusion and Hierarchical Relation Modeling</t>
  </si>
  <si>
    <t>rfp0957</t>
  </si>
  <si>
    <t>Adaptive Contrastive Learning in Sequential Recommendation based on Perturbation and Restoration Networks</t>
  </si>
  <si>
    <t>rfp0960</t>
  </si>
  <si>
    <t>Breaking the Single-Reference-Vector Barrier in Approximate Nearest Neighbor Search</t>
  </si>
  <si>
    <t>rfp0963</t>
  </si>
  <si>
    <t>Optimizing Multi-Turn Interactive Recommendation Agents via Generative Intrinsic Motivation</t>
  </si>
  <si>
    <t>rfp0968</t>
  </si>
  <si>
    <t>Practical Group Steiner Tree Algorithms for Web Applications with Many Groups</t>
  </si>
  <si>
    <t>rfp0971</t>
  </si>
  <si>
    <t>Privacy-Friendly Adaptation of Vision Transformers for Communication and Latency-Efficient Private Inference</t>
  </si>
  <si>
    <t>rfp0973</t>
  </si>
  <si>
    <t>SQL-Checker: Error Detection and Labeling for Text-to-SQL with Interpretability Analysis</t>
  </si>
  <si>
    <t>rfp0991</t>
  </si>
  <si>
    <t>Matrix as Plan: Structured Logical Reasoning with Feedback-Driven Replanning</t>
  </si>
  <si>
    <t>rfp1006</t>
  </si>
  <si>
    <t>Unsupervised Subgraph Anomaly Detection based on Pattern Collaboration</t>
  </si>
  <si>
    <t>rfp1009</t>
  </si>
  <si>
    <t>ColorBench: Benchmarking Mobile Agents with Graph-Structured Framework for Complex Long-Horizon Tasks</t>
  </si>
  <si>
    <t>rfp1012</t>
  </si>
  <si>
    <t>Unveiling and Simulating Short-Video Addiction Behaviors via Economic Addiction Theory</t>
  </si>
  <si>
    <t>rfp1018</t>
  </si>
  <si>
    <t>HyMiRec: A Hybrid Multi-interest Learning Framework for LLM-based Sequential Recommendation</t>
  </si>
  <si>
    <t>rfp1024</t>
  </si>
  <si>
    <t>Self-Speculative Decoding for On-device MoE Acceleration</t>
  </si>
  <si>
    <t>rfp1058</t>
  </si>
  <si>
    <t>GraphTARIF: Linear Graph Transformer with Augmented Rank and Improved Focus</t>
  </si>
  <si>
    <t>rfp1065</t>
  </si>
  <si>
    <t>MGFFD-VLM: Multi-Granularity Prompt Learning for Face Forgery Detection with VLM</t>
  </si>
  <si>
    <t>rfp1074</t>
  </si>
  <si>
    <t>Dynamic Prototype-Augmented Stance Detection: Learning from the Seen to Reason about the Unseen</t>
  </si>
  <si>
    <t>rfp1085</t>
  </si>
  <si>
    <t>Multi-task Inference of Diffusion Networks</t>
  </si>
  <si>
    <t>rfp1095</t>
  </si>
  <si>
    <t>SaGD: A Node-Level Differentially Private Graph Learning Framework with Sensitivity-Aware Gradient Descent</t>
  </si>
  <si>
    <t>rfp1097</t>
  </si>
  <si>
    <t>VSAL: A Vision Solver with Adaptive Layouts for Graph Property Detection</t>
  </si>
  <si>
    <t>rfp1107</t>
  </si>
  <si>
    <t>Platform Competition in the Autobidding World</t>
  </si>
  <si>
    <t>rfp1108</t>
  </si>
  <si>
    <t>Red-Teaming Privacy-Protective Perturbations: Blind Face Restoration as an Attack Strategy</t>
  </si>
  <si>
    <t>rfp1111</t>
  </si>
  <si>
    <t>Investigating Web Content Delivery Performance over Starlink</t>
  </si>
  <si>
    <t>rfp1119</t>
  </si>
  <si>
    <t>PULSE: Socially-Aware User Representation Modeling Toward Parameter-Efficient Graph Collaborative Filtering</t>
  </si>
  <si>
    <t>rfp1120</t>
  </si>
  <si>
    <t>DMAP: Human-Aligned Structural Document Map for Multimodal Document Understanding</t>
  </si>
  <si>
    <t>rfp1121</t>
  </si>
  <si>
    <t>PRISM: Personalized Recommendation via Information Synergy Module</t>
  </si>
  <si>
    <t>rfp1124</t>
  </si>
  <si>
    <t>Eclipse Attacks on Ethereum’s Peer-to-Peer Network</t>
  </si>
  <si>
    <t>rfp1127</t>
  </si>
  <si>
    <t>Social Event Prediction via Fourier Graph Learning</t>
  </si>
  <si>
    <t>rfp1131</t>
  </si>
  <si>
    <t>Augmenting Cross-View Geo-Localization with Spatial Semantics from Vision Foundation Models</t>
  </si>
  <si>
    <t>rfp1133</t>
  </si>
  <si>
    <t>Towards Rare Social Event Prediction via Mediator Learning</t>
  </si>
  <si>
    <t>rfp1138</t>
  </si>
  <si>
    <t>To Search or Not to Search: Aligning the Decision Boundary of Deep Search Agents via Causal Intervention</t>
  </si>
  <si>
    <t>rfp1142</t>
  </si>
  <si>
    <t>Towards Graph Foundation Model: Node Feature Transfer Invariant Modeling on General Graphs</t>
  </si>
  <si>
    <t>rfp1144</t>
  </si>
  <si>
    <t>Simple-Sampling and Hard-Mixup with Prototypes to Rebalance Contrastive Learning for Text Classification</t>
  </si>
  <si>
    <t>rfp1145</t>
  </si>
  <si>
    <t>Grasp: Refining Semantic Graphs into Purified Knowledge for Cross-Modal Communication</t>
  </si>
  <si>
    <t>rfp1147</t>
  </si>
  <si>
    <t>Learning on Adaptive Manifolds for Graph Collaborative Filtering</t>
  </si>
  <si>
    <t>rfp1148</t>
  </si>
  <si>
    <t>Difficulty-Aware Agentic Orchestration for Query-Specific Multi-Agent Workflows</t>
  </si>
  <si>
    <t>rfp1150</t>
  </si>
  <si>
    <t>Room Matters: Dynamic Room-level Collaboration Information Modeling for Live Streaming Recommendation</t>
  </si>
  <si>
    <t>rfp1151</t>
  </si>
  <si>
    <t>CausalSKyHop: Knowledge-Aware Causal Explanation of Dynamic GNNs via Higher-Order Semantic Reasoning</t>
  </si>
  <si>
    <t>rfp1155</t>
  </si>
  <si>
    <t>ONE-PASS: Single Forward Pass Decoding for Listwise Reranking</t>
  </si>
  <si>
    <t>rfp1157</t>
  </si>
  <si>
    <t>Traceable Latent Variable Discovery Based on Multi-Agent Collaboration</t>
  </si>
  <si>
    <t>rfp1160</t>
  </si>
  <si>
    <t>Personalized Learning Path Planning through Goal-Driven Learner State Modeling</t>
  </si>
  <si>
    <t>rfp1166</t>
  </si>
  <si>
    <t>Triple-R: Iterative Query Rewriting and Refinement for Retrieval-Augmented Fake News Detection</t>
  </si>
  <si>
    <t>rfp1172</t>
  </si>
  <si>
    <t>Xemis: Fair and Robust Privacy-Preserving Data Trading based on Distributed Noise Sharing</t>
  </si>
  <si>
    <t>rfp1174</t>
  </si>
  <si>
    <t>Personalized Parameter-Efficient Fine-Tuning of Foundation Models for Multimodal Recommendation</t>
  </si>
  <si>
    <t>rfp1179</t>
  </si>
  <si>
    <t>Bridging Time and Domains: A Time-aware Framework for Cross-Domain Sequential Recommendation</t>
  </si>
  <si>
    <t>rfp1182</t>
  </si>
  <si>
    <t>Sustained Vertex Cover on Temporal Graphs</t>
  </si>
  <si>
    <t>rfp1187</t>
  </si>
  <si>
    <t>Dual-level Reweighting for Positive-Unlabeled Graph Classification</t>
  </si>
  <si>
    <t>rfp1188</t>
  </si>
  <si>
    <t>Conditional Diffusion Guided Knowledge Transfer for Multi-Domain Knowledge Graph Completion</t>
  </si>
  <si>
    <t>rfp1190</t>
  </si>
  <si>
    <t>Bridging Explicit and Implicit Intent: Unified Interest Generative Method for Joint Search-Recommendation Modeling</t>
  </si>
  <si>
    <t>rfp1199</t>
  </si>
  <si>
    <t>HeteroSim: Towards High-Fidelity Heterogeneous LLM Training Simulation on GPUs</t>
  </si>
  <si>
    <t>rfp1204</t>
  </si>
  <si>
    <t>Expectation-Maximization Driven Contrastive Disentanglement for Generalized Category Discovery</t>
  </si>
  <si>
    <t>rfp1213</t>
  </si>
  <si>
    <t>LLMQuA: Practical Backdoor Injection on Large Language Model Quantization</t>
  </si>
  <si>
    <t>rfp1220</t>
  </si>
  <si>
    <t>Curiosity Driven Knowledge Retrieval for Mobile Agents</t>
  </si>
  <si>
    <t>rfp1225</t>
  </si>
  <si>
    <t>PMIScore: An Unsupervised Approach to Quantify Dialogue Engagement</t>
  </si>
  <si>
    <t>rfp1228</t>
  </si>
  <si>
    <t>CC-OR-Net: A Unified Framework for LTV Prediction through Structural Decoupling</t>
  </si>
  <si>
    <t>rfp1229</t>
  </si>
  <si>
    <t>LiquidityPool: Game-Theoretic Analysis of Stakeholder Revenue in Ranking-Dependent DeFi</t>
  </si>
  <si>
    <t>rfp1234</t>
  </si>
  <si>
    <t>Dynamic Routing-Based Adaptive Multi-LLM Collaboration: A Unified Recommendation Framework with Decision Knowledge Complementation</t>
  </si>
  <si>
    <t>rfp1237</t>
  </si>
  <si>
    <t>Hermes the Polyglot: A Unified Framework to Enhance Expressiveness for Multimodal Interlingual Subtitling</t>
  </si>
  <si>
    <t>rfp1246</t>
  </si>
  <si>
    <t>DyLogNet: A Dynamic Multi-Relational Graph Framework for Log Anomaly Detection</t>
  </si>
  <si>
    <t>rfp1247</t>
  </si>
  <si>
    <t>EcoTune: Edge-Cloud Collaborative Model Adaptation for Budget-Constrained On-Device SLM Personalization</t>
  </si>
  <si>
    <t>rfp1250</t>
  </si>
  <si>
    <t>Breath: Adaptive Protection Boundary in FEC Encoding for Mobile Real-Time Video Streaming</t>
  </si>
  <si>
    <t>rfp1255</t>
  </si>
  <si>
    <t>A Unified Graph Clustering Network</t>
  </si>
  <si>
    <t>rfp1262</t>
  </si>
  <si>
    <t>KE-FedRS: Tackling Data Sparsity in Federated Recommendation via Knowledge Enhancement</t>
  </si>
  <si>
    <t>rfp1264</t>
  </si>
  <si>
    <t>DP-DGAD: A Generalist Dynamic Graph Anomaly Detector with Dynamic Prototypes</t>
  </si>
  <si>
    <t>rfp1271</t>
  </si>
  <si>
    <t>ProvGuard: Logic-Aware Multi-View Contrastive Learning for Robust and Efficient Host Threat Detection</t>
  </si>
  <si>
    <t>rfp1286</t>
  </si>
  <si>
    <t>Aggregating Information and Preferences under Different Coordination Ability</t>
  </si>
  <si>
    <t>rfp1287</t>
  </si>
  <si>
    <t>E$^2$SGNN: Reconciling Expression and Efficiency in Spiking Graph Neural Network</t>
  </si>
  <si>
    <t>rfp1290</t>
  </si>
  <si>
    <t>A Frequency-Aware Mixture of Heterogeneous Experts Framework for Knowledge Tracing</t>
  </si>
  <si>
    <t>rfp1304</t>
  </si>
  <si>
    <t>PIXEL: Adaptive Steering Via Position-wise Injection with eXact Estimated Levels under a Subspace Calibration</t>
  </si>
  <si>
    <t>rfp1310</t>
  </si>
  <si>
    <t>Trireme: A Tripartite Regulation Scheme for Diffusion Models</t>
  </si>
  <si>
    <t>rfp1311</t>
  </si>
  <si>
    <t>The Art of Two-Round Voting</t>
  </si>
  <si>
    <t>rfp1316</t>
  </si>
  <si>
    <t>XR: Cross-Modal Agents for Composed Image Retrieval</t>
  </si>
  <si>
    <t>rfp1317</t>
  </si>
  <si>
    <t>Long Story Short: Auditing U.S. Political Polarization in Recommendations for Long- vs. Short-form Videos on YouTube</t>
  </si>
  <si>
    <t>rfp1318</t>
  </si>
  <si>
    <t>Are LLM Web Search Engines Sustainable? A Web-Measurement Study of Real-Time Fetching</t>
  </si>
  <si>
    <t>rfp1325</t>
  </si>
  <si>
    <t>Gaussian Mixture Flow Matching with Domain Alignment for Multi-Domain Sequential Recommendation</t>
  </si>
  <si>
    <t>rfp1329</t>
  </si>
  <si>
    <t>Lifting Manifolds to Mitigate Pseudo-Alignment in LLM4TS</t>
  </si>
  <si>
    <t>rfp1339</t>
  </si>
  <si>
    <t>Prototype Augmentation-based Edge-end Heterogeneous Collaborative Learning</t>
  </si>
  <si>
    <t>rfp1342</t>
  </si>
  <si>
    <t>Anomaly Detection of Interaction Behaviors in Streaming Graphs</t>
  </si>
  <si>
    <t>rfp1345</t>
  </si>
  <si>
    <t>From Prediction to Understanding: Leveraging Reasoning in Large Language Model-based Recommendations</t>
  </si>
  <si>
    <t>rfp1350</t>
  </si>
  <si>
    <t>Unveiling the Vulnerability of Graph-LLMs: An Interpretable Multi-Dimensional Adversarial Attack on TAGs</t>
  </si>
  <si>
    <t>rfp1353</t>
  </si>
  <si>
    <t>A Fact-Checking Framework with Denoising Evidence Retrieval and LLM-Based Debate Verification</t>
  </si>
  <si>
    <t>rfp1354</t>
  </si>
  <si>
    <t>Graph-to-Tree: Topological Decomposition for Self-Supervised Learning</t>
  </si>
  <si>
    <t>rfp1370</t>
  </si>
  <si>
    <t>MCoT-MVS: Multi-level Vision Selection by Multi-modal Chain-of-Thought Reasoning for Composed Image Retrieval</t>
  </si>
  <si>
    <t>rfp1373</t>
  </si>
  <si>
    <t>Robust LLM-Based Website Fingerprinting under Dynamic Real-World Conditions</t>
  </si>
  <si>
    <t>rfp1390</t>
  </si>
  <si>
    <t>Conflict-Aware RAG: Multi-Stage Learning with Conflict Signals for Robust Retrieval-Augmented Generation</t>
  </si>
  <si>
    <t>rfp1394</t>
  </si>
  <si>
    <t>Generative Regression Based Watch Time Prediction for Short-Video Recommendation</t>
  </si>
  <si>
    <t>rfp1398</t>
  </si>
  <si>
    <t>MePe: Rethinking Multimodal Chinese Idiom Reading Comprehension from a Metaphorical Perspective</t>
  </si>
  <si>
    <t>rfp1401</t>
  </si>
  <si>
    <t>Line Graphs Are Here! Unlock a Simple Solution for Data Sparsity and Class Imbalance in Recommender System</t>
  </si>
  <si>
    <t>rfp1402</t>
  </si>
  <si>
    <t>PLIKD: Prompt Learning with Instance-aware Knowledge Distillation for Web-scale Semantic Image Classification</t>
  </si>
  <si>
    <t>rfp1404</t>
  </si>
  <si>
    <t>FeDecider: An LLM-Based Framework for Federated Cross-Domain Recommendation</t>
  </si>
  <si>
    <t>rfp1410</t>
  </si>
  <si>
    <t>WinFLoRA: Incentivizing Client-Adaptive Aggregation in Federated LoRA under Privacy Heterogeneity</t>
  </si>
  <si>
    <t>rfp1423</t>
  </si>
  <si>
    <t>Doxing-as-a-Service: Demystifying the Chinese Online Doxing Ecosystem</t>
  </si>
  <si>
    <t>rfp1429</t>
  </si>
  <si>
    <t>WAMO: Toward Secure Browser Inference via Web Model Obfuscation in WebAssembly</t>
  </si>
  <si>
    <t>rfp1432</t>
  </si>
  <si>
    <t>KMLP: A Scalable Hybrid Architecture for Web-Scale Tabular Data Modeling</t>
  </si>
  <si>
    <t>rfp1447</t>
  </si>
  <si>
    <t>Measuring and Enhancing Human Value Alignment in Zero-Shot Document-Level Claim Extraction</t>
  </si>
  <si>
    <t>rfp1455</t>
  </si>
  <si>
    <t>Allocating Chores with Restricted Additive Costs: Achieving EFX, MMS, and Efficiency Simultaneously</t>
  </si>
  <si>
    <t>rfp1459</t>
  </si>
  <si>
    <t>Toward Generalized Web Agent Training: A Deep Dive into Entropy-Balanced Reinforcement Learning</t>
  </si>
  <si>
    <t>rfp1461</t>
  </si>
  <si>
    <t>Joint Similar User Exploration and Informative Behavior Guidance for Multi-Modal New Item Recommendation</t>
  </si>
  <si>
    <t>rfp1466</t>
  </si>
  <si>
    <t>Rhythm of Opinion: Interpretable Hawkes-Graph Networks for Hierarchical Opinion Propagation</t>
  </si>
  <si>
    <t>rfp1471</t>
  </si>
  <si>
    <t>AgentDR: Dynamic Recommendation with Implicit Item-Item Relations via LLM-based Agents</t>
  </si>
  <si>
    <t>rfp1474</t>
  </si>
  <si>
    <t>All-but-one MMS Allocation for Chores</t>
  </si>
  <si>
    <t>rfp1481</t>
  </si>
  <si>
    <t>Thinking Bidirectionally: A Reasoning and Self-Correction Approach for Text-Based Event Prediction with Large Language Models</t>
  </si>
  <si>
    <t>rfp1493</t>
  </si>
  <si>
    <t>Revisiting Graph-Level Anomaly Detection: From Partially to Fully Unsupervised Learning</t>
  </si>
  <si>
    <t>rfp1495</t>
  </si>
  <si>
    <t>Strategic Content Creation with GenAI: To Share or Not to Share?</t>
  </si>
  <si>
    <t>rfp1502</t>
  </si>
  <si>
    <t>Wiseswap: Elastic Datacenter Network-Aware Disaggregated Memory for Multi-Tenant Cloud</t>
  </si>
  <si>
    <t>rfp1508</t>
  </si>
  <si>
    <t>Dual History Enhancement with Hybrid Hypergraph-Graph Networks for Temporal Knowledge Graph Reasoning</t>
  </si>
  <si>
    <t>rfp1512</t>
  </si>
  <si>
    <t>Hyperbolic Multimodal Generative Representation Learning for Generalized Zero-Shot Multimodal Information Extraction</t>
  </si>
  <si>
    <t>rfp1518</t>
  </si>
  <si>
    <t>Semi-Supervised Fake News Detection with Mixture of Experts</t>
  </si>
  <si>
    <t>rfp1519</t>
  </si>
  <si>
    <t>ScotRec: Social Chain-of-Thought LLM Reasoning for Recommendation</t>
  </si>
  <si>
    <t>rfp1524</t>
  </si>
  <si>
    <t>GraphCogent: Mitigating LLMs' Working Memory Constraints via Multi-Agent Collaboration in Complex Graph Understanding</t>
  </si>
  <si>
    <t>rfp1528</t>
  </si>
  <si>
    <t>Breaking Cross-modal Alignment in Embodied Intelligence: A Multimodal Adversarial Attack Framework for Vision-Language-Action Models</t>
  </si>
  <si>
    <t>rfp1538</t>
  </si>
  <si>
    <t>Network Dismantling via Reverse Dismantling: Static and Dynamic Algorithms</t>
  </si>
  <si>
    <t>rfp1539</t>
  </si>
  <si>
    <t>Octopus: Vehicle-to-Road Collaborative Perception for Autonomous Driving with Closed-Loop Fusion</t>
  </si>
  <si>
    <t>rfp1541</t>
  </si>
  <si>
    <t>TGweaver: Synthesizing Transaction Graphs for De-anonymization Analysis</t>
  </si>
  <si>
    <t>rfp1547</t>
  </si>
  <si>
    <t>IRAG: Robust Multimodal Retrieval-Augmented Generation via Hazard Separation</t>
  </si>
  <si>
    <t>rfp1553</t>
  </si>
  <si>
    <t>MIDE: Multimodal Dialogue Emotion Recognition via Mutual Information Enhancement and Dynamic Modality Selection</t>
  </si>
  <si>
    <t>rfp1556</t>
  </si>
  <si>
    <t>Beyond Class Boundaries: Federated Visual Primitive Sharing with Text-Guided Adaptation</t>
  </si>
  <si>
    <t>rfp1558</t>
  </si>
  <si>
    <t>AHBid: An Adaptable Hierarchical Bidding Framework for Cross-Channel Advertising</t>
  </si>
  <si>
    <t>rfp1562</t>
  </si>
  <si>
    <t>ViTs: Teaching Machines to See Time Series Anomalies Like Human Experts</t>
  </si>
  <si>
    <t>rfp1563</t>
  </si>
  <si>
    <t>Towards Practical LLM Unlearning: Efficient, Modular, and Retain-Free</t>
  </si>
  <si>
    <t>rfp1571</t>
  </si>
  <si>
    <t>FedCND: Federated Graph-Level Clustering under Inter-Client Cluster Number Discrepancy</t>
  </si>
  <si>
    <t>rfp1574</t>
  </si>
  <si>
    <t>SCOUT: Structure-Aware Aspect and Anchor-Count Selection for Node Attribute Augmentation via Positional Information</t>
  </si>
  <si>
    <t>rfp1586</t>
  </si>
  <si>
    <t>Modeling Cascaded Delay Feedback for Online Net Conversion Rate Prediction: Benchmark, Insights and Solutions</t>
  </si>
  <si>
    <t>rfp1588</t>
  </si>
  <si>
    <t>JitterSketch: Finding Jittery Flows in Network Streams</t>
  </si>
  <si>
    <t>rfp1610</t>
  </si>
  <si>
    <t>FedDiG: Frequency-Guided Diffusion Diversity for Generalizable Federated Time Series Classification</t>
  </si>
  <si>
    <t>rfp1622</t>
  </si>
  <si>
    <t>FSDI: Frequency-Shaped Diffusion For Time-Series Imputation</t>
  </si>
  <si>
    <t>rfp1628</t>
  </si>
  <si>
    <t>Breaking the Scalability Barrier in Constrained Graph-Based Networked Control via Decision-Focused Learning</t>
  </si>
  <si>
    <t>rfp1631</t>
  </si>
  <si>
    <t>Automated Model Selection for Multivariate Time Series Forecasting</t>
  </si>
  <si>
    <t>rfp1636</t>
  </si>
  <si>
    <t>Temporal-Series-Aware Adaptive Positional Encoding for Transformer-based Sequential Recommendation</t>
  </si>
  <si>
    <t>rfp1647</t>
  </si>
  <si>
    <t>MCRec: Few-Shot Multimodal Cover Recommendation via User Interest Profiles</t>
  </si>
  <si>
    <t>rfp1651</t>
  </si>
  <si>
    <t>Neuro-Sym Supporter: A Thoughtful Emotion Support Agent Integrating Neural and Symbolic Policy Learning</t>
  </si>
  <si>
    <t>rfp1656</t>
  </si>
  <si>
    <t>LoSemB: Logic-Guided Semantic Bridging for Inductive Tool Retrieval</t>
  </si>
  <si>
    <t>rfp1659</t>
  </si>
  <si>
    <t>Energy-Efficient and Dequantization-Free Quantization of LLMs: A Spiking Neural Network Approach to Salient Value Mitigation</t>
  </si>
  <si>
    <t>rfp1661</t>
  </si>
  <si>
    <t>The Promise vs. Reality of NFT Decentralization: An Empirical Study of Storage Strategies and Defects</t>
  </si>
  <si>
    <t>rfp1663</t>
  </si>
  <si>
    <t>SDR-CIR: Semantic Debias Retrieval Framework for Training-Free Zero-Shot Composed Image Retrieval</t>
  </si>
  <si>
    <t>rfp1666</t>
  </si>
  <si>
    <t>PAGE: Progressive Anomaly Generation Network for Semi-supervised Graph Anomaly Detection</t>
  </si>
  <si>
    <t>rfp1669</t>
  </si>
  <si>
    <t>WebGeoInfer: Structure-Free Multi-Stage Framework for Geolocation Inference from Exposed Device Web Interfaces</t>
  </si>
  <si>
    <t>rfp1672</t>
  </si>
  <si>
    <t>Invariant Learning on Heterogeneous Graphs via Subgraph Environment Inference</t>
  </si>
  <si>
    <t>rfp1675</t>
  </si>
  <si>
    <t>RAFed: Responsive Augmentation and Approximate Update Method for Federated Learning with Non-IID Data</t>
  </si>
  <si>
    <t>rfp1683</t>
  </si>
  <si>
    <t>ICL-EVADER: Zero-Query Black-Box Evasion Attacks on In-Context Learning and Their Defenses</t>
  </si>
  <si>
    <t>rfp1686</t>
  </si>
  <si>
    <t>GFMixer: Decoupled Temporal Gradient and Fourier-Aware Attention for Time Series Forecasting</t>
  </si>
  <si>
    <t>rfp1687</t>
  </si>
  <si>
    <t>Diversity-Augmented Negative Sampling for Implicit Collaborative Filtering</t>
  </si>
  <si>
    <t>rfp1689</t>
  </si>
  <si>
    <t>ScaleGNN: Towards Scalable Graph Neural Networks via Adaptive High-order Neighboring Feature Fusion</t>
  </si>
  <si>
    <t>rfp1695</t>
  </si>
  <si>
    <t>Delayed Feedback Modeling for Post-Click Gross Merchandise Volume Prediction: Benchmark, Insights and Approaches</t>
  </si>
  <si>
    <t>rfp1698</t>
  </si>
  <si>
    <t>Barter Exchange with Asymmetric Item Valuations</t>
  </si>
  <si>
    <t>rfp1700</t>
  </si>
  <si>
    <t>Enhancing Federated Class-Incremental Learning via Spatial-Temporal Statistics Aggregation</t>
  </si>
  <si>
    <t>rfp1704</t>
  </si>
  <si>
    <t>PWAVEP: Purifying Imperceptible Adversarial Perturbations in 3D Point Clouds via Spectral Graph Wavelets</t>
  </si>
  <si>
    <t>rfp1707</t>
  </si>
  <si>
    <t>HALO: Hierarchical Reinforcement Learning for Large-Scale Adaptive Traffic Signal Control</t>
  </si>
  <si>
    <t>rfp1736</t>
  </si>
  <si>
    <t>Federated Latent Factor Learning for Privacy-Preserving Spatio-Temporal Signal Recovery</t>
  </si>
  <si>
    <t>rfp1737</t>
  </si>
  <si>
    <t>PIGCN: Physics-Inspired Graph Convolution Networks for Heterogeneous Social Event Detection</t>
  </si>
  <si>
    <t>rfp1746</t>
  </si>
  <si>
    <t>AlphaFree: Recommendation Free from Users, IDs, and GNNs</t>
  </si>
  <si>
    <t>rfp1748</t>
  </si>
  <si>
    <t>Same Last-Item Confusion Unveiled: A Unified Mitigation Framework for Graph Learning in Session-Based Recommendation</t>
  </si>
  <si>
    <t>rfp1751</t>
  </si>
  <si>
    <t>EMSEdit: Efficient Multi-Step Meta-Learning-based Model Editing</t>
  </si>
  <si>
    <t>rfp1779</t>
  </si>
  <si>
    <t>When to Trust: A Causality-Aware Calibration Framework for Accurate Knowledge Graph Retrieval-Augmented Generation</t>
  </si>
  <si>
    <t>rfp1781</t>
  </si>
  <si>
    <t>MIGC-CMamba: Cross-Domain Mamba with Multi-Scale Imaging and Granular-Ball Computing for Traffic Flow Prediction</t>
  </si>
  <si>
    <t>rfp1782</t>
  </si>
  <si>
    <t>R2NS: Recall and Re-ranking of Negative Samples for Sequential Recommendation</t>
  </si>
  <si>
    <t>rfp1790</t>
  </si>
  <si>
    <t>FlowRAG: Continual Learning for Dynamic Retriever in Retrieval-Augmented Generation</t>
  </si>
  <si>
    <t>rfp1800</t>
  </si>
  <si>
    <t>TrueLens: Video Fake News Detection with Dual Level Evidence Gathering and Consolidation</t>
  </si>
  <si>
    <t>rfp1806</t>
  </si>
  <si>
    <t>Weighted Graph Clustering via Scale Contraction and Graph Structure Learning</t>
  </si>
  <si>
    <t>rfp1811</t>
  </si>
  <si>
    <t>Beyond Factual Queries: A Novel Predictive Retrieval-Augmented Generation</t>
  </si>
  <si>
    <t>rfp1812</t>
  </si>
  <si>
    <t>WeaveRec: An LLM-Based Cross-Domain Sequential Recommendation Framework with Model Merging</t>
  </si>
  <si>
    <t>rfp1813</t>
  </si>
  <si>
    <t>Starlink in the Wild: Multi-Perspective Measurements via DNS</t>
  </si>
  <si>
    <t>rfp1818</t>
  </si>
  <si>
    <t>MMTableBench: A Multi-level Multimodal Benchmark for Reasoning and Layout Complexity in Table QA</t>
  </si>
  <si>
    <t>rfp1825</t>
  </si>
  <si>
    <t>Online Rounding and Pricing Schemes for k-Rental Problems</t>
  </si>
  <si>
    <t>rfp1831</t>
  </si>
  <si>
    <t>Cross-Type Semantic Alignment for Multi-Type Anomaly Detection in Heterogeneous Graphs</t>
  </si>
  <si>
    <t>rfp1841</t>
  </si>
  <si>
    <t>Online Advertising with Spatial Interactions</t>
  </si>
  <si>
    <t>rfp1843</t>
  </si>
  <si>
    <t>Adaptive Task Balancing for Visual Instruction Tuning via Inter-Task Contribution and Intra-Task Difficulty</t>
  </si>
  <si>
    <t>rfp1845</t>
  </si>
  <si>
    <t>STaR: Towards Effective and Stable Table Reasoning via Slow-Thinking Large Language Models</t>
  </si>
  <si>
    <t>rfp1846</t>
  </si>
  <si>
    <t>We Need a More Robust Classifier: Dual Causal Learning Empowers Domain-Incremental Time Series Classification</t>
  </si>
  <si>
    <t>rfp1849</t>
  </si>
  <si>
    <t>Enhancing Large Language Models for Time-Series Forecasting via Vector-Injected In-Context Learning</t>
  </si>
  <si>
    <t>rfp1853</t>
  </si>
  <si>
    <t>Drifting with Intent: Generative Interest Trajectories for Multimodal Web Recommendation</t>
  </si>
  <si>
    <t>rfp1861</t>
  </si>
  <si>
    <t>Can Multimodal LLMs Perform Time Series Anomaly Detection?</t>
  </si>
  <si>
    <t>rfp1865</t>
  </si>
  <si>
    <t>Automated Deterministic Auction Design with Objective Decomposition</t>
  </si>
  <si>
    <t>rfp1898</t>
  </si>
  <si>
    <t>Zelda: Feedback-driven Closed-box Fuzzing for Identifying Web Application Vulnerabilities</t>
  </si>
  <si>
    <t>rfp1899</t>
  </si>
  <si>
    <t>Generalized Incremental Learning under Concept Drift across Evolving Data Streams</t>
  </si>
  <si>
    <t>rfp1900</t>
  </si>
  <si>
    <t>MARCH: Multi-Teacher Contrastive Hypergraph Distillation</t>
  </si>
  <si>
    <t>rfp1906</t>
  </si>
  <si>
    <t>Proteus: Towards Accurate and Low-overhead In-Network Malicious Traffic Detection</t>
  </si>
  <si>
    <t>rfp1912</t>
  </si>
  <si>
    <t>LaTune: Lightweight and Adaptive Configuration Tuning for LLM Inference on Edge Devices</t>
  </si>
  <si>
    <t>rfp1913</t>
  </si>
  <si>
    <t>Re-understanding Graph Unlearning through Memorization</t>
  </si>
  <si>
    <t>rfp1919</t>
  </si>
  <si>
    <t>Graph Cross-Domain Continual Fine-Tuning via Orthogonal LoRA Routing with Contrastive Expert Specialization</t>
  </si>
  <si>
    <t>rfp1934</t>
  </si>
  <si>
    <t>FS_GPlib: Breaking the Web-Scale Barrier — A Unified Acceleration Framework for Graph Propagation Models</t>
  </si>
  <si>
    <t>rfp1937</t>
  </si>
  <si>
    <t>FedAKD: Federated Adaptive Knowledge Distillation via Global Knowledge Calibration and Decoupling</t>
  </si>
  <si>
    <t>rfp1942</t>
  </si>
  <si>
    <t>Field Matters: A Lightweight LLM-enhanced Method for CTR Prediction</t>
  </si>
  <si>
    <t>rfp1957</t>
  </si>
  <si>
    <t>Multimodal Trajectory Representation Learning for Travel Time Estimation</t>
  </si>
  <si>
    <t>rfp1960</t>
  </si>
  <si>
    <t>Towards Open-World Retrieval-Augmented Generation on Knowledge Graph: A Multi-Agent Collaboration Framework</t>
  </si>
  <si>
    <t>rfp1965</t>
  </si>
  <si>
    <t>Mitigating Cumulative Privacy Risk in Continual Information Sharing: A Dynamic Stackelberg Game Approach</t>
  </si>
  <si>
    <t>rfp1977</t>
  </si>
  <si>
    <t>STARK: Structure-Aware and Adaptive Representation Learning for Continual Knowledge Graph Embedding</t>
  </si>
  <si>
    <t>rfp1980</t>
  </si>
  <si>
    <t>Efficient High-Dimensional Time Series Forecasting with Transformers: A Channel Reordering Perspective</t>
  </si>
  <si>
    <t>rfp1982</t>
  </si>
  <si>
    <t>Beyond Words: Enhancing Desire, Emotion, and Sentiment Recognition with Non-Verbal Cues</t>
  </si>
  <si>
    <t>rfp1985</t>
  </si>
  <si>
    <t>EdgeGen: Efficient LLM-Empowered Model Generation with Quantization-Aware NAS</t>
  </si>
  <si>
    <t>rfp1994</t>
  </si>
  <si>
    <t>Large Language Model for OWL Proofs</t>
  </si>
  <si>
    <t>rfp2004</t>
  </si>
  <si>
    <t>BANCO: Drift-Aware Batched Bandits for Adaptive Proximity Graph Pruning</t>
  </si>
  <si>
    <t>rfp2018</t>
  </si>
  <si>
    <t>Unlearning of Knowledge Graph Embedding via Preference Optimization</t>
  </si>
  <si>
    <t>rfp2019</t>
  </si>
  <si>
    <t>Fusion Is Not A Simple Ensemble! Towards The Evolving Views in Insider Threat Detection</t>
  </si>
  <si>
    <t>rfp2026</t>
  </si>
  <si>
    <t>Unveiling the Resilience of LLM-Enhanced Search Engines against Black-Hat SEO Manipulation</t>
  </si>
  <si>
    <t>rfp2037</t>
  </si>
  <si>
    <t>Beyond Detection: Autonomous Anomaly Remediation for MCP Against Tool Poisoning Attacks</t>
  </si>
  <si>
    <t>rfp2045</t>
  </si>
  <si>
    <t>Pattern-aware Illicit Account Detection based on User Behavior Sequences</t>
  </si>
  <si>
    <t>rfp2049</t>
  </si>
  <si>
    <t>Source Localization in Continuous-Time Propagation via Spectral ODE Modeling</t>
  </si>
  <si>
    <t>rfp2055</t>
  </si>
  <si>
    <t>Unveiling Backdoor Propagation in Graphs: Neuron-Centric Defense Mechanisms</t>
  </si>
  <si>
    <t>rfp2060</t>
  </si>
  <si>
    <t>On the Effectiveness of Mempool-based Transaction Auditing</t>
  </si>
  <si>
    <t>rfp2061</t>
  </si>
  <si>
    <t>Tracking the Stray Sheep: Understanding DNS Response Manipulation in the Wild</t>
  </si>
  <si>
    <t>rfp2064</t>
  </si>
  <si>
    <t>AgentSense: LLMs Empower Generalizable and Explainable Web-Based Participatory Urban Sensing</t>
  </si>
  <si>
    <t>rfp2073</t>
  </si>
  <si>
    <t>Retracing and Restoring: Chronological Context Preservation for Effective Dynamic Recommendation</t>
  </si>
  <si>
    <t>rfp2079</t>
  </si>
  <si>
    <t>BlossomRec: Block-level Fused Sparse Attention Mechanism for Sequential Recommendations</t>
  </si>
  <si>
    <t>rfp2081</t>
  </si>
  <si>
    <t>Too Much Sharing, Too Little Security: Authentication Cookie Theft At Scale</t>
  </si>
  <si>
    <t>rfp2082</t>
  </si>
  <si>
    <t>Forge: A Robust Multi-tab Website Fingerprinting Attack via Blind Source Separation</t>
  </si>
  <si>
    <t>rfp2085</t>
  </si>
  <si>
    <t>BiasEdit: A Training-Free Bias-Detect-and-Edit Framework for Learning Fair Visual Classifiers</t>
  </si>
  <si>
    <t>rfp2092</t>
  </si>
  <si>
    <t>HiFi-WF: Toward Realistic Website Fingerprinting with Multi-tab and Subpage Recognition</t>
  </si>
  <si>
    <t>rfp2100</t>
  </si>
  <si>
    <t>Missingness-aware Federated Contrastive Learning on Semantic Graphs</t>
  </si>
  <si>
    <t>rfp2102</t>
  </si>
  <si>
    <t>Users Pay Twice: The Hidden Energy Cost of Web Advertising</t>
  </si>
  <si>
    <t>rfp2104</t>
  </si>
  <si>
    <t>MF^3: Multimodal Federated Learning with Dual-Path Mamba-Transformer for Metro Flow Prediction</t>
  </si>
  <si>
    <t>rfp2111</t>
  </si>
  <si>
    <t>Hierarchical Graph-Bag-Network for Self-Supervised Multi-Graph Learning</t>
  </si>
  <si>
    <t>rfp2115</t>
  </si>
  <si>
    <t>BHGap: A Deep Iterative Prompting and Multi-stage Alignment Framework for Dynamic Facial Expression Recognition</t>
  </si>
  <si>
    <t>rfp2120</t>
  </si>
  <si>
    <t>An LLM-Powered Cooperative Framework for Large-Scale Multi-Vehicle Navigation</t>
  </si>
  <si>
    <t>rfp2124</t>
  </si>
  <si>
    <t>Modeling Endogenous Logic: Causal Neuro-Symbolic Reasoning Model for Explainable Multi-Behavior Recommendation</t>
  </si>
  <si>
    <t>rfp2130</t>
  </si>
  <si>
    <t>DynaMoLTV: A Cross-Game Dynamic Mixture Model with Weighted Sub-Distributions for Player Lifetime Value Prediction</t>
  </si>
  <si>
    <t>rfp2135</t>
  </si>
  <si>
    <t>The Query Complexity of Uniform Pricing</t>
  </si>
  <si>
    <t>rfp2136</t>
  </si>
  <si>
    <t>TFWaveFormer: Temporal-Frequency Collaborative Multi-level Wavelet Transformer for Dynamic Link Prediction</t>
  </si>
  <si>
    <t>rfp2143</t>
  </si>
  <si>
    <t>DIARY: Differentially Private Recovery with Adaptive Privacy Budgets in Federated Unlearning</t>
  </si>
  <si>
    <t>rfp2147</t>
  </si>
  <si>
    <t>ShadowClone: Scalable Decentralized Identity with Cross-Domain Anonymity and Accountable Traceability</t>
  </si>
  <si>
    <t>rfp2148</t>
  </si>
  <si>
    <t>From Criteria to Ranking: Targeting-Aware Tripartite Graph Learning for Multi-Criteria Recommendation</t>
  </si>
  <si>
    <t>rfp2152</t>
  </si>
  <si>
    <t>MessageShift: Fine-Grained Data Augmentation for Graph Neural Networks</t>
  </si>
  <si>
    <t>rfp2161</t>
  </si>
  <si>
    <t>CASE: Conflict-assessed Knowledge-sensitive Neuron Tuning for Lifelong Model Editing</t>
  </si>
  <si>
    <t>rfp2163</t>
  </si>
  <si>
    <t>Diffusion Generative Recommendation with Continuous Tokens</t>
  </si>
  <si>
    <t>rfp2180</t>
  </si>
  <si>
    <t>Generalizable Graph-level Anomaly Detection via Prompted Anomaly Expansion and Normality Extraction</t>
  </si>
  <si>
    <t>rfp2187</t>
  </si>
  <si>
    <t>DA-RAG: Dynamic Attributed Community Search for Retrieval-Augmented Generation</t>
  </si>
  <si>
    <t>rfp2197</t>
  </si>
  <si>
    <t>FalconScope: Effective and Efficient Detection of Hidden Web Interfaces in IoT Devices</t>
  </si>
  <si>
    <t>rfp2202</t>
  </si>
  <si>
    <t>From Representation to Clusters: A Contrastive Learning Approach for Attributed Hypergraph Clustering</t>
  </si>
  <si>
    <t>rfp2217</t>
  </si>
  <si>
    <t>QChunker: Learning Question-Aware Text Chunking for Domain RAG via Multi-Agent Debate</t>
  </si>
  <si>
    <t>rfp2218</t>
  </si>
  <si>
    <t>EEO-TFV: Escape-Explore Optimizer for Web-Scale Time-Series Forecasting and Vision Analysis</t>
  </si>
  <si>
    <t>rfp2225</t>
  </si>
  <si>
    <t>Heterophily-Agnostic Hypergraph Neural Networks with Riemannian Local Exchanger</t>
  </si>
  <si>
    <t>rfp2245</t>
  </si>
  <si>
    <t>Towards Multi-Label Text Interpretation with Chain-of-Thought Prompting and Contextualized Knowledge</t>
  </si>
  <si>
    <t>rfp2246</t>
  </si>
  <si>
    <t>ReaLM: Residual Quantization Bridges Knowledge Graph Embeddings and Large Language Models</t>
  </si>
  <si>
    <t>rfp2253</t>
  </si>
  <si>
    <t>The Asymmetric Vulnerability: Bypassing LLM Defenses via Guardrail-Model Mismatch</t>
  </si>
  <si>
    <t>rfp2261</t>
  </si>
  <si>
    <t>Bento: Fine-Grained Memory Isolation for COTS WebAssembly Binaries</t>
  </si>
  <si>
    <t>rfp2263</t>
  </si>
  <si>
    <t>Evolving Proxy Kills Drift: Data-Efficient Streaming Time Series Anomaly Detection</t>
  </si>
  <si>
    <t>rfp2265</t>
  </si>
  <si>
    <t>DeepUL: Deep Unlearning via Model Sparsity</t>
  </si>
  <si>
    <t>rfp2272</t>
  </si>
  <si>
    <t>CIFAD: Causal-Invariant Subspace Learning for Few-Shot Anomaly Detection on Dynamic Relational Graphs</t>
  </si>
  <si>
    <t>rfp2273</t>
  </si>
  <si>
    <t>Meta-Learning Driven Few-Shot Knowledge Transfer with Dual-Stage Adaptive Data Replay for Cross-Domain Recommendation</t>
  </si>
  <si>
    <t>rfp2275</t>
  </si>
  <si>
    <t>Adaptive Multi-Interaction Web Semantic Graph Representation</t>
  </si>
  <si>
    <t>rfp2287</t>
  </si>
  <si>
    <t>Counterfactual Augmented Causal Reasoning for Aspect-Based Sentiment Analysis</t>
  </si>
  <si>
    <t>rfp2292</t>
  </si>
  <si>
    <t>Pay for The Second-Best Service: A Game-Theoretic Approach against Dishonest LLM Providers</t>
  </si>
  <si>
    <t>rfp2303</t>
  </si>
  <si>
    <t>VisionST: Coordinating Cross-modal Traffic Prediction with Interactive Geo-image Encoding</t>
  </si>
  <si>
    <t>rfp2308</t>
  </si>
  <si>
    <t>Alzo: Auto-Tuning with Reinforcement Learning for DAG-based Blockchains</t>
  </si>
  <si>
    <t>rfp2311</t>
  </si>
  <si>
    <t>Conditional Information Extraction with Diffusion Model on Fact-Condition Star Graph</t>
  </si>
  <si>
    <t>rfp2316</t>
  </si>
  <si>
    <t>Fair k-Center Clustering on Massive Social Network Data Streams</t>
  </si>
  <si>
    <t>rfp2324</t>
  </si>
  <si>
    <t>RAIE:Region-Aware Incremental Preference Editing with LoRA for LLM-based Recommendation</t>
  </si>
  <si>
    <t>rfp2337</t>
  </si>
  <si>
    <t>Enhancing Multi-Modal Entity Alignment via Multi-Grained Decision Fusion</t>
  </si>
  <si>
    <t>rfp2341</t>
  </si>
  <si>
    <t>VecFormer: Towards Efficient and Generalizable Graph Transformer with Graph Token Attention</t>
  </si>
  <si>
    <t>rfp2349</t>
  </si>
  <si>
    <t>Mitigating Homophily Disparity in Graph Anomaly Detection: A Scalable and Adaptive Approach</t>
  </si>
  <si>
    <t>rfp2351</t>
  </si>
  <si>
    <t>IVQ-GNN: Mitigating Performance Gaps from Graph Connection Pattern Inconsistency via Vector Quantization</t>
  </si>
  <si>
    <t>rfp2354</t>
  </si>
  <si>
    <t>SAGE: Global Semantic Alignment with LLMs for Long-Tail Sequential Recommendation</t>
  </si>
  <si>
    <t>rfp2358</t>
  </si>
  <si>
    <t>DSSmoothing: Toward Certified Dataset Ownership Verification for Pre-trained Language Models via Dual-Space Smoothing</t>
  </si>
  <si>
    <t>rfp2360</t>
  </si>
  <si>
    <t>ARuleCon: Agentic Security Rule Conversion</t>
  </si>
  <si>
    <t>rfp2375</t>
  </si>
  <si>
    <t>S-Path-RAG: Semantic-Aware Shortest-Path Retrieval Augmented Generation for Multi-Hop Knowledge Graph Question Answering</t>
  </si>
  <si>
    <t>rfp2385</t>
  </si>
  <si>
    <t>DeepAgent: A General Reasoning Agent with Scalable Toolsets</t>
  </si>
  <si>
    <t>rfp2391</t>
  </si>
  <si>
    <t>TRACE: Trajectory Recovery with State Propagation Diffusion for Urban Mobility</t>
  </si>
  <si>
    <t>rfp2405</t>
  </si>
  <si>
    <t>SentinelNet: Safeguarding Multi-Agent Collaboration Through Credit-Based Dynamic Threat Detection</t>
  </si>
  <si>
    <t>rfp2407</t>
  </si>
  <si>
    <t>Relation-aware Diffusion-Asymmetric Graph Contrastive Learning for Recommendation</t>
  </si>
  <si>
    <t>rfp2417</t>
  </si>
  <si>
    <t>Disentangled Graph LLM for Molecule Graph Editing under Distribution Shifts</t>
  </si>
  <si>
    <t>rfp2418</t>
  </si>
  <si>
    <t>KEGOD: Kernel-enhanced Latent Substructure Learning for Graph Out-Of-Distribution Detection</t>
  </si>
  <si>
    <t>rfp2419</t>
  </si>
  <si>
    <t>TargetMR: Learning Modality Target for Multimodal Recommendation</t>
  </si>
  <si>
    <t>rfp2429</t>
  </si>
  <si>
    <t>Anti-Phishing Training (Still) Does Not Work: A Reproduction of Phishing Training Inefficacy Grounded in the NIST Phish Scale</t>
  </si>
  <si>
    <t>rfp2437</t>
  </si>
  <si>
    <t>How Social Media Peer Comments Influence Privacy Decisions in Photo Sharing: Context and Individual Differences Cause Comments to Backfire</t>
  </si>
  <si>
    <t>rfp2443</t>
  </si>
  <si>
    <t>Concordia: Enabling Low-Conflict Distributed Transaction Scheduling in Sharding Blockchain via Cooperative Perception</t>
  </si>
  <si>
    <t>rfp2489</t>
  </si>
  <si>
    <t>Real or Rogue? Detecting Malicious Miniapps with Deceptive Reporting Interface</t>
  </si>
  <si>
    <t>rfp2504</t>
  </si>
  <si>
    <t>Identification of Influential Node Group in Attributed Graph through Explaining Graph Neural Network</t>
  </si>
  <si>
    <t>rfp2506</t>
  </si>
  <si>
    <t>Position Auctions in AI-Generated Content</t>
  </si>
  <si>
    <t>rfp2508</t>
  </si>
  <si>
    <t>Determinants and Effects of Buy Box Suppression on Amazon</t>
  </si>
  <si>
    <t>rfp2517</t>
  </si>
  <si>
    <t>Question the Questions: Auditing Representation in Online Deliberative Processes</t>
  </si>
  <si>
    <t>rfp2518</t>
  </si>
  <si>
    <t>How to Strategize Human Content Creation in the Era of GenAI?</t>
  </si>
  <si>
    <t>rfp2521</t>
  </si>
  <si>
    <t>Reliable Non-Leveled Homomorphic Encryption for Web Services</t>
  </si>
  <si>
    <t>rfp2533</t>
  </si>
  <si>
    <t>Language Model Representations for Efficient Few-Shot Tabular Classification</t>
  </si>
  <si>
    <t>rfp2539</t>
  </si>
  <si>
    <t>Additively Competitive Secretaries</t>
  </si>
  <si>
    <t>rfp2540</t>
  </si>
  <si>
    <t>From Navigation to Intention: Reframing the Web Experience through Goal-Driven Interfaces</t>
  </si>
  <si>
    <t>rfp2547</t>
  </si>
  <si>
    <t>Improving the Price of Anarchy via Predictions in Parallel-Link Networks</t>
  </si>
  <si>
    <t>rfp2548</t>
  </si>
  <si>
    <t>Relation-Aware Multimodal Analogical Reasoning with Modality Fingerprints and Adaptive Gating</t>
  </si>
  <si>
    <t>rfp2555</t>
  </si>
  <si>
    <t>AC$^2$L-GAD: Active Counterfactual Contrastive Learning for Graph Anomaly Detection</t>
  </si>
  <si>
    <t>rfp2571</t>
  </si>
  <si>
    <t>Mixture of Sequence: Theme-Aware Mixture-of-Experts for Long-Sequence Recommendation</t>
  </si>
  <si>
    <t>rfp2577</t>
  </si>
  <si>
    <t>SecureSplit: Mitigating Backdoor Attacks in Split Learning</t>
  </si>
  <si>
    <t>rfp2581</t>
  </si>
  <si>
    <t>Unmasking Bots in Higher Dimensions: Message Passing over Simplexes for Bot Detection</t>
  </si>
  <si>
    <t>rfp2584</t>
  </si>
  <si>
    <t>Unicoon: Hypergraph-based Multi-Agent Simulation of Information Cocoons</t>
  </si>
  <si>
    <t>rfp2587</t>
  </si>
  <si>
    <t>BeeQoS: A Cloud-Native QoS System for Adaptive and Scalable Multi-Priority Bandwidth Guarantees</t>
  </si>
  <si>
    <t>rfp2601</t>
  </si>
  <si>
    <t>Predictability-Aware Compression and Decompression Framework for Multichannel Time Series Data with Latent Seasonality</t>
  </si>
  <si>
    <t>rfp2623</t>
  </si>
  <si>
    <t>Controllable Graph Generation with Diffusion Models via Inference-Time Tree Search Guidance</t>
  </si>
  <si>
    <t>rfp2624</t>
  </si>
  <si>
    <t>Towards Robust Detection of Chinese Toxic Variants via Dynamic Knowledge Graph–LLM Reasoning</t>
  </si>
  <si>
    <t>rfp2630</t>
  </si>
  <si>
    <t>MuVaC: A Variational Causal Framework for Multimodal Sarcasm Understanding in Dialogues</t>
  </si>
  <si>
    <t>rfp2631</t>
  </si>
  <si>
    <t>Frequency-Corrupt Based Graph Self-Supervised Learning</t>
  </si>
  <si>
    <t>rfp2632</t>
  </si>
  <si>
    <t>Harnessing LLM for Noise-Robust Cognitive Diagnosis in Web-Based Intelligent Education Systems</t>
  </si>
  <si>
    <t>rfp2642</t>
  </si>
  <si>
    <t>Prism: Towards Lowering User Cognitive Load in LLMs via Complex Intent Understanding</t>
  </si>
  <si>
    <t>rfp2646</t>
  </si>
  <si>
    <t>MCLMR: A Model-Agnostic Causal Learning Framework for Multi-Behavior Recommendation</t>
  </si>
  <si>
    <t>rfp2666</t>
  </si>
  <si>
    <t>The Price of Uncertainty for Social Consensus</t>
  </si>
  <si>
    <t>rfp2669</t>
  </si>
  <si>
    <t>TGSBM: Transformer-Guided Stochastic Block Model for Link Prediction</t>
  </si>
  <si>
    <t>rfp2679</t>
  </si>
  <si>
    <t>Anchor Drift No More: Hierarchical Consistency-Guided Prompt Distillation for Incomplete Multimodal Learning</t>
  </si>
  <si>
    <t>rfp2692</t>
  </si>
  <si>
    <t>Enhancing Domain-Adaptive Hashing via Evidential Learning and Progressive Alignment</t>
  </si>
  <si>
    <t>rfp2700</t>
  </si>
  <si>
    <t>LoRA-E^2: Effective and Efficient Low-rank Adaptation</t>
  </si>
  <si>
    <t>rfp2703</t>
  </si>
  <si>
    <t>DTransKT: A Dual Transferable Knowledge Tracing Framework for Cross-Disciplinary Self-Adaptation</t>
  </si>
  <si>
    <t>rfp2705</t>
  </si>
  <si>
    <t>Can LLMs Fool Graph Learning? Exploring Universal Adversarial Attacks on Text-Attributed Graphs</t>
  </si>
  <si>
    <t>rfp2712</t>
  </si>
  <si>
    <t>Modeling Point-to-Point Dependency for High-Dimensional Long-Term Series Forecasting</t>
  </si>
  <si>
    <t>rfp2723</t>
  </si>
  <si>
    <t>LAPS: A Lightweight Privilege-Allocation Prompting Framework for Source Localization</t>
  </si>
  <si>
    <t>rfp2724</t>
  </si>
  <si>
    <t>DRMD: Explainable Depression Detection Based on Metaphorical Conceptual Mapping</t>
  </si>
  <si>
    <t>rfp2726</t>
  </si>
  <si>
    <t>Acting Flatterers via LLMs Sycophancy: Combating Clickbait with LLMs Opposing-Stance Reasoning</t>
  </si>
  <si>
    <t>rfp2729</t>
  </si>
  <si>
    <t>A^2GBD: Attack-Agnostic Graph Backdoor Defense</t>
  </si>
  <si>
    <t>rfp2732</t>
  </si>
  <si>
    <t>Digital Skin, Digital Bias: Uncovering Tone-Based Biases in LLMs and Emoji Embeddings</t>
  </si>
  <si>
    <t>rfp2749</t>
  </si>
  <si>
    <t>DeepSVU: Towards In-depth Security-oriented Video Understanding via Unified Physical-world Regularized MoE</t>
  </si>
  <si>
    <t>rfp2752</t>
  </si>
  <si>
    <t>Multi-view Hierarchical Graph Contrastive Learning based on Asynchronous Asymmetric Structure</t>
  </si>
  <si>
    <t>rfp2763</t>
  </si>
  <si>
    <t>Shift-Resilient Diffusive Imputation for Variable Subset Forecasting</t>
  </si>
  <si>
    <t>rfp2781</t>
  </si>
  <si>
    <t>CompactRAG: Reducing LLM Calls and Token Overhead in Multi-Hop Question Answering</t>
  </si>
  <si>
    <t>rfp2788</t>
  </si>
  <si>
    <t>Greedy Attack: Breaking Finality against VeChain Proof-of-Authority Consensus Protocol</t>
  </si>
  <si>
    <t>rfp2791</t>
  </si>
  <si>
    <t>Adaptive Location Hierarchy Learning for Long-Tailed Mobility Prediction</t>
  </si>
  <si>
    <t>rfp2805</t>
  </si>
  <si>
    <t>Hi-GMAE: Hierarchical Graph Masked Autoencoders</t>
  </si>
  <si>
    <t>rfp2810</t>
  </si>
  <si>
    <t>Towards Robust Heterogeneous Graph Explanations under Structural Perturbations</t>
  </si>
  <si>
    <t>rfp2818</t>
  </si>
  <si>
    <t>SPCA: Stream Parser Confusion Attack for Web Application Firewall Evasion in HTTP/2</t>
  </si>
  <si>
    <t>rfp2820</t>
  </si>
  <si>
    <t>Discrete Diffusion-Based Model-Level Explanation of Heterogeneous GNNs with Node Features</t>
  </si>
  <si>
    <t>rfp2834</t>
  </si>
  <si>
    <t>Marketing Hosting: From Fixed to Endogenous Budgets</t>
  </si>
  <si>
    <t>rfp2840</t>
  </si>
  <si>
    <t>Distribution-Aligned Synthetic Text Generation via Tail-Aware Enhancement</t>
  </si>
  <si>
    <t>rfp2848</t>
  </si>
  <si>
    <t>Long-Tailed Recognition of Evidential Experts for Graph-level Classification</t>
  </si>
  <si>
    <t>rfp2850</t>
  </si>
  <si>
    <t>SPGCL: Subgraph Pattern-Aware Graph Contrastive Learning for High-Order Structural Representation</t>
  </si>
  <si>
    <t>rfp2858</t>
  </si>
  <si>
    <t>Scaling Collaborative Filtering with Multimodal Contrastive Fine-tuning</t>
  </si>
  <si>
    <t>rfp2863</t>
  </si>
  <si>
    <t>OpenDecoder: Open Large Language Model Decoding to Incorporate Document Quality in RAG</t>
  </si>
  <si>
    <t>rfp2864</t>
  </si>
  <si>
    <t>Leveraging LLM and Multiscale Knowledge States to Improve Knowledge Tracing in Programming Tasks</t>
  </si>
  <si>
    <t>rfp2878</t>
  </si>
  <si>
    <t>HL-CMR: Hypergraph Learning for Cross-Modal Retrieval</t>
  </si>
  <si>
    <t>rfp2880</t>
  </si>
  <si>
    <t>Fate: Fast Edge Inference of Mixture-of-Experts Models via Cross-Layer Gate</t>
  </si>
  <si>
    <t>rfp2893</t>
  </si>
  <si>
    <t>Spectral Disentanglement and Enhancement: A Dual-domain Contrastive Framework for Representation Learning</t>
  </si>
  <si>
    <t>rfp2899</t>
  </si>
  <si>
    <t>Diversifying Differentiable Graph Retrieval with Topic-Adaptive Multi-Intent Learning</t>
  </si>
  <si>
    <t>rfp2901</t>
  </si>
  <si>
    <t>BIND: Enabling Continuous Transaction Processing During Account Migration in Sharded Blockchains</t>
  </si>
  <si>
    <t>rfp2908</t>
  </si>
  <si>
    <t>Towards Meta-Cognitive Knowledge Editing for Multimodal LLMs</t>
  </si>
  <si>
    <t>rfp2911</t>
  </si>
  <si>
    <t>A Dual-Channel Contrastive Learning Framework for Anomaly Detection in Dynamic Graph Structures</t>
  </si>
  <si>
    <t>rfp2914</t>
  </si>
  <si>
    <t>Verifiable Federated Representation Learning for Cross-domain Sequential Recommendation</t>
  </si>
  <si>
    <t>rfp2915</t>
  </si>
  <si>
    <t>Kleene Closure Property Path Query Optimization Based on Node Clustered Index</t>
  </si>
  <si>
    <t>rfp2924</t>
  </si>
  <si>
    <t>Camel: Frame-Level Bandwidth Estimation for Low-Latency Live Streaming under Video Bitrate Undershooting</t>
  </si>
  <si>
    <t>rfp2927</t>
  </si>
  <si>
    <t>Collaborative Subgraph Learning based Spectrum Sensing under Partial Observations</t>
  </si>
  <si>
    <t>rfp2931</t>
  </si>
  <si>
    <t>OFA-MAS: One-for-All Multi-Agent System Topology Design based on Mixture-of-Experts Graph Generative Models</t>
  </si>
  <si>
    <t>rfp2935</t>
  </si>
  <si>
    <t>ToolBox-RL: Learning to Generalize Tool Use Across Massive Repositories</t>
  </si>
  <si>
    <t>rfp2946</t>
  </si>
  <si>
    <t>Re-Diffusion: Modeling Latent Residuals with Diffusion for Time-Series Forecasting</t>
  </si>
  <si>
    <t>rfp2947</t>
  </si>
  <si>
    <t>Reinforcement Learning with Verbalized Probabilities for LLM Classification</t>
  </si>
  <si>
    <t>rfp2949</t>
  </si>
  <si>
    <t>SemFuzz: A Semantics-Aware Fuzzing Framework for Network Protocol Implementations</t>
  </si>
  <si>
    <t>rfp2955</t>
  </si>
  <si>
    <t>Embedding Enhancement via Fine-Tuned Language Models for Learner-Item Cognitive Modeling</t>
  </si>
  <si>
    <t>rfp2956</t>
  </si>
  <si>
    <t>DRGW: Learning Disentangled Representations for Robust Graph Watermarking</t>
  </si>
  <si>
    <t>rfp2959</t>
  </si>
  <si>
    <t>Facilitating Generative Retrieval with Logical Denoising for Interpretable Conversational Search</t>
  </si>
  <si>
    <t>rfp2962</t>
  </si>
  <si>
    <t>ContiGuard: A Framework for Continual Toxicity Detection Against Evolving Evasive Perturbations</t>
  </si>
  <si>
    <t>rfp2966</t>
  </si>
  <si>
    <t>LLM-enhanced Federated Graph Learning with Geometry-aware Graph Projection and Shared Subspace Aggregation</t>
  </si>
  <si>
    <t>rfp2973</t>
  </si>
  <si>
    <t>KEPo: Knowledge Evolution Poison on Graph-based Retrieval-Augmented Generation</t>
  </si>
  <si>
    <t>rfp2975</t>
  </si>
  <si>
    <t>SLFM: Semi-Supervised Local Community Detection Based on Hyperbolic Flow Matching</t>
  </si>
  <si>
    <t>rfp2992</t>
  </si>
  <si>
    <t>PrivSniffer: Graph-based Contextual Privacy Leakage Detection for User-Generated Texts</t>
  </si>
  <si>
    <t>rfp3003</t>
  </si>
  <si>
    <t>How Human Experts Educate Specialized LLMs: Filling Knowledge Gaps in KG-Augmented Generation through Hallucination Detection</t>
  </si>
  <si>
    <t>rfp3005</t>
  </si>
  <si>
    <t>AgentPRM: Process Reward Models for LLM Agents via Step-Wise Promise and Progress</t>
  </si>
  <si>
    <t>rfp3020</t>
  </si>
  <si>
    <t>Spattack: Subgroup Poisoning Attacks on Federated Recommender Systems</t>
  </si>
  <si>
    <t>rfp3023</t>
  </si>
  <si>
    <t>C-HyPOD: Causal Hyperbolic Learning with Prototype Orthogonal Disentanglement for Graph Out-of-Distribution Recommendation</t>
  </si>
  <si>
    <t>rfp3024</t>
  </si>
  <si>
    <t>Contextual Structure-Enhanced Selective Graph Convolutional Network</t>
  </si>
  <si>
    <t>rfp3028</t>
  </si>
  <si>
    <t>PolicySim: An LLM-Based Agent Social Simulation Sandbox for Proactive Policy Optimization</t>
  </si>
  <si>
    <t>rfp3034</t>
  </si>
  <si>
    <t>Adaptive Model and Strategy Routing for Cost-Efficient LLM Services</t>
  </si>
  <si>
    <t>rfp3040</t>
  </si>
  <si>
    <t>Mitigating Cognitive Vulnerabilities in Code Generation via Multi-Agent Adversarial Debate</t>
  </si>
  <si>
    <t>rfp3045</t>
  </si>
  <si>
    <t>Does Ad-Free Mean Less Data Collection? An Empirical Study of Platform Data Practices and User Expectations</t>
  </si>
  <si>
    <t>rfp3049</t>
  </si>
  <si>
    <t>Structure-Semantic Synergized Deep Contrastive Graph Clustering</t>
  </si>
  <si>
    <t>rfp3050</t>
  </si>
  <si>
    <t>Risk-free Selfish Mining in Hybrid Predictability Model. A Case Study on Polkadot’s NPoS</t>
  </si>
  <si>
    <t>rfp3064</t>
  </si>
  <si>
    <t>Sybil Attacks on Centrality Measures</t>
  </si>
  <si>
    <t>rfp3074</t>
  </si>
  <si>
    <t>Towards Context-aware Reasoning-enhanced Generative Searching in E-commerce</t>
  </si>
  <si>
    <t>rfp3075</t>
  </si>
  <si>
    <t>Quantifying User Coherence: A Unified Framework for Analyzing Recommender Systems Across Domains</t>
  </si>
  <si>
    <t>rfp3091</t>
  </si>
  <si>
    <t>DualDis: A Dual Disentanglement Network for Vehicle Re-identification</t>
  </si>
  <si>
    <t>rfp3118</t>
  </si>
  <si>
    <t>FCRLLM: Aligning LLM with Collaborative Filtering for Long-tailed Sequential Recommendation</t>
  </si>
  <si>
    <t>rfp3136</t>
  </si>
  <si>
    <t>A Simplex Approach to Synthetic Knowledge Graph Generation</t>
  </si>
  <si>
    <t>rfp3139</t>
  </si>
  <si>
    <t>Beyond More Context: Retrieval Diversity Boosts Multi-Turn Intent Understanding</t>
  </si>
  <si>
    <t>rfp3141</t>
  </si>
  <si>
    <t>Detecting Miscitation on the Scholarly Web through LLM-Augmented Text-Rich Graph Learning</t>
  </si>
  <si>
    <t>rfp3143</t>
  </si>
  <si>
    <t>CCAF: Coarse-to-fine Cross-Modal Alignment and Fusion for Multimodal Sentiment Analysis</t>
  </si>
  <si>
    <t>rfp3145</t>
  </si>
  <si>
    <t>Read as You See: Guiding Unimodal LLMs for Low-Resource Explainable Harmful Meme Detection</t>
  </si>
  <si>
    <t>rfp3149</t>
  </si>
  <si>
    <t>ONeRec: Towards Openness-Aware and Adaptive Proactive News Recommendation</t>
  </si>
  <si>
    <t>rfp3152</t>
  </si>
  <si>
    <t>E2PL: Effective and Efficient Prompt Learning for Incomplete Multi-view Multi-Label Class Incremental Learning</t>
  </si>
  <si>
    <t>rfp3157</t>
  </si>
  <si>
    <t>Multimodal-enhanced Federated Recommendation: A Group-wise Fusion Approach</t>
  </si>
  <si>
    <t>rfp3159</t>
  </si>
  <si>
    <t>Securing Your Place in the Review Network: A Dynamic Embeddedness-aware Graph Neural Network for Restaurant Survival Prediction</t>
  </si>
  <si>
    <t>rfp3166</t>
  </si>
  <si>
    <t>Learning Evolving Preferences: A Federated Continual Framework for User-Centric Recommendation</t>
  </si>
  <si>
    <t>rfp3170</t>
  </si>
  <si>
    <t>Sharpness-Consistent Cross-Domain Recommendation for Cold-Start Items</t>
  </si>
  <si>
    <t>rfp3179</t>
  </si>
  <si>
    <t>ATGFB-MFF: Adaptive Text-Guided Fiber Bundle Feature Fusion with LLMs for Multimodal Sentiment Analysis and Emotion Recognition in Conversations</t>
  </si>
  <si>
    <t>rfp3186</t>
  </si>
  <si>
    <t>CIDC: Cluster Identification-Guided Dual Correction for Robust Short Text Clustering</t>
  </si>
  <si>
    <t>rfp3189</t>
  </si>
  <si>
    <t>Sharpness-Aware Minimization for Generalized Embedding Learning in Federated Recommendation</t>
  </si>
  <si>
    <t>rfp3193</t>
  </si>
  <si>
    <t>Emergent Coordinated Behaviors in Networked LLM Agents: Modeling the Strategic Dynamics of Information Operations</t>
  </si>
  <si>
    <t>rfp3199</t>
  </si>
  <si>
    <t>MemoTime: Memory-Augmented Temporal Knowledge Graph Enhanced Large Language Model Reasoning</t>
  </si>
  <si>
    <t>rfp3213</t>
  </si>
  <si>
    <t>IConMoE: Modeling Intents of Misinformation using Concept Activation Vector-based Mixture of Experts</t>
  </si>
  <si>
    <t>rfp3214</t>
  </si>
  <si>
    <t>Mamba Hawkes Process for Event Sequence Modeling</t>
  </si>
  <si>
    <t>rfp3215</t>
  </si>
  <si>
    <t>StreamFP: Fingerprint-guided Data Selection for Efficient Stream Learning</t>
  </si>
  <si>
    <t>rfp3220</t>
  </si>
  <si>
    <t>Towards LLM-centric Affective Visual Customization via Efficient and Precise Emotion Manipulating</t>
  </si>
  <si>
    <t>rfp3231</t>
  </si>
  <si>
    <t>Unifying Graph Out-of-Distribution Generalization and Detection through Spectral Contrastive Invariant learning</t>
  </si>
  <si>
    <t>rfp3235</t>
  </si>
  <si>
    <t>Generative Archetype-Grounded Item Representations for Sequential Recommendation</t>
  </si>
  <si>
    <t>rfp3237</t>
  </si>
  <si>
    <t>When Reasoning Leaks Membership: Membership Inference Attack on Black-box Large Reasoning Models</t>
  </si>
  <si>
    <t>rfp3241</t>
  </si>
  <si>
    <t>GraphRAG-R1: Graph Retrieval-Augmented Generation with Process-Constrained Reinforcement Learning</t>
  </si>
  <si>
    <t>rfp3242</t>
  </si>
  <si>
    <t>Efficient and Fair Allocation on Graphs: From Orientation to Position-Aware Valuations</t>
  </si>
  <si>
    <t>rfp3251</t>
  </si>
  <si>
    <t>WPIS: From In-the-Wild Web Images to Physics-Aware 3D Scene Graphs for Physical Reasoning</t>
  </si>
  <si>
    <t>rfp3257</t>
  </si>
  <si>
    <t>RoFiRe: Robust Website Fingerprinting on Real-World Tor Traffic via Improved Augmentation and Normalization</t>
  </si>
  <si>
    <t>rfp3258</t>
  </si>
  <si>
    <t>Dynamic Experts Synergy for Multi-Task Recommendation</t>
  </si>
  <si>
    <t>rfp3266</t>
  </si>
  <si>
    <t>From Social Media to Psychological Scale: An Adaptive Framework with Two-Hop Retrieval for Depression Screening</t>
  </si>
  <si>
    <t>rfp3267</t>
  </si>
  <si>
    <t>Data Pricing via Competitive Equilibrium</t>
  </si>
  <si>
    <t>rfp3275</t>
  </si>
  <si>
    <t>BIND: A Bidirectionally Aligned Next-token Denoising Framework for Fast and Lightweight Deobfuscation of Harmful Web Text</t>
  </si>
  <si>
    <t>rfp3285</t>
  </si>
  <si>
    <t>PaperAsk: A Benchmark for Reliability Evaluation of LLMs in Paper Search and Reading</t>
  </si>
  <si>
    <t>rfp3293</t>
  </si>
  <si>
    <t>SeaRAG: Reducing Hallucination in Retrieval-Augmented Generation via Statement-Entity Adaptive Ranking</t>
  </si>
  <si>
    <t>rfp3297</t>
  </si>
  <si>
    <t>DocResearcher: A Unified System for Multimodal Document Parsing and Deep Research</t>
  </si>
  <si>
    <t>rfp3315</t>
  </si>
  <si>
    <t>DyMRL: Dynamic Multispace Representation Learning for Multimodal Event Forecasting in Knowledge Graph</t>
  </si>
  <si>
    <t>rfp3320</t>
  </si>
  <si>
    <t>GIANT: Structure-Agnostic Practical Adversarial Attacks for Graph-based Network Intrusion Detection Systems</t>
  </si>
  <si>
    <t>rfp3321</t>
  </si>
  <si>
    <t>Talos: Optimizing Top-K Accuracy in Recommender Systems</t>
  </si>
  <si>
    <t>rfp3326</t>
  </si>
  <si>
    <t>Causality Enhancement for Cross-Domain Recommendation</t>
  </si>
  <si>
    <t>rfp3328</t>
  </si>
  <si>
    <t>Beyond Denial-of-Service: The Puppeteer's Attack for Fine-Grained Control in Ranking-Based Federated Learning</t>
  </si>
  <si>
    <t>rfp3329</t>
  </si>
  <si>
    <t>Empowering LLMs for Structure-Based Drug Design via Exploration-Augmented Latent Inference</t>
  </si>
  <si>
    <t>rfp3335</t>
  </si>
  <si>
    <t>Robust Fake News Detection using Large Language Models under Adversarial Sentiment Attacks</t>
  </si>
  <si>
    <t>rfp3346</t>
  </si>
  <si>
    <t>Does LLM Focus on the Right Words? Mitigating Context Bias in LLM-based Recommenders</t>
  </si>
  <si>
    <t>rfp3358</t>
  </si>
  <si>
    <t>Interpretable Dynamic Network Modeling of Tensor Time Series via Kronecker Time-Varying Graphical Lasso</t>
  </si>
  <si>
    <t>rfp3362</t>
  </si>
  <si>
    <t>MultiFPT: Towards Multi-Attribute Fairness in Pre-Trained Graph Neural Networks via Prompt Tuning</t>
  </si>
  <si>
    <t>rfp3365</t>
  </si>
  <si>
    <t>From Token to Item: Enhancing Large Language Models for Recommendation via Item-aware Attention Mechanism</t>
  </si>
  <si>
    <t>rfp3367</t>
  </si>
  <si>
    <t>PRoH: Dynamic Planning and Reasoning over Knowledge Hypergraphs for Retrieval-Augmented Generation</t>
  </si>
  <si>
    <t>rfp3372</t>
  </si>
  <si>
    <t>GenCI: Generative Modeling of User Interest Shift via Cohort-based Intent Learning for CTR Prediction</t>
  </si>
  <si>
    <t>rfp3384</t>
  </si>
  <si>
    <t>CoLOR-DP: Conjugate Low-Rank Differential Privacy for Structure-Aware LoRA Fine-Tuning</t>
  </si>
  <si>
    <t>rfp3386</t>
  </si>
  <si>
    <t>Balancing Privacy and Security of QNAME Minimisation</t>
  </si>
  <si>
    <t>rfp3389</t>
  </si>
  <si>
    <t>A Unified and Time-Efficient Multi-Agent Framework for Data Discovery</t>
  </si>
  <si>
    <t>rfp3396</t>
  </si>
  <si>
    <t>Following the TRAIL: Predicting and Explaining Tomorrow’s Hits with a Fine-Tuned LLM</t>
  </si>
  <si>
    <t>rfp3398</t>
  </si>
  <si>
    <t>RMBRec: Robust Multi-Behavior Recommendation towards Target Behaviors</t>
  </si>
  <si>
    <t>rfp3401</t>
  </si>
  <si>
    <t>Time-TK: A Multi-Offset Temporal Interaction Framework Combining Transformer and Kolmogorov-Arnold Networks for Time Series Forecasting</t>
  </si>
  <si>
    <t>rfp3405</t>
  </si>
  <si>
    <t>CA-PFL: Client-adaptive Parameter-efficient Fine-tuning for Personalized Federated Learning</t>
  </si>
  <si>
    <t>rfp3417</t>
  </si>
  <si>
    <t>Is Contextual Advertising Safe? Analyzing Systemic Risks with Ads on YouTube</t>
  </si>
  <si>
    <t>rfp3421</t>
  </si>
  <si>
    <t>Be Responsible in Your Answers! Monitoring Out-of-Domain Behaviors in Domain-Specific LLMs</t>
  </si>
  <si>
    <t>rfp3425</t>
  </si>
  <si>
    <t>Do You Really Know What I Am Doing? Backdoor Attacks on Provenance-Based Intrusion Detection Systems</t>
  </si>
  <si>
    <t>rfp3426</t>
  </si>
  <si>
    <t>Single-Sample Bilateral Trade with a Broker</t>
  </si>
  <si>
    <t>rfp3447</t>
  </si>
  <si>
    <t>Trust on Reload: Securing Browser-Based End-to-End Encryption</t>
  </si>
  <si>
    <t>rfp3450</t>
  </si>
  <si>
    <t>Is Misinformation More Open? A Study of robots.txt Gatekeeping on the Web</t>
  </si>
  <si>
    <t>rfp3456</t>
  </si>
  <si>
    <t>Prototype-Aligned Federated Soft-Prompts for Continual Web Personalization</t>
  </si>
  <si>
    <t>rfp3457</t>
  </si>
  <si>
    <t>Bias Mitigation for Harmful Meme Detection using Front-door Adjustment</t>
  </si>
  <si>
    <t>rfp3458</t>
  </si>
  <si>
    <t>Modeling Stage-wise Evolution of User Interests for News Recommendation</t>
  </si>
  <si>
    <t>rfp3464</t>
  </si>
  <si>
    <t>Fast or Secure? Push the Limit of Privacy Leakage Threat via Charging Side-Channel Attacks</t>
  </si>
  <si>
    <t>rfp3465</t>
  </si>
  <si>
    <t>Experience is the Best Teacher: Augmenting LLM Reasoning with Knowledge Learned from the Past</t>
  </si>
  <si>
    <t>rfp3467</t>
  </si>
  <si>
    <t>MetaKube: An Experience-Aware LLM Framework for Kubernetes Failure Diagnosis</t>
  </si>
  <si>
    <t>rfp3479</t>
  </si>
  <si>
    <t>Revisiting and Enhancing Graph Neural Networks through the Lens of Amortized Flows</t>
  </si>
  <si>
    <t>rfp3488</t>
  </si>
  <si>
    <t>Multistage Feedback-Driven Causal Discovery from Textual Data with Large Language Models</t>
  </si>
  <si>
    <t>rfp3499</t>
  </si>
  <si>
    <t>STELA: Spatiotemporal Forecasting via Graph Learning and Entropy-Guided LLM Adaptation</t>
  </si>
  <si>
    <t>rfp3504</t>
  </si>
  <si>
    <t>Resisting Manipulative Bots in Meme Coin Copy Trading: A Multi-Agent Approach with Chain-of-Thought Reasoning</t>
  </si>
  <si>
    <t>rfp3519</t>
  </si>
  <si>
    <t>D-Models and E-Models: Diversity-Stability Trade-offs in the Sampling Behavior of Large Language Models</t>
  </si>
  <si>
    <t>rfp3520</t>
  </si>
  <si>
    <t>Amortized Predictability-aware Training Framework for Time Series Forecasting and Classification</t>
  </si>
  <si>
    <t>rfp3526</t>
  </si>
  <si>
    <t>Expectation-Guided Self-Verification for Aligning Large Reasoning Models with Domain Knowledge</t>
  </si>
  <si>
    <t>rfp3531</t>
  </si>
  <si>
    <t>SEMixer: Semantics Enhanced MLP-Mixer for Multiscale Mixing and Long-term Time Series Forecasting</t>
  </si>
  <si>
    <t>rfp3533</t>
  </si>
  <si>
    <t>QDDR: Quality-Driven Intent Disentanglement with Dual-Path Modeling for Recommendation</t>
  </si>
  <si>
    <t>rfp3538</t>
  </si>
  <si>
    <t>Evidential Matching, Uncertainty Calibration: Towards Robust Composed Video Retrieval with Noisy Triplets</t>
  </si>
  <si>
    <t>rfp3549</t>
  </si>
  <si>
    <t>IMPerSumm: Information-Modulated User Preference Modeling for Personalized Text Summarization</t>
  </si>
  <si>
    <t>rfp3556</t>
  </si>
  <si>
    <t>FovRL: Joint Foveation and Quality Control for Immersive VR Streaming Using Reinforcement Learning</t>
  </si>
  <si>
    <t>rfp3561</t>
  </si>
  <si>
    <t>Unifying Diversity and Fairness in Re-ranking via Economic Growth Theory</t>
  </si>
  <si>
    <t>rfp3570</t>
  </si>
  <si>
    <t>Playing Close to the Vest: Competitive Information Propagation in Partially Observed Dual-Population Mean-Field Games</t>
  </si>
  <si>
    <t>rfp3575</t>
  </si>
  <si>
    <t>SuperEar: Eavesdropping on Mobile Voice Calls via Stealthy Acoustic Metamaterials</t>
  </si>
  <si>
    <t>rfp3583</t>
  </si>
  <si>
    <t>CCL-Diff: Representation-Consistent Diffusion with Intrinsic Contrastive Learning for Recommender Systems</t>
  </si>
  <si>
    <t>rfp3590</t>
  </si>
  <si>
    <t>Fairness in Opinion-Formation Dynamics</t>
  </si>
  <si>
    <t>rfp3599</t>
  </si>
  <si>
    <t>PeriNet: Periodic Deep Learning Framework for Modality-Agnostic Privacy Preserving</t>
  </si>
  <si>
    <t>rfp3609</t>
  </si>
  <si>
    <t>Social Deliberation: Democratic Deliberation Through Unbiased Social Interactions</t>
  </si>
  <si>
    <t>rfp3616</t>
  </si>
  <si>
    <t>SemaCDR: LLM-Powered Transferable Semantics for Cross-Domain Sequential Recommendation</t>
  </si>
  <si>
    <t>rfp3643</t>
  </si>
  <si>
    <t>LLM-Driven Semantic ID for Information Diffusion Prediction</t>
  </si>
  <si>
    <t>rfp3649</t>
  </si>
  <si>
    <t>Inferential Question Answering</t>
  </si>
  <si>
    <t>rfp3671</t>
  </si>
  <si>
    <t>KG-BiLM: Knowledge Graph Embedding via Bidirectional Language Models</t>
  </si>
  <si>
    <t>rfp3680</t>
  </si>
  <si>
    <t>Towards Geometry-Consistent Federated Graph Learning</t>
  </si>
  <si>
    <t>rfp3687</t>
  </si>
  <si>
    <t>Towards A Universal Graph Structural Encoder</t>
  </si>
  <si>
    <t>rfp3690</t>
  </si>
  <si>
    <t>PairSem: LLM-Guided Pairwise Semantic Matching for Scientific Document Retrieval</t>
  </si>
  <si>
    <t>rfp3714</t>
  </si>
  <si>
    <t>SoftHateBench: Evaluating Moderation Models Against Reasoning-Driven, Policy-Compliant Hostility</t>
  </si>
  <si>
    <t>rfp3715</t>
  </si>
  <si>
    <t>Tracing Belief-Driven Thoughts with Theory-of-Mind Agents: An Opinion Analysis Framework</t>
  </si>
  <si>
    <t>rfp3717</t>
  </si>
  <si>
    <t>Inferring Users’ Demographics and Sensitive Interests Using the Topics API</t>
  </si>
  <si>
    <t>rfp3723</t>
  </si>
  <si>
    <t>Exploration Sizing via Model-Predictive Control</t>
  </si>
  <si>
    <t>rfp3728</t>
  </si>
  <si>
    <t>Incentivizing Agentic Reasoning Capability with Outcome Supervision for Knowledge Base Question Answering</t>
  </si>
  <si>
    <t>rfp3729</t>
  </si>
  <si>
    <t>FedDis: A Causal Disentanglement Framework for Federated Traffic Prediction</t>
  </si>
  <si>
    <t>rfp3734</t>
  </si>
  <si>
    <t>Emergence of Structural Disparities in the Web of Scientific Citations</t>
  </si>
  <si>
    <t>rfp3736</t>
  </si>
  <si>
    <t>Dynamics of Human-AI Collective Knowledge on the Web: A Scalable Model and Insights for Sustainable Growth</t>
  </si>
  <si>
    <t>rfp3748</t>
  </si>
  <si>
    <t>IO-X: Detecting and Attributing Content-Duplicating Influence Operations on X (Twitter)</t>
  </si>
  <si>
    <t>rfp3755</t>
  </si>
  <si>
    <t>CogAgent: Self-Evolving Cognitive Agents for Multi-Source Fraud Detection in Heterogeneous Financial Networks</t>
  </si>
  <si>
    <t>rfp3759</t>
  </si>
  <si>
    <t>JANUS: A Dual-Constraint Generative Framework for Stealthy Node Injection Attacks</t>
  </si>
  <si>
    <t>rfp3763</t>
  </si>
  <si>
    <t>Causality Guided Representation Learning for Cross-Style Hate Speech Detection</t>
  </si>
  <si>
    <t>rfp3771</t>
  </si>
  <si>
    <t>Post-hoc Popularity Bias Correction in GNN-based Collaborative Filtering</t>
  </si>
  <si>
    <t>rfp3783</t>
  </si>
  <si>
    <t>The Algorithmic Self-Portrait:Deconstructing Memory in ChatGPT</t>
  </si>
  <si>
    <t>rfp3786</t>
  </si>
  <si>
    <t>Differentially Private Anonymous Bandits for Multi-User Systems</t>
  </si>
  <si>
    <t>rfp3788</t>
  </si>
  <si>
    <t>A Unified Framework for Rule Learning: Integrating Commonsense Knowledge from LLMs with Structured Knowledge from Knowledge Graphs</t>
  </si>
  <si>
    <t>rfp3795</t>
  </si>
  <si>
    <t>TaxoBell: Gaussian Box Embeddings for Self-Supervised Taxonomy Expansion</t>
  </si>
  <si>
    <t>rfp3807</t>
  </si>
  <si>
    <t>Stuart-Landau Oscillatory Graph Neural Network</t>
  </si>
  <si>
    <t>rfp3839</t>
  </si>
  <si>
    <t>Learning to Route: A Rule-Driven Agent Framework for Hybrid-Source Retrieval-Augmented Generation</t>
  </si>
  <si>
    <t>rfp3841</t>
  </si>
  <si>
    <t>VL-KGE: Vision–Language Models Meet Knowledge Graph Embeddings</t>
  </si>
  <si>
    <t>rfp3842</t>
  </si>
  <si>
    <t>Understanding Strategic Platform Entry and Seller Exploration: A Stackelberg Model</t>
  </si>
  <si>
    <t>rfp3846</t>
  </si>
  <si>
    <t>Identifying and Upweighting Power-Niche Users to Mitigate Popularity Bias in Recommendations</t>
  </si>
  <si>
    <t>rfp3851</t>
  </si>
  <si>
    <t>MixRAG : Mixture-of-Experts Retrieval-Augmented Generation for Textual Graph Understanding and Question Answering</t>
  </si>
  <si>
    <t>rfp3862</t>
  </si>
  <si>
    <t>DREAMS: A Social Exchange Theory-Informed Modeling of Misinformation Engagement on Social Media</t>
  </si>
  <si>
    <t>rfp3866</t>
  </si>
  <si>
    <t>A Structure-Agnostic Co-Tuning Framework for LLMs and SLMs in Cloud-Edge Systems</t>
  </si>
  <si>
    <t>rfp3893</t>
  </si>
  <si>
    <t>Inference Cost Attacks for Retrieval-Augmented Large Language Models</t>
  </si>
  <si>
    <t>rfp3899</t>
  </si>
  <si>
    <t>Reasoning by Exploration: A Unified Approach to Retrieval and Generation over Graphs</t>
  </si>
  <si>
    <t>rfp3901</t>
  </si>
  <si>
    <t>AdaQE-CG: Adaptive Query Expansion for Web-Scale Generative AI Model and Data Card Generation</t>
  </si>
  <si>
    <t>rfp3909</t>
  </si>
  <si>
    <t>Efficient Content-based Recommendation Model Training via Noise-aware Coreset Selection</t>
  </si>
  <si>
    <t>rfp3911</t>
  </si>
  <si>
    <t>Understanding Server-side Commercial Fingerprinting</t>
  </si>
  <si>
    <t>rfp3926</t>
  </si>
  <si>
    <t>DrunkAgent: Stealthy Memory Corruption in LLM-Powered Recommender Agents</t>
  </si>
  <si>
    <t>rfp3974</t>
  </si>
  <si>
    <t>SliceGX: Layer-wise GNN Explanation with Model-slicing</t>
  </si>
  <si>
    <t>rfp3981</t>
  </si>
  <si>
    <t>FediScan: Collaborative Social Bot Detection in the Fediverse</t>
  </si>
  <si>
    <t>rfp3988</t>
  </si>
  <si>
    <t>From Retrieval to Generation: Unifying External and Parametric Knowledge for Medical Question Answering</t>
  </si>
  <si>
    <t>rfp4002</t>
  </si>
  <si>
    <t>Learning to Evolve: Bayesian-Guided Continual Knowledge Graph Embedding</t>
  </si>
  <si>
    <t>rfp4011</t>
  </si>
  <si>
    <t>Cost-Aware Retrieval-Augmentation Reasoning Models with Adaptive Retrieval Depth</t>
  </si>
  <si>
    <t>rfp4030</t>
  </si>
  <si>
    <t>Dual-View Hypercube Alignment Framework for Open-World Entity Typing</t>
  </si>
  <si>
    <t>rfp4039</t>
  </si>
  <si>
    <t>WiNELL: Wikipedia Never-Ending Updating with LLM Agents</t>
  </si>
  <si>
    <t>rfp4054</t>
  </si>
  <si>
    <t>Counterfactual Meta-task Augmentation for Few-shot Graph Node Classification</t>
  </si>
  <si>
    <t>rfp4070</t>
  </si>
  <si>
    <t>Cross-Platform Narrative Prediction: Leveraging Platform-Invariant Discourse Networks</t>
  </si>
  <si>
    <t>rfp4073</t>
  </si>
  <si>
    <t>GlassMiner: Mining Looking Glass Services via Structure-Semantics Fusion for Web Observability</t>
  </si>
  <si>
    <t>rfp4081</t>
  </si>
  <si>
    <t>Characterizing Iran's Phased National Internet Shutdown in 2025: A Progressive and Distributed Action</t>
  </si>
  <si>
    <t>rfp4094</t>
  </si>
  <si>
    <t>Rethinking Soft Compression in Retrieval-Augmented Generation: A Query-Conditioned Selector Perspective</t>
  </si>
  <si>
    <t>rfp4097</t>
  </si>
  <si>
    <t>UrbanMoE: A Sparse Multi-Modal Mixture-of-Experts Framework for Multi-Task Urban Region Profiling</t>
  </si>
  <si>
    <t>rfp4098</t>
  </si>
  <si>
    <t>From Newborn to Impact: Bias-Aware Citation Prediction</t>
  </si>
  <si>
    <t>rfp4124</t>
  </si>
  <si>
    <t>The Double-Edged Sword of Knowledge Transfer: Diagnosing and Curing Fairness Pathologies in Cross-Domain Recommendation</t>
  </si>
  <si>
    <t>rfp4128</t>
  </si>
  <si>
    <t>Node Role-Guided LLMs for Dynamic Graph Clustering</t>
  </si>
  <si>
    <t>rfp4129</t>
  </si>
  <si>
    <t>SketchMind: Understanding Abstract Sketches with MLLMs for Fine-Grained Sketch-Based Image Retrieval</t>
  </si>
  <si>
    <t>rfp4131</t>
  </si>
  <si>
    <t>Navigating Truth in Multimodal Fact-checking via Retrieval- and Reasoning-Enhanced Large Language Models</t>
  </si>
  <si>
    <t>rfp4136</t>
  </si>
  <si>
    <t>Rethinking Graph Generalization through the Lens of Sharpness-Aware Minimization</t>
  </si>
  <si>
    <t>rfp4139</t>
  </si>
  <si>
    <t>Multi-modal Bipartite Graph Structure Learning with Information Bottleneck for Micro-video Recommendation</t>
  </si>
  <si>
    <t>rfp4140</t>
  </si>
  <si>
    <t>CLGNN: A Contrastive Learning-based GNN for Temporal Betweenness Prediction under Extreme Value Imbalance</t>
  </si>
  <si>
    <t>rfp4146</t>
  </si>
  <si>
    <t>HyperRAG: Reasoning N-ary Facts over Hypergraphs for Retrieval Augmented Generation</t>
  </si>
  <si>
    <t>rfp4167</t>
  </si>
  <si>
    <t>RARD: Rationale-First Blockwise Autoregressive Diffusion in Rationale‑Dominated Graph Generation</t>
  </si>
  <si>
    <t>rfp4172</t>
  </si>
  <si>
    <t>FedRMamba: Federated Residual Mamba for Multivariate Time-Series Forecasting</t>
  </si>
  <si>
    <t>rfp4197</t>
  </si>
  <si>
    <t>Unequal Vulnerability: The Differential Impact of Label Flipping Attacks Across Classes</t>
  </si>
  <si>
    <t>rfp4209</t>
  </si>
  <si>
    <t>Space-based Parameter Evolving with Lightweight Optimization for Graph Adaptation to Evolving Shifts</t>
  </si>
  <si>
    <t>rfp4227</t>
  </si>
  <si>
    <t>Evasion Under Blockchain Sanctions</t>
  </si>
  <si>
    <t>rfp4239</t>
  </si>
  <si>
    <t>Hyena Operator for Fast Sequential Recommendation</t>
  </si>
  <si>
    <t>rfp4245</t>
  </si>
  <si>
    <t>TopKGAT: A Top-K Objective-Driven Architecture for Recommendation</t>
  </si>
  <si>
    <t>rfp4260</t>
  </si>
  <si>
    <t>They Said Memes Were Harmless --- We Found the Ones That Hurt: Decoding Jokes, Symbols, and Cultural References</t>
  </si>
  <si>
    <t>rfp4268</t>
  </si>
  <si>
    <t>Towards Foundation Models for MMKG: Multi-Task Inductive Generalization via Task-Aware Routing</t>
  </si>
  <si>
    <t>rfp4281</t>
  </si>
  <si>
    <t>A Unified Framework for Context-Aware and Relation-Aware Graph Retrieval-Augmented Generation</t>
  </si>
  <si>
    <t>rfp4295</t>
  </si>
  <si>
    <t>From Manipulation to Mistrust: Explaining Diverse Micro-Video Misinformation for Robust Debunking in the Wild</t>
  </si>
  <si>
    <t>rfp4298</t>
  </si>
  <si>
    <t>Zero-Shot Forecasting of Network Dynamics through Weight Flow Matching</t>
  </si>
  <si>
    <t>rfp4319</t>
  </si>
  <si>
    <t>Prompt-Induced Linguistic Fingerprints for LLM-Generated Fake News Detection</t>
  </si>
  <si>
    <t>rfp4321</t>
  </si>
  <si>
    <t>AgenticShop: Benchmarking Agentic Product Curation for Personalized Web Shopping</t>
  </si>
  <si>
    <t>rfp4332</t>
  </si>
  <si>
    <t>BARouter: A Budget-adaptive Online Large Language Model Router Framework</t>
  </si>
  <si>
    <t>rfp4333</t>
  </si>
  <si>
    <t>CFVBench: A Comprehensive Video Benchmark for Fine-grained Multimodal Retrieval-Augmented Generation</t>
  </si>
  <si>
    <t>rfp4340</t>
  </si>
  <si>
    <t>Token-level Collaborative Alignment for LLM-based Generative Recommendation</t>
  </si>
  <si>
    <t>rfp4367</t>
  </si>
  <si>
    <t>Moral Outrage Shapes Commitments Beyond Attention: Multimodal Moral Emotions on YouTube in Korea and the US</t>
  </si>
  <si>
    <t>rfp4371</t>
  </si>
  <si>
    <t>Knowledge-Enhanced Multimodal Fake News Detection: Semantic Visual and Priority Fusion</t>
  </si>
  <si>
    <t>rfp4372</t>
  </si>
  <si>
    <t>RPO-RAG: Aligning Small LLMs with Relation-aware Preference Optimization for Knowledge Graph Question Answering</t>
  </si>
  <si>
    <t>rfp4373</t>
  </si>
  <si>
    <t>Dynamic Multi-period Experts for Online Time Series Forecasting</t>
  </si>
  <si>
    <t>rfp4414</t>
  </si>
  <si>
    <t>MemWeaver: A Hierarchical Memory from Textual Interactive Behaviors for Personalized Generation</t>
  </si>
  <si>
    <t>rfp4424</t>
  </si>
  <si>
    <t>Unlocking the Multilingual Long-Tail Web: A Fused Macro-Micro Framework for Scalable Content Analysis</t>
  </si>
  <si>
    <t>rfp4425</t>
  </si>
  <si>
    <t>Relational Database Distillation: From Structured Tables to Condensed Graph Data</t>
  </si>
  <si>
    <t>rfp4426</t>
  </si>
  <si>
    <t>AdVersa: Adversarially-Robust and Practical Ad and Tracker Blocking in the Wild</t>
  </si>
  <si>
    <t>rfp4450</t>
  </si>
  <si>
    <t>Taming the Long Tail: Efficient Item-wise Sharpness-Aware Minimization for LLM-based Recommender Systems</t>
  </si>
  <si>
    <t>rfp4474</t>
  </si>
  <si>
    <t>Unveiling the Underground Phishing Ecosystem: A 12-Year Longitudinal Study of Deep and Dark Web Forums</t>
  </si>
  <si>
    <t>rfp4486</t>
  </si>
  <si>
    <t>TRACE: Trajectory-Aware Comprehensive Evaluation for Deep Research Agents</t>
  </si>
  <si>
    <t>rfp4488</t>
  </si>
  <si>
    <t>LLMs Killed Q&amp;A Stars? Analyzing the Impact of LLM-Generated Answers on an Online Q&amp;A Platform</t>
  </si>
  <si>
    <t>rfp4490</t>
  </si>
  <si>
    <t>Stochastic Wage Suppression on Gig Platforms and How to Organize Against It</t>
  </si>
  <si>
    <t>rfp4498</t>
  </si>
  <si>
    <t>BLEND: Balanced and Leaf-Enhanced Dual Fine-Tuning for Taxonomy Completion</t>
  </si>
  <si>
    <t>rfp4499</t>
  </si>
  <si>
    <t>DynaFLUX: Implicit Dynamics-Preserving Reinforcement Learning for Topology-Free Influence Maximization</t>
  </si>
  <si>
    <t>rfp4535</t>
  </si>
  <si>
    <t>FedMHO: Heterogeneous One-Shot Federated Learning Towards Resource-Constrained Clients</t>
  </si>
  <si>
    <t>rfp4558</t>
  </si>
  <si>
    <t>YouChoose: A Lightweight Anonymous Proof of Account Ownership</t>
  </si>
  <si>
    <t>rfp4567</t>
  </si>
  <si>
    <t>Beyond Single Pass, Looping Through Time: KG-IRAG with Iterative Knowledge Retrieval</t>
  </si>
  <si>
    <t>ind0063</t>
  </si>
  <si>
    <t>GPU-accelerated Multi-relational Parallel Graph Retrieval for Web-scale Recommendations</t>
  </si>
  <si>
    <t>ind0322</t>
  </si>
  <si>
    <t>Enhancing Ride-Hailing Forecasting at DiDi with Multi-View Geospatial Representation Learning from the Web</t>
  </si>
  <si>
    <t>ind0179</t>
  </si>
  <si>
    <t>Beyond the Flat Sequence: Hierarchical and Preference-Aware Generative Recommendations</t>
  </si>
  <si>
    <t>ind0211</t>
  </si>
  <si>
    <t>From Sold-Out to Sales Uplift: Causal Inference for Intelligent Inventory Management on Online Travel Platforms</t>
  </si>
  <si>
    <t>ind0019</t>
  </si>
  <si>
    <t>PI2I: A Personalized Item-Based Collaborative Filtering Retrieval Framework</t>
  </si>
  <si>
    <t>ind0369</t>
  </si>
  <si>
    <t>LaV-CoT: Language-Aware Visual CoT with Multi-Aspect Reward Optimization for Multilingual Text-Centric VQA</t>
  </si>
  <si>
    <t>ind0269</t>
  </si>
  <si>
    <t>Probe-and-Fetch: Dynamic KV Cache Pruning for Accelerated Long-Context Inference in Web-Scale AI Search</t>
  </si>
  <si>
    <t>ind0062</t>
  </si>
  <si>
    <t>VeritasFi: An Adaptable, Multi-tiered RAG Framework for Multi-modal Financial Question Answering</t>
  </si>
  <si>
    <t>ind0338</t>
  </si>
  <si>
    <t>Visual Content Moderation in Messaging Systems</t>
  </si>
  <si>
    <t>ind0216</t>
  </si>
  <si>
    <t>NEZHA: A Zero-sacrifice and Hyperspeed Decoding Architecture for Generative Recommendations</t>
  </si>
  <si>
    <t>ind0051</t>
  </si>
  <si>
    <t>Self-Evolving LLMs via Continual Instruction Tuning</t>
  </si>
  <si>
    <t>ind0154</t>
  </si>
  <si>
    <t>TaoSR-AGRL: Adaptive Guided Reinforcement Learning Framework for E-commerce Search Relevance</t>
  </si>
  <si>
    <t>ind0108</t>
  </si>
  <si>
    <t>AliBoostV2: CTR-Growth Balanced Boosting Framework in Billion-Scale Recommendation Platform</t>
  </si>
  <si>
    <t>ind0325</t>
  </si>
  <si>
    <t>From Reasoning LLMs to BERT: A Two-Stage Distillation Framework for Search Relevance</t>
  </si>
  <si>
    <t>ind0237</t>
  </si>
  <si>
    <t>PLUM: Adapting Pre-trained Language Models for Industrial-scale Generative Recommendations</t>
  </si>
  <si>
    <t>ind0320</t>
  </si>
  <si>
    <t>Multilingual Reference Need Assessment System for Wikipedia</t>
  </si>
  <si>
    <t>ind0103</t>
  </si>
  <si>
    <t>Smart Eye: LLM-Guided Proposer-Verifier Framework for Industrial-Scale Log Anomaly Detection</t>
  </si>
  <si>
    <t>ind0162</t>
  </si>
  <si>
    <t>GAM: A Generative Auto-Marketing Framework in Online E-commerce Platforms</t>
  </si>
  <si>
    <t>ind0144</t>
  </si>
  <si>
    <t>Aligning Query Rewriting with Human Cognition and Preference in E-Commerce Search</t>
  </si>
  <si>
    <t>ind0059</t>
  </si>
  <si>
    <t>OpenDigger: A Practical Framework for Assessing Community Health and Sustainability in Open Source Collaboration Platforms</t>
  </si>
  <si>
    <t>ind0197</t>
  </si>
  <si>
    <t>Unleashing the Potential of Sparse Attention on Long-term Behaviors for CTR Prediction</t>
  </si>
  <si>
    <t>ind0194</t>
  </si>
  <si>
    <t>CardRewriter: Leveraging Knowledge Cards for Long-Tail Query Rewriting on Short-Video Platforms</t>
  </si>
  <si>
    <t>ind0067</t>
  </si>
  <si>
    <t>GRank: Towards Target-Aware and Streamlined Industrial Retrieval with a Generate-Rank Framework</t>
  </si>
  <si>
    <t>ind0163</t>
  </si>
  <si>
    <t>Make It Long, Keep It Fast: End-to-End 10k-Sequence Modeling at Billion Scale on Douyin</t>
  </si>
  <si>
    <t>ind0295</t>
  </si>
  <si>
    <t>Thinking Broad, Acting Fast: Latent Reasoning Distillation from Multi-Perspective Chain-of-Thought for E-Commerce Relevance</t>
  </si>
  <si>
    <t>ind0082</t>
  </si>
  <si>
    <t>Data-Driven Function Calling Improvements in Large Language Model for Online Financial QA</t>
  </si>
  <si>
    <t>ind0132</t>
  </si>
  <si>
    <t>URLBank: Data-Driven URL Discovery via Temporal Link Graphs</t>
  </si>
  <si>
    <t>ind0115</t>
  </si>
  <si>
    <t>Accurate and Efficient Personalized Query Rewriting in Baidu Search</t>
  </si>
  <si>
    <t>ind0285</t>
  </si>
  <si>
    <t>AFE-Master: Enhancing LLM-Driven Autonomous Feature Engineering with Domain-Specific Language Parsing and Guided Local Search</t>
  </si>
  <si>
    <t>ind0090</t>
  </si>
  <si>
    <t>ARADD: An Automatic Real-World API Discovery and Deployment Framework for AI Guide Service in Baidu Map</t>
  </si>
  <si>
    <t>ind0030</t>
  </si>
  <si>
    <t>A Generative Contextual Comprehension Paradigm for Takeout Ranking Model</t>
  </si>
  <si>
    <t>ind0026</t>
  </si>
  <si>
    <t>ARCHER: Shooting Straight in Multimodal E-Commerce Search at Alibaba with Progressive Alignment</t>
  </si>
  <si>
    <t>ind0081</t>
  </si>
  <si>
    <t>Multi-Domain Marker Aggregation for Threat Detection in Cloud Environments</t>
  </si>
  <si>
    <t>ind0088</t>
  </si>
  <si>
    <t>When Agents Trade: Live Multi-Market Trading Arena for LLM Agents</t>
  </si>
  <si>
    <t>ind0270</t>
  </si>
  <si>
    <t>Orchestration-Free Customer Service Automation: A Privacy-Preserving and Flowchart-Guided Framework</t>
  </si>
  <si>
    <t>ind0381</t>
  </si>
  <si>
    <t>Improving Multi Task Recommendations via Cross User Learning with a Hybrid Pointwise and Pairwise Ranking Loss</t>
  </si>
  <si>
    <t>ind0247</t>
  </si>
  <si>
    <t>Warmer for Less: A Cost-Efficient Strategy for Cold-Start Recommendations at Pinterest</t>
  </si>
  <si>
    <t>ind0208</t>
  </si>
  <si>
    <t>Not All Candidates are Created Equal: A Heterogeneity-Aware Approach to Pre-ranking in Recommender Systems</t>
  </si>
  <si>
    <t>ind0261</t>
  </si>
  <si>
    <t>Large Reasoning Embedding Models: Towards Next-Generation Dense Retrieval Paradigm</t>
  </si>
  <si>
    <t>ind0112</t>
  </si>
  <si>
    <t>Bridging Visual Dynamics and Narrative Reasoning: Multimodal Large Language Models for Short Drama Quality Assessment</t>
  </si>
  <si>
    <t>ind0371</t>
  </si>
  <si>
    <t>A Creator-Aware Recommendation System for Content Platforms</t>
  </si>
  <si>
    <t>ind0159</t>
  </si>
  <si>
    <t>Delay-Aware Graph Neural Stochastic Differential Equations for Financial Time Series Modeling and Forecasting</t>
  </si>
  <si>
    <t>ind0066</t>
  </si>
  <si>
    <t>A Long-term Value Prediction Framework In Video Ranking</t>
  </si>
  <si>
    <t>ind0188</t>
  </si>
  <si>
    <t>When Rules Fall Short: Agent-Driven Discovery of Emerging Content Issues in Short Video Platforms</t>
  </si>
  <si>
    <t>ind0055</t>
  </si>
  <si>
    <t>FRiskGPT: A Generative Foundation Model for Financial Risk Detection</t>
  </si>
  <si>
    <t>ind0374</t>
  </si>
  <si>
    <t>FishFlow: A LLM-Empowered Dynamic Pricing Framework for Online Fleamarket Platform</t>
  </si>
  <si>
    <t>ind0064</t>
  </si>
  <si>
    <t>LSIG: Long Semantic IDs for Generative Recommendation</t>
  </si>
  <si>
    <t>ind0191</t>
  </si>
  <si>
    <t>TRABL: A Unified Framework for Travel Domain Aspect-Based Sentiment Analysis Applications of Large Language Models</t>
  </si>
  <si>
    <t>ind0324</t>
  </si>
  <si>
    <t>Unbiased Multimodal Reranking for Long-Tail Short-Video Search</t>
  </si>
  <si>
    <t>ind0149</t>
  </si>
  <si>
    <t>iQ-Guard: An Effective and Noise-Resistant Framework for Graph Fraud Detection on iQIYI Platform</t>
  </si>
  <si>
    <t>ind0290</t>
  </si>
  <si>
    <t>OneTrans: Unified Feature Interaction and Sequence Modeling with One Transformer in Industrial Recommender</t>
  </si>
  <si>
    <t>ind0233</t>
  </si>
  <si>
    <t>Financial Wind Tunnel: A Retrieval-Augmented Market Simulator</t>
  </si>
  <si>
    <t>ind0363</t>
  </si>
  <si>
    <t>DG-MCTS: Dual-Guidance Monte Carlo Tree Search for Adaptive Emotional Support Dialogue Planning</t>
  </si>
  <si>
    <t>ind0137</t>
  </si>
  <si>
    <t>BanditLP: Large-Scale Stochastic Optimization for Personalized Recommendations</t>
  </si>
  <si>
    <t>ind0316</t>
  </si>
  <si>
    <t>From Modularity to Unity: Towards Industrial-Scale Generative Recommendation</t>
  </si>
  <si>
    <t>ind0097</t>
  </si>
  <si>
    <t>Hierarchical Semantic RL: Tackling the Problem of Dynamic Action Space for RL-based Recommendations</t>
  </si>
  <si>
    <t>ind0331</t>
  </si>
  <si>
    <t>GRADE: Personalized Multi-Task Fusion via Group-Relative Reinforcement Learning with Adaptive Dirichlet Exploration</t>
  </si>
  <si>
    <t>srp003</t>
  </si>
  <si>
    <t>DOS: Dual-Flow Orthogonal Semantic IDs for Recommendation in Meituan</t>
  </si>
  <si>
    <t>srp012</t>
  </si>
  <si>
    <t>RASTP: Representation-Aware Semantic Token Pruning for Generative Recommendation with Semantic Identifiers</t>
  </si>
  <si>
    <t>srp035</t>
  </si>
  <si>
    <t>Few-shot and Zero-shot Audience Expansion with User and Task Model Pre-training on Tabular Data</t>
  </si>
  <si>
    <t>srp037</t>
  </si>
  <si>
    <t>Learning To Generate Effective Health Advertisements</t>
  </si>
  <si>
    <t>srp040</t>
  </si>
  <si>
    <t>Decentralized in Name Only: The Centralization of DAO Labor</t>
  </si>
  <si>
    <t>srp062</t>
  </si>
  <si>
    <t>A Reinforcement Learning Based Hyper-Parameter Generation System Guided by LLM-Powered Virtual Users</t>
  </si>
  <si>
    <t>srp064</t>
  </si>
  <si>
    <t>DualGR: Generative Retrieval with Long and Short-Term Interests Modeling</t>
  </si>
  <si>
    <t>srp106</t>
  </si>
  <si>
    <t>Cascaded Verification Framework: A Progressive Approach for Mitigating Hallucinations in Large Language Models</t>
  </si>
  <si>
    <t>srp136</t>
  </si>
  <si>
    <t>Hidden-in-Plain-Text: A Benchmark for Social-Web Indirect Prompt Injection in RAG</t>
  </si>
  <si>
    <t>srp142</t>
  </si>
  <si>
    <t>Activation Caching for Retrieval-Augmented Generation</t>
  </si>
  <si>
    <t>srp145</t>
  </si>
  <si>
    <t>PH-EMO: Decoding Emotions from the Brain Inward – EEG-Grounded Multimodal Reasoning with LLMs</t>
  </si>
  <si>
    <t>srp152</t>
  </si>
  <si>
    <t>GPR: Empowering Generation with Graph-Pretrained Retriever</t>
  </si>
  <si>
    <t>srp155</t>
  </si>
  <si>
    <t>Graph Discrete Prompt Optimization for Knowledge Graph Question Answering</t>
  </si>
  <si>
    <t>srp163</t>
  </si>
  <si>
    <t>WITHDRAWN 1/29/26, email from chairs -- Exploring Latent Preference with Interest-Guided Collaborative Expansion for Multimodal Recommendation</t>
  </si>
  <si>
    <t>srp168</t>
  </si>
  <si>
    <t>Improving the Accuracy of Community Detection on Signed Networks via Community Refinement and Contrastive Learning</t>
  </si>
  <si>
    <t>srp182</t>
  </si>
  <si>
    <t>AIMER: Affective Intention-guided Multimodal Emotion Reasoner for Visual Emotion Analysis in Social Media</t>
  </si>
  <si>
    <t>srp193</t>
  </si>
  <si>
    <t>SIR-Teach: Student-Implicit Reward Teaching</t>
  </si>
  <si>
    <t>srp199</t>
  </si>
  <si>
    <t>Generative Retrieval for E‑commerce: Jointly Learning Embedding and Codebook with Same Product Cluster</t>
  </si>
  <si>
    <t>srp200</t>
  </si>
  <si>
    <t>Rethink Web Service Resilience in Space: A Radiation-Aware and Sustainable Transmission Solution</t>
  </si>
  <si>
    <t>srp205</t>
  </si>
  <si>
    <t>Access Controlled Website Interaction for Agentic AI with Delegated Critical Tasks</t>
  </si>
  <si>
    <t>srp224</t>
  </si>
  <si>
    <t>Infer As You Train: A Symmetric Paradigm of Masked Generative for Click-Through Rate Prediction</t>
  </si>
  <si>
    <t>srp225</t>
  </si>
  <si>
    <t>Learning Probabilistic Distributions for CTR Uncertainty</t>
  </si>
  <si>
    <t>srp228</t>
  </si>
  <si>
    <t>Structure Over Scale: Diagnosing Liquidity Fragility in Concentrated-Liquidity AMMs</t>
  </si>
  <si>
    <t>srp231</t>
  </si>
  <si>
    <t>Fedivertex: a Graph Dataset based on Decentralized Social Media</t>
  </si>
  <si>
    <t>srp244</t>
  </si>
  <si>
    <t>Cost Ratio Aware Algorithm for Representative Subset Selection</t>
  </si>
  <si>
    <t>srp261</t>
  </si>
  <si>
    <t>Let It Try First: Uncertainty-Guided Retrieval Switching for Retrieval-Augmented Question Answering</t>
  </si>
  <si>
    <t>srp266</t>
  </si>
  <si>
    <t>DiffusionGS: Generative Search with Query Conditioned Diffusion in Kuaishou</t>
  </si>
  <si>
    <t>srp281</t>
  </si>
  <si>
    <t>LLM Reasoning for Cold-Start Item Recommendation</t>
  </si>
  <si>
    <t>srp282</t>
  </si>
  <si>
    <t>Hierarchical Layer Attention with Contrastive Learning for Robust Audio Deepfake Detection</t>
  </si>
  <si>
    <t>srp284</t>
  </si>
  <si>
    <t>Online Bidding Algorithms with Strict Return on Spend (ROS) Constraint</t>
  </si>
  <si>
    <t>srp288</t>
  </si>
  <si>
    <t>OMGRec: One-time Matching-based Generative Rerank with Permutation-level Modeling in E-commerce</t>
  </si>
  <si>
    <t>srp290</t>
  </si>
  <si>
    <t>LPEdit: Locality-Preserving Knowledge Editing for MultiModal Large Language Models</t>
  </si>
  <si>
    <t>srp300</t>
  </si>
  <si>
    <t>Img2KG: Ontology-Driven Correction of Visual Triples</t>
  </si>
  <si>
    <t>srp301</t>
  </si>
  <si>
    <t>A Life‑Cycle Assessment of the Hidden Environmental Cost of Selfies</t>
  </si>
  <si>
    <t>srp303</t>
  </si>
  <si>
    <t>We May Not Need Much Visual Encoding of Web Data for Question Answering</t>
  </si>
  <si>
    <t>srp306</t>
  </si>
  <si>
    <t>CityVerse: A Unified Data Framework for Evaluating Large Language Models in Urban Computing</t>
  </si>
  <si>
    <t>srp312</t>
  </si>
  <si>
    <t>An Improved Combinatorial Algorithm for Edge-Colored Clustering in Hypergraphs</t>
  </si>
  <si>
    <t>srp319</t>
  </si>
  <si>
    <t>BitHeteroNet: A Heterogeneous Network Benchmark for Enhanced Anomaly Detection in Bitcoin Transactions</t>
  </si>
  <si>
    <t>srp322</t>
  </si>
  <si>
    <t>Feature-PI: A Data Repository for Learning-based Feature Importance Estimation</t>
  </si>
  <si>
    <t>srp333</t>
  </si>
  <si>
    <t>BiCare: Bi-Objective Set Similarity with Box Embeddings for Safe and Effective Healthcare Decision Support</t>
  </si>
  <si>
    <t>srp347</t>
  </si>
  <si>
    <t>ReMi-ReMath: A Reverse-Mutual Reasoning Framework for Enhancing Mathematical Thinking in Small Language Models</t>
  </si>
  <si>
    <t>srp354</t>
  </si>
  <si>
    <t>Beyond Isolated Clients: Integrating Graph-Based Embeddings into Event Sequence Models</t>
  </si>
  <si>
    <t>srp356</t>
  </si>
  <si>
    <t>GlotWeb: Web Indexing for Minority Languages</t>
  </si>
  <si>
    <t>srp367</t>
  </si>
  <si>
    <t>Graph Poisoning for Node Rank Manipulation</t>
  </si>
  <si>
    <t>srp377</t>
  </si>
  <si>
    <t>P-Aligner: Pre-Aligning LLMs via Principled Instruction Synthesis</t>
  </si>
  <si>
    <t>srp393</t>
  </si>
  <si>
    <t>Interaction-level Membership Inference Attack for Recommender Systems via Cluster-based User Modeling</t>
  </si>
  <si>
    <t>srp419</t>
  </si>
  <si>
    <t>CytoCrowd: A Multi-Annotator Benchmark Dataset for Cytology Image Analysis</t>
  </si>
  <si>
    <t>srp420</t>
  </si>
  <si>
    <t>FilterRec: An Intent-Aware Framework for Dynamic Filter Recommendation</t>
  </si>
  <si>
    <t>srp424</t>
  </si>
  <si>
    <t>MCP vs RAG vs NLWeb vs HTML: A Comparison of the Effectiveness and Efficiency of Different Agent Interfaces to the Web</t>
  </si>
  <si>
    <t>srp426</t>
  </si>
  <si>
    <t>SIT-KGED: Simply Inject Topology into LLM for Knowledge Graph Error Detection</t>
  </si>
  <si>
    <t>srp433</t>
  </si>
  <si>
    <t>ReFuGe: Feature Generation for Prediction Tasks on Relational Databases with LLM Agents</t>
  </si>
  <si>
    <t>srp443</t>
  </si>
  <si>
    <t>Suppression or Deletion: A Restoration-Based Representation-Level Analysis of Machine Unlearning</t>
  </si>
  <si>
    <t>srp444</t>
  </si>
  <si>
    <t>C^2-SFL:Class-Balanced and Cost-Aware Split Federated Learning for Mobile Edge Computing</t>
  </si>
  <si>
    <t>srp445</t>
  </si>
  <si>
    <t>SAGE-Prompt: Structured Attribution Guarded Explanation for Explainable Deepfake Question Answering</t>
  </si>
  <si>
    <t>srp448</t>
  </si>
  <si>
    <t>Multi-source Multi-level Multi-token Ethereum Dataset and Benchmark Platform</t>
  </si>
  <si>
    <t>srp455</t>
  </si>
  <si>
    <t>Is More Context Always Better? Examining LLM Reasoning Capability for Time Interval Prediction</t>
  </si>
  <si>
    <t>srp457</t>
  </si>
  <si>
    <t>Beyond Playtesting: A Generative Multi-Agent Simulation System for Massively Multiplayer Online Games</t>
  </si>
  <si>
    <t>srp460</t>
  </si>
  <si>
    <t>COINS: Semantic Ids Enhanced Cold Item Representation for Click-through Rate Prediction in E-commerce Search</t>
  </si>
  <si>
    <t>srp462</t>
  </si>
  <si>
    <t>AWMA-MoE: Attention-Guided Watermark Adapter with MoE for Latent Diffusion Models</t>
  </si>
  <si>
    <t>srp463</t>
  </si>
  <si>
    <t>Towards Responsible Recommendations: A Daily Updated Ranking Model for Content Issue Detection</t>
  </si>
  <si>
    <t>srp464</t>
  </si>
  <si>
    <t>ThinkTank-ME: A Multi-Expert Framework for Middle East Event Forecasting</t>
  </si>
  <si>
    <t>srp466</t>
  </si>
  <si>
    <t>An 8-Way Taxonomy for Multimodal Disinformation and Detection Benchmark</t>
  </si>
  <si>
    <t>srp470</t>
  </si>
  <si>
    <t>DTRec: Learning Dynamic Reasoning Trajectories for Sequential Recommendation</t>
  </si>
  <si>
    <t>srp481</t>
  </si>
  <si>
    <t>Machine Learning as a Service (MLaaS) Dataset Generator Framework for IoT Environments</t>
  </si>
  <si>
    <t>srp488</t>
  </si>
  <si>
    <t>Explainable Graph Sparsification with Shapley Values</t>
  </si>
  <si>
    <t>srp497</t>
  </si>
  <si>
    <t>Coarse-Fine: A Novel VPA Strategy for Boosting Resource Utilization of Transient Offline Tasks</t>
  </si>
  <si>
    <t>srp503</t>
  </si>
  <si>
    <t>PAOSC: Plug-and-play Attention Optimization for Semantic Consistency in LLMs</t>
  </si>
  <si>
    <t>srp504</t>
  </si>
  <si>
    <t>Breaking Semantic-Aware Watermarks via LLM-Guided Coherence-Preserving Semantic Injection</t>
  </si>
  <si>
    <t>srp508</t>
  </si>
  <si>
    <t>Anonymous Linear Bandits for Multi-User Systems</t>
  </si>
  <si>
    <t>srp512</t>
  </si>
  <si>
    <t>Efficient Learning of Sparse Representations from Interactions</t>
  </si>
  <si>
    <t>srp518</t>
  </si>
  <si>
    <t>Back to the Future: Look-ahead Augmentation and Parallel Self-Refinement for Time Series Forecasting</t>
  </si>
  <si>
    <t>srp528</t>
  </si>
  <si>
    <t>CGPT: Cluster-Guided Partial Tables with LLM-Generated Supervision for Table Retrieval</t>
  </si>
  <si>
    <t>srp539</t>
  </si>
  <si>
    <t>EDTF: A Plug-and-Play Learning Framework for Estimated Delivery Time Task</t>
  </si>
  <si>
    <t>srp560</t>
  </si>
  <si>
    <t>Understanding Post-Exploit Laundering Behavior on Ethereum</t>
  </si>
  <si>
    <t>srp571</t>
  </si>
  <si>
    <t>HAUTE: Harmonizing Action Units with Temporal-contextual Embeddings for Deepfake Detection</t>
  </si>
  <si>
    <t>srp572</t>
  </si>
  <si>
    <t>Auditing Textual Context in Sequence-Aware Explainable Recommendation</t>
  </si>
  <si>
    <t>srp578</t>
  </si>
  <si>
    <t>MACA: A Multi-Agent Cognitive Adaptation Framework for Human–Agent Collaborative Decision Making</t>
  </si>
  <si>
    <t>srp580</t>
  </si>
  <si>
    <t>Rethinking MoE with Retrieval-Memory Synergy: Towards Efficient Expert Coordination</t>
  </si>
  <si>
    <t>srp592</t>
  </si>
  <si>
    <t>Exploring Fine-Tuning for Tabular Foundation Models</t>
  </si>
  <si>
    <t>srp594</t>
  </si>
  <si>
    <t>MGK-RAG: Multi-Granularity Knowledge Guided Retrieval-Augmented Generation for Radiology Report</t>
  </si>
  <si>
    <t>srp610</t>
  </si>
  <si>
    <t>Do You Trust Me? Cognitive–Affective Signatures of Trustworthiness in Large Language Models</t>
  </si>
  <si>
    <t>srp612</t>
  </si>
  <si>
    <t>Active Retrieval-Augmented Generation with Conflict-Fused Uncertainty Quantification</t>
  </si>
  <si>
    <t>srp613</t>
  </si>
  <si>
    <t>Fact-Checking Strategies in Web: Lateral Navigation in the Browser Boosts Health Misinformation Detection Even Under Confirmation Bias</t>
  </si>
  <si>
    <t>srp616</t>
  </si>
  <si>
    <t>Revisiting IPS-based Algorithms for Off-Policy Evaluation of Contextual Bandits</t>
  </si>
  <si>
    <t>srp620</t>
  </si>
  <si>
    <t>SAGE-RAI: Design Patterns for Transparent RAG Systems</t>
  </si>
  <si>
    <t>srp627</t>
  </si>
  <si>
    <t>Towards Efficient and Interpretable Medical Concept Representation via Ontology-driven Residual Vector Quantization</t>
  </si>
  <si>
    <t>srp628</t>
  </si>
  <si>
    <t>Multi-Agent Collaborative Filtering: Orchestrating Users and Items for Agentic Recommendations</t>
  </si>
  <si>
    <t>srp637</t>
  </si>
  <si>
    <t>Tuning Qwen2.5-VL to Improve Its Web Interaction Skills</t>
  </si>
  <si>
    <t>srp640</t>
  </si>
  <si>
    <t>VK-LSVD: A Large-Scale Industrial Dataset for Short-Video Recommendation</t>
  </si>
  <si>
    <t>srp641</t>
  </si>
  <si>
    <t>NERdME: A Named Entity Recognition Dataset for Indexing Research Artifacts in Code Repositories</t>
  </si>
  <si>
    <t>srp642</t>
  </si>
  <si>
    <t>Beyond Item-Level Prediction: Fine-Grained CVR Modeling with Price SKU in E-Commerce Recommendation</t>
  </si>
  <si>
    <t>srp656</t>
  </si>
  <si>
    <t>Enhancing Trusted Multi-View Classification via Adaptive Regularization Guided by View-Specific Biases</t>
  </si>
  <si>
    <t>srp671</t>
  </si>
  <si>
    <t>Orion-Bix: Bi-Axial Attention for Tabular In-Context Learning</t>
  </si>
  <si>
    <t>srp676</t>
  </si>
  <si>
    <t>Truth with a Twist: The Rhetoric of Persuasion in Professional vs. Community-Authored Fact-Checks</t>
  </si>
  <si>
    <t>srp683</t>
  </si>
  <si>
    <t>Multi-Behavior Sequential Modeling with Transition-Aware Graph Attention Network for E-Commerce Recommendation</t>
  </si>
  <si>
    <t>srp689</t>
  </si>
  <si>
    <t>Vertical Semi-Federated Learning for Efficient Online Advertising</t>
  </si>
  <si>
    <t>srp694</t>
  </si>
  <si>
    <t>MiniAMIE: Quick and Dirty Rule Mining on Knowledge Graphs</t>
  </si>
  <si>
    <t>srp696</t>
  </si>
  <si>
    <t>How Graphs Can Help You Stay Informed in an Evolving World</t>
  </si>
  <si>
    <t>srp704</t>
  </si>
  <si>
    <t>What Is Your AI Agent Buying? Evaluation, Biases, Model Dependence, &amp; Emerging Implications of Agentic E-Commerce</t>
  </si>
  <si>
    <t>srp705</t>
  </si>
  <si>
    <t>PRISM: LLM-Guided Semantic Clustering for High-Precision Topics</t>
  </si>
  <si>
    <t>srp709</t>
  </si>
  <si>
    <t>CitiLink-Summ: A Dataset of Discussion Subjects Summaries in European Portuguese Municipal Meeting Minutes</t>
  </si>
  <si>
    <t>srp717</t>
  </si>
  <si>
    <t>Multi-Modal Enhanced Graph Transfer Learning for Digital Finance Fraud Detection</t>
  </si>
  <si>
    <t>srp718</t>
  </si>
  <si>
    <t>Designing for the Next Click: Bandits for Real-Time Page Layout</t>
  </si>
  <si>
    <t>srp726</t>
  </si>
  <si>
    <t>Deepfakes in the 2025 Canadian Election: Prevalence, Partisanship, and Platform Dynamics</t>
  </si>
  <si>
    <t>srp727</t>
  </si>
  <si>
    <t>Edit-Level Tracking of Narrative Changes in 10-K Filings</t>
  </si>
  <si>
    <t>srp740</t>
  </si>
  <si>
    <t>Real-Time Trend Prediction via Continually-Aligned LLM Query Generation</t>
  </si>
  <si>
    <t>srp742</t>
  </si>
  <si>
    <t>Uncertainty-Aware Web-Conditioned Scientific Fact-Checking</t>
  </si>
  <si>
    <t>srp745</t>
  </si>
  <si>
    <t>Towards Token-Level Text Anomaly Detection</t>
  </si>
  <si>
    <t>srp747</t>
  </si>
  <si>
    <t>llm-tuna - Hyperparameter Optimization for LLM Inference</t>
  </si>
  <si>
    <t>srp750</t>
  </si>
  <si>
    <t>From Random Forget-Sets to Realistic Natural-Language Deletion Requests</t>
  </si>
  <si>
    <t>srp757</t>
  </si>
  <si>
    <t>Retrieval Collapses When AI Pollutes the Web</t>
  </si>
  <si>
    <t>srp770</t>
  </si>
  <si>
    <t>Multimodal Topic Discovery in Web Media via von Mises-Fisher Mixture Neural Topic Models</t>
  </si>
  <si>
    <t>srp771</t>
  </si>
  <si>
    <t>Predicting Expectancy Violations Using Eye-Tracking Features: A Machine Learning Approach</t>
  </si>
  <si>
    <t>srp775</t>
  </si>
  <si>
    <t>SEER: Set Encoding for Efficient Representation in Large-Scale E-commerce</t>
  </si>
  <si>
    <t>srp776</t>
  </si>
  <si>
    <t>ReSuMe: Retriever-Summarizer Mutual Enhancement via Reinforcement Learning</t>
  </si>
  <si>
    <t>srp803</t>
  </si>
  <si>
    <t>Agent-Enhanced Heterogeneous Graph RAG for Academic Question Answering</t>
  </si>
  <si>
    <t>srp807</t>
  </si>
  <si>
    <t>Causal Pre-training Under the Fairness Lens: An Empirical Study of TabPFN</t>
  </si>
  <si>
    <t>srp814</t>
  </si>
  <si>
    <t>STAR: Semantic Table Representation with Header-Aware Clustering and Adaptive Weighted Fusion</t>
  </si>
  <si>
    <t>srp816</t>
  </si>
  <si>
    <t>ULoR: Uncertainty-Aware Leave-One-Out Refinement Framework for Diagnosis Prediction</t>
  </si>
  <si>
    <t>srp836</t>
  </si>
  <si>
    <t>Lurkers, Interactors, Creators: Modeling Behavioral and Ideological Diversity on X</t>
  </si>
  <si>
    <t>srp837</t>
  </si>
  <si>
    <t>Tabular Foundation Models are Strong Graph Anomaly Detectors</t>
  </si>
  <si>
    <t>srp859</t>
  </si>
  <si>
    <t>Weighted Reservoir Sampling with Replacement from Data Streams</t>
  </si>
  <si>
    <t>srp878</t>
  </si>
  <si>
    <t>Multi-field Balance-aware Calibration of Predictions in Online Advertising</t>
  </si>
  <si>
    <t>web1398</t>
  </si>
  <si>
    <t>They've Stolen My GPL-Licensed Model!': Toward Standardized and Transparent Model Licensing</t>
  </si>
  <si>
    <t>web1102</t>
  </si>
  <si>
    <t>(Mis-)Informed Consent: Predatory Apps and the Exploitation of Populations with Limited Literacy</t>
  </si>
  <si>
    <t>web1140</t>
  </si>
  <si>
    <t>Accurate Trajectory Recovery in Underserved Areas via Location Inference from Web Crowdsourced Data</t>
  </si>
  <si>
    <t>web1478</t>
  </si>
  <si>
    <t>AgriGPT-Omni: A Unified Speech–Vision–Text Framework for Multilingual Agricultural Intelligence</t>
  </si>
  <si>
    <t>web1397</t>
  </si>
  <si>
    <t>AlignCP: Noise-Aware Preference Alignment for LLMs via Confidence and Polarity Reweighting</t>
  </si>
  <si>
    <t>web1168</t>
  </si>
  <si>
    <t>AMID: Model-Agnostic Dataset Distillation by Adversarial Mutual Information Minimization</t>
  </si>
  <si>
    <t>web0137</t>
  </si>
  <si>
    <t>Audit‑of‑Audits for the Web: Bayesian Meta‑Evaluation that Yields Interval‑Valued, Threshold‑Aligned Fairness Claims</t>
  </si>
  <si>
    <t>web0480</t>
  </si>
  <si>
    <t>BalDRO: A Distributionally Robust Optimization based Framework for Large Language Model Unlearning</t>
  </si>
  <si>
    <t>web1210</t>
  </si>
  <si>
    <t>Belief-Driven Multi-Agent Collaboration via Approximate Perfect Bayesian Equilibrium for Social Simulation</t>
  </si>
  <si>
    <t>web1052</t>
  </si>
  <si>
    <t>Boosting Large Language Models for Mental Manipulation Detection via Data Augmentation and Distillation</t>
  </si>
  <si>
    <t>web1381</t>
  </si>
  <si>
    <t>Bowling with ChatGPT: On the Evolving User Interactions with Conversational AI Systems</t>
  </si>
  <si>
    <t>web1046</t>
  </si>
  <si>
    <t>Bridging Cognitive Neuroscience and Graph Intelligence: Hippocampus-Inspired Multi-View Hypergraph Learning for Web Finance Fraud</t>
  </si>
  <si>
    <t>web0939</t>
  </si>
  <si>
    <t>Bringing Reasoning to Generative Recommendation Through the Lens of Cascaded Ranking</t>
  </si>
  <si>
    <t>web1110</t>
  </si>
  <si>
    <t>CEAT: Context-Emotion Adversarial Training Framework for Robust Emotion-Driven Fraud Detection</t>
  </si>
  <si>
    <t>web1404</t>
  </si>
  <si>
    <t>COMA: A Collaborative Multi-Role Agent Framework for Automated Lesson Plan Generation</t>
  </si>
  <si>
    <t>web1045</t>
  </si>
  <si>
    <t>Communication-Efficient Federated Learning for Post-Flood Risk Assessment Using UAV Swarms</t>
  </si>
  <si>
    <t>web1070</t>
  </si>
  <si>
    <t>Community Fact-Checks Do Not Break Follower Loyalty</t>
  </si>
  <si>
    <t>web1185</t>
  </si>
  <si>
    <t>CompTox Ontology: Leveraging Knowledge Graphs for PFAS Monitoring and Decision-Making</t>
  </si>
  <si>
    <t>web1041</t>
  </si>
  <si>
    <t>Concept Relationship Embedding-Based Interactive Web Application for Explainable Medical Diagnosis</t>
  </si>
  <si>
    <t>web0505</t>
  </si>
  <si>
    <t>Consensus Stability of Community Notes on X</t>
  </si>
  <si>
    <t>web1254</t>
  </si>
  <si>
    <t>coTherapist: A Behavior-Aligned Small Language Model Framework to Support Mental Healthcare Experts</t>
  </si>
  <si>
    <t>web0149</t>
  </si>
  <si>
    <t>Credit and Power Co-evolution Modeling with Dynamic Graph Learning</t>
  </si>
  <si>
    <t>web1247</t>
  </si>
  <si>
    <t>Cross-Domain Fake News Detection on Unseen Domains via LLM-Based Domain-Aware User Modeling</t>
  </si>
  <si>
    <t>web1223</t>
  </si>
  <si>
    <t>Cross-Modal Rationale Transfer for Explainable Humanitarian Classification on Social Media</t>
  </si>
  <si>
    <t>web1211</t>
  </si>
  <si>
    <t>DAPWeb: Construct-Aligned Evaluation of MLLMs for Web-Based Child Mental Screening</t>
  </si>
  <si>
    <t>web0283</t>
  </si>
  <si>
    <t>Debating Truth: Debate-driven Claim Verification with Multiple Large Language Model Agents</t>
  </si>
  <si>
    <t>web1064</t>
  </si>
  <si>
    <t>Dynamic Min-Max Multi-Dimensional Reinforcement Backdoor Attacks and Orchestrated Closed-Loop Defense in Fairness-Aware Web Federated Finance</t>
  </si>
  <si>
    <t>web1072</t>
  </si>
  <si>
    <t>EcoThink: A Green Adaptive Inference Framework for Sustainable and Accessible Agents</t>
  </si>
  <si>
    <t>web0353</t>
  </si>
  <si>
    <t>Egocentric Co-Pilot: Web-Native Smart-Glasses Agents for Assistive Egocentric AI</t>
  </si>
  <si>
    <t>web1315</t>
  </si>
  <si>
    <t>EmeraldMind: A Knowledge Graph–Augmented Framework for Greenwashing Detection</t>
  </si>
  <si>
    <t>web0150</t>
  </si>
  <si>
    <t>Energy-Efficient Training-Free Zero-Inflation Correction for Rainfall Forecasting with Time-Series Foundation Models</t>
  </si>
  <si>
    <t>web1496</t>
  </si>
  <si>
    <t>Enhancing Content Moderation with LLMs: A Reddit Case Study on Evaluating and Refining Human Decisions</t>
  </si>
  <si>
    <t>web1228</t>
  </si>
  <si>
    <t>Enhancing Rare Event Detection via Counterfactual Generation with Exogenous Variables</t>
  </si>
  <si>
    <t>web1278</t>
  </si>
  <si>
    <t>Fair and Carbon-Aware LLM Routing for Web Services</t>
  </si>
  <si>
    <t>web1047</t>
  </si>
  <si>
    <t>Fairer AI Carbon Accounting: Incorporating Market-based Attribution and Uncertainty in Embodied and Operational Carbon Footprint</t>
  </si>
  <si>
    <t>web1290</t>
  </si>
  <si>
    <t>FairFRL: Fairness-aware Federated Representation Learning for Cross-domain Sequential Recommendation</t>
  </si>
  <si>
    <t>web1219</t>
  </si>
  <si>
    <t>FairGU: Fairness-aware Graph Unlearning in Social Networks</t>
  </si>
  <si>
    <t>web1298</t>
  </si>
  <si>
    <t>Fine-Grained Traceability for Transparent ML Pipelines</t>
  </si>
  <si>
    <t>web1408</t>
  </si>
  <si>
    <t>From Insight to Intervention: Interpretable Neuron Steering for Controlling Popularity Bias in Recommender Systems</t>
  </si>
  <si>
    <t>web1447</t>
  </si>
  <si>
    <t>From Native Memes to Global Moderation: Cross-Cultural Evaluation of Vision–Language Models for Hateful Meme Detection</t>
  </si>
  <si>
    <t>web1008</t>
  </si>
  <si>
    <t>From Words to Worlds: Measuring Cultural Narrative Bias in LLMs via a Structural–Value Pipeline</t>
  </si>
  <si>
    <t>web0966</t>
  </si>
  <si>
    <t>FUSED: Toward Federated Multimodal Retrieval across Sovereign Data Domains</t>
  </si>
  <si>
    <t>web1055</t>
  </si>
  <si>
    <t>Genomic-Informed Heterogeneous Graph Learning for Spatiotemporal Avian Influenza Outbreak Forecasting</t>
  </si>
  <si>
    <t>web1089</t>
  </si>
  <si>
    <t>GORAG: Graph-based Online Retrieval Augmented Generation for Dynamic Few-shot Social Media Text Classification</t>
  </si>
  <si>
    <t>web1281</t>
  </si>
  <si>
    <t>GRAND: A Robust Diffusion Framework for Multi-Granularity Graph Anomaly Detection in Web Platforms</t>
  </si>
  <si>
    <t>web1161</t>
  </si>
  <si>
    <t>Green Industrial Engineering on the Web: Agent-Driven Ant Colony Optimization Tuning for Energy-Efficient 3D Pipe Routing</t>
  </si>
  <si>
    <t>web1209</t>
  </si>
  <si>
    <t>GreenTune: Energy-Efficient Low-Rank Tuning of LLMs with ThreeE Evaluation under 4-/8-bit Quantization</t>
  </si>
  <si>
    <t>web1156</t>
  </si>
  <si>
    <t>HAAF: Hierarchical Adaptation and Alignment of Foundation Models for Few-Shot Pathology Anomaly Detection</t>
  </si>
  <si>
    <t>web1062</t>
  </si>
  <si>
    <t>HCSL: Rumor Detection by Integrating Intra-Sample Curriculum Learning and Hierarchical Semantic Learning</t>
  </si>
  <si>
    <t>web1150</t>
  </si>
  <si>
    <t>How Green Is Your Login? A Cross-Protocol Benchmark of Authentication Energy &amp; Latency</t>
  </si>
  <si>
    <t>web1189</t>
  </si>
  <si>
    <t>IndicAG: An Explainable Agentic Framework for Indic-Multilingual Multidimensional Aggression Detection</t>
  </si>
  <si>
    <t>web1207</t>
  </si>
  <si>
    <t>Intelli-Planner: Towards Customized Urban Planning via Large Language Model Empowered Reinforcement Learning</t>
  </si>
  <si>
    <t>web0926</t>
  </si>
  <si>
    <t>Invisible Walls in Cities: Designing LLM Agent to Predict Urban Segregation Experience with Social Media Content</t>
  </si>
  <si>
    <t>web1249</t>
  </si>
  <si>
    <t>K&amp;L: Penetrating Backdoor Defense with Key and Locks</t>
  </si>
  <si>
    <t>web1141</t>
  </si>
  <si>
    <t>Kardia-R1: Unleashing LLMs to Reason toward Understanding and Empathy for Emotional Support via Rubric-as-Judge Reinforcement Learning</t>
  </si>
  <si>
    <t>web1149</t>
  </si>
  <si>
    <t>Language-Guided Game-Theoretic Fairness in Web-Enabled Energy Networks</t>
  </si>
  <si>
    <t>web1356</t>
  </si>
  <si>
    <t>LEAP: LLM-Enhanced E-commerce Demand Prediction under Emergent Events</t>
  </si>
  <si>
    <t>web1366</t>
  </si>
  <si>
    <t>LLM Use for Mental Health: Crowdsourcing Users’ Sentiment-based Perspectives and Values from Social Discussions</t>
  </si>
  <si>
    <t>web1236</t>
  </si>
  <si>
    <t>Longitudinal Trends in Global Climate Change Discourse on Facebook</t>
  </si>
  <si>
    <t>web1204</t>
  </si>
  <si>
    <t>Mind the Ambiguity: Aleatoric Uncertainty Quantification in LLMs for Safe Medical Question Answering</t>
  </si>
  <si>
    <t>web0902</t>
  </si>
  <si>
    <t>Mining Citywide Dengue Spread Patterns in Singapore Through Hotspot Dynamics from Open Web Data</t>
  </si>
  <si>
    <t>web1243</t>
  </si>
  <si>
    <t>Mitigating Fine-tuning Bias: A Parameter-Efficient Debiasing Framework for Large Language Models</t>
  </si>
  <si>
    <t>web1406</t>
  </si>
  <si>
    <t>Modeling Multimodal Information Cascade on Social Media with Interpretable Mixture of Experts</t>
  </si>
  <si>
    <t>web1250</t>
  </si>
  <si>
    <t>MultiCheck: Strengthening Web Trust with Unified Multimodal Fact Verification</t>
  </si>
  <si>
    <t>web1051</t>
  </si>
  <si>
    <t>MultiHateLoc: Towards Temporal Localisation of Multimodal Hate Content in Online Videos</t>
  </si>
  <si>
    <t>web1343</t>
  </si>
  <si>
    <t>Multimodal Spatiotemporal Forecasting of Deepfake Propagation on Social Media</t>
  </si>
  <si>
    <t>web1138</t>
  </si>
  <si>
    <t>Online GPU Energy Optimization with Switching-Aware Bandits</t>
  </si>
  <si>
    <t>web0052</t>
  </si>
  <si>
    <t>Physics-Aware Multimodal Urban Heat Mapping with Open Web Imagery and Mobility Data</t>
  </si>
  <si>
    <t>web1410</t>
  </si>
  <si>
    <t>RegimeGuard: Continual Learning Queue Scheduling for Socially Critical Web Services</t>
  </si>
  <si>
    <t>web0929</t>
  </si>
  <si>
    <t>ReRule: Temporal Rule-Augmented Language Modeling for Causal Event Chain Completion</t>
  </si>
  <si>
    <t>web1258</t>
  </si>
  <si>
    <t>Route-and-Reason: Energy-Efficient Scaling of LLM Reasoning via Reinforced Model Routing</t>
  </si>
  <si>
    <t>web1167</t>
  </si>
  <si>
    <t>S²KT:Modeling Uncertainty in Knowledge Tracing via Semantic-aware Structured Gaussian Distributions</t>
  </si>
  <si>
    <t>web1282</t>
  </si>
  <si>
    <t>Safeguarding Children at Scale: Cost-Effective Multimodal LLM Detection of Inappropriate YouTube Advertising</t>
  </si>
  <si>
    <t>web1067</t>
  </si>
  <si>
    <t>SAGE: Sustainable Agent-Guided Expert-tuning for Culturally Attuned Translation in Low-Resource Southeast Asia</t>
  </si>
  <si>
    <t>web1255</t>
  </si>
  <si>
    <t>SEP-Attack: A Simple and Effective Paradigm for Transfer-Based Textual Adversarial Attack</t>
  </si>
  <si>
    <t>web1312</t>
  </si>
  <si>
    <t>SMART: A Social Movement Analysis &amp; Reasoning Tool with Case Studies on #MeToo and #BlackLivesMatter</t>
  </si>
  <si>
    <t>web1058</t>
  </si>
  <si>
    <t>Spiking Graph Predictive Coding for Reliable OOD Generalization</t>
  </si>
  <si>
    <t>web1218</t>
  </si>
  <si>
    <t>STPWR: A Spatiotemporal Prediction-based Worker Pre-Recruitment Framework for Mobile Crowd Sensing</t>
  </si>
  <si>
    <t>web0813</t>
  </si>
  <si>
    <t>StreamSense: Streaming Social Task Detection with Selective Vision–Language Model Routing</t>
  </si>
  <si>
    <t>web1113</t>
  </si>
  <si>
    <t>Sustainable and Responsible ECG-Based AI Diagnostics: Masked Frequency Reconstruction with Peak-Aware Transformers</t>
  </si>
  <si>
    <t>web0019</t>
  </si>
  <si>
    <t>The Chatbot Knows It’s You: Dialogue Attribution in Unauthenticated Human–LLM Sessions</t>
  </si>
  <si>
    <t>web1082</t>
  </si>
  <si>
    <t>TheraMind: A Strategic and Adaptive Agent for Longitudinal Psychological Counseling</t>
  </si>
  <si>
    <t>web1095</t>
  </si>
  <si>
    <t>Think Then Recommend: An LLM-Powered Multi-Agent Framework for Personalized Conversational Recommender System in E-Commerce</t>
  </si>
  <si>
    <t>web1048</t>
  </si>
  <si>
    <t>Toward Green Computing: General Carbon Intensity Forecasting via Dual Graph Empowered Time Series Foundation Model</t>
  </si>
  <si>
    <t>web1362</t>
  </si>
  <si>
    <t>Towards Fair Large Language Model-based Recommender Systems without Costly Retraining</t>
  </si>
  <si>
    <t>web1166</t>
  </si>
  <si>
    <t>Towards Glaucoma Screening in Decentralized Clinics: A Dynamic Expert-Assisted Domain-Incremental Approach</t>
  </si>
  <si>
    <t>web1169</t>
  </si>
  <si>
    <t>TravelReasoner: leveraging large reasoning models to address mobility data gap</t>
  </si>
  <si>
    <t>web1066</t>
  </si>
  <si>
    <t>Trust in One Round: Confidence Estimation for Large Language Models via Structural Signals</t>
  </si>
  <si>
    <t>web1104</t>
  </si>
  <si>
    <t>Understanding the Consequences of VTuber Reincarnation</t>
  </si>
  <si>
    <t>web1490</t>
  </si>
  <si>
    <t>Unleashing the Recommendation Power of Large Language Model via Progressive Best Subset Selection</t>
  </si>
  <si>
    <t>web1373</t>
  </si>
  <si>
    <t>VC-Soup: Value-Consistency Guided Multi-Value Alignment for Large Language Models</t>
  </si>
  <si>
    <t>web1303</t>
  </si>
  <si>
    <t>WED-Net: A Weather-Effect Disentanglement Network with Causal Augmentation for Urban Flow Prediction</t>
  </si>
  <si>
    <t>web1297</t>
  </si>
  <si>
    <t>When Ads Become Profiles: Uncovering the Invisible Risk of Web Advertising at Scale with LLMs</t>
  </si>
  <si>
    <t>web1159</t>
  </si>
  <si>
    <t>When to Invoke: Refining LLM Fairness with Toxicity Assessment</t>
  </si>
  <si>
    <t>web1165</t>
  </si>
  <si>
    <t>XInsight: Integrative Stage-Consistent Psychological Counseling Support Agents for Digital Well-Being</t>
  </si>
  <si>
    <t>srp601</t>
  </si>
  <si>
    <t>Linguistic Signatures for Enhanced Emotion Detection</t>
  </si>
  <si>
    <t>knt081</t>
  </si>
  <si>
    <t>WWW 2026 Keynote Talk by Pascale Fung (Title to be Determined, Update Title Prior to Completing Form)</t>
  </si>
  <si>
    <t>knt093</t>
  </si>
  <si>
    <t>WWW 2026 Keynote Talk by Alistair Moffat (Title to be Determined, Update Title Prior to Completing Form)</t>
  </si>
  <si>
    <t>des0065</t>
  </si>
  <si>
    <t>STIndex: A Context-Aware Multi-Dimensional Spatiotemporal Information Extraction System</t>
  </si>
  <si>
    <t>des0084</t>
  </si>
  <si>
    <t>SJBP: A Platform to Launch a Novel Jailbreak Attack on Large Language Models Based on Content's Spatial Distribution</t>
  </si>
  <si>
    <t>des0206</t>
  </si>
  <si>
    <t>Pattern Discovery with Wide-Lens Analysis and Sharp-Focus Validation</t>
  </si>
  <si>
    <t>des0336</t>
  </si>
  <si>
    <t>DualMind: Towards Understanding Cognitive-Affective Cascades in Public Opinion Dissemination via Multi-Agent Simulation</t>
  </si>
  <si>
    <t>des0461</t>
  </si>
  <si>
    <t>RISE: A Retrieval-Augmented Generation Enhanced Immersive System for Education</t>
  </si>
  <si>
    <t>des0502</t>
  </si>
  <si>
    <t>PromptX: A Cognitive Agent Platform with Long-term Memory</t>
  </si>
  <si>
    <t>des0759</t>
  </si>
  <si>
    <t>TrustResearcher: Automating Knowledge-Grounded and Transparent Research Ideation with Multi-Agent Collaboration</t>
  </si>
  <si>
    <t>des0910</t>
  </si>
  <si>
    <t>Multimodal Peer Review Simulation with Actionable To-Do Recommendations for Community-Aware Manuscript Revisions</t>
  </si>
  <si>
    <t>des0916</t>
  </si>
  <si>
    <t>Lang2Plan: An LLM-Powered Multi-Agent System for Building Layout Planning</t>
  </si>
  <si>
    <t>des0918</t>
  </si>
  <si>
    <t>NGCAPTCHA: A CAPTCHA Bridging the Past and the Future</t>
  </si>
  <si>
    <t>des0920</t>
  </si>
  <si>
    <t>G-SEIR: A Graph-Enhanced Epidemic Forecasting System for Dengue Intervention</t>
  </si>
  <si>
    <t>des0921</t>
  </si>
  <si>
    <t>SAMPLE: A Spatial/Channel-wise Attention GCN with MLP and Periodic Linear Encoding for Land Boundary Demarcation System</t>
  </si>
  <si>
    <t>des0925</t>
  </si>
  <si>
    <t>A Large Language Model-based Agent for Automated Machine Learning Workflow Construction</t>
  </si>
  <si>
    <t>des0940</t>
  </si>
  <si>
    <t>Deep Research Comparator: A Platform For Fine-grained Human Annotations of Deep Research Agents</t>
  </si>
  <si>
    <t>des0949</t>
  </si>
  <si>
    <t>Docs2Synth: A Synthetic Data Tuned Retriever Framework for Documents Understanding</t>
  </si>
  <si>
    <t>des0950</t>
  </si>
  <si>
    <t>GCAgent: Enhancing Group Chat Communication through Dialogue Agents System</t>
  </si>
  <si>
    <t>des0951</t>
  </si>
  <si>
    <t>CiteLLM: An Agentic Platform for Trustworthy Scientific Reference Discovery</t>
  </si>
  <si>
    <t>des0953</t>
  </si>
  <si>
    <t>A Framework for Continual Knowledge Graph Embedding</t>
  </si>
  <si>
    <t>des0958</t>
  </si>
  <si>
    <t>Roamify: An Interactive Browser Extension for Real-Time LLM-Based Travel Itinerary Generation</t>
  </si>
  <si>
    <t>des959</t>
  </si>
  <si>
    <t>PaperDebugger: A Plugin-Based Multi-Agent System for In-Editor Academic Writing, Review, and Editing</t>
  </si>
  <si>
    <t>des960</t>
  </si>
  <si>
    <t>DriftNavi: Talk through Your Data Drift with LLMs</t>
  </si>
  <si>
    <t>des965</t>
  </si>
  <si>
    <t>Implementation of a Metacognition Framework for Self-Awareness and Self-Regulation in Ensembles of LLMs</t>
  </si>
  <si>
    <t>des968</t>
  </si>
  <si>
    <t>BaiJia: An Open Role-Playing Platform of Chinese Historical Characters</t>
  </si>
  <si>
    <t>des974</t>
  </si>
  <si>
    <t>LegalKit: A Modular Toolkit for Efficient Legal AI Evaluation</t>
  </si>
  <si>
    <t>des978</t>
  </si>
  <si>
    <t>ECLAD: An Edge-Cloud Collaborative Agentic Framework for Interpretable Anomaly Detection in Predictive Maintenance</t>
  </si>
  <si>
    <t>des982</t>
  </si>
  <si>
    <t>PeeriScope: A Multi-Faceted Framework for Evaluating Peer Review Quality</t>
  </si>
  <si>
    <t>des987</t>
  </si>
  <si>
    <t>ARC: A Tool to Rate AI Models for Robustness Through a Causal Lens for Enabling Trustworthy Model Selection</t>
  </si>
  <si>
    <t>des994</t>
  </si>
  <si>
    <t>IntraAI: Bridging Human-AI Understanding Through Intelligent Interface Design</t>
  </si>
  <si>
    <t>des997</t>
  </si>
  <si>
    <t>Sumo x PyPSA: Interactive Web Demo of Real-Time Urban Power-Traffic Co-Simulation with Vehicle-to-Grid</t>
  </si>
  <si>
    <t>des998</t>
  </si>
  <si>
    <t>GreenWebInspector: A Tool for Real-Time Web Energy Efficiency Assessment</t>
  </si>
  <si>
    <t>des1003</t>
  </si>
  <si>
    <t>Swen: A Cross‑Platform Desktop Assistant for Instant and Personalized Large‑Language‑Model Interaction</t>
  </si>
  <si>
    <t>des1006</t>
  </si>
  <si>
    <t>Click-to-Ask: An AI Live Streaming Assistant with Offline Copywriting and Online Interactive QA</t>
  </si>
  <si>
    <t>des1012</t>
  </si>
  <si>
    <t>QueryGym: A Toolkit for Reproducible LLM-Based Query Reformulation</t>
  </si>
  <si>
    <t>des1017</t>
  </si>
  <si>
    <t>MetriKG: Profiling Static and Evolving Knowledge Graphs</t>
  </si>
  <si>
    <t>des1019</t>
  </si>
  <si>
    <t>TabTune: A Unified Library for Inference and Fine-Tuning Tabular Foundation Models</t>
  </si>
  <si>
    <t>des1025</t>
  </si>
  <si>
    <t>RobustReviewAI: A Robustness Evaluation System for AI-Powered Peer Review</t>
  </si>
  <si>
    <t>des1028</t>
  </si>
  <si>
    <t>LLM-Powered Structurer: Normalizing Natural Language to Information Delivery Specification for Industrial Data Exchange</t>
  </si>
  <si>
    <t>des1030</t>
  </si>
  <si>
    <t>OwlerLite: Scope- and Freshness-Aware Web Retrieval for LLM Assistants</t>
  </si>
  <si>
    <t>des1031</t>
  </si>
  <si>
    <t>Weakly Supervised Multimodal Claim Verification with Entity-Graph Inference</t>
  </si>
  <si>
    <t>des1034</t>
  </si>
  <si>
    <t>BLURR: A Boosted Low-Resource Inference for Vision-Language-Action Model</t>
  </si>
  <si>
    <t>tut158</t>
  </si>
  <si>
    <t>Temporal Information Retrieval And Question Answering in the Age of LLMs</t>
  </si>
  <si>
    <t>tut164</t>
  </si>
  <si>
    <t>Out-of-distribution Generalized Generative AI</t>
  </si>
  <si>
    <t>tut165</t>
  </si>
  <si>
    <t>Towards a Responsible Web: Economic Perspectives on Fairness in Information Retrieval</t>
  </si>
  <si>
    <t>tut176</t>
  </si>
  <si>
    <t>Collaborative LLM Agents for End-to-End Software Development</t>
  </si>
  <si>
    <t>tut177</t>
  </si>
  <si>
    <t>LLM-Enhanced Web-Centric Spatio-Temporal Intelligence: Methods, Applications, and Frontier Research</t>
  </si>
  <si>
    <t>tut179</t>
  </si>
  <si>
    <t>Quantum-Safe, Efficient, and AI-Enhanced Blockchains for the Web: A Cooperative Tutorial on Quantum Computing, Blockchain Applications, and Data Standards</t>
  </si>
  <si>
    <t>tut181</t>
  </si>
  <si>
    <t>Conversational Search: From Fundamentals to Frontiers in the Age of Agents</t>
  </si>
  <si>
    <t>tut184</t>
  </si>
  <si>
    <t>Bandits, LLMs, and Agentic Web</t>
  </si>
  <si>
    <t>tut185</t>
  </si>
  <si>
    <t>Unstructured to Structured: Building Knowledge Graphs from Documents for Web Applications</t>
  </si>
  <si>
    <t>tut186</t>
  </si>
  <si>
    <t>Foundations for the Agentic Web: Networked AI Agents in a Decentralized Architecture (NANDA)</t>
  </si>
  <si>
    <t>tut187</t>
  </si>
  <si>
    <t>Generalist Model for Structured Data: Foundations, Frontiers and Applications</t>
  </si>
  <si>
    <t>tut188</t>
  </si>
  <si>
    <t>Robust Graph Learning on the Web: Challenges, Methods, and Applications</t>
  </si>
  <si>
    <t>tut189</t>
  </si>
  <si>
    <t>Responsible Prompting on the Web: Governance, Mini-Evaluation, and Readiness with ChatGPT</t>
  </si>
  <si>
    <t>wk0400i</t>
  </si>
  <si>
    <t>6th International Workshop on Computational Methods for Online Discourse Analysis (BeyondFacts'26)</t>
  </si>
  <si>
    <t>wk0409s</t>
  </si>
  <si>
    <t>EmeraldApp: An AI-Driven Tool for Detecting Greenwashing in Sustainability Claims</t>
  </si>
  <si>
    <t>wk0434</t>
  </si>
  <si>
    <t>Towards Understanding Professional AI Assistant Use: Human-in-the-Loop Topic Modeling of Multi-turn Conversations</t>
  </si>
  <si>
    <t>wk0440</t>
  </si>
  <si>
    <t>Proactive Misinformation Forecasting via Incremental Topic Detection and Sentiment Polarization</t>
  </si>
  <si>
    <t>wk0900i</t>
  </si>
  <si>
    <t>The First Workshop on Graph-enhanced LLMs for trustwOrthy Web data management (GLOW’26)</t>
  </si>
  <si>
    <t>wk0953</t>
  </si>
  <si>
    <t>SMART: Spatio-Temporal Attention-based Large Language Model for Real-Time Traffic Prediction</t>
  </si>
  <si>
    <t>wk0954s (2)</t>
  </si>
  <si>
    <t>Incorporating Graph-Constrained RAG Pipeline for Medicine data</t>
  </si>
  <si>
    <t>wk0954s</t>
  </si>
  <si>
    <t>wk0955</t>
  </si>
  <si>
    <t>ConceptFormer: Towards Graph-Native Grounding of Large Language Models via Latent Concept Injection</t>
  </si>
  <si>
    <t>wk0957</t>
  </si>
  <si>
    <t>Better Negatives, Better Predictions: Negative Sample Selection Strategies for Enhancing Biomedical KG Edge Classification</t>
  </si>
  <si>
    <t>wk0958</t>
  </si>
  <si>
    <t>(wt) GC-DPG: Graph-Constrained Dual-Phase Generation for Safe and Verifiable Chinese Medical Question Answering</t>
  </si>
  <si>
    <t>wk0959</t>
  </si>
  <si>
    <t>ReGA: Zero-Overhead Graph Alignment for Structural Hallucination Detection Without Generation</t>
  </si>
  <si>
    <t>wk0960</t>
  </si>
  <si>
    <t>Reasoning in Trees: Improving Retrieval-Augmented Generation for Multi-Hop Question Answering</t>
  </si>
  <si>
    <t>wk1000i</t>
  </si>
  <si>
    <t>The 2nd Workshop on Human-Centered Recommender Systems</t>
  </si>
  <si>
    <t>wk1030</t>
  </si>
  <si>
    <t>Post-Training Fairness Control: A Single-Train Framework for Dynamic Fairness in Recommendation</t>
  </si>
  <si>
    <t>wk1031</t>
  </si>
  <si>
    <t>RecoWorld: Building Simulated Environments for Agentic Recommender Systems</t>
  </si>
  <si>
    <t>wk1032</t>
  </si>
  <si>
    <t>STCRank: Spatio-temporal Collaborative Ranking for Interactive Recommender System at Kuaishou E-shop</t>
  </si>
  <si>
    <t>wk1036s</t>
  </si>
  <si>
    <t>Fairness at a Glance: Can We Audit Model Fairness Before Training Completes?</t>
  </si>
  <si>
    <t>wk1037</t>
  </si>
  <si>
    <t>Orthogonal Meta-learning Boosted Bayesian Optimization for Uncertain Multi-Objective Recommendation</t>
  </si>
  <si>
    <t>wk1039</t>
  </si>
  <si>
    <t>Evaluating LLM Recommendations Under Stress</t>
  </si>
  <si>
    <t>wk1040</t>
  </si>
  <si>
    <t>Beyond Engagement: A Human-Centered Evaluation Framework for LLM-Powered Recommender Systems</t>
  </si>
  <si>
    <t>wk1043</t>
  </si>
  <si>
    <t>Knowledge Graph Editing Model for Enhancing Recommendation Systems</t>
  </si>
  <si>
    <t>wk1044s</t>
  </si>
  <si>
    <t>Learning to Alleviate Familiarity Bias in Video Recommendation</t>
  </si>
  <si>
    <t>wk1800i</t>
  </si>
  <si>
    <t>TIME 2026: 2nd International Workshop on Transformative Insights in Multi-faceted Evaluation</t>
  </si>
  <si>
    <t>wk1806</t>
  </si>
  <si>
    <t>Fine-Grained Visual Understanding for Multimodal and Trustworthy AI</t>
  </si>
  <si>
    <t>wk1807</t>
  </si>
  <si>
    <t>Decentralised Trust Layers for the Web: Towards Transparent AI-Powered Platforms</t>
  </si>
  <si>
    <t>wk1809</t>
  </si>
  <si>
    <t>Beyond Fine-Tuning: The Present and Future of Parameter-Efficient Fine-Tuning in Vision Transformers</t>
  </si>
  <si>
    <t>wk1812</t>
  </si>
  <si>
    <t>RadioAR: Autoregressive Modeling for Accurate Radio Map Estimation</t>
  </si>
  <si>
    <t>wk1813</t>
  </si>
  <si>
    <t>Evaluating Trustworthiness in Reactive Web Architectures: A Structured Framework and Comparative Analysis</t>
  </si>
  <si>
    <t>wk1815</t>
  </si>
  <si>
    <t>Rethinking Object Detection and Tracking</t>
  </si>
  <si>
    <t>wk1818</t>
  </si>
  <si>
    <t>An Edge Computing Framework for Deep Learning-Based Anomaly Detection in Satellite-Linked Autonomous Vehicles</t>
  </si>
  <si>
    <t>wk1819</t>
  </si>
  <si>
    <t>Privacy-Aware Machine Unlearning with SISA for Reinforcement Learning–Based Ransomware Detection</t>
  </si>
  <si>
    <t>wk1820</t>
  </si>
  <si>
    <t>How Quantum Period Finding Breaks Rivest Shamir Adleman Algorithms</t>
  </si>
  <si>
    <t>wk1822</t>
  </si>
  <si>
    <t>Guided Path Sampling: Steering Diffusion Models Back on Track with Principled Path Guidance</t>
  </si>
  <si>
    <t>wk1823</t>
  </si>
  <si>
    <t>Towards Better Evaluation Metrics for Text-to-Motion Generation</t>
  </si>
  <si>
    <t>wk1827</t>
  </si>
  <si>
    <t>Graph Aggregation Beyond Homophily Assumption: a more meaningful way to model networks</t>
  </si>
  <si>
    <t>wk1829</t>
  </si>
  <si>
    <t>Talking-Head Generation in Practice</t>
  </si>
  <si>
    <t>wk1835</t>
  </si>
  <si>
    <t>Feasibility of Cryptography In a Blockchain-Enhanced ICS Security</t>
  </si>
  <si>
    <t>wk2000i</t>
  </si>
  <si>
    <t>Workshop on Emerging Trends in Web Advertising</t>
  </si>
  <si>
    <t>wk2023</t>
  </si>
  <si>
    <t>Towards Automated Brand-Safety Detection: A Novel Dataset and Comparative Analysis of Language Models</t>
  </si>
  <si>
    <t>wk2025</t>
  </si>
  <si>
    <t>Feedback Control for Small Budget Campaigns in Advertising</t>
  </si>
  <si>
    <t>wk2027</t>
  </si>
  <si>
    <t>Calculating Narrative Tension for Ad Placement in Online Narrative Fiction</t>
  </si>
  <si>
    <t>wk2064</t>
  </si>
  <si>
    <t>Anatomy of Generative Scam Campaigns in Online Advertising Ecosystems</t>
  </si>
  <si>
    <t>wk2072</t>
  </si>
  <si>
    <t>Smart Fast Finish: Preventing Overdelivery via Daily Budget Pacing at DoorDash</t>
  </si>
  <si>
    <t>wk2300</t>
  </si>
  <si>
    <t>ZABAPAD 2026: 1st Workshop on Zero-knowledge Proof and Blockchain for WEB 4.0: Advancing the Post-quantum and Decentralized Era</t>
  </si>
  <si>
    <t>Economics Model for Federated LLM Training via Blockchain</t>
  </si>
  <si>
    <t>wk2303s</t>
  </si>
  <si>
    <t>Hadamard-Aware Bit-wise PIM Architecture via Butterfly Adder-Tree Reuse</t>
  </si>
  <si>
    <t>wk2304s</t>
  </si>
  <si>
    <t>A Taxonomy-Driven Cryptographic Dependency Inventory for Post-Quantum Migration in Decentralized Systems: Triage Rules and a Worked Example</t>
  </si>
  <si>
    <t>wk2308s</t>
  </si>
  <si>
    <t>Verifiable Dropout: Turning Randomness into a Verifiable Claim</t>
  </si>
  <si>
    <t>wk2310s</t>
  </si>
  <si>
    <t>Trustless Feedback: Preserving Privacy and Integrity in Crowdsourced RLHF via Zero-Knowledge Proofs</t>
  </si>
  <si>
    <t>wk2311s</t>
  </si>
  <si>
    <t>Blind-QEM: A Privacy-Preserving Framework for Quantum Error Mitigation via Zero-Knowledge Proofs</t>
  </si>
  <si>
    <t>wk2316</t>
  </si>
  <si>
    <t>PAC to the Future: Zero-Knowledge Proofs of PAC Private Systems</t>
  </si>
  <si>
    <t>wk2317</t>
  </si>
  <si>
    <t>SoK: Zero-Knowledge Proof Systems — An Empirical and Theoretical Comparison of SNARKs and STARKs</t>
  </si>
  <si>
    <t>wk2320s</t>
  </si>
  <si>
    <t>Decentralized Video Provenance at the Edge: Blockchain-Assisted Integrity for Security Camera Streams</t>
  </si>
  <si>
    <t>wk2321s</t>
  </si>
  <si>
    <t>Statistical Analysis of 12V Power Load Uncertainty Using Conditional Probability for SDV Energy Management</t>
  </si>
  <si>
    <t>wk2394s</t>
  </si>
  <si>
    <t>ZK-V: Zero-Knowledge Verification for Trustworthy Autonomous Driving Simulation</t>
  </si>
  <si>
    <t>wk2395s</t>
  </si>
  <si>
    <t>A USIM-less Identity Authentication System based on Zero-Knowledge Proofs</t>
  </si>
  <si>
    <t>wk2396</t>
  </si>
  <si>
    <t>Blockchain-Enabled, W3C Standards-Compliant Decentralized Zero-Knowledge Proof Framework for Mobile Identity Authentication</t>
  </si>
  <si>
    <t>wk2397s</t>
  </si>
  <si>
    <t>Learning-Based Optimization of Atomic Arbitrage in Decentralized Financial Systems</t>
  </si>
  <si>
    <t>wk2398s</t>
  </si>
  <si>
    <t>Spatial Discretization for Fine-Grain Zone Checks with STARKs</t>
  </si>
  <si>
    <t>wk2399s</t>
  </si>
  <si>
    <t>Now or Never: Continuous Surveillance AIoT System for Ephemeral Events in Intermittent Sensor Networks</t>
  </si>
  <si>
    <t>htw1500i</t>
  </si>
  <si>
    <t>Welcome from the History of the Web Track Chairs</t>
  </si>
  <si>
    <t>htw1524a</t>
  </si>
  <si>
    <t>Evolving Notions of Success on the Web: From Retrieval to Experience</t>
  </si>
  <si>
    <t>htw1525a</t>
  </si>
  <si>
    <t>From Lexical and Semantic to Predictive Search</t>
  </si>
  <si>
    <t>htw1526a</t>
  </si>
  <si>
    <t>On the Historic Roots of Agentic AI in Semantic Web Services</t>
  </si>
  <si>
    <t>wk1500i</t>
  </si>
  <si>
    <t>SemTech 2026: The 4th International Workshop on AI and Semantic Technologies for the Scientific, Technical, and Legal Web</t>
  </si>
  <si>
    <t>wk1568</t>
  </si>
  <si>
    <t>The LOPE Method: Improving Consistent Property Extraction for Scientific Knowledge Graphs Using LLMs</t>
  </si>
  <si>
    <t>wk1569</t>
  </si>
  <si>
    <t>ORKG Properties Ontology Consolidated: LLM-Driven Refinement of Crowdsourced Knowledge for Machine-Actionability</t>
  </si>
  <si>
    <t>wk1571</t>
  </si>
  <si>
    <t>Beyond the Rules: Understanding the Design Logic of Internet Standards</t>
  </si>
  <si>
    <t>wk1573</t>
  </si>
  <si>
    <t>The Atomic Instruction Gap: Instruction-Tuned LLMs Struggle with Simple, Self-Contained Directives</t>
  </si>
  <si>
    <t>wk1574</t>
  </si>
  <si>
    <t>Saliency-Guided Embedding Alignment for Query-to-Document Legal Case Retrieval</t>
  </si>
  <si>
    <t>wk0600i</t>
  </si>
  <si>
    <t>The 1st International Workshop on Foundations and Architectures for the Agentic Web</t>
  </si>
  <si>
    <t>wk0603s</t>
  </si>
  <si>
    <t>Real-Time Procedural Learning From Experience for AI Agents</t>
  </si>
  <si>
    <t>wk0614s</t>
  </si>
  <si>
    <t>SemaReg: Semantic Service Registry for Resilient IoTWorkflow Orchestration in Edge Computing Environments</t>
  </si>
  <si>
    <t>wk0624s</t>
  </si>
  <si>
    <t>On the Economic and Governance Mechanisms for the Agentic Web: A Global South Perspective</t>
  </si>
  <si>
    <t>wk0654s</t>
  </si>
  <si>
    <t>An Agentic System for Automated Polymer Property Prediction in Low-Code Environments</t>
  </si>
  <si>
    <t>wk0654s (2)</t>
  </si>
  <si>
    <t>wk0658s</t>
  </si>
  <si>
    <t>Can Large Language Models Govern Themselves? A Technical, Ethical, and Governance Perspective</t>
  </si>
  <si>
    <t>wk0659s</t>
  </si>
  <si>
    <t>A Prompt-Aware Structuring Framework for Reliable Reuse of AI-Generated Content in the Agentic Web</t>
  </si>
  <si>
    <t>wk0660s</t>
  </si>
  <si>
    <t>WAB: Overcoming Memory, Network, and Security Walls in Native Agentic Browsers with WebAssembly</t>
  </si>
  <si>
    <t>wk0661s</t>
  </si>
  <si>
    <t>How to Measure Node Importance in the Agentic Web</t>
  </si>
  <si>
    <t>wk1600</t>
  </si>
  <si>
    <t>16th Temporal Web Analytics Workshop (TempWeb)</t>
  </si>
  <si>
    <t>wk1607</t>
  </si>
  <si>
    <t>SLS: A Scalable Logic Subgraph Framework for Temporal Web Analytics and Hybrid Search</t>
  </si>
  <si>
    <t>wk1608</t>
  </si>
  <si>
    <t>Scalable Anomaly Detection for Temporal Web Streams via Approximate Nearest Neighbor Search</t>
  </si>
  <si>
    <t>wk1635</t>
  </si>
  <si>
    <t>Community-Preserving Temporal Graph Backboning via Joint Spectral Analysis of Laplacians</t>
  </si>
  <si>
    <t>wk1636</t>
  </si>
  <si>
    <t>The State of the Internet: Insights from Security Indicators</t>
  </si>
  <si>
    <t>wk1639</t>
  </si>
  <si>
    <t>MiningWeb Evolution: A Dataset of DOM Changes Across Websites</t>
  </si>
  <si>
    <t>wk1675</t>
  </si>
  <si>
    <t>ImVision: Adapting Pretrained Vision Models for Time-Series Imputation</t>
  </si>
  <si>
    <t>wk1676</t>
  </si>
  <si>
    <t>Using Psycholinguistic Features for Multiplex Community Detection in Temporal Social Networks</t>
  </si>
  <si>
    <t>wk1677</t>
  </si>
  <si>
    <t>PerQA: A Benchmark for Temporally Sensitive Questions on Heterogeneous Personal Data</t>
  </si>
  <si>
    <t>wk1678</t>
  </si>
  <si>
    <t>Benchmarking Temporal Web3 Intelligence: Lessons from the FinSurvival 2025 Challenge</t>
  </si>
  <si>
    <t>wk1680</t>
  </si>
  <si>
    <t>Suicide Risk Prediction via Comment‑Influenced Mental State Trajectories</t>
  </si>
  <si>
    <t>wk1683s</t>
  </si>
  <si>
    <t>Temporal Challenges in Data-Driven Scenario-Building for Climate-Neutral Cities</t>
  </si>
  <si>
    <t>wk1200i</t>
  </si>
  <si>
    <t>Multimodal Content Analysis for Social Good</t>
  </si>
  <si>
    <t>wk1225</t>
  </si>
  <si>
    <t>Concept-Grounded Detection of Vaccine Misinformation in Multimodal Content Using Interpretable Vision-Language Models</t>
  </si>
  <si>
    <t>wk1242</t>
  </si>
  <si>
    <t>UniSafe: Modality-Agnostic Hateful Content Detection via Shared-Space Projection</t>
  </si>
  <si>
    <t>wk1246</t>
  </si>
  <si>
    <t>Frugal Agents: Efficient Bio Reasoning via Long-Sequence Compression and Prompt-Gated Memory</t>
  </si>
  <si>
    <t>wk1262</t>
  </si>
  <si>
    <t>Fair Geolocation Extraction from Humanitarian Documents Using Large Language Models</t>
  </si>
  <si>
    <t>wk1265</t>
  </si>
  <si>
    <t>From Code to Rubrics: A Multimodal Evaluation of LLM Systems for Automated Feedback Generation</t>
  </si>
  <si>
    <t>wk1267</t>
  </si>
  <si>
    <t>MAF-GAN: Modality-Aware Fusion GAN for Multimodal Fake News Detection</t>
  </si>
  <si>
    <t>wk1276</t>
  </si>
  <si>
    <t>Multimodal Deployment Risks in Manufacturing AI: A Survey of Boundary Failures, Taxonomy, and Governance in Industry 5.0</t>
  </si>
  <si>
    <t>wk1278</t>
  </si>
  <si>
    <t>Fed-S2: Adversarially Disentangled Federated Multimodal RAG for Safety-Critical Long-Tail Fault Diagnosis</t>
  </si>
  <si>
    <t>wk1279</t>
  </si>
  <si>
    <t>No Evidence, No Problem: When Less is More for Out of Context Multimodal Misinformation Detection</t>
  </si>
  <si>
    <t>wk1288</t>
  </si>
  <si>
    <t>Do You Think What I Think? A Qualitative Study for Maximising User Engagement through Latent Visual Properties</t>
  </si>
  <si>
    <t>wk1289</t>
  </si>
  <si>
    <t>Exploring the Influence of Lifestyle, Social Health, and Demographic Factors on Psychological Well-being and Engagement Levels</t>
  </si>
  <si>
    <t>wk1290</t>
  </si>
  <si>
    <t>Can Thinking Models Think to Detect Hateful Memes?</t>
  </si>
  <si>
    <t>wk1291</t>
  </si>
  <si>
    <t>Semi-supervised Instruction Tuning for Large Language Models on Text-Attributed Graphs</t>
  </si>
  <si>
    <t>wk1293</t>
  </si>
  <si>
    <t>Analyzing the Impact of Image Novelty and Text Emotion on Meme Engagement</t>
  </si>
  <si>
    <t>wk0200i</t>
  </si>
  <si>
    <t>AiOfAi: 4th Workshop on Adverse Impacts and Collateral Effects of Artificial Intelligence Technologies</t>
  </si>
  <si>
    <t>wk0201</t>
  </si>
  <si>
    <t>Prompt Scene Investigation: Uncovering the Evidence in LLMs</t>
  </si>
  <si>
    <t>wk0202s</t>
  </si>
  <si>
    <t>DEMO: Ontology-Based Automated Security Analysis for AI Systems and Applications</t>
  </si>
  <si>
    <t>wk0203</t>
  </si>
  <si>
    <t>Industrialized Deception: The Collateral Effects of LLM-Generated Misinformation on Digital Ecosystems</t>
  </si>
  <si>
    <t>wk0296</t>
  </si>
  <si>
    <t>Age Classification in Child Sexual Abuse Materials</t>
  </si>
  <si>
    <t>wk0297s</t>
  </si>
  <si>
    <t>The More You Say, the More You Risk: Ethical Concerns in Large Language Model Reasoning Frameworks</t>
  </si>
  <si>
    <t>wk0298s</t>
  </si>
  <si>
    <t>The Agentic Insider: Redefining Insider Threats Beyond Human Actors in Autonomous AI Systems</t>
  </si>
  <si>
    <t>wk0299</t>
  </si>
  <si>
    <t>Assessing the Reliability of Persona-Conditioned LLMs as Synthetic Survey Respondents</t>
  </si>
  <si>
    <t>wk1400i</t>
  </si>
  <si>
    <t>The 2nd Workshop on Social Science Meets Web Data: Reproducible and Reusable Computational Approaches (R2CASS)</t>
  </si>
  <si>
    <t>wk1412k</t>
  </si>
  <si>
    <t>From Code to Executable Method: Making Your Code Both Methods Hub and MyBinder Ready</t>
  </si>
  <si>
    <t>wk1480</t>
  </si>
  <si>
    <t>Who Shapes Web Standards? Uncovering the Main Topics of Interest in the W3C</t>
  </si>
  <si>
    <t>wk1483</t>
  </si>
  <si>
    <t>The Verification Crisis: Expert Perceptions of GenAI Disinformation and the Case for Reproducible Provenance</t>
  </si>
  <si>
    <t>wk1484</t>
  </si>
  <si>
    <t>Automating Computational Reproducibility in Social Science: Comparing Prompt-Based and Agent-Based Approaches</t>
  </si>
  <si>
    <t>wk0300i</t>
  </si>
  <si>
    <t>Augmented Intelligence in Technology-Assisted Review Systems (ALTARS 2026)</t>
  </si>
  <si>
    <t>wk0364</t>
  </si>
  <si>
    <t>Early Recall Estimation and Stopping in Technology-Assisted Reviews via Ranker-Sampler Fusion</t>
  </si>
  <si>
    <t>wk0381s</t>
  </si>
  <si>
    <t>Deep GraphRAG: A Balanced Approach to Hierarchical Retrieval and Adaptive Integration</t>
  </si>
  <si>
    <t>wk0386s</t>
  </si>
  <si>
    <t>Train Large-Use Small: Optimizing within the Theoretical Limits of Embedding-based Retrieval</t>
  </si>
  <si>
    <t>wk0387</t>
  </si>
  <si>
    <t>Towards Automating Articles Screening Processes Using Chain-of-Thought Large Language Models</t>
  </si>
  <si>
    <t>wk0100i</t>
  </si>
  <si>
    <t>1st Workshop on Applied AI and Multimodal Visualization Technologies (AAIMVT 2026)</t>
  </si>
  <si>
    <t>wk0104</t>
  </si>
  <si>
    <t>VOICY: A Privacy-Centric Modular Architecture for Zero-Shot Voice Cloning and Fine-Tuned Speech Synthesis</t>
  </si>
  <si>
    <t>wk0169</t>
  </si>
  <si>
    <t>Bridging the Semantic Gap: A Homonym-Aware Ontology Platform for Cybersecurity Interoperability</t>
  </si>
  <si>
    <t>wk0170</t>
  </si>
  <si>
    <t>Spatial-Temporal Inference of Indoor RSSI and CQI for 3D Coverage Mapping using Dynamic Graph Attention Networks</t>
  </si>
  <si>
    <t>wk0171</t>
  </si>
  <si>
    <t>Viet Medi Species 2026: A Web-Accessible Multilingual Dataset for Vietnamese Medicinal Biodiversity</t>
  </si>
  <si>
    <t>wk0182</t>
  </si>
  <si>
    <t>Robust Harmful Meme Detection under Missing Modalities via Shared Representation Learning</t>
  </si>
  <si>
    <t>wk1100</t>
  </si>
  <si>
    <t>LLM and Agents for Recommendation Systems (LARS)</t>
  </si>
  <si>
    <t>wk1103</t>
  </si>
  <si>
    <t>LLM-augmented Hybrid Recommendation System for Structured Classification of Customs Commodity Descriptions</t>
  </si>
  <si>
    <t>wk1108</t>
  </si>
  <si>
    <t>GALRec: Aligning Graph with Large Language Model for Sequential Recommendation</t>
  </si>
  <si>
    <t>wk1111</t>
  </si>
  <si>
    <t>Smart Book Seeker: Agent-Augmented Retrieval System for Metadata-Sparse Libraries</t>
  </si>
  <si>
    <t>wk1115</t>
  </si>
  <si>
    <t>Ethical Decision-Making under Moral Uncertainty</t>
  </si>
  <si>
    <t>wk1116</t>
  </si>
  <si>
    <t>Triple Modality Fusion: Aligning Visual, Textual, and Graph Data for LLM-based Multi-Behavior Recommender Systems</t>
  </si>
  <si>
    <t>wk1117</t>
  </si>
  <si>
    <t>AID: Hypothesis-Grounded Probing for Conversational Recommendation</t>
  </si>
  <si>
    <t>wk1121</t>
  </si>
  <si>
    <t>LLMs as Orchestrators: Constraint-Compliant Multi-Agent Optimization for Recommendation Systems</t>
  </si>
  <si>
    <t>wk1122</t>
  </si>
  <si>
    <t>RobustExplain: Evaluating Robustness of LLM-Based Explanation Agents for Recommendation</t>
  </si>
  <si>
    <t>wk1123</t>
  </si>
  <si>
    <t>Campaign-2-PT-RAG: LLM-Guided Semantic Product Type Attribution for Scalable Campaign Ranking</t>
  </si>
  <si>
    <t>wk1113s</t>
  </si>
  <si>
    <t>TCR: A Trust-Aligned Text-Only Cross-Attention Ranker Distilling Multimodal LLM Reasoning for Recommendation Agents</t>
  </si>
  <si>
    <t>wk1126s</t>
  </si>
  <si>
    <t>SCORE: Story Coherence and Retrieval Enhancement for AI Narratives</t>
  </si>
  <si>
    <t>Trustworthy Foundation Models for Web Intelligence: Causal Perspectives and Challenges</t>
  </si>
  <si>
    <t>wk1705</t>
  </si>
  <si>
    <t>Eroding the Truth-Default: A Causal Analysis of Human Susceptibility to Foundation Model Hallucinations and Disinformation in the Wild</t>
  </si>
  <si>
    <t>wk1707</t>
  </si>
  <si>
    <t>LLM and AI Agent: Golden Rule is All We Need</t>
  </si>
  <si>
    <t>wk1713</t>
  </si>
  <si>
    <t>Hierarchical Prompt Contrastive Learning for Weakly Supervised Histopathology Segmentation</t>
  </si>
  <si>
    <t>wk1719</t>
  </si>
  <si>
    <t>TRACE: Transparent Web Reliability Assessment with Contextual Explanations</t>
  </si>
  <si>
    <t>wk1720</t>
  </si>
  <si>
    <t>Multi-Branch Cooperation Networks for Enhanced Click-Through Rate Prediction in Large-Scale E-Commerce Search</t>
  </si>
  <si>
    <t>wk1721</t>
  </si>
  <si>
    <t>Struggling at the Start: Structural Causes of Decoding Difficulty in Code Generation</t>
  </si>
  <si>
    <t>International Workshop on Trustworthy Multimodal Learning for Social Media Analysis</t>
  </si>
  <si>
    <t>wk1926</t>
  </si>
  <si>
    <t>GeoPBR: Multimodal-Guided PBR Material Generation from a Single View</t>
  </si>
  <si>
    <t>wk1927</t>
  </si>
  <si>
    <t>HGSA: Heterogeneity-Guided Sarcasm Adaptation for Video Sentiment Analysis via Polarity Disentanglement</t>
  </si>
  <si>
    <t>wk1928</t>
  </si>
  <si>
    <t>Sparse Causal Latent Features for Robust Multimodal Learning under Distribution Shifts</t>
  </si>
  <si>
    <t>wk1929s</t>
  </si>
  <si>
    <t>Evidential Mixture-of-Experts for Sentiment Regression</t>
  </si>
  <si>
    <t>wk1931</t>
  </si>
  <si>
    <t>PLM: Point-Language Maps for Zero-shot Object Goal Navigation</t>
  </si>
  <si>
    <t>wk1932s</t>
  </si>
  <si>
    <t>Task-Aligned Unlearning for Multimodal Large Language Models</t>
  </si>
  <si>
    <t>wk1934</t>
  </si>
  <si>
    <t>Unsupervised Multi-Source Causal Feature Selection</t>
  </si>
  <si>
    <t>wk1935</t>
  </si>
  <si>
    <t>EmoTg: Modeling Social Response to Telegram Posts Using LLM and NLP Features</t>
  </si>
  <si>
    <t>wk2100i</t>
  </si>
  <si>
    <t>WebAndTheCity 12th International Smart City Workshop - Data-Driven Smart Cities</t>
  </si>
  <si>
    <t>wk2109</t>
  </si>
  <si>
    <t>A Toolset for Modelling Non-Mediated Governance</t>
  </si>
  <si>
    <t>wk2110</t>
  </si>
  <si>
    <t>Boltzmann Interaction Models with Gibbs Decision Policies in Multi-Agent Delivery Systems</t>
  </si>
  <si>
    <t>wk2111</t>
  </si>
  <si>
    <t>LLM-Enabled Participatory Platforms for People-Centric Smart Cities</t>
  </si>
  <si>
    <t>wk2112</t>
  </si>
  <si>
    <t>Super-Resolution of Urban Socioeconomic Indicators via Graph-Based Recommender Systems</t>
  </si>
  <si>
    <t>wk2115</t>
  </si>
  <si>
    <t>Closed-Loop Intelligence Architectures for Data-Driven Smart Cities</t>
  </si>
  <si>
    <t>wk2117</t>
  </si>
  <si>
    <t>A Contrastive Learning and Prompt-Driven Framework for Low-Resource User Geolocation</t>
  </si>
  <si>
    <t>wk2118s</t>
  </si>
  <si>
    <t>Big Data and AI in Smart City Negotiations: A Literature Review</t>
  </si>
  <si>
    <t>wk1404k</t>
  </si>
  <si>
    <t>Social Bias Benchmarks for Large Language Models</t>
  </si>
  <si>
    <t>wk1247L</t>
  </si>
  <si>
    <t>Mixture of Orthogonal Decomposition for Semantically Generalisable Multimodal Deepfake Detection with Deepfake Manifold Disentanglement</t>
  </si>
  <si>
    <t>wk1737L</t>
  </si>
  <si>
    <t>Prediction Guardian: A Distribution-based Real-time Anomaly Detection and Mitigation Framework for Online Advertising</t>
  </si>
  <si>
    <t>wk0602k</t>
  </si>
  <si>
    <t>NANDA: Resolution, Discovery, and Governance for the Agentic Web</t>
  </si>
  <si>
    <t>wk0500</t>
  </si>
  <si>
    <t>DHOW-MiLLA: Joint Workshop on Diffusion of Harmful Content on Online Web and Countering Misinformation in the Age of LLMs and Agents</t>
  </si>
  <si>
    <t>wk0541</t>
  </si>
  <si>
    <t>Deception Factories: Industrial-Scale Cloaking in Harmful Synthetic Media</t>
  </si>
  <si>
    <t>wk0542</t>
  </si>
  <si>
    <t>RAMA: Retrieval-Augmented Multi-Agent Framework for Misinformation Detection in Multimodal Fact-Checking</t>
  </si>
  <si>
    <t>wk0543</t>
  </si>
  <si>
    <t>ToxiTwitch: Toward Emote-Aware Hybrid Moderation for Live Streaming Platforms</t>
  </si>
  <si>
    <t>wk0544</t>
  </si>
  <si>
    <t>Context-Aware Silhouette-Based Age Estimation for Child Sexual Abuse Material (CSAM) Detection</t>
  </si>
  <si>
    <t>wk0549</t>
  </si>
  <si>
    <t>On VLMs for Diverse Tasks in Multimodal Meme Classification</t>
  </si>
  <si>
    <t>wk0550</t>
  </si>
  <si>
    <t>An Interpretable Agentic Framework for Multimodal Hate Video Analysis with Explicit Evidence Attribution</t>
  </si>
  <si>
    <t>wk0552</t>
  </si>
  <si>
    <t>From Generation to Detection: Leveraging Empirically Derived Linguistic Hints for LLM-Based Fake News Detection</t>
  </si>
  <si>
    <t>wk0545s</t>
  </si>
  <si>
    <t>Exploring the Domain Sensitivity of AI Chatbots in Correcting Misinformation</t>
  </si>
  <si>
    <t>FL@FM-TheWebConf’26: The 3rd International Workshop on Federated Foundation Models for the Web</t>
  </si>
  <si>
    <t>wk0805</t>
  </si>
  <si>
    <t>FedUMM: A General Framework for Federated Learning with Unified Multimodal Models</t>
  </si>
  <si>
    <t>wk1860</t>
  </si>
  <si>
    <t>Orchestrating Heterogeneous Experts: A Scalable MoE Framework with Anisotropy-Preserving Fusion</t>
  </si>
  <si>
    <t>wk1861</t>
  </si>
  <si>
    <t>Measuring Privacy Risks and Tradeoffs in Financial Synthetic Data Generation</t>
  </si>
  <si>
    <t>wk0547</t>
  </si>
  <si>
    <t>Beyond Detection: An Epistemic Limit of Purely Computational Misinformation Defense</t>
  </si>
  <si>
    <t>wk0545</t>
  </si>
  <si>
    <t>wk0546</t>
  </si>
  <si>
    <t>Amplified Adversarial Vulnerabilities in Multi-Agent LLM Systems Despite Safety Tuning</t>
  </si>
  <si>
    <t>wk0551</t>
  </si>
  <si>
    <t>Trustworthy or Just Lucky? Composite Trust Scoring for Behavioral Evaluation of LLM Agents</t>
  </si>
  <si>
    <t>wk1300i</t>
  </si>
  <si>
    <t>[PromptEng] Third International Workshop on Prompt Engineering for Pre-Trained Language Models</t>
  </si>
  <si>
    <t>Session</t>
  </si>
  <si>
    <t>Session title</t>
  </si>
  <si>
    <t>Count</t>
  </si>
  <si>
    <t>Session chair</t>
  </si>
  <si>
    <t>EconPoster</t>
  </si>
  <si>
    <t>GraphPoster</t>
  </si>
  <si>
    <t>RespWebPoster</t>
  </si>
  <si>
    <t>SearchPoster</t>
  </si>
  <si>
    <t>SemanticsPoster</t>
  </si>
  <si>
    <t>SecurityPoster</t>
  </si>
  <si>
    <t>SocialPoster</t>
  </si>
  <si>
    <t>SystemsPoster</t>
  </si>
  <si>
    <t>RecSysPoster</t>
  </si>
  <si>
    <t>MiningPoster</t>
  </si>
  <si>
    <t>Poster</t>
  </si>
  <si>
    <t>including Yicheng Di - pending exclusion</t>
  </si>
  <si>
    <t>BPC</t>
  </si>
  <si>
    <t>Best Paper Candidates</t>
  </si>
  <si>
    <t>IndustryPoster</t>
  </si>
  <si>
    <t>Web4GoodPoster</t>
  </si>
  <si>
    <t>ShortPapers</t>
  </si>
  <si>
    <t>papers</t>
  </si>
  <si>
    <t>oral without tweb</t>
  </si>
  <si>
    <t>posters</t>
  </si>
  <si>
    <t>oral tweb</t>
  </si>
  <si>
    <t>Main Research</t>
  </si>
  <si>
    <t>Industry</t>
  </si>
  <si>
    <t>Web4Good</t>
  </si>
  <si>
    <t>Total</t>
  </si>
  <si>
    <t>Main research posters by track</t>
  </si>
  <si>
    <t>Economics, Online Markets, and Human Computation</t>
  </si>
  <si>
    <t>EconPoster1</t>
  </si>
  <si>
    <t>Poster Session 1</t>
  </si>
  <si>
    <t>Poster Session 2</t>
  </si>
  <si>
    <t>EconPoster3</t>
  </si>
  <si>
    <t>Poster Session 3</t>
  </si>
  <si>
    <t>Graph Algorithms and Learning for the Web</t>
  </si>
  <si>
    <t>GraphPoster1</t>
  </si>
  <si>
    <t>GraphPoster3</t>
  </si>
  <si>
    <t>GraphPoster4</t>
  </si>
  <si>
    <t>Poster Session 4</t>
  </si>
  <si>
    <t>Poster Session 5</t>
  </si>
  <si>
    <t>Responsible Web</t>
  </si>
  <si>
    <t>RespWebPoster4</t>
  </si>
  <si>
    <t>Search</t>
  </si>
  <si>
    <t>SearchPoster1</t>
  </si>
  <si>
    <t>SearchPoster3</t>
  </si>
  <si>
    <t>SearchPoster4</t>
  </si>
  <si>
    <t>Semantics and Knowledge</t>
  </si>
  <si>
    <t>SemanticsPoster1</t>
  </si>
  <si>
    <t>SemanticsPoster3</t>
  </si>
  <si>
    <t>SemanticsPoster4</t>
  </si>
  <si>
    <t>Security</t>
  </si>
  <si>
    <t>SecurityPoster1</t>
  </si>
  <si>
    <t>SecurityPoster3</t>
  </si>
  <si>
    <t>SecurityPoster4</t>
  </si>
  <si>
    <t>Social Networks, Social Media, and Society</t>
  </si>
  <si>
    <t>SocialPoster1</t>
  </si>
  <si>
    <t>SocialPoster3</t>
  </si>
  <si>
    <t>SocialPoster4</t>
  </si>
  <si>
    <t>Systems and Infrastructure for Web, Mobile, and WoT</t>
  </si>
  <si>
    <t>SystemsPoster1</t>
  </si>
  <si>
    <t>SystemsPoster3</t>
  </si>
  <si>
    <t>SystemsPoster4</t>
  </si>
  <si>
    <t>User Modeling and Recommendation</t>
  </si>
  <si>
    <t>RecSysPoster1</t>
  </si>
  <si>
    <t>RecSysPoster3</t>
  </si>
  <si>
    <t>RecSysPoster4</t>
  </si>
  <si>
    <t>Web Mining and Content Analysis</t>
  </si>
  <si>
    <t>MiningPoster1</t>
  </si>
  <si>
    <t>MiningPoster3</t>
  </si>
  <si>
    <t>MiningPoster4</t>
  </si>
  <si>
    <t>IndustryPoster1</t>
  </si>
  <si>
    <t>IndustryPoster3</t>
  </si>
  <si>
    <t>IndustryPoster4</t>
  </si>
  <si>
    <t>Web4GoodPoster1</t>
  </si>
  <si>
    <t>Web4GoodPoster3</t>
  </si>
  <si>
    <t>Web4GoodPoster4</t>
  </si>
  <si>
    <t>Poster count per session</t>
  </si>
  <si>
    <t>Main research</t>
  </si>
  <si>
    <t>Research Track</t>
  </si>
  <si>
    <t>Paper Title</t>
  </si>
  <si>
    <t>id</t>
  </si>
  <si>
    <t>Title and authors</t>
  </si>
  <si>
    <t>Authors</t>
  </si>
  <si>
    <t>Contact author(s) email</t>
  </si>
  <si>
    <t>paper link</t>
  </si>
  <si>
    <t>Poster count</t>
  </si>
  <si>
    <t>COI (submissions co-authored by SAC)</t>
  </si>
  <si>
    <t>tweb3</t>
  </si>
  <si>
    <t>Cancelled</t>
  </si>
  <si>
    <t>tweb2</t>
  </si>
  <si>
    <t>Canceled</t>
  </si>
  <si>
    <t>swapped with rfp0915</t>
  </si>
  <si>
    <t>swapped with rfp0901 after error was declared</t>
  </si>
  <si>
    <t>tweb1</t>
  </si>
  <si>
    <t>Session chair name</t>
  </si>
  <si>
    <t>Session chair email (for PCO)</t>
  </si>
  <si>
    <t>Roy Lee</t>
  </si>
  <si>
    <t>Mengze Hong</t>
  </si>
  <si>
    <t>mengze.hong@connect.polyu.hk</t>
  </si>
  <si>
    <t>Mengmei Zhang</t>
  </si>
  <si>
    <r>
      <rPr>
        <rFont val="Arial"/>
        <color rgb="FF1155CC"/>
        <u/>
      </rPr>
      <t>mgwave87@gmail.com</t>
    </r>
  </si>
  <si>
    <r>
      <rPr>
        <rFont val="Arial"/>
        <color rgb="FF1155CC"/>
        <u/>
      </rPr>
      <t>xhao390@connect.hkust-gz.edu.cn</t>
    </r>
  </si>
  <si>
    <t>Track</t>
  </si>
  <si>
    <t>Paper title</t>
  </si>
  <si>
    <t>Sheridan id</t>
  </si>
  <si>
    <t>Paper title and authors</t>
  </si>
  <si>
    <t>ACM DL link</t>
  </si>
  <si>
    <t>session</t>
  </si>
  <si>
    <t>Tanmoy Chakraborty</t>
  </si>
  <si>
    <t>chak.tanmoy.iit@gmail.com</t>
  </si>
  <si>
    <t/>
  </si>
  <si>
    <t>'They've Stolen My GPL-Licensed Model!': Toward Standardized and Transparent Model Licensing</t>
  </si>
  <si>
    <t>Communication-Efficient Federated Learning for Post-Flood Risk Assessment using UAV Swarms</t>
  </si>
  <si>
    <t>TravelReasoner: Leveraging Large Reasoning Models to Address Mobility Data Gap</t>
  </si>
  <si>
    <t>Full title</t>
  </si>
  <si>
    <t>Presenter</t>
  </si>
  <si>
    <t>HoW</t>
  </si>
  <si>
    <t>Wendy Hall and Oshani Seneviratne</t>
  </si>
  <si>
    <t>Seoul Test of Time Winner Presentation - LINE: Large-scale Information Network Embedding</t>
  </si>
  <si>
    <t>htwkn1</t>
  </si>
  <si>
    <t>Jian Tang</t>
  </si>
  <si>
    <t>The Semantic Web’s Second Act: Why Everything Old is New Again in Agentic AI</t>
  </si>
  <si>
    <t>htwkn2</t>
  </si>
  <si>
    <t>Natasha Noy</t>
  </si>
  <si>
    <t>From Lexical and Semantic to Predictive Search: Evolution or Involution?</t>
  </si>
  <si>
    <t>Ricardo Baeza-Yates</t>
  </si>
  <si>
    <t>On the historic roots of Agentic AI in Semantic Web Services</t>
  </si>
  <si>
    <t>Axel Polleres</t>
  </si>
  <si>
    <t>Mounia Lalmas</t>
  </si>
  <si>
    <t>Panel</t>
  </si>
  <si>
    <t>Yoelle Maarek, Ricardo Baeza-Yates, Wendy Hall moderated by Oshani Seneviratne</t>
  </si>
  <si>
    <t>Sessions</t>
  </si>
  <si>
    <t>title</t>
  </si>
  <si>
    <t>Short Papers</t>
  </si>
  <si>
    <t>Junwei Yin, Senjie Kou, Changhao Li, Shuli Wang, Yinqiu Huang, Xue Wei, Yinhua Zhu, Haitao Wang and Xingxing Wang</t>
  </si>
  <si>
    <t>Tianyu Zhan, Kairui Fu, Zheqi Lv and Shengyu Zhang</t>
  </si>
  <si>
    <t>Siwei Qiang, Pengyu Li, Zhe Yu, Mengyao Sun, Jun Chen and Bo Zheng</t>
  </si>
  <si>
    <t>Yuval Saadaty and Elad Yom-Tov</t>
  </si>
  <si>
    <t>Lingling Zhang, Morteza Zihayat and Ebrahim Bagheri</t>
  </si>
  <si>
    <t>Changlin Qiu, Bang Lin, Tao Zhang and Chengfu Huo</t>
  </si>
  <si>
    <t>Zhongchao Yi, Kai Feng, Xiaojian Ma, Yalong Wang, Yongqi Liu, Han Li, Zhengyang Zhou and Yang Wang</t>
  </si>
  <si>
    <t>Shu Zhou, Yufei Song, Jinman Leng, Xin Wang, Tao Fan and Hao Wang</t>
  </si>
  <si>
    <t>Haoze Guo and Ziqi Wei</t>
  </si>
  <si>
    <t>Kehong Liu, Yang Liu and Jiming Liu</t>
  </si>
  <si>
    <t>Xiaochen Wang, Zongyu Wu, Yuan Zhong, Xiang Zhang, Suhang Wang and Fenglong Ma</t>
  </si>
  <si>
    <t>Wooyoung Kim, Haemin Jung, Byeongjin Kim, Suhyeon Kwon and Wooju Kim</t>
  </si>
  <si>
    <t>Jiuqiang Li and Hongjun Wang</t>
  </si>
  <si>
    <t>Hyunuk Shin, Hojin Kim, Chanyoung Lee, Yeon-Chang Lee and David Yoon Suk Kang</t>
  </si>
  <si>
    <t>Yubeen Lee, Shinyu Park, Jiwon Park and Eunil Park</t>
  </si>
  <si>
    <t>Haochen You and Baojing Liu</t>
  </si>
  <si>
    <t>Songtao Fang, Zihao Xu, Shaowei Wei, Jin Zhang and Zhuojun Wang</t>
  </si>
  <si>
    <t>Long Chen, Hao Fang, Yi Ching Chou, Haoyuan Zhao, Xiaoyi Fan, Zhe Chen, Hengzhi Wang and Jiangchuan Liu</t>
  </si>
  <si>
    <t>Sunyoung Kim and Hokeun Kim</t>
  </si>
  <si>
    <t>Moyu Zhang, Yujun Jin, Yun Chen, Jinxin Hu, Yu Zhang and Xiaoyi Zeng</t>
  </si>
  <si>
    <t>Biho Kim</t>
  </si>
  <si>
    <t>Qiangqiang Liu, Runfa Jiang, Qian Huang, Frank Fan, Kunpeng Ren and Wei Cai</t>
  </si>
  <si>
    <t>Marc Damie and Edwige Cyffers</t>
  </si>
  <si>
    <t>Tong Cheng and Xueyan Tang</t>
  </si>
  <si>
    <t>Xiaohai Wang, Yu Liang, Wei Zhou and Sixing Wu</t>
  </si>
  <si>
    <t>Qinyao Li, Xiaoyang Zheng, Qihang Zhao, Ke Xu, Zhongbo Sun, Chao Wang, Chenyi Lei, Han Li and Wenwu Ou</t>
  </si>
  <si>
    <t>Shijun Li, Yu Wang, Jin Wang, Ying Li, Joydeep Ghosh and Anne Cocos</t>
  </si>
  <si>
    <t>Zhili Nicholas Liang, Soyeon Caren Han, Qizhou Wang and Christopher Leckie</t>
  </si>
  <si>
    <t>Rahul Vaze and Abhishek Sinha</t>
  </si>
  <si>
    <t>Junwei Xu, Zhibo Xiao, Chuxin Chen, Chengyu Lai, Qijie Shen, Jiuning Lin, Dimin Wang, Jialin Zhu and Xiao-Ping Zhang</t>
  </si>
  <si>
    <t>Tianyu Zhang, Junfeng Fang, Houcheng Jiang, Xingyu Zhu, Xiang Wang and Xiangnan He</t>
  </si>
  <si>
    <t>Christina Kanetou and Yannis Tzitzikas</t>
  </si>
  <si>
    <t>Tilen Hliš, Urška Butolen, Iztok Fister and Iztok Fister</t>
  </si>
  <si>
    <t>Tan Yue, Qiong Wu and Dongyan Zhao</t>
  </si>
  <si>
    <t>Yaqiao Zhu, Hongkai Wen, Mark Birkin and Man Luo</t>
  </si>
  <si>
    <t>Seongjune Han and Nate Veldt</t>
  </si>
  <si>
    <t>Zheng Gong, Shuheng Shen, Changhua Meng and Ying Sun</t>
  </si>
  <si>
    <t>Yin Lou</t>
  </si>
  <si>
    <t>Guofang Ma, Pengxiang Zhan, Haoze Huang and Yanchao Tan</t>
  </si>
  <si>
    <t>Dae Kyoo Kim, Sang Kyu Moon and Eunil Park</t>
  </si>
  <si>
    <t>Harry Proshian, Nikita Severin, Sergey Nikolenko, Ivan Kireev, Andrey Savchenko, Ivan Sergeev, Maria Postnova and Ilya Makarov</t>
  </si>
  <si>
    <t>Abdullah Al Sefat, Amir Hossein Kargaran, François Yvon and Hinrich Schütze</t>
  </si>
  <si>
    <t>Seyed Mohammad Hosseini, Radin Hamidi Rad, Morteza Zihayat and Ebrahim Bagheri</t>
  </si>
  <si>
    <t>Feifan Song, Bofei Gao, Yifan Song, Yi Liu, Weimin Xiong, Yuyang Song, Tianyu Liu, Guoyin Wang and Houfeng Wang</t>
  </si>
  <si>
    <t>Danyang Zong, Kaike Zhang, Qi Cao, Du Su and Fei Sun</t>
  </si>
  <si>
    <t>Yonghao Si, Xingyuan Zeng, Zhao Chen, Libin Zheng, Caleb Chen Cao, Chen Lei and Jian Yin</t>
  </si>
  <si>
    <t>Dingxian Wang, Jiacheng Dong, Jiaqi Deng, Jing Long, Ted Liu, George Barelas, Arya Taylor, Spyros Kapnissis, Frank Yang, Andrew Rabinovich and Guandong Xu</t>
  </si>
  <si>
    <t>Aaron Steiner, Ralph Peeters and Christian Bizer</t>
  </si>
  <si>
    <t>Ting Li, Xingyi Mao, Yipeng Yu and Liang Yao</t>
  </si>
  <si>
    <t>Kyungho Kim, Geon Lee, Juyeon Kim, Dongwon Choi, Shinhwan Kang and Kijung Shin</t>
  </si>
  <si>
    <t>Yurim Jang, Jaeung Lee, Dohyun Kim, Jaemin Jo and Simon S Woo</t>
  </si>
  <si>
    <t>Kai Cheng, Zhengyu Zhang, Tong Wu, Huan Zhou and Xinggang Fan</t>
  </si>
  <si>
    <t>Jong-Chan Park, Myeongjun Kim, So-Hee Lim, Sang-Min Choi and Gun-Woo Kim</t>
  </si>
  <si>
    <t>Haoyuan Li, Mengxiao Zhang, Maoyuan Li, Jianzheng Li, Zijian Zhang, Junyi Yang, Shuangyan Deng and Jiamou Liu</t>
  </si>
  <si>
    <t>Yanan Cao, Farnaz Fallahi, Murali Mohana Krishna Dandu, Lalitesh Morishetti, Kai Zhao, Luyi Ma, Sinduja Subramaniam, Jianpeng Xu, Evren Korpeoglu, Kaushiki Nag, Sushant Kumar and Kannan Achan</t>
  </si>
  <si>
    <t>Zhang Ran, Kun Ouyang, Tiancheng Ma, Yida Yang and Dong Fang</t>
  </si>
  <si>
    <t>Qihang Zhao, Zhongbo Sun, Xiaoyang Zheng, Xian Guo, Siyuan Wang, Zihan Liang, Mingcan Peng, Ben Chen and Chenyi Lei</t>
  </si>
  <si>
    <t>Yicheng Huang, Xinyu Xiao, Jian Zhang, Shuhan Qi, Yulin Wu and Xuan Wang</t>
  </si>
  <si>
    <t>Haoze Wu, Chenghui Yu, Bingfeng Deng and Daniel Chen</t>
  </si>
  <si>
    <t>Haoxuan Li, He Chang, Yunshan Ma, Yi Bin, Yang Yang, See-Kiong Ng and Tat-Seng Chua</t>
  </si>
  <si>
    <t>Shuhan Cui, Ruimin Chu, Hanrui Wang, Patrick H. Chen, Ching-Chun Chang and Isao Echizen</t>
  </si>
  <si>
    <t>Yifan Shao, Peilin Zhou, Shoujin Wang, Weizhi Zhang, Sunghun Kim and Xu Cai</t>
  </si>
  <si>
    <t>Deepak Kanneganti, Sajib Mistry, Sheik Mohammad Mostakim Fattah, Joshua Boland and Aneesh Krishna</t>
  </si>
  <si>
    <t>Selahattin Akkas and Ariful Azad</t>
  </si>
  <si>
    <t>Yingying Wen, Yingzhi Chu, Zhongyu Wang, Zhecheng Lin, Fan Jiang, Wu Xiang and Rui Shi</t>
  </si>
  <si>
    <t>Chang Li, Yawei Liu, Chun Long, Jing Zhao and Guanyao Du</t>
  </si>
  <si>
    <t>Zheng Gao, Xiaoyu Li, Zhicheng Bao, Xiaoyan Feng and Jiaojiao Jiang</t>
  </si>
  <si>
    <t>Mohammad Reza Badri, Hossein Esfandiari, Samira Hossein Ghorban and Alireza Rezaeimoghadam</t>
  </si>
  <si>
    <t>Vojtech Vancura, Martin Spišák, Rodrigo Alves and Ladislav Peska</t>
  </si>
  <si>
    <t>Sunho Kim and Susik Yoon</t>
  </si>
  <si>
    <t>Tsung-Hsiang Chou, Chen-Jui Yu, Shui-Hsiang Hsu and Yao-Chung Fan</t>
  </si>
  <si>
    <t>Yichen Song, Jianfeng Zhou, Renhao Cao and Jian-Ya Ding</t>
  </si>
  <si>
    <t>Xihan Xiong and Junliang Luo</t>
  </si>
  <si>
    <t>Chaewon Kang, Youjin Lee and Jinyoung Han</t>
  </si>
  <si>
    <t>Alejandro Ariza-Casabona, Maria Salamó and Ludovico Boratto</t>
  </si>
  <si>
    <t>Youn Jun Seong and Ha Young Oh</t>
  </si>
  <si>
    <t>Wanjie Tao, Qun Dai, Yantong Lv, Quan Lu, Ning Jiang and Zulong Chen</t>
  </si>
  <si>
    <t>Aditya Tanna, Pratinav Seth, Mohamed Bouadi and Vinay Kumar Sankarapu</t>
  </si>
  <si>
    <t>Jiaqing Ma, Xiaodong Yue, Yufei Chen, Jie Shi, Zhipeng Wei and Zeyu Jia</t>
  </si>
  <si>
    <t>Florian Lecourt, Madalina Croitoru and Konstantin Todorov</t>
  </si>
  <si>
    <t>Gerard C. Yeo, Svetlana Churina and Kokil Jaidka</t>
  </si>
  <si>
    <t>Tao Tang, Xiaodong Yue, Yufei Chen, Jie Shi and Shijie Ding</t>
  </si>
  <si>
    <t>Elena Artemenko, Olessia Koltsova, Maksim Terpilovskii and Natalia Khazova</t>
  </si>
  <si>
    <t>Daria Korovaitceva, Marina Sheshukova, Evgeny Frolov and Sergey Samsonov</t>
  </si>
  <si>
    <t>Joseph Kwarteng, Aisling Third, Alexander Mikroyannidis, David Tarrant and John Domingue</t>
  </si>
  <si>
    <t>Hang Lv, Kaisong Zhang, Yanchao Tan and Xing Chen</t>
  </si>
  <si>
    <t>Yu Xia, Sungchul Kim, Tong Yu, Ryan A. Rossi and Julian McAuley</t>
  </si>
  <si>
    <t>Alexandra Yakovleva, Henrik Pärssinen, Harri Valpola, Juho Kannala and Alexander Ilin</t>
  </si>
  <si>
    <t>Aleksandr Poslavsky, Alexander D'yakonov, Yuriy Dorn and Andrey Zimovnov</t>
  </si>
  <si>
    <t>Genet Asefa Gesese, Zongxiong Chen, Shufan Jiang, Mary Ann Tan, Zhaotai Liu, Sonja Schimmler and Harald Sack</t>
  </si>
  <si>
    <t>Huiling Wu, Ao Zhang, Junwei Xu, Boya Du, Jialin Zhu, Yuning Jiang and Dakai Zhai</t>
  </si>
  <si>
    <t>Zhiyuan Liu, Xiaodong Yue, Yufei Chen, Shijie Ding and Jie Shi</t>
  </si>
  <si>
    <t>Mohamed Bouadi, Pratinav Seth, Aditya Tanna and Vinay Kumar Sankarapu</t>
  </si>
  <si>
    <t>Olesya Razuvayevskaya and Kalina Bontcheva</t>
  </si>
  <si>
    <t>Hanqi Jin, Gaoming Yang, Zhangming Chan, Yapeng Yuan, Longbin Li, Fei Sun, Yeqiu Yang, Jian Wu, Yuning Jiang and Bo Zheng</t>
  </si>
  <si>
    <t>Wenjie Li, Shu-Tao Xia, Jiangke Fan, Teng Zhang and Xingxing Wang</t>
  </si>
  <si>
    <t>Luis Galárraga, Julianne Guerbette, Isseïnie Sinouvassane and Paul Viallard</t>
  </si>
  <si>
    <t>MohammadHossein Bateni, Lin Chen, Hossein Esfandiari and Sasan Tavakkol</t>
  </si>
  <si>
    <t>Amine Allouah, Omar Besbes, Josué D. Figueroa, Yash Kanoria and Akshit Kumar</t>
  </si>
  <si>
    <t>Connor Douglas, Utkucan Balci and Joseph Aylett-Bullock</t>
  </si>
  <si>
    <t>Miguel Marques, Ana Luísa Fernandes, Ana Filipa Pacheco, Rute Rebouças, Inês Cantante, José Isidro, Luís Filipe Cunha, Alípio Jorge, Nuno Guimarães, Sérgio Nunes, António Leal, Purificação Silvano and Ricardo Campos</t>
  </si>
  <si>
    <t>Yuxin Liu, Stephen Chan, Jeffrey Chu, Yuanyuan Zhang, Chenguang Yang, Zihao Wang, Yulia R. Gel and Yuzhou Chen</t>
  </si>
  <si>
    <t>Bhavtosh Rath, Harshith Narasimhamurthy, Bob Eisinger, Cole Stiegler, Adnan Awow and Amit Pande</t>
  </si>
  <si>
    <t>Victor Livernoche, Andreea Musulan, Zachary Yang, Jean-François Godbout and Reihaneh Rabbany</t>
  </si>
  <si>
    <t>Xiao Li, Changhong Jin, Yingjie Niu, Jingyi Wang and Ruihai Dong</t>
  </si>
  <si>
    <t>Zijing Hui, Wenhan Lyu, Shusen Wang, Li Chen and Chu Wang</t>
  </si>
  <si>
    <t>Ashwin Vinod and Katrin Erk</t>
  </si>
  <si>
    <t>Yang Cao, Bicheng Yu, Sikun Yang, Ming Liu and Yujiu Yang</t>
  </si>
  <si>
    <t>Thameem Abbas Ibrahim Bathusha, Aanya Sharma, Andy Huynh, Rehan Samaratunga and Ashish Kamra</t>
  </si>
  <si>
    <t>Imran Ahsan, Jinsung Kim and Mucheol Kim</t>
  </si>
  <si>
    <t>Hongyeon Yu, Dongchan Kim and Young-Bum Kim</t>
  </si>
  <si>
    <t>Dayu Guo, Zhiwen Luo, Nizar Bouguila and Wentao Fan</t>
  </si>
  <si>
    <t>Sakrapee Paisalnan and Yashar Moshfeghi</t>
  </si>
  <si>
    <t>Yining Lin, Yuming Shen, Yipeng Zhang and Canran Xu</t>
  </si>
  <si>
    <t>Owais Makroo, Nikhil Pattisapu, Karan Gupta, Ankit Gandhi, Vijay Huddar and Atul Saroop</t>
  </si>
  <si>
    <t>Runsong Jia, Mengjia Wu, Ying Ding, Jie Lu and Yi Zhang</t>
  </si>
  <si>
    <t>Qinyi Liu, Mohammad Khalil and Naman Goel</t>
  </si>
  <si>
    <t>Shui-Hsiang Hsu, Tsung-Hsiang Chou, Chen-Jui Yu and Yao-Chung Fan</t>
  </si>
  <si>
    <t>Jie Zhang, Wanzi Shao and Tan Yanchao</t>
  </si>
  <si>
    <t>Cai Yang, Kokil Jaidka, Yphtach Lelkes and Subhayan Mukerjee</t>
  </si>
  <si>
    <t>Yunhui Liu, Tieke He, Yongchao Liu, Can Yi, Hong Jin and Chuntao Hong</t>
  </si>
  <si>
    <t>Adriano Meligrana and Adriano Fazzone</t>
  </si>
  <si>
    <t>Zi-Kang Wang, Lei Gong, Shu-Ting Shi, Lan-Zhe Guo and Mu-Yu Zhang</t>
  </si>
  <si>
    <t>Full Title</t>
  </si>
  <si>
    <t>Wenxiao Zhang, Yu Liu, Qiang Sun, Yihao Ding, Sirui Li, Yanbing Liu, Jin B. Hong and Wei Liu</t>
  </si>
  <si>
    <t>Zhiyi Mou, Zeheng Qian, Tianfang Xiao, Wangze Ni, Weijie Sun, Lei Chen, Zhan Qin, Peng Cheng and Kui Ren</t>
  </si>
  <si>
    <t>Li Liu, Omar Alonso and Giorgio Ballardin</t>
  </si>
  <si>
    <t>Enhao Huang, Tongtong Pan, Shuhuai Zhang, Qishu Jin, Liheng Zheng, Kaichun Hu, Yiming Li, Zhan Qin and Kui Ren</t>
  </si>
  <si>
    <t>Guo Chen, Haowei Tang, Yan Wei, Yuming Wang, Haoyang Zhang, Yikang Hou, Maolin Zheng and Junjie Huang</t>
  </si>
  <si>
    <t>Binhao Wang, Jianglin Huang, Xiao Hu, Shan Jiang, Maolin Wang, Ching-Ho Yang, Jian Jiang, Junhao Ye, Yaozu Cen, Rui Zeng, Yingtong Zhou, Yingjie Luo, Guanjie Wu, Wangzhong Xu, Feiyu Zhou and Xiangyu Zhao</t>
  </si>
  <si>
    <t>Jiawei Zhou, Ruicheng Zhu, Mengshi Chen, Jianwei Wang and Kai Wang</t>
  </si>
  <si>
    <t>Mengze Hong, Di Jiang, Weiwei Zhao, Yawen Li, Yihang Wang, Xinyuan Luo, Yanjie Sun and Chen Jason Zhang</t>
  </si>
  <si>
    <t>Fangyong Pan, Xi Chen, Weiqi Xu, Yifeng Xu and Haofen Wang</t>
  </si>
  <si>
    <t>Ziqi Ding, Shangzhi Xu, Wei Song and Yuekang Li</t>
  </si>
  <si>
    <t>Cheng-Ru Chou, Shou-Po Tsai, Jing-Zhe Huang, Hsu-Han Tu, Pei-Xuan Li and Hsun-Ping Hsieh</t>
  </si>
  <si>
    <t>Min-Huan Tsai, Cheng-Ru Chou, Chia Chen Tsai, Yu-Yin Wang, Pei-Xuan Li, Hsun-Ping Hsieh and Tzu-Chang Lee</t>
  </si>
  <si>
    <t>Yutian Xu, Yanhao Wang, Hui Li, Shengjie Xia and Shengtian Min</t>
  </si>
  <si>
    <t>Prahaladh Chandrahasan, Jiahe Jin, Zhihan Zhang, Tevin Wang, Andy Tang, Lucy Mo, Morteza Ziyadi, Leonardo F.R. Ribeiro, Zimeng Qiu, Markus Dreyer, Akari Asai and Chenyan Xiong</t>
  </si>
  <si>
    <t>Yihao Ding, Qiang Sun, Puzhen Wu, Sirui Li, Siwen Luo and Wei Liu</t>
  </si>
  <si>
    <t>Zijie Meng, Zheyong Xie, Zheyu Ye, Chonggang Lu, Zuozhu Liu, Zihan Niu, Yao Hu and Shaosheng Cao</t>
  </si>
  <si>
    <t>Mengze Hong, Di Jiang, Chen Jason Zhang, Zichang Guo, Yawen Li, Jun Chen, Shaobo Cui and Zhiyang Su</t>
  </si>
  <si>
    <t>Gerard Pons, Besim Bilalli and Anna Queralt</t>
  </si>
  <si>
    <t>Vikranth Udandarao, Muthuraj Vairamuthu, Noel Abraham Tiju, Harsh Mistry, Armaan Singh and Dhruv Kumar</t>
  </si>
  <si>
    <t>Junyi Hou, Andre Lin, Nuo Chen, Yiwei Gong and Bingsheng He</t>
  </si>
  <si>
    <t>Zixin Wang, Junliang Yu, Tong Chen, Yadan Luo and Shazia Sadiq</t>
  </si>
  <si>
    <t>Charles Courchaine, Ricky J. Sethi and Hefei Qiu</t>
  </si>
  <si>
    <t>Ting Bai, Jiazheng Kang, Jiayang Fan, Hengzhi Lan and Yutian Zhong</t>
  </si>
  <si>
    <t>Shuo Miao, Haitao Li, Yueyue Wu, Qingyao Ai and Yiqun Liu</t>
  </si>
  <si>
    <t>Songyuan Sui, Zhanqi Deng, Yamin Zhuang, Serena Liu, Leisheng Yu, Alfredo Costilla Reyes and Xia Hu</t>
  </si>
  <si>
    <t>Sajad Ebrahimi, Soroush Sadeghian, Ali Ghorbanpour, Negar Arabzadeh, Sara Salamat, Seyed Mohammad Hosseini, Hai Son Le, Mahdi Bashari and Ebrahim Bagheri</t>
  </si>
  <si>
    <t>Kausik Lakkaraju, Siva Likitha Valluru, Biplav Srivastava and Marco Valtorta</t>
  </si>
  <si>
    <t>Han Bao, Yue Huang, Xiangliang Zhang and Yanfang Ye</t>
  </si>
  <si>
    <t>Marouane Benbrahim, Xin Fang and Zhiqian Chen</t>
  </si>
  <si>
    <t>Muhammad Sohaib Ayub, Umair ul Hassan, Imdad Ullah Khan and Edward Curry</t>
  </si>
  <si>
    <t>Wenjun Feng, Rui Li, Zheng Zhang, Zhenya Huang and Qi Liu</t>
  </si>
  <si>
    <t>Click-to-Ask: An AI Live Streaming Assistant with Offline Copywriting and Online Interactive Q&amp;A</t>
  </si>
  <si>
    <t>Ruizhi Yu, Keyang Zhong, Peng Liu, Qi Wu, Haoran Zhang, Yanhao Zhang, Chen Chen and Haonan Lu</t>
  </si>
  <si>
    <t>Amin Bigdeli, Radin Hamidi Rad, Mert Incesu, Negar Arabzadeh, Charles Clarke and Ebrahim Bagheri</t>
  </si>
  <si>
    <t>Hasan Hüseyin Günes, Milos Jovanovik and Katja Hose</t>
  </si>
  <si>
    <t>Aditya Tanna, Pratinav Seth, Mohamed Bouadi and Vinay Kumar Kumar Sankarapu</t>
  </si>
  <si>
    <t>Siming Yuan, Yuchen Liu, Qinan Zheng, Wangze Ni, Shimin Di, Lei Chen and Kui Ren</t>
  </si>
  <si>
    <t>Jiqian Yang, Sujie Yan, Zhi Li, Mingyu Liu, Yousheng Wang and Wei He</t>
  </si>
  <si>
    <t>Saber Zerhoudi, Michael Dinzinger, Michael Granitzer and Jelena Mitrovic</t>
  </si>
  <si>
    <t>Kiana Bagheri-Lotfabad, Amin Beheshti, Milad Mosharraf, Min Li, Pooyan Asgari and Guanfeng Liu</t>
  </si>
  <si>
    <t>Xiaoyu Ma, Zhengqing Yuan, Zheyuan Zhang, Kaiwen Shi, Lichao Sun and Yanfang Ye</t>
  </si>
  <si>
    <t>Date</t>
  </si>
  <si>
    <t>Available slots</t>
  </si>
  <si>
    <t>Assigned slots</t>
  </si>
  <si>
    <t>status</t>
  </si>
  <si>
    <t>June 29 morning</t>
  </si>
  <si>
    <t>invalid</t>
  </si>
  <si>
    <t>June 29 afternoon</t>
  </si>
  <si>
    <t>June 30 morning</t>
  </si>
  <si>
    <t>June 30 afternoon</t>
  </si>
  <si>
    <t>Tutorial id</t>
  </si>
  <si>
    <t>Ttitle</t>
  </si>
  <si>
    <t>Bhawna Piryani, Avishek Anand and Adam Jatowt</t>
  </si>
  <si>
    <t>Xin Wang, Yuwei Zhou, Zirui Pan and Wenwu Zhu</t>
  </si>
  <si>
    <t>Chen Xu, Clara Rus, Yuanna Liu, Marleen de Jonge, Jun Xu and Maarten de Rijke</t>
  </si>
  <si>
    <t>Next-Gen Code Development with Collaborative AI Agents</t>
  </si>
  <si>
    <t>Shweta Garg, Behrooz Omidvar-Tehrani, Shengyu Fu, Gauthier Guinet and Baishakhi Ray</t>
  </si>
  <si>
    <t>Zijian Zhang, Hao Miao, Yuxuan Liang, Yan Zhao and Irwin King</t>
  </si>
  <si>
    <t>Dongping Liu, Aoyu Zhang and Luyao Zhang</t>
  </si>
  <si>
    <t>Chuan Meng, Fengran Mo, Mohammad Aliannejadi, Jeff Dalton and Jian-Yun Nie</t>
  </si>
  <si>
    <t>Djallel Bouneffouf and Raphael Feraud</t>
  </si>
  <si>
    <t>Qiang Sun, Yihao Ding, Sirui Li and Wei Liu</t>
  </si>
  <si>
    <t>Foundations for the Agentic Web: Infrastructure, Economics, and Society</t>
  </si>
  <si>
    <t>Ramesh Raskar and Pradyumna Chari</t>
  </si>
  <si>
    <t>Peng Cui, Xingxuan Zhang, Han-Jia Ye, Jintai Chen and Shuyang Li</t>
  </si>
  <si>
    <t>Xiang Ao, Yang Liu, Guansong Pang, Yuanhao Ding, Hezhe Qiao, Dawei Cheng and Qing He</t>
  </si>
  <si>
    <t>Manali Sharma and Ayush Garg</t>
  </si>
  <si>
    <t xml:space="preserve">Index </t>
  </si>
  <si>
    <t>Duration</t>
  </si>
  <si>
    <t>Organizers</t>
  </si>
  <si>
    <t>Website</t>
  </si>
  <si>
    <t>Acronym</t>
  </si>
  <si>
    <t>Title for program</t>
  </si>
  <si>
    <t>Title</t>
  </si>
  <si>
    <t>Organizers email</t>
  </si>
  <si>
    <t>Half day</t>
  </si>
  <si>
    <t xml:space="preserve">Cesar Sanin, Edward Szczerbicki and Md Rafiqul Islam </t>
  </si>
  <si>
    <r>
      <rPr>
        <rFont val="Arial,sans-serif"/>
        <color rgb="FF1155CC"/>
        <sz val="12.0"/>
        <u/>
      </rPr>
      <t>https://rafiqulislamcse24.wixsite.com/aaimvt-26</t>
    </r>
  </si>
  <si>
    <t>(AAIMVT)</t>
  </si>
  <si>
    <t>1st Workshop on Applied AI and Multimodal Visualization Technologies</t>
  </si>
  <si>
    <t>c.sanin@aih.edu.au; mdrafiqul.islam@cdu.edu.au</t>
  </si>
  <si>
    <t xml:space="preserve">Esma Aïmeur, Rim Ben Salem, Dorsaf Sallami, Julita Vassileva and Nora Boulahia-Cuppens </t>
  </si>
  <si>
    <r>
      <rPr>
        <rFont val="Arial,sans-serif"/>
        <color rgb="FF1155CC"/>
        <sz val="12.0"/>
        <u/>
      </rPr>
      <t>https://sites.google.com/view/aiofai-2026/home</t>
    </r>
  </si>
  <si>
    <t>(AiOfAi)</t>
  </si>
  <si>
    <t>The Workshop on Adverse Impacts and Collateral Effects of Artificial Intelligence Technologies</t>
  </si>
  <si>
    <t>aimeur@iro.umontreal.ca; rim.ben-salem@polymtl.ca; dorsaf.sallami@umontreal.ca; julitav@gmail.com; nora.boulahia-cuppens@polymtl.ca</t>
  </si>
  <si>
    <t xml:space="preserve">Giorgio Maria Di Nunzio, Evangelos Kanoulas and Prasenjit Majumder </t>
  </si>
  <si>
    <r>
      <rPr>
        <rFont val="Arial,sans-serif"/>
        <color rgb="FF1155CC"/>
        <sz val="12.0"/>
        <u/>
      </rPr>
      <t>https://altars2026.dei.unipd.it/</t>
    </r>
  </si>
  <si>
    <t>(ALTARS 2026)</t>
  </si>
  <si>
    <t>4th Workshop on Augmented Intelligence in Technology-Assisted Review Systems</t>
  </si>
  <si>
    <t>giorgiomaria.dinunzio@unipd.it; ekanoulas@gmail.com; prasenjit.majumder@gmail.com</t>
  </si>
  <si>
    <t>Stefan Dietze, Dimitar Dimitrov, Pavlos Fafalios and Konstantin Todorov</t>
  </si>
  <si>
    <r>
      <rPr>
        <rFont val="Arial,sans-serif"/>
        <color rgb="FF1155CC"/>
        <sz val="12.0"/>
        <u/>
      </rPr>
      <t>https://beyondfacts2026.wordpress.com/</t>
    </r>
  </si>
  <si>
    <t>(BeyondFacts'26)</t>
  </si>
  <si>
    <t>6th International Workshop on Computational Methods for Online Discourse Analysis</t>
  </si>
  <si>
    <t>todorov@lirmm.fr; stefan.dietze@gesis.org; pfafalios@tuc.gr; dimitar.dimitrov@gesis.org</t>
  </si>
  <si>
    <t>Full day</t>
  </si>
  <si>
    <t>Thomas Mandl, Haiming Liu, Gautam Kishore Shahi, Amit Kumar Jaiswal, Durgesh Nandini, Luis-Daniel Ibáñez, Junichi Suga, Dai Yamamoto, Rahul Mishra, Rajakrishnan P. Rajkumar, Sagar Uprety, Sujit Kuma and Bornali Phukon</t>
  </si>
  <si>
    <r>
      <rPr>
        <rFont val="Arial,sans-serif"/>
        <color rgb="FF1155CC"/>
        <sz val="12.0"/>
        <u/>
      </rPr>
      <t>https://dhow-workshop.github.io/2026/</t>
    </r>
  </si>
  <si>
    <t>(DHOW-MiLLA) part 1</t>
  </si>
  <si>
    <t>Joint Workshop on Diffusion of Harmful Content on Online Web and Countering Misinformation in the Age of LLMs and Agents</t>
  </si>
  <si>
    <t>mandl@uni-hildesheim.de; h.liu@soton.ac.uk; gautamshahi16@gmail.com; amit.chr@iitbhu.ac.in; durgeshnandini16@yahoo.in; L.D.Ibanez@soton.ac.uk; suga.junichi@fujitsu.com; yamamoto.dai@fujitsu.com; Rahul.N.Mishra@fujitsu.com; raja@iiit.ac.in; s.uprety@ucl.ac.uk; sujit.kumar@ntu.edu.sg; bornalip@illinois.edu</t>
  </si>
  <si>
    <r>
      <rPr>
        <rFont val="Arial,sans-serif"/>
        <color rgb="FF1155CC"/>
        <sz val="12.0"/>
        <u/>
      </rPr>
      <t>https://dhow-workshop.github.io/2026/</t>
    </r>
  </si>
  <si>
    <t>(DHOW-MiLLA) part 2</t>
  </si>
  <si>
    <t xml:space="preserve">Abderrahmane Maaradji, Abul Ehtesham, Aditi Singh, Boualem Benatallah, Fatma Outay, Luca Muscariello, Pradyumna Chari, Ramesh Raskar, Sabrina Senatore and Yacine Sam </t>
  </si>
  <si>
    <r>
      <rPr>
        <rFont val="Arial,sans-serif"/>
        <color rgb="FF1155CC"/>
        <sz val="12.0"/>
        <u/>
      </rPr>
      <t>https://faaw.univ-tours.fr/</t>
    </r>
  </si>
  <si>
    <t>(FAAW) part 1</t>
  </si>
  <si>
    <t>International Workshop on Foundations and Architectures for the Agentic Web</t>
  </si>
  <si>
    <t>faaw@univ-tours.fr</t>
  </si>
  <si>
    <r>
      <rPr>
        <rFont val="Arial,sans-serif"/>
        <color rgb="FF1155CC"/>
        <sz val="12.0"/>
        <u/>
      </rPr>
      <t>https://faaw.univ-tours.fr/</t>
    </r>
  </si>
  <si>
    <t>(FAAW) part 2</t>
  </si>
  <si>
    <t xml:space="preserve">Irwin King, Guodong Long, Zenglin Xu, Han Yu, Xiaoli Tang and Liping Yi </t>
  </si>
  <si>
    <r>
      <rPr>
        <rFont val="Arial,sans-serif"/>
        <color rgb="FF1155CC"/>
        <sz val="12.0"/>
        <u/>
      </rPr>
      <t>https://federated-learning.org/fl@fm-www-2026/</t>
    </r>
  </si>
  <si>
    <t>(FL@FM)</t>
  </si>
  <si>
    <t>International Workshop on Federated Foundation Models for the Web 2026</t>
  </si>
  <si>
    <t>king@cse.cuhk.edu.hk; Guodong.Long@uts.edu.au; zenglinxu@fudan.edu.cn; han.yu@ntu.edu.sg; xiaoli001@e.ntu.edu.sg; lipingyi@tju.edu.cn</t>
  </si>
  <si>
    <t xml:space="preserve">Gianluca Bonifazi, Stefano Cirillo, Eliana Pastor and Luca Virgili </t>
  </si>
  <si>
    <r>
      <rPr>
        <rFont val="Arial,sans-serif"/>
        <color rgb="FF1155CC"/>
        <sz val="12.0"/>
        <u/>
      </rPr>
      <t>https://glow-workshop.github.io/www2026/</t>
    </r>
  </si>
  <si>
    <t>(GLOW)</t>
  </si>
  <si>
    <t>Graph-enhanced LLMs for Trustworthy Web Data Management</t>
  </si>
  <si>
    <t>g.bonifazi@univpm.it; scirillo@unisa.it; eliana.pastor@polito.it; luca.virgili@univpm.it;</t>
  </si>
  <si>
    <t xml:space="preserve">Kaike Zhang, Jiakai Tang, Du Su, Shuchang Liu, Julian McAuley, Lina Yao, Qi Cao, Yue Feng and Fei Sun </t>
  </si>
  <si>
    <r>
      <rPr>
        <rFont val="Arial,sans-serif"/>
        <color rgb="FF1155CC"/>
        <sz val="12.0"/>
        <u/>
      </rPr>
      <t>https://hcrec.github.io/</t>
    </r>
  </si>
  <si>
    <t>(HCRS)</t>
  </si>
  <si>
    <t>sudu@ict.ac.cn; liushuchang@kuaishou.com; jmcauley@eng.ucsd.edu; lina.yao@unsw.edu.au; caoqi@ict.ac.cn; y.feng.6@bham.ac.uk; ofey.sunfei@gmail.com</t>
  </si>
  <si>
    <t xml:space="preserve">Keerthi Gopalakrishnan, Qi Xu, Aysenur Inan, Zhigang Hua, Shuang Yang and Luyi Ma </t>
  </si>
  <si>
    <r>
      <rPr>
        <rFont val="Arial,sans-serif"/>
        <color rgb="FF1155CC"/>
        <sz val="12.0"/>
        <u/>
      </rPr>
      <t>https://llmandagents4recsys.github.io/</t>
    </r>
  </si>
  <si>
    <t>(LARS) part 1</t>
  </si>
  <si>
    <t>LLM &amp; Agents for Recommendation Systems</t>
  </si>
  <si>
    <t>k.goppalakrishnan@walmart.com; aysenur.inan@walmart.com; prabhata@openai.com; luyi.ma@walmart.com; ssehgal@netflix.com; kai.zhao@walmart.com; kamelia.ahmadi@gmail.com</t>
  </si>
  <si>
    <r>
      <rPr>
        <rFont val="Arial,sans-serif"/>
        <color rgb="FF1155CC"/>
        <sz val="12.0"/>
        <u/>
      </rPr>
      <t>https://llmandagents4recsys.github.io/</t>
    </r>
  </si>
  <si>
    <t>(LARS) part 2</t>
  </si>
  <si>
    <t xml:space="preserve">Usman Naseem, Surendrabikram Thapa, Roy Ka-Wei Lee and Mehwish Nasim </t>
  </si>
  <si>
    <r>
      <rPr>
        <rFont val="Arial,sans-serif"/>
        <color rgb="FF1155CC"/>
        <sz val="12.0"/>
        <u/>
      </rPr>
      <t>https://sites.google.com/view/mm4sg-webconf26</t>
    </r>
  </si>
  <si>
    <t>(MM4SG)</t>
  </si>
  <si>
    <t>Fourth International Workshop on Multimodal Content Analysis for Social Good</t>
  </si>
  <si>
    <t>usman.naseem@mq.edu.au; surendrabikram@vt.edu; s.roylee@gmail.com; mahwish.nasim@gmail.com</t>
  </si>
  <si>
    <t xml:space="preserve">Damien Graux, Sébastien Montella and Hajira Jabeen </t>
  </si>
  <si>
    <r>
      <rPr>
        <rFont val="Arial,sans-serif"/>
        <color rgb="FF1155CC"/>
        <sz val="12.0"/>
        <u/>
      </rPr>
      <t>https://prompteng-ws.github.io/2026/</t>
    </r>
  </si>
  <si>
    <t>(PromptEng)</t>
  </si>
  <si>
    <t>Third International Workshop on Prompt Engineering for Pre-Trained Language Models</t>
  </si>
  <si>
    <t>dam.graux@gmail.com; montellasebastien@gmail.com; hajirajabeen@gmail.com</t>
  </si>
  <si>
    <t xml:space="preserve">Fakhri Momeni, Arnim Bleier, Danilo Dessi and Muhammad Taimoor Khan </t>
  </si>
  <si>
    <r>
      <rPr>
        <rFont val="Arial,sans-serif"/>
        <color rgb="FF1155CC"/>
        <sz val="12.0"/>
        <u/>
      </rPr>
      <t>https://sites.google.com/view/r2cass/home</t>
    </r>
  </si>
  <si>
    <t>(R2CASS)</t>
  </si>
  <si>
    <t>The 2nd International Workshop on Social Science Meets Web Data: Reproducible and Reusable Computational Approaches</t>
  </si>
  <si>
    <t>fakhri.momeni@t-online.de; arnim.bleier@gmail.com; danilodessi92@gmail.com; taimoor.khan@gesis.org</t>
  </si>
  <si>
    <t xml:space="preserve">Rima Dessi', Jeenu Joy, Danilo Dessi', Francesco Osborne and Hidir Aras </t>
  </si>
  <si>
    <r>
      <rPr>
        <rFont val="Arial,sans-serif"/>
        <color rgb="FF1155CC"/>
        <sz val="12.0"/>
        <u/>
      </rPr>
      <t>https://semtech4stld.github.io/</t>
    </r>
  </si>
  <si>
    <t>(SemTech)</t>
  </si>
  <si>
    <t>4th International Workshop on AI and Semantic Technologies for the Scientific, Technical, and Legal Web</t>
  </si>
  <si>
    <t>semtech2026@easychair.org</t>
  </si>
  <si>
    <t xml:space="preserve">Marc Spaniol, France Omar Alonso and Ricardo Baeza-Yates </t>
  </si>
  <si>
    <r>
      <rPr>
        <rFont val="Arial,sans-serif"/>
        <color rgb="FF1155CC"/>
        <sz val="12.0"/>
        <u/>
      </rPr>
      <t>https://temporalweb.net/</t>
    </r>
  </si>
  <si>
    <t>(TempWeb) part 1</t>
  </si>
  <si>
    <t>The 16th Temporal Web Analytics Workshop</t>
  </si>
  <si>
    <t>marc.spaniol@unicaen.fr; oralonso@gmail.com; ricardo.baeza@upf.edu</t>
  </si>
  <si>
    <r>
      <rPr>
        <rFont val="Arial,sans-serif"/>
        <color rgb="FF1155CC"/>
        <sz val="12.0"/>
        <u/>
      </rPr>
      <t>https://temporalweb.net/</t>
    </r>
  </si>
  <si>
    <t>(TempWeb) part 2</t>
  </si>
  <si>
    <t xml:space="preserve">Haoang Chi  Qi  Wang  Jiantong Jiang  Jiangchao Yao  Feng Liu  Bo Han </t>
  </si>
  <si>
    <r>
      <rPr>
        <rFont val="Arial,sans-serif"/>
        <color rgb="FF1155CC"/>
        <sz val="12.0"/>
        <u/>
      </rPr>
      <t>https://www-tfm-causal.github.io/www2026-workshop/</t>
    </r>
  </si>
  <si>
    <t>(TrustFM)</t>
  </si>
  <si>
    <t>haoangchi618@gmail.com; cheemswang@mail.tsinghua.edu.cn; jiantong.jiang@unimelb.edu.au; Sunarker@sjtu.edu.cn; fengliu.ml@gmail.com; bhanml@comp.hkbu.edu.hk</t>
  </si>
  <si>
    <t xml:space="preserve"> Lei Wang,  Md Zakir Hossain, Tom Gedeon, Syed Mohammed Shamsul Islam. Rafiqul Islam. Yasmeen George and Shreya Ghosh </t>
  </si>
  <si>
    <r>
      <rPr>
        <rFont val="Arial,sans-serif"/>
        <color rgb="FF1155CC"/>
        <sz val="12.0"/>
        <u/>
      </rPr>
      <t>https://time.griffith.edu.au/workshop/time2026/</t>
    </r>
  </si>
  <si>
    <t>(TIME) part 1</t>
  </si>
  <si>
    <t>2nd International Workshop on Transformative Insights in Multi-faceted Evaluation</t>
  </si>
  <si>
    <t>l.wang4@griffith.edu.au; Zakir.Hossain1@curtin.edu.au; Tom.Gedeon@curtin.edu.au; syed.islam@ecu.edu.au; mislam@csu.edu.au; yasmeen.george@monash.edu; shreya.ghosh@uq.edu.au</t>
  </si>
  <si>
    <r>
      <rPr>
        <rFont val="Arial,sans-serif"/>
        <color rgb="FF1155CC"/>
        <sz val="12.0"/>
        <u/>
      </rPr>
      <t>https://time.griffith.edu.au/workshop/time2026/</t>
    </r>
  </si>
  <si>
    <t>(TIME) part 2</t>
  </si>
  <si>
    <t>Jingwei Sun,G uosheng Lin, Fengmao Lv, Tao Liang, Junlin Fang and Jianli Wang</t>
  </si>
  <si>
    <r>
      <rPr>
        <rFont val="Arial,sans-serif"/>
        <color rgb="FF1155CC"/>
        <sz val="12.0"/>
        <u/>
      </rPr>
      <t>https://ttthhl.github.io/www2026-workshop/</t>
    </r>
  </si>
  <si>
    <t>(TML)</t>
  </si>
  <si>
    <t>gslin@ntu.edu.sg
fengmaolv@126.com
maguojun@bytedance.com
wangjianli@swjtu.edu.cn
liangtao.liangtao@bytedance.com</t>
  </si>
  <si>
    <t xml:space="preserve">Ehsan Toreini and Muadh Al Kalbani </t>
  </si>
  <si>
    <r>
      <rPr>
        <rFont val="Arial,sans-serif"/>
        <color rgb="FF1155CC"/>
        <sz val="12.0"/>
        <u/>
      </rPr>
      <t>https://samsunginternet.github.io/webads26/</t>
    </r>
  </si>
  <si>
    <t>(WebAds) part 1</t>
  </si>
  <si>
    <t>Emerging Trends in Web Advertising</t>
  </si>
  <si>
    <t>e.toreini@samsung.com; m.alkalbani@samsung.com</t>
  </si>
  <si>
    <r>
      <rPr>
        <rFont val="Arial, sans-serif"/>
        <color rgb="FF1155CC"/>
        <sz val="12.0"/>
        <u/>
      </rPr>
      <t>https://samsunginternet.github.io/webads26/</t>
    </r>
  </si>
  <si>
    <t>(WebAds) part 2</t>
  </si>
  <si>
    <t xml:space="preserve">Leonidas Anthopoulos, Marijn Janssen and Vishanth Weerakkody </t>
  </si>
  <si>
    <r>
      <rPr>
        <rFont val="Arial,sans-serif"/>
        <color rgb="FF1155CC"/>
        <sz val="12.0"/>
        <u/>
      </rPr>
      <t>https://webandthecity.home.blog/</t>
    </r>
  </si>
  <si>
    <t>(WebAndTheCity)</t>
  </si>
  <si>
    <t>12th International Smart City Workshop – Data-Driven Smart Cities</t>
  </si>
  <si>
    <t>lanthopo@uth.gr; m.f.w.h.a.janssen@tudelft.nl; v.weerakkody@bradford.ac.uk</t>
  </si>
  <si>
    <t xml:space="preserve">Yuxuan Liang, Hao Xue, Ming Jin, Fei Wang, Qingxiang Liu, Qingsong Wen, Shirui Pan and Flora Salim </t>
  </si>
  <si>
    <r>
      <rPr>
        <rFont val="Arial,sans-serif"/>
        <color rgb="FF1155CC"/>
        <sz val="12.0"/>
        <u/>
      </rPr>
      <t>https://webst2026.netlify.app/</t>
    </r>
  </si>
  <si>
    <t>(WebST)</t>
  </si>
  <si>
    <t>The 2nd International Workshop on Spatio-Temporal Data Mining from the Web</t>
  </si>
  <si>
    <t>yuxliang@outlook.com; hao.xue1@unsw.edu.au; mingjinedu@gmail.com; wangfei@ict.ac.cn; qingxiangliu737@gmail.com; qingsongedu@gmail.com; s.pan@griffith.edu.au; flora.salim@unsw.edu.au</t>
  </si>
  <si>
    <t xml:space="preserve">Shiho Kim, Ho Suk, Roberto Di Pietro, Davor Svetinovic, KyungHi Chang, Madhusudan Singh and Rakesh Shrestha </t>
  </si>
  <si>
    <r>
      <rPr>
        <rFont val="Arial,sans-serif"/>
        <color rgb="FF1155CC"/>
        <sz val="12.0"/>
        <u/>
      </rPr>
      <t>https://zabapad.github.io</t>
    </r>
  </si>
  <si>
    <t>(ZABAPAD) part 1</t>
  </si>
  <si>
    <t>Zero-knowledge Proof and Blockchain for Web 4.0: Advancing the Post-quantum and Decentralized Era</t>
  </si>
  <si>
    <t>zabapadworkshop@gmail.com; sukho93@yonsei.ac.kr</t>
  </si>
  <si>
    <r>
      <rPr>
        <rFont val="Arial,sans-serif"/>
        <color rgb="FF1155CC"/>
        <sz val="12.0"/>
        <u/>
      </rPr>
      <t>https://zabapad.github.io</t>
    </r>
  </si>
  <si>
    <t>(ZABAPAD) part 2</t>
  </si>
  <si>
    <t>Session id</t>
  </si>
  <si>
    <t>Session name</t>
  </si>
  <si>
    <t>PhD1</t>
  </si>
  <si>
    <t>Reliability, Security, and Safety</t>
  </si>
  <si>
    <t>PhD2</t>
  </si>
  <si>
    <t>Knowledge Discovery and Education</t>
  </si>
  <si>
    <t>PhD3</t>
  </si>
  <si>
    <t>Human Dynamics and Social Media</t>
  </si>
  <si>
    <t>PhD4</t>
  </si>
  <si>
    <t>Governance and Proactive Systems</t>
  </si>
  <si>
    <t>Paper ID</t>
  </si>
  <si>
    <t>Author</t>
  </si>
  <si>
    <t xml:space="preserve">Full title </t>
  </si>
  <si>
    <t>Morning/Afternoon</t>
  </si>
  <si>
    <t>phd090</t>
  </si>
  <si>
    <t>Exploring Political Attitudes under Selective Media Consumption with Large Language Models</t>
  </si>
  <si>
    <t>Upasana Dutta</t>
  </si>
  <si>
    <t>phd010</t>
  </si>
  <si>
    <t>Towards Conversational Dataset Discovery on the Web</t>
  </si>
  <si>
    <t>Lisa-Yao Gan</t>
  </si>
  <si>
    <t>phd020</t>
  </si>
  <si>
    <t>Foundational Representations for Efficient Retrieval of Structured Tabular Data</t>
  </si>
  <si>
    <t>Inwon Kang</t>
  </si>
  <si>
    <t>phd080</t>
  </si>
  <si>
    <t>How the Web Remembers Multilingual Collective Memory on Wikipedia and in Large Language Models</t>
  </si>
  <si>
    <t>H. Laurie Lawson</t>
  </si>
  <si>
    <t>phd060</t>
  </si>
  <si>
    <t>Can You Trust the Data Trust?</t>
  </si>
  <si>
    <t>An Ning Shen</t>
  </si>
  <si>
    <t>phd050</t>
  </si>
  <si>
    <t>Introducing Temporal Dynamics to Proactive Recommender Systems for Email Outreach</t>
  </si>
  <si>
    <t>Čeněk Žid</t>
  </si>
  <si>
    <t>phd030</t>
  </si>
  <si>
    <t>Tutoring Large Language Models to be Domain-adaptive, Precise, and Safe</t>
  </si>
  <si>
    <t>Somnath Banerjee</t>
  </si>
  <si>
    <t>phd070</t>
  </si>
  <si>
    <t>LeTCC-ZK: Smooth, Verifiable Distributed Inference via Spline-Coded Computing</t>
  </si>
  <si>
    <t>Ekaterina Pavlova</t>
  </si>
  <si>
    <t>phd100</t>
  </si>
  <si>
    <t>Edge-Mamba: Efficient and Robust Security Evaluation for the Web of Things via Selective State Spaces</t>
  </si>
  <si>
    <t>Chenchong Du</t>
  </si>
  <si>
    <t>phd040</t>
  </si>
  <si>
    <t>Constructing the Cycle of Mastery: LLM-Empowered Intelligent Tutoring for Programming Education</t>
  </si>
  <si>
    <t>Junfeng Zhang</t>
  </si>
  <si>
    <t>Easychair id</t>
  </si>
  <si>
    <t>Sheridan's title</t>
  </si>
  <si>
    <t>Tracks</t>
  </si>
  <si>
    <t>Akhil Jalan and Marios Papachristou</t>
  </si>
  <si>
    <t>Economics, Online Markets and Human Computation</t>
  </si>
  <si>
    <t>Jiale Han, Chun Gan, Chengcheng Zhang, Jie He, Zhangang
Lin, Ching Law and Xiaowu Dai</t>
  </si>
  <si>
    <t>Yotam Gafni</t>
  </si>
  <si>
    <t>Mingxuan Song, Yusen Huo, Bohan Zhou, Shenglin Yin, Zhen
Xiao, Jieyi Long, Zhilin Zhang and Chuan Yu</t>
  </si>
  <si>
    <t>Kai Wang, Runze Wu, Yu Xiong, Haifeng Sun, Anran Li,
Shaojie Tang, Changjie Fan and Xiang-Yang Li</t>
  </si>
  <si>
    <t>Best Paper Candidate</t>
  </si>
  <si>
    <t>Bence Ladóczki</t>
  </si>
  <si>
    <t>Yewen Li, Zhiyi Lyu, Peng Jiang, Qingpeng Cai, Fei Pan, Bo
An and Peng Jiang</t>
  </si>
  <si>
    <t>Gagan Aggarwal, Andres Perlroth, Ariel Schvartzman Cohenca
and Mingfei Zhao</t>
  </si>
  <si>
    <t>Yongkang Guo, Yuqing Kong and Zhihuan Huang</t>
  </si>
  <si>
    <t>Qinde Chen, Huawei Huang and Jian Zheng</t>
  </si>
  <si>
    <t>Qishen Han, Grant Schoenebeck, Biaoshuai Tao and Lirong Xia</t>
  </si>
  <si>
    <t>Zehan Lin, Xiaowei Wu and Shengwei Zhou</t>
  </si>
  <si>
    <t>Jiawei Qiu, Xiaowei Wu, Cong Zhang and Shengwei Zhou</t>
  </si>
  <si>
    <t>Gur Keinan and Omer Ben-Porat</t>
  </si>
  <si>
    <t>Xinxin Yang, Yangyang Tang, Yikun Zhou, Yaolei Liu, Yun Li
and Bo Yang</t>
  </si>
  <si>
    <t>Juan Luque, Sharmila Duppala, Michael Curry, John Dickerson
and Aravind Srinivasan</t>
  </si>
  <si>
    <t>Hossein Nekouyan, Bo Sun, Raouf Boutaba and Xiaoqi Tan</t>
  </si>
  <si>
    <t>Gagan Aggarwal, Yifan Wang and Mingfei Zhao</t>
  </si>
  <si>
    <t>Zhijian Duan, Haoran Sun, Yichong Xia, Siqiang Wang, Zhilin
Zhang, Chuan Yu, Jian Xu and Xiaotie Deng</t>
  </si>
  <si>
    <t>Houshuang Chen, Yaonan Jin, Pinyan Lu and Chihao Zhang</t>
  </si>
  <si>
    <t>Yuhan Cao, Yu Wang, Sitong Liu, Miao Li, Yixin Tao and
Tianxing He</t>
  </si>
  <si>
    <t>Santiago Balseiro, Kshipra Bhawalkar, Yuan Deng, Zhe Feng,
Jieming Mao, Aranyak Mehta, Vahab Mirrokni, Renato Paes
Leme, Di Wang and Song Zuo</t>
  </si>
  <si>
    <t>Jeffrey Gleason, Shuo Zhang and Christo Wilson</t>
  </si>
  <si>
    <t>Seyed Esmaeili, Kevin Lim, Kshipra Bhawalkar, Zhe Feng, Di
Wang and Haifeng Xu</t>
  </si>
  <si>
    <t>Mohammad Mahdian, Jieming Mao, Enze Sun, Kangning Wang and
Yifan Wang</t>
  </si>
  <si>
    <t>George Christodoulou, Vasilis Christoforidis, Alkmini
Sgouritsa and Ioannis Vlachos</t>
  </si>
  <si>
    <t>Yunzhe Bai and Alec Sun</t>
  </si>
  <si>
    <t>Bingzhe Wang, Tianyu Wang, Qi Qi, Xiaoxuan Deng, Zhilin
Zhang and Chuan Yu</t>
  </si>
  <si>
    <t>Bo Li, Ankang Sun and Shiji Xing</t>
  </si>
  <si>
    <t>Bhaskar Chaudhury, Jugal Garg, Aniket Murhekar and Jiaxin
Song</t>
  </si>
  <si>
    <t>Mohammadtaghi Hajiaghayi, Gary Peng and Suho Shin</t>
  </si>
  <si>
    <t>Dana Afazeli, Mohamad Latifian and Masoud Seddighin</t>
  </si>
  <si>
    <t>Mohammad Reza Badri, Hossein Esfandiari, Samira
Hosseinghorban and Alireza Rezaeimoghadam</t>
  </si>
  <si>
    <t>Garrett Seo, Xintong Wang and David Parkes</t>
  </si>
  <si>
    <t>Ana-Andreea Stoica, Celestine Mendler-Duenner and Moritz
Hardt</t>
  </si>
  <si>
    <t>Linan Yue and Weibo Gao</t>
  </si>
  <si>
    <t>Graph Algorithms and Modeling for the Web</t>
  </si>
  <si>
    <t>Zhongjian Zhang, Xiao Wang, Mengmei Zhang, Jiarui Tan and
Chuan Shi</t>
  </si>
  <si>
    <t>Jiayi Wang, Yi Li, Xin Zheng, Junyang Chen, Yanqing Guo,
Alan Wee-Chung Liew and Shirui Pan</t>
  </si>
  <si>
    <t>Qin Tian, Chen Zhao, Xintao Wu, Dong Li, Minglai Shao,
Xujiang Zhao and Wenjun Wang</t>
  </si>
  <si>
    <t>Liangsi Lu, Jingchao Wang, Zhaorong Dai, Hanqian Liu and
Yang Shi</t>
  </si>
  <si>
    <t>Yi Wang, Jitao Zhao, Dongxiao He, Jia Li, Yuxiao Huang and
Zhiyong Feng</t>
  </si>
  <si>
    <t>Yuanyuan Xu, Danni Wu, Xuemin Lin, Dong Wen, Wenjie Zhang,
Lei Chen and Ying Zhang</t>
  </si>
  <si>
    <t>Mingtao Zhang, Guoli Yang, Zhanxing Zhu, Guangyin Jin,
Mengzhu Wang and Xiaoying Bai</t>
  </si>
  <si>
    <t>Qian Chang, Xia Li, Xiufeng Cheng, Runsong Jia, Jinqing
Yang, Guoping Hu and Ciprian Doru Giurcaneanu</t>
  </si>
  <si>
    <t>Renda Han, Xiaobao Wang, Luzhi Wang, Wenxin Zhang,
Guangzhen Yao and Hongxiang Liang</t>
  </si>
  <si>
    <t>Hongbo Xia, Shengxin Liu and Zhaoquan Gu</t>
  </si>
  <si>
    <t>Ziyu Zheng, Yaming Yang, Ziyu Guan, Wei Zhao, Xinyan Huang
and Weigang Lu</t>
  </si>
  <si>
    <t>Longlong Lin, Zeli Wang, Rong-Hua Li, Xiaohai Dai, Li Ni
and Jin Zhao</t>
  </si>
  <si>
    <t>Xingcheng Fu, Lingyun Liu, Yisen Gao, Tianyu Chen, Qingyun
Sun, Jianxin Li and Xianxian Li</t>
  </si>
  <si>
    <t>Ping Zhang, Jiayu Leng, Liang Yang, Anchen Li, Xiaochun Cao
and Riting Xia</t>
  </si>
  <si>
    <t>Qimin Zhou, Haibo Liu, Yujie Wang, Li Sun and Chuan Shi</t>
  </si>
  <si>
    <t>Zhizhi Yu, Di Jin, Dongxiao He, Wenhuan Lu and Jianguo Wei</t>
  </si>
  <si>
    <t>Lianze Shan, Jitao Zhao, Dongxiao He, Siqi Liu, Jiaxu Cui
and Weixiong Zhang</t>
  </si>
  <si>
    <t>Haonan Yuan, Qingyun Sun, Jiacheng Tao, Xingcheng Fu and
Jianxin Li</t>
  </si>
  <si>
    <t>Jie Gao, Jia Hu, Geyong Min and Fei Hao</t>
  </si>
  <si>
    <t>Mengying Zhu, Feiyue Chen, Lifan Jiang, Mengyuan Yang,
Yangyang Wu, Guanjie Cheng and Xiaolin Zheng</t>
  </si>
  <si>
    <t>Michelle Contreras-Catalan and Matteo Riondato</t>
  </si>
  <si>
    <t>Ce Yang, Fei Hao, Jie Gao, Jianrui Chen, Jia Hu and Geyong
Min</t>
  </si>
  <si>
    <t>Soheila Farokhi, Xiaojun Qi and Hamid Karimi</t>
  </si>
  <si>
    <t>Huanchang Ma, Xin Zheng, Jianyu Li, Alan Wee-Chung Liew,
Wei Lan and Jian Gao</t>
  </si>
  <si>
    <t>Junwei Gong, Xiao Shen, Zhihao Chen, Shirui Pan, Xiao Wang
and Xi Zhou</t>
  </si>
  <si>
    <t>Mingqian Ding, Jianjun Li, Zhiyuan Ma, Liwei Zhang and
Wenqi Yang</t>
  </si>
  <si>
    <t>Qianyu Song, Chao Li, Yeyu Yan, Hui Zhou, Zhongying Zhao
and Qingtian Zeng</t>
  </si>
  <si>
    <t>Rui Ou, Kun Zhu, Nana Zhang, Jiangtong Li, Chaochao Chen
and Changjun Jiang</t>
  </si>
  <si>
    <t>Haowei Han, Yuxiang Wang, Guojia Wan, Hao Wang, Shanshan
Feng, Hao Huang, Jiawei Jiang and Xiao Yan</t>
  </si>
  <si>
    <t>Qicheng Shan, Yuxuan Yang and Gong Cheng</t>
  </si>
  <si>
    <t>Sun Jiayang, Liu Shenghao, Deng Xianjun, Xiang Wei, Luo
Meng, Zhang Qiankun and Zheng Dandan</t>
  </si>
  <si>
    <t>Zhaolin Hu, Kun Li, Hehe Fan and Yi Yang</t>
  </si>
  <si>
    <t>Jiahao Xie and Guangmo Tong</t>
  </si>
  <si>
    <t>Jitao Zhao, Yi Wang, Yawen Li, Dongxiao He, Di Jin, Zhiyong
Feng and Weixiong Zhang</t>
  </si>
  <si>
    <t>Junqiang Peng, Tian Bai, Jingyang Zhao and Mingyu Xiao</t>
  </si>
  <si>
    <t>Junghun Kim, Shihyung Park and U Kang</t>
  </si>
  <si>
    <t>Renda Han, Xiaobao Wang, Longbiao Wang, Wenxin Zhang,
Ronghao Fu, Kaiming Wang, Zeyu Zhang and Kuntharrgyal Khysru</t>
  </si>
  <si>
    <t>Jialun Zheng, Jie Liu, Jiannong Cao, Xiao Wang, Hanchen
Yang and Yankai Chen</t>
  </si>
  <si>
    <t>Han Zhao, Xu Yang, Cheng Deng and Fan Liu</t>
  </si>
  <si>
    <t>Shuai Ren, Fan Zhang, Bolin Wang, Xiang Zhao and Zhihong
Tian</t>
  </si>
  <si>
    <t>Yejiang Wang, Yuhai Zhao, Fangting Li, Jiapu Wang, Meixia
Wang, Ling Li, Miaomiao Huang, Zhengkui Wang and Shirui Pan</t>
  </si>
  <si>
    <t>Zhenyu Yang, Ge Zhang, Shan Xue, Xiaoxiao Ma, Jian Yang,
Hao Peng, Amin Beheshti and Jia Wu</t>
  </si>
  <si>
    <t>Jinyu Duan, Sijin Wang, Fan Zhang, Xiang Zhao, Wenjie Zhang
and Zhihong Tian</t>
  </si>
  <si>
    <t>Junlong Wu, Renda Han, Wenxuan Tu, Jingxin Liu, Haotian
Wang and Jieren Cheng</t>
  </si>
  <si>
    <t>Dong-Hyuk Seo, Sein Kim, Taeri Kim, Won-Yong Shin and
Sang-Wook Kim</t>
  </si>
  <si>
    <t>Zhaoxing Yang, Yuchen Guo, Wenlong Li, Guiyun Fan, Haiming
Jin and Linghe Kong</t>
  </si>
  <si>
    <t>Ting Guo, Dongyu Pei, Gangzhu Qiao, Kaixuan Yao and Da Wang</t>
  </si>
  <si>
    <t>Yanghui Fu, Yunfei Wang, Hao Zou, Yue He, Haotian Wang,
Qing Cheng, Guangquan Cheng and Shixuan Liu</t>
  </si>
  <si>
    <t>Xiang Li, Jianpeng Qi, Haobing Liu, Yuan Cao, Guoqing Chao,
Zhongying Zhao, Junyu Dong, Xinwang Liu and Yanwei Yu</t>
  </si>
  <si>
    <t>Yongsheng Yu, Congbo Ma, Zitai Qiu, Shan Xue, Jian Yang and
Jia Wu</t>
  </si>
  <si>
    <t>Haobing Liu, Yinuo Zhang, Tingting Wang, Ruobing Jiang and
Yanwei Yu</t>
  </si>
  <si>
    <t>Di Jin, Xiao Huang, Xiaobao Wang, Fengyu Yan, Luzhi Wang
and Hongxiang Liang</t>
  </si>
  <si>
    <t>Qianyi Cai, Ziyue Qiao, Minghao Yang, Xiao Luo and Hui Xiong</t>
  </si>
  <si>
    <t>Di Jin, Bingdao Feng, Xiaobao Wang, Yuxiang Zhang, Zechuan
Zhang, Liang Yang, Dongxiao He and Zhen Wang</t>
  </si>
  <si>
    <t>Meixia Wang, Yuhai Zhao, Zhengkui Wang, Fenglong Ma,
Yejiang Wang, Miaomiao Huang, Fazal Wahab, Wen Shan and
Xingwei Wang</t>
  </si>
  <si>
    <t>Weigang Lu, Zheng Liang, Yaming Yang, Ziyu Zheng, Meng Yan,
Beilei Ling, Ziyu Guan and Wei Zhao</t>
  </si>
  <si>
    <t>Ge Zhang, Jiapei Chen, Guohao Sun, Xiu Fang, Zhenyu Yang,
Xixun Lin and Liang Yang</t>
  </si>
  <si>
    <t>Li Ni, Shuaikang Zeng, Lin Mu and Longlong Lin</t>
  </si>
  <si>
    <t>Li Sun, Ming Zhang, Wenxin Jin, Zhongtian Sun, Zhenhao
Huang, Hao Peng, Sen Su and Philip Yu</t>
  </si>
  <si>
    <t>Yilei Qiu, Fei Xiong, Jun Hu, Shirui Pan and Liang Wang</t>
  </si>
  <si>
    <t>Jingbo Zhou, Jun Xia, Siyuan Li, Yunfan Liu, Wenjun Wang,
Yufei Huang, Changxi Chi, Mutian Hong, Zhuoli Ouyang, Shu
Wang, Zhongqi Wang, Xingyu Wu, Chang Yu and Stan Z. Li</t>
  </si>
  <si>
    <t>Yunhui Liu, Qizhuo Xie, Yinfeng Chen, Xudong Jin, Tao
Zheng, Bin Chong and Tieke He</t>
  </si>
  <si>
    <t>Di Jin, Yixuan Du, Cuiying Huo, Xiaotong Huang, Ruqiong
Zhang, Xiaobao Wang and Yawen Li</t>
  </si>
  <si>
    <t>Yang Yao, Xin Wang, Yuan Meng, Zeyang Zhang, Hong Mei and
Wenwu Zhu</t>
  </si>
  <si>
    <t>Yifan Wang, Haodong Zhang, Zhiping Xiao, Yusheng Zhao, Siyu
Yi, Nan Yin, Xinwang Liu, Ming Zhang and Wei Ju</t>
  </si>
  <si>
    <t>Xiao Tan, Tongtong Su, Jiayi Wu, Yan Zhang, Binghui Xu,
Dian Shen, Meng Wang and Beilun Wang</t>
  </si>
  <si>
    <t>Kamal Berahmand, Saman Forouzandeh, Mehrnoush Mohammadi,
Parham Moradi and Mahdi Jalili</t>
  </si>
  <si>
    <t>Jiachi Zhao, Zehong Wang, Yamei Liao, Chuxu Zhang and
Yanfang Ye</t>
  </si>
  <si>
    <t>Haojie Li, Mengjiao Zhang, Guanfeng Liu, Qiang Hu, Yan Wang
and Junwei Du</t>
  </si>
  <si>
    <t>Zihui Chen, Yuling Wang, Pengfei Jiao, Kai Wu, Xiao Wang,
Xiang Ao and Dalin Zhang</t>
  </si>
  <si>
    <t>Chenxu Du, Yang Liu, Xingtong Yu, Zhuoer Xu, Yang Liu and
Tianrui Li</t>
  </si>
  <si>
    <t>Chuangui Cao, Shifei Ding, Jian Zhang, Lili Guo and Xuan Li</t>
  </si>
  <si>
    <t>Chuang Liu, Zelin Yao, Xueqi Ma, Mukun Chen, Luzhi Wang,
Jia Wu and Wenbin Hu</t>
  </si>
  <si>
    <t>Yifan Lu, Pengfei Jiao, Xuan Guo, Ziyun Zou, Yiwei Wang,
Mengzhou Gao, Huaming Wu and Imran Razzak</t>
  </si>
  <si>
    <t>Pallabee Das and Stefan Heindorf</t>
  </si>
  <si>
    <t>Wei Ju, Siyu Yi, Zhengyang Mao, Yifang Qin, Yifan Wang,
Zhiping Xiao, Yiwei Fu, Ziyue Qiao and Ming Zhang</t>
  </si>
  <si>
    <t>Zhe Zhan, Xiangshi Li, Tingting Wang, Shuo Yu and Henan Lei</t>
  </si>
  <si>
    <t>Runshuo Liu, Chao Li, Zhongying Zhao, Hui Zhou and Qingtian
Zeng</t>
  </si>
  <si>
    <t>Zhaowei Liu, Chang Liu, Dong Yang, Weiqing Yan, Yongchao
Song and Anzuo Jiang</t>
  </si>
  <si>
    <t>Shiyuan Li, Yixin Liu, Yu Zheng, Mei Li, Quoc Viet Hung
Nguyen and Shirui Pan</t>
  </si>
  <si>
    <t>Pengyang Zhou, Zhihao Huang, Jiahe Xu, Wu Wen, Xiaolin
Zheng, Chaochao Chen and Jianwei Yin</t>
  </si>
  <si>
    <t>Haixu Xiong, Li Sun, Yun Xiong, Suyang Zhou, Hongrun Ren
and Yangyong Zhu</t>
  </si>
  <si>
    <t>Shifei Ding, Fangchen Li, Lili Guo and Jian Zhang</t>
  </si>
  <si>
    <t>Shifei Ding, Zhe Li, Xiao Xu and Chao Li</t>
  </si>
  <si>
    <t>Tianyin Liao, Ge Lan, Rui Chen, Ran Zhang, Zhiming Chen,
Xiao Wang and Ziwei Zhang</t>
  </si>
  <si>
    <t>Chuanyue Yu, Kuo Zhao, Yuhan Li, Heng Chang, Mingjian Feng,
Xiangzhe Jiang, Yufei Sun, Jia Li, Yuzhi Zhang, Qingyun
Sun, Jianxin Li and Ziwei Zhang</t>
  </si>
  <si>
    <t>Ke Ma, Cong Fu, Jianing Wang, Yifei Wang, Wenyuan Li,
Xinggang Wang, Meng Wang and Tian Xia</t>
  </si>
  <si>
    <t>Minjie Cheng, Bokai Yan, Dixin Luo and Hongteng Xu</t>
  </si>
  <si>
    <t>Tiantian Huang, Yue Li, Wei Shao, Ziqi Xu, Qipeng Song and
Hui Li</t>
  </si>
  <si>
    <t>Yuecen Wei, Zhiyu Zhuang, Yisen Gao, Xingcheng Fu, Qingyun
Sun, Ziwei Zhang, Tianyu Wo and Chunming Hu</t>
  </si>
  <si>
    <t>Jialin Chen, Haolan Zuo, Haoyu Wang, Siqi Miao, Pan Li and
Rex Ying</t>
  </si>
  <si>
    <t>Kaicheng Zhang, David N Reynolds, Piero Deidda and
Francesco Tudisco</t>
  </si>
  <si>
    <t>Cibo Yu, Tingting Zhu, Tingyang Chen, Yinghui Wu, Arijit
Khan and Xiangyu Ke</t>
  </si>
  <si>
    <t>Yang Qiu, Yixiong Zou and Jun Wang</t>
  </si>
  <si>
    <t>Tianming Zhang, Renbo Zhang, Zhengyi Yang, Yunjun Gao, Bin
Cao and Jing Fan</t>
  </si>
  <si>
    <t>Xu Fan, Zhang Yijun, Zhang Sibo, Ding Jiaxin, Fu Luoyi and
Wang Xinbing</t>
  </si>
  <si>
    <t>Junyu Luo, Zixuan Ouyang, Xiao Luo, Hourun Li, Zhiping
Xiao, Yifan Wang and Ming Zhang</t>
  </si>
  <si>
    <t>Shihe Zhou, Ruikun Li, Huandong Wang and Yong Li</t>
  </si>
  <si>
    <t>Shiqi Sun, Du Su, Wei Chen and Xueqi Cheng</t>
  </si>
  <si>
    <t>Jesse McCrosky, Ranadheer Malla, Aapo Tanskanen and Chico
Camargo</t>
  </si>
  <si>
    <t>Manjiang Yu, Hongji Li, Priyanka Singh, Xue Li, Di Wang and
Lijie Hu</t>
  </si>
  <si>
    <t>Hengtong Zhang, Chen Ye and Hongzhi Wang</t>
  </si>
  <si>
    <t>Yiran Gao, Pengcheng Xia, Liu Wang, Tianming Liu and Haoyu
Wang</t>
  </si>
  <si>
    <t>Zhenyu Yang, Chaoyu Yang, Wenfeng Xu, Xiuxiu Hao, Huan
Wang, Ge Zhang, Xiaoxiao Ma and Jun Shen</t>
  </si>
  <si>
    <t>Jungwook Seo, Yoonsik Park, Changmin Lee and Sungyong Baik</t>
  </si>
  <si>
    <t>Samuel Pélissier, Naif Mehanna, Sterenn Roux, Quentin
Perez, Walter Rudametkin, Johann Bourcier and Pierre
Laperdrix</t>
  </si>
  <si>
    <t>Soham De, Lodewijk Gelauff, Ashish Goel, Smitha Milli,
Ariel Procaccia and Alice Siu</t>
  </si>
  <si>
    <t>Luca Cordioli and Maristella Matera</t>
  </si>
  <si>
    <t>Mingchen Li, Wajdi Aljedaani, Yingjie Liu, Navyasri Meka,
Xuan Lu, Xinyue Ye, Junhua Ding and Yunhe Feng</t>
  </si>
  <si>
    <t>Fengjun Pan, Xiaobao Wu, Tho Quan and Anh Tuan Luu</t>
  </si>
  <si>
    <t>Atul Kumar Singh and Rahul Mishra</t>
  </si>
  <si>
    <t>Jiamin Luo, Xuqian Gu, Jingjing Wang and Jiahong Lu</t>
  </si>
  <si>
    <t>Jinwoo Jung and Misuk Kim</t>
  </si>
  <si>
    <t>Sahar Tahmasebi, Eric Müller-Budack and Ralph Ewerth</t>
  </si>
  <si>
    <t>Meng Cao, Mingcai Chen, Shuangjie Li, Hualei Yu, Shuai Feng
and Demin Gao</t>
  </si>
  <si>
    <t>Asmaa El Fraihi, Ines Abdelaziz and Oana Goga</t>
  </si>
  <si>
    <t>Boquan Li, Chenzhe Lou, Zhe Ren, Peixin Zhang, Zirui Fu,
Jun Sun and Yaowen Zheng</t>
  </si>
  <si>
    <t>Jia Gu, Liang Pang, Huawei Shen and Xueqi Cheng</t>
  </si>
  <si>
    <t>Zhaofeng Li, Chen Xu, Xinyu Lin, Wenjie Wang and Xiaokui
Xiao</t>
  </si>
  <si>
    <t>Buddhika Nettasinghe, Nazanin Alipourfard, Vikram
Krishnamurthy and Kristina Lerman</t>
  </si>
  <si>
    <t>Buddhika Nettasinghe and Kang Zhao</t>
  </si>
  <si>
    <t>Ashfaq Ali Shafin, Md Nahid Siddique and Bogdan Carbunar</t>
  </si>
  <si>
    <t>Chengshuai Zhao, Shu Wan, Paras Sheth, Karan Patwa, K.
Selçuk Candan and Huan Liu</t>
  </si>
  <si>
    <t>Shibo Cui, Mingxuan Liu, Baojun Liu, Haixin Duan, Ruixuan
Li, Chaoyi Lu, Jin Zhang, Zhicheng Wang and Jinghua Bai</t>
  </si>
  <si>
    <t>Fanrui Zhang, Qiang Zhang, Jianwen Sun, Chuanhao Li, Jiaxin
Ai, Yukang Feng, Zizhen Li, Kaipeng Zhang, Jiawei Liu and
Zheng-Jun Zha</t>
  </si>
  <si>
    <t>Leqi Zheng, Jiajun Zhang, Canzhi Chen, Chaokun Wang,
Hongwei Li, Yuying Li, Yaoxin Mao, Shannan Yan, Zixin Song,
Zhiyuan Feng, Zhaolu Kang, Zirong Chen, Hang Zhang, Qiang
Liu, Liang Wang and Ziyang Liu</t>
  </si>
  <si>
    <t>Search and Retrieval-Augmented AI</t>
  </si>
  <si>
    <t>Lu Keer, Zheng Liang, Da Pan, Shusen Zhang, Guosheng Dong,
Huang Leng, Bin Cui, Zhonghai Wu and Wentao Zhang</t>
  </si>
  <si>
    <t>Yiteng Tu, Weihang Su, Yujia Zhou, Yiqun Liu, Fen Lin, Qin
Liu and Qingyao Ai</t>
  </si>
  <si>
    <t>Zhizhao Liu, Zhihua Wen, Zhiliang Tian, Zhen Huang,
Miaorong Zhu, Zimian Wei, Yifu Gao, Liang Ding and
Dongsheng Li</t>
  </si>
  <si>
    <t>Shiyao Peng, Qianhe Zheng, Zhuodi Hao, Zichen Tang, Rongjin
Li, Qing Huang, Jiayu Huang, Jiacheng Liu, Yifan Zhu and
Haihong E</t>
  </si>
  <si>
    <t>Hao Liang, Qifeng Cai, Zhaoyang Han, Hejun Dong, Meiyi
Qiang, Ruichuan An, Quanqing Xu, Bin Cui and Wentao Zhang</t>
  </si>
  <si>
    <t>Shuguang Jiao, Xinyu Xiao, Yunfan Wei, Shuhan Qi, Chengkai
Huang, Quan Z. Michael Sheng and Lina Yao</t>
  </si>
  <si>
    <t>Yuheng Liang, Haipeng Chen, Yu Liu, Yingda Lyu and Xue Wang</t>
  </si>
  <si>
    <t>Shichao Ma, Zhengyang Zhou, Qihe Huang, Binwu Wang and Yang
Wang</t>
  </si>
  <si>
    <t>Zihao Chen, Chenyang Bu, Shengwei Ji and Xindong Wu</t>
  </si>
  <si>
    <t>Qianchi Zhang, Hainan Zhang, Liang Pang, Yongxin Tong,
Hongwei Zheng and Zhiming Zheng</t>
  </si>
  <si>
    <t>Yu-An Liu, Ruqing Zhang, Jiafeng Guo, Changjiang Zhou, Fan
Zhang and Yinhu Zhao</t>
  </si>
  <si>
    <t>Zhen Zhang, Zihan Wang, Xinyu Ma, Shuaiqiang Wang, Dawei
Yin, Xin Xin, Pengjie Ren, Maarten de Rijke and Zhaochun Ren</t>
  </si>
  <si>
    <t>Changjiang Zhou, Ruqing Zhang, Jiafeng Guo, Maarten de
Rijke, Fan Yixing and Xueqi Cheng</t>
  </si>
  <si>
    <t>Jiadong Xie, Jeffrey Liang, Siyi Teng, Jeffrey Xu Yu and
Yingfan Liu</t>
  </si>
  <si>
    <t>Xingyu Ma, Xin Tian, Lingxiang Wu, Xuepeng Wang, Xueming
Tang and Jinqiao Wang</t>
  </si>
  <si>
    <t>Shunliang Fu, Yanxin Zhang, Yixin Xiang, Xiaoyu Du and
Jinhui Tang</t>
  </si>
  <si>
    <t>Wenlin Zhang, Kuicai Dong, Junyi Li, Yingyi Zhang, Xiaopeng
Li, Pengyue Jia, Yi Wen, Derong Xu, Maolin Wang, Yichao
Wang, Yong Liu and Xiangyu Zhao</t>
  </si>
  <si>
    <t>Jinwei Su, Qizhen Lan, Yinghui Xia, Lifan Sun, Weiyou Tian,
Tianyu Shi and Lewei He</t>
  </si>
  <si>
    <t>Zhongyu Yang, Wei Pang and Yingfang Yuan</t>
  </si>
  <si>
    <t>Abdur-Rahman Ibrahim Sayyid-Ali, Daanish Uddin Khan and
Naveed Bhatti</t>
  </si>
  <si>
    <t>Jun Yang, Bai Yuhan, Dandan Song, Zhijing Wu and Yuhang Tian</t>
  </si>
  <si>
    <t>Xuri Ge, Chunhao Wang, Xindi Wang, Zheyun Qin, Zhumin Chen
and Xin Xin</t>
  </si>
  <si>
    <t>Haiyan Wu, Chenchen Wang, Chaoqun Sun, Chengxiong Lu,
Zhiqiang Zhang and Yanhong Chen</t>
  </si>
  <si>
    <t>Guanting Dong, Licheng Bao, Zhongyuan Wang, Kangzhi Zhao,
Xiaoxi Li, Jiajie Jin, Jinghan Yang, Hangyu Mao, Fuzheng
Zhang, Kun Gai, Guorui Zhou, Yutao Zhu, Ji-Rong Wen and
Zhicheng Dou</t>
  </si>
  <si>
    <t>Ruikun Luo, Zixiao Feng, Lin Gu and Xiaoyu Xia</t>
  </si>
  <si>
    <t>Yi Sun, Jinyu Xu, Qing Xie, Jiachen Li, Yanchun Ma and
Yongjian Liu</t>
  </si>
  <si>
    <t>Senlei Zhang, Tongjun Shi, Dandan Song, Luan Zhang, Shuhao
Zhang, Xiaofei Liao and Hai Jin</t>
  </si>
  <si>
    <t>Jiasheng Xu, Mingda Li, Yongqiang Tang, Peijie Wang and
Wensheng Zhang</t>
  </si>
  <si>
    <t>Jin Cheng, Xiangxiang Dai, Ningning Ding, John C.S. Lui and
Jianwei Huang</t>
  </si>
  <si>
    <t>Xingyuan Zeng, Zuohan Wu, Yue Wang, Chen Zhang, Quanming
Yao, Libin Zheng and Jian Yin</t>
  </si>
  <si>
    <t>Jihao Zhao, Daixuan Li, Pengfei Li, Shuaishuai Zu, Biao Qin
and Hongyan Liu</t>
  </si>
  <si>
    <t>Xiaoxi Li, Wenxiang Jiao, Jiarui Jin, Guanting Dong, Jiajie
Jin, Yinuo Wang, Hao Wang, Yutao Zhu, Ji-Rong Wen, Yuan Lu
and Zhicheng Dou</t>
  </si>
  <si>
    <t>Junsheng Wang, Tiantian Gong, Yeyun Wu and Liyan Zhang</t>
  </si>
  <si>
    <t>Hao Yang, Zhiyu Yang, Xvpeng Zhang, Wei Wei, Yunjie Zhang
and Lin Yang</t>
  </si>
  <si>
    <t>Fengran Mo, Zhan Su, Yuchen Hui, Jinghan Zhang, Jia Ao Sun,
Zheyuan Liu, Chao Zhang, Tetsuya Sakai and Jian-Yun Nie</t>
  </si>
  <si>
    <t>Guohui Ding, Jing Li, Yimin Xu and Rui Zhou</t>
  </si>
  <si>
    <t>Dongcheon Lee, Ji-Yeon Park, Hye-Yoon Baek, Jimyeung Seo,
Seyeong Kim and Byungkook Oh</t>
  </si>
  <si>
    <t>Xinyan Shi, Renzhi Wang, Haodong Liu and Piji Li</t>
  </si>
  <si>
    <t>Qichuan Liu, Chentao Zhang, Yuxuan Hu, Chenfeng Zheng,
Qinggang Zhang and Zhihong Zhang</t>
  </si>
  <si>
    <t>Qizhi Chen, Chao Qi, Yihong Huang, Muquan Li, Rongzheng
Wang, Dongyang Zhang, Ke Qin and Shuang Liang</t>
  </si>
  <si>
    <t>Zhiming Lin, Canran Xiao and Kai Zhao</t>
  </si>
  <si>
    <t>Yutao Wu, Xiao Liu, Yunhao Feng, Jiale Ding and Xingjun Ma</t>
  </si>
  <si>
    <t>Xiaosong Yuan, Xiaofeng Zhang, Di Zhao, Yijia Zhang and
Ying Wang</t>
  </si>
  <si>
    <t>Kuicai Dong, Shurui Huang, Fangda Ye, Wei Han, Zhi Zhang,
Dexun Li, Wenjun Li, Qu Yang, Gang Wang, Yichao Wang, Chen
Zhang and Yong Liu</t>
  </si>
  <si>
    <t>Mingjun Zhou, Weixin Zeng and Xiang Zhao</t>
  </si>
  <si>
    <t>Zhangtao Cheng, Bozhu Zheng, Ting Zhong and Fan Zhou</t>
  </si>
  <si>
    <t>Jamshid Mozafari, Hamed Zamani, Guido Zuccon and Adam Jatowt</t>
  </si>
  <si>
    <t>Wonbin Kweon, Runchu Tian, Seongku Kang, Pengcheng Jiang,
Zhiyong Lu, Jiawei Han and Hwanjo Yu</t>
  </si>
  <si>
    <t>Haoyu Han, Kai Guo, Harry Shomer, Yu Wang, Yucheng Chu,
Hang Li, Li Ma and Jiliang Tang</t>
  </si>
  <si>
    <t>Lei Li, Xiao Zhou, Yingying Zhang and Xian Wu</t>
  </si>
  <si>
    <t>Helia Hashemi, Victor Rühle and Saravan Rajmohan</t>
  </si>
  <si>
    <t>Yunhao Liu, Zian Jia, Xinyu Gao, Kanjun Xu and Yun Xiong</t>
  </si>
  <si>
    <t>Li Changxing, Donglin Zhang, Zhikai Hu, Xiao-Jun Wu and
Josef Kittler</t>
  </si>
  <si>
    <t>Wen-Sheng Lien, Yu-Kai Chan, Hao-Lung Hsiao, Bo-Kai Ruan,
Meng-Fen Chiang, Chien-An Chen, Yi-Ren Yeh and Hong-Han
Shuai</t>
  </si>
  <si>
    <t>Haoyang Zhong, Yifei Sun, Antong Zhang, Chunping Wang, Lei
Chen and Yang Yang</t>
  </si>
  <si>
    <t>Sunghwan Kim, Ryang Heo, Yongsik Seo, Jinyoung Yeo and
Dongha Lee</t>
  </si>
  <si>
    <t>Kaiwen Wei, Xiao Liu, Jie Zhang, Zijian Wang, Ruida Liu,
Yuming Yang, Xin Xiao, Xiao Sun, Haoyang Zeng, Changzai
Pan, Yidan Zhang, Jiang Zhong, Peijin Wang and Yingchao Feng</t>
  </si>
  <si>
    <t>Kaehyun Um, Kyuhwan Yeom, Haerim Yang, Minyoung Choi,
Hyeongjun Yang and Kyong-Ho Lee</t>
  </si>
  <si>
    <t>Yanyu Chen, Jiyue Jiang, Jiahong Liu, Yifei Zhang, Xiao Guo
and Irwin King</t>
  </si>
  <si>
    <t>Zhihuang Liu, Ling Hu, Yonghao Tang, Tongqing Zhou, Fang
Liu and Zhiping Cai</t>
  </si>
  <si>
    <t>Security and Privacy</t>
  </si>
  <si>
    <t>Peizhao Zhou, Xiaojie Guo, Pinzhi Chen, Ranyang Liu, Lihai
Nie, Tong Li and Zheli Liu</t>
  </si>
  <si>
    <t>Wujia Niu, Lan Zhang, Haoran Cheng and Shen Li</t>
  </si>
  <si>
    <t>Wenzheng Jiang, Ke Liang, Wenke Huang, Xiongtao Zhang,
Zhenxing Xu, Guancheng Wan, Cheston Tan, Flint Xiaofeng Fan
and Ji Wang</t>
  </si>
  <si>
    <t>Shenping Xiong, Xutong Wang, Ze Jin, Xinyu Liu, Haoqiang
Wang, Zhen Chen, Ru Tan and Qixu Liu</t>
  </si>
  <si>
    <t>Lijing Ren and Denghui Zhang</t>
  </si>
  <si>
    <t>Silong Chen, Yuchuan Luo, Guilin Deng, Yi Liu, Ming Xu,
Shaojing Fu and Xiaohua Jia</t>
  </si>
  <si>
    <t>Yu Yan, Siqi Lu, Yang Gao, Zhaoxuan Li, Ziming Zhao,
Qingjun Yuan and Yongjuan Wang</t>
  </si>
  <si>
    <t>Anas Kastantin, Leonhard Balduf, Onur Ascigil, Saidu
Sokoto, Björn Scheuermann, Andrzej Duda, Michał Król and
Maciej Korczyński</t>
  </si>
  <si>
    <t>Shuo Shao, Yiming Li, Hongwei Yao, Yifei Chen, Yuchen Yang
and Zhan Qin</t>
  </si>
  <si>
    <t>Naen Xu, Jinghuai Zhang, Ping He, Chunyi Zhou, Jun Wang,
Zhihui Fu, Tianyu Du, Zhaoxiang Wang and Shouling Ji</t>
  </si>
  <si>
    <t>Zhaoqi Wang, Daqing He, Zijian Zhang, Ye Liu, Jiamou Liu,
Zhirui Zeng, Zhan Qin, Zhen Li, Xin Li, Hongwei Yao,
Jincheng An, Yong Liu, Yi Li, Qi Sun, Xiulei Liu and
Liehuang Zhu</t>
  </si>
  <si>
    <t>Ziyue Wu, Nan Wang, Jiqiang Liu, Hairong Dong and Xibin Zhao</t>
  </si>
  <si>
    <t>Ziqun Bao, Jiaqiang Niu, Yuchen Shao and Chengcheng Wan</t>
  </si>
  <si>
    <t>Zhi Pang, Bo Feng, Meng Luo, Chenhao Liu, Shuwang Xu, Kai
Zhao, Yadi Wu and Bo Zeng</t>
  </si>
  <si>
    <t>Tao Chen, Jingyi Zhang, Decheng Liu and Chunlei Peng</t>
  </si>
  <si>
    <t>Jianxin Wei, Ergute Bao, Xiaokui Xiao and Ting Yu</t>
  </si>
  <si>
    <t>Zelin Li, Yifan Liu, Huimin Zeng, Yaokun Liu, Ruichen Yao,
Yang Zhang and Dong Wang</t>
  </si>
  <si>
    <t>Ruisheng Shi, Yuxuan Liang, Zijun Guo, Qin Wang, Lina Lan,
Chenfeng Wang and Zhuoyi Zheng</t>
  </si>
  <si>
    <t>Xinxin Xing, Yizhong Liu, Ruonan Chen, Banghong Qin,
Wangjie Qiu, Jianwei Liu, Qianhong Wu, Willy Susilo and
Robert H. Deng</t>
  </si>
  <si>
    <t>Xiangxiang Chen, Peixin Zhang, Jun Sun, Jin Song Dong,
Wenhai Wang and Jingyi Wang</t>
  </si>
  <si>
    <t>Anyuan Sang, Li Yang, Lu Zhou, Cheng Zhou, Junbo Jia and
Huipeng Yang</t>
  </si>
  <si>
    <t>Bowen Fan, Zhilin Guo, Xunkai Li, Yihan Zhou, Bing Zhou,
Zhenjun Li, Rong-Hua Li and Guoren Wang</t>
  </si>
  <si>
    <t>Xiyuan Zhao, Xinhao Deng, Tianyu Cui, Yixiang Zhang, Ke Xu
and Qi Li</t>
  </si>
  <si>
    <t>Yitong Wang, Pengfei Yu, Hao Han, Jingjing Gu, Fengyuan Xu
and Xinyi Huang</t>
  </si>
  <si>
    <t>Zhihui Zhao, Xiaorong Dong, Yaowen Zheng, Xiaohui Chen,
Yimo Ren, Hangbei Cheng, Yongle Chen and Limin Sun</t>
  </si>
  <si>
    <t>Fajie Wu, Jiajing Wu, Zhiying Wu, Jun Chen, Tao Wang,
Longjian He, Bowen Song and Weiqiang Wang</t>
  </si>
  <si>
    <t>Peng Liu, Peng-Fei Zhang, Jianfeng Qu, Ximing Li, Zhixu Li
and Pengpeng Zhao</t>
  </si>
  <si>
    <t>Yufang Wu, Siwen Chen, Chao Li, Yuan Weng and Wei Wang</t>
  </si>
  <si>
    <t>Huipeng Yang, Li Yang, Lu Zhou, Lichuan Ma, Xinyue Wang,
Junbo Jia and Anyuan Sang</t>
  </si>
  <si>
    <t>Ningyuan He, Ronghong Huang, Qianqian Tang, Hongyu Wang,
Xianghang Mi and Shanqing Guo</t>
  </si>
  <si>
    <t>Li Haoran, Renyang Liu, Hongjia Liu, Chen Wang, Long Yin
and Jian Xu</t>
  </si>
  <si>
    <t>Chengjun Yu, Di Wu, Yi He, Jia Chen and Xin Luo</t>
  </si>
  <si>
    <t>Soyoung Lee, Sunnyeo Park, Yonghwi Kwon and Sooel Son</t>
  </si>
  <si>
    <t>Longlong Zhu, Linying Zheng, Qing Shu, Zedi Chen, Jiashuo
Yu, Yuhan Wu, Shaopeng Zhou, Hongyan Liu, Dong Zhang,
Chunming Wu and Xiang Chen</t>
  </si>
  <si>
    <t>Pengfei Ding, Yan Wang and Guanfeng Liu</t>
  </si>
  <si>
    <t>Yuzi Yi, Weixuan Wang, Yehong Luo, Jinqiao Shi and Jiwei
Huang</t>
  </si>
  <si>
    <t>Pei Chen, Geng Hong, Xinyi Wu, Mengying Wu, Zixuan Zhu,
Mingxuan Liu, Baojun Liu, Mi Zhang and Min Yang</t>
  </si>
  <si>
    <t>Zhiqiang Wang, Guanquan Shi, Yanting Wang, Yichao Gao,
Hongsen Lang, Yunhao Yao, Haohua Du and Xiang-Yang Li</t>
  </si>
  <si>
    <t>Jannik Albrecht and Ghassan Karame</t>
  </si>
  <si>
    <t>Wenhao Wu, Zhaohua Wang, Zihan Li, Qinxin Li, Yiming Xia,
Chuan Gao, Guangxing Zhang and Zhenyu Li</t>
  </si>
  <si>
    <t>Tobias Gattermayer and Haya Schulmann</t>
  </si>
  <si>
    <t>Yitan Huang, Wei Qiao, Ding Wang, Meng Shen, Di Zhao, Linxu
Li, Susu Cui, Bo Jiang, Zhigang Lu and Baoxu Liu</t>
  </si>
  <si>
    <t>Songyang Wu, Chuan Ma, Ming Ding, Long Yuan, Biwen Chen,
Yuwen Qian and Tao Xiang</t>
  </si>
  <si>
    <t>Hengzhi Wang, Lu Dai, Xianliang Zhang, Haoran Chen,
Juncheng Hu and Kun Yang</t>
  </si>
  <si>
    <t>Yizhong Liu, Zedan Zhao, Boyu Zhao, Na Wang, Haojun Tan and
Jianwei Liu</t>
  </si>
  <si>
    <t>Jiaming Guo, Haoran Yang, Kuihao Yan, Jiekang Hu, Xiaoqi
Jia, Haichao Du and Qihang Zhou</t>
  </si>
  <si>
    <t>Junyi Wang, Zhibin Zhu and Chuanyi Liu</t>
  </si>
  <si>
    <t>Oussama Draissi and Lucas Davi</t>
  </si>
  <si>
    <t>Zhigao Zheng, Kai Yin, Yaowen Kuang, Tao Wang, Yahong Chen,
Shihong Yao and Hao Huang</t>
  </si>
  <si>
    <t>Ting Qiao, Xing Liu, Wenke Huang, Jianbin Li, Zhaoxin Fan
and Yiming Li</t>
  </si>
  <si>
    <t>Ming Xu, Hongtai Wang, Yanpei Guo, Zhengmin Yu, Weili Han,
Hoon Wei Lim, Jin Song Dong and Jiaheng Zhang</t>
  </si>
  <si>
    <t>Yang Feng and Xudong Pan</t>
  </si>
  <si>
    <t>Andrew Rozema and James Davis</t>
  </si>
  <si>
    <t>Yuqing Yang and Zhiqiang Lin</t>
  </si>
  <si>
    <t>Baigang Chen and Dongfang Zhao</t>
  </si>
  <si>
    <t>Shaochen Yang, Kefei Zhou and Wei Xu</t>
  </si>
  <si>
    <t>Chaowei Zhang, Xiansheng Luo, Zewei Zhang, Yi Zhu, Jipeng
Qiang and Longwei Wang</t>
  </si>
  <si>
    <t>Yujie Jin, Wenxin Zhang, Jingjing Wang and Guodong Zhou</t>
  </si>
  <si>
    <t>Rujia Li, Qin Wang, Haochen Wang, Xueqian Lu and Sisi Duan</t>
  </si>
  <si>
    <t>Kyungrok Choi, Woonghee Lee and Junbeom Hur</t>
  </si>
  <si>
    <t>Yuan Fan, Xiaoyuan Liu, Bo Liu, Wubing Wang, Jia Sun,
Wenzhi Chen, Huaikang Fang, Lifeng Tao and Fan Mo</t>
  </si>
  <si>
    <t>Yanbang Sun, Quan Luo, Yuelin Wang, Qian Chen, Benjin Liu,
Ruiqi Chen, Qing Huang, Xiaohong Li and Junjie Wang</t>
  </si>
  <si>
    <t>Jiasen Li, Yanwei Liu, Zhuoyi Shang, Xiaoyan Gu and Weiping
Wang</t>
  </si>
  <si>
    <t>Hangyu Ye, Liyao Xiang, Naixuan Huang, Dongyue Yu, Lijun
Zhang and Gang Wang</t>
  </si>
  <si>
    <t>Sepehr Mousavi, Abhisek Dash, Savvas Zannettou and Krishna
P. Gummadi</t>
  </si>
  <si>
    <t>Mingfei Zhang, Rujia Li, Xinyu Lei and Sisi Duan</t>
  </si>
  <si>
    <t>Marcin Waniek</t>
  </si>
  <si>
    <t>Ruihan Hu, Yu-Ming Shang, Wei Luo, Ye Tao and Xi Zhang</t>
  </si>
  <si>
    <t>Haeseung Jeon, Sujin Kim, Nate Mathews, Hosung Kang and Se
Eun Oh</t>
  </si>
  <si>
    <t>Jianjin Zhao, Dongqi Han, Chao Ma, Qi Li, Zhiwei Cui,
Hongliang Zhu, Hua Zhang, Mingshu He, Yijun Lu, Jiong Dong,
Yuyin Ma and Meng Shen</t>
  </si>
  <si>
    <t>Zhihao Chen, Zirui Gong, Jianting Ning, Yanjun Zhang and
Leo Yu Zhang</t>
  </si>
  <si>
    <t>Qinxin Li, Zhaohua Wang, Wenhao Wu, Zihan Li, Yiming Xia,
Chuan Gao and Zhenyu Li</t>
  </si>
  <si>
    <t>Shaodi Xie, Wei Yuan, Haoyu Jiang, Zhu Gong, Haoran Wang,
Heng Li and Tiejun Wu</t>
  </si>
  <si>
    <t>Simon Schwarz, Florian Bauckholt and Leon Trampert</t>
  </si>
  <si>
    <t>Jiaxin Jiang, Xutong Zhang, Jiahao Li, Leqi Zhao, Zhengxin
Guo, Kaiyan Cui, Ming Gao, Jinsong Han and Fu Xiao</t>
  </si>
  <si>
    <t>Yichen Luo, Yebo Feng, Jiahua Xu and Yang Liu</t>
  </si>
  <si>
    <t>Yan Zhang, Yihong Song, Manzhou Li, Qiushi Li, Qi Li and Ju
Ren</t>
  </si>
  <si>
    <t>Athicha Srivirote, Muhammad Abu Bakar Aziz, Jeffrey
Gleason, Desheng Hu and Christo Wilson</t>
  </si>
  <si>
    <t>Qianyu Wang, Weiyou Tian, Rong Wang, Wei-Tek Tsai, Tianyu
Shi, Zhuang Liu and Tianze Xia</t>
  </si>
  <si>
    <t>Jiahao Zhang, Xiaobing Pei, Zhaokun Zhong, Wenqiang Hao and
Zhenghao Tang</t>
  </si>
  <si>
    <t>Abhisek Dash, Soumi Das, Elisabeth Kirsten, Qinyuan Wu, Sai
Keerthana Karnam, Krishna P. Gummadi, Thorsten Holz,
Muhammad Bilal Zafar and Savvas Zannettou</t>
  </si>
  <si>
    <t>Elisa Luo, Tom Ritter, Stefan Savage and Geoffrey M Voelker</t>
  </si>
  <si>
    <t>Pinlong Zhao, Mengyang Li, Pengfei Jiao, Huijun Tang and Ou
Wu</t>
  </si>
  <si>
    <t>Endong Liu, Mark Ryan, Liyi Zhou and Pascal Berrang</t>
  </si>
  <si>
    <t>Chaejin Lim, Kiho Lee, Beomjin Jin, Heewon Baek and
Hyoungshick Kim</t>
  </si>
  <si>
    <t>Dohee Kim, Zhao Hui, Doowon Kim and Sungjae Hwang</t>
  </si>
  <si>
    <t>Aarav Varshney, Prashant Agrawal and Mahabir Prasad Jhanwar</t>
  </si>
  <si>
    <t>Wenbo Guo, Shiwen Song, Jiaxun Guo, Zhengzi Xu, Chengwei
Liu, Haoran Ou, Mengmeng Ge and Yang Liu</t>
  </si>
  <si>
    <t>Benhui Zhang, Junyu Gao and Yuan Yuan</t>
  </si>
  <si>
    <t>Yijie Zhong, Yunfan Gao and Haofen Wang</t>
  </si>
  <si>
    <t>Yaming Yang, Zhe Wang, Ziyu Guan, Wei Zhao, Weigang Lu,
Xinyan Huang, Jiangtao Cui and Xiaofei He</t>
  </si>
  <si>
    <t>Yisen Gao, Jiaxin Bai, Yi Huang, Xingcheng Fu, Qingyun Sun
and Yangqiu Song</t>
  </si>
  <si>
    <t>Zitai Qiu, Rongwei Xu, Congbo Ma, Shan Xue, Jian Yang,
Guanfeng Liu, Quan Z. Sheng, Amin Beheshti and Jia Wu</t>
  </si>
  <si>
    <t>Zhiyao Wu, Zi Liang and Haibo Hu</t>
  </si>
  <si>
    <t>Qingchuan Li, Jiatong Li, Zirui Liu, Mingyue Cheng, Yitong
Zhou, Yuting Zeng, Qi Liu and Tongxuan Liu</t>
  </si>
  <si>
    <t>Yuchao Zhang, Xiangjie Kong, Kailun Ye, Shangfei Zheng and
Guojiang Shen</t>
  </si>
  <si>
    <t>Renqiang Luo, Dong Zhang, Yupeng Gao, Wen Shi, Mingliang
Hou, Jiaying Liu, Zhe Wang and Shuo Yu</t>
  </si>
  <si>
    <t>Yanlin Song, Ben Liu, Víctor Gutiérrez-Basulto, Zhiwei Hu,
Qianqian Xie, Min Peng, Sophia Ananiadou and Jeff Z. Pan</t>
  </si>
  <si>
    <t>Peining Li, Meiyu Liang, Wei Huang, Junping Du, Zhe Xue,
Guanhua Ye, Wu Liu and Lei Shi</t>
  </si>
  <si>
    <t>Ke Chen, Jiandian Zeng, Zihao Peng, Guo Li, Guangxue Zhang
and Tian Wang</t>
  </si>
  <si>
    <t>Mengyu Li, Yonghao Liu, Fausto Giunchiglia, Ximing Li,
Xiaoyue Feng and Renchu Guan</t>
  </si>
  <si>
    <t>Liang Chen, Xiaoding Wang, Limei Lin, Dajin Wang, Zhiquan
Liu and Jie Wu</t>
  </si>
  <si>
    <t>Jixuan Wu, Limei Lin, Xiaoding Wang, Kunpeng Xu and Jie Wu</t>
  </si>
  <si>
    <t>Huaming Du, Tao Hu, Yijie Huang, Yu Zhao, Guisong Liu, Tao
Gu, Gang Kou and Carl Yang</t>
  </si>
  <si>
    <t>Jiawei Sheng, Taoyu Su, Xixun Lin, Xiaodong Li and Tingwen
Liu</t>
  </si>
  <si>
    <t>Xudong Zhao, Xiaolong Xu, Haolong Xiang, Tong Gao, Lianyong
Qi, Amin Beheshti, Xuyun Zhang and Wanchun Dou</t>
  </si>
  <si>
    <t>Liangwei Nathan Zheng, Wenhao Liang, Wei Emma Zhang, Miao
Xu, Olaf Maennel and Weitong Chen</t>
  </si>
  <si>
    <t>Tongguan Wang, Junkai Li, Feiyue Xue, Hui Liu, Dongyu Su,
Wangjun Huang and Ying Sha</t>
  </si>
  <si>
    <t>Jianye Xie, Chunhua Hu, Lianyong Qi, Fan Wang, Xiaolong Xu,
Haolong Xiang, Xuyun Zhang, Shichao Pei, Amin Beheshti,
Wanchun Dou and Xiaokang Zhou</t>
  </si>
  <si>
    <t>Kailun Ye, Xiangjie Kong, Yuchao Zhang, Xuan Wang, Linan
Zhu, Jiaxin Du, Guojiang Shen and Jianxin Li</t>
  </si>
  <si>
    <t>Rongzheng Wang, Shuang Liang, Qizhi Chen, Yihong Huang,
Muquan Li, Yizhuo Ma, Dongyang Zhang, Ke Qin and Man-Fai
Leung</t>
  </si>
  <si>
    <t>Minghui Ma, Bin Guo, Mengqi Chen, Jingqi Liu, Yasan Ding,
Yan Liu and Han Wang</t>
  </si>
  <si>
    <t>Luyao Zhuang, Qinggang Zhang, Huachi Zhou, Yujing Zhang and
Xiao Huang</t>
  </si>
  <si>
    <t>Xiaopeng Li, Shasha Li, Xi Wang, Shezheng Song, Bin Ji,
Shangwen Wang, Jun Ma, Xiaodong Liu, Mina Liu and Jie Yu</t>
  </si>
  <si>
    <t>Jing Ren, Bowen Li, Ziqi Xu, Xikun Zhang, Haytham Fayek and
Xiaodong Li</t>
  </si>
  <si>
    <t>Debo Cheng, Jianfeng Deng, Qingfeng Chen, Jinyi Jie and
Jiangzhang Gan</t>
  </si>
  <si>
    <t>Xianjie Wu, Xiaohang Xu, Tingyu Jiang, Jian Yang, Di Liang,
Xianfu Cheng, Zhenhe Wu, Linzheng Chai, Wei Zhang, Jiaheng
Liu, Ge Zhang, Bob Simons, Tongliang Li and Zhoujun Li</t>
  </si>
  <si>
    <t>Yanqi Dai, Yong Wang, Zebin You, Dong Jing, Xiangxiang Chu
and Zhiwu Lu</t>
  </si>
  <si>
    <t>En Yu, Jie Lu and Guangquan Zhang</t>
  </si>
  <si>
    <t>Rongwei Xu, Zitai Qiu, Pengfei Ding, Jia Wu, Yan Wang, Amin
Beheshti and Guanfeng Liu</t>
  </si>
  <si>
    <t>Zhi Liu, Xuyuan Hu, Xiao Han, Zhehao Dai, Zhaolin Deng,
Guojiang Shen and Xiangjie Kong</t>
  </si>
  <si>
    <t>Kyunghwan Lee and Dong-Wan Choi</t>
  </si>
  <si>
    <t>Hui Yang, Jiaoyan Chen and Uli Sattler</t>
  </si>
  <si>
    <t>Jiajun Liu, Wenjun Ke, Peng Wang, Yao He, Ziyu Shang,
Guozheng Li, Zijie Xu and Ke Ji</t>
  </si>
  <si>
    <t>Shuo Yu, Zhuoyang Han, Guoqing Han, Tao Tang, Feng Ding and
Qiang Zhang</t>
  </si>
  <si>
    <t>Zhange Zhang, Yuqing Ma, Yulong Wang, Tianbo Wang, Jiakai
Wang, Simin Li and Xianglong Liu</t>
  </si>
  <si>
    <t>Wenbin Guo, Xin Wang, Jiaoyan Chen, Lingbing Guo, Zhao Li
and Zirui Chen</t>
  </si>
  <si>
    <t>Feng Ding, Tingting Wang, Ruolin Li, Ying Jin, Junxiang
Zhang, Shan Jin, Yicong Li and Xin Ye</t>
  </si>
  <si>
    <t>Yiming Wu, Liang Hu, Mingzhu Zhou, Tangwei Ye, Xuejie Yang,
Xun Yang, Zhongyuan Lai, Qi Zhang and Usman Naseem</t>
  </si>
  <si>
    <t>Yunxiao Yang, Jianting Chen, Xiaoying Gao, Zaiyuan Di and
Yang Xiang</t>
  </si>
  <si>
    <t>Jin Zeng, Yupeng Qi, Hui Li, Chengming Li, Ziyu Lyu, Lixin
Cui and Lu Bai</t>
  </si>
  <si>
    <t>Yu Xing, Qizhuo Xie, You Lv, Ziyang Zhou, Qianzi Hou, Qing
Gu, Bin Chong and Tieke He</t>
  </si>
  <si>
    <t>Rong Fu, Yemin Wang, Tianxiang Xu, Yongtai Liu, Weizhi
Tang, Wangyu Wu, Xiaowen Ma and Simon Fong</t>
  </si>
  <si>
    <t>Inwon Kang, Parikshit Ram, Yi Zhou, Horst Samulowitz and
Oshani Seneviratne</t>
  </si>
  <si>
    <t>Ruofan Wang, Zijian Huang, Qiqi Wang, Yuchen Su, Robert
Amor, Kaiqi Zhao and Meng-Fen Chiang</t>
  </si>
  <si>
    <t>Guixian Zhang, Guan Yuan, Ziqi Xu, Yanmei Zhang, Jing Ren,
Zhenyun Deng and Debo Cheng</t>
  </si>
  <si>
    <t>Kun Liang, Jiake Ge, Xin Wang and Yiying Zhang</t>
  </si>
  <si>
    <t>Dongyu Zhang, Wanqiu Liao, Weichen Hu and Hongfei Lin</t>
  </si>
  <si>
    <t>Jinjin Guo, Yexin Li, Zhichao Huang, Jun Fang, Zhiyuan Liu,
Chao Liu, Pengzhang Liu and Qixia Jiang</t>
  </si>
  <si>
    <t>Zhaoyu Fan, Kaihang Pan, Mingze Zhou, Bosheng Qin, Juncheng
Li, Shengyu Zhang, Wenqiao Zhang, Siliang Tang, Fei Wu and
Yueting Zhuang</t>
  </si>
  <si>
    <t>Tao Tang, Botao Liu, Ciyuan Peng, Ivan Lee and Xiangjie Kong</t>
  </si>
  <si>
    <t>Tenglong Ren, Lulu Yang, Xiaowang Zhang and Zhiyong Feng</t>
  </si>
  <si>
    <t>Kleene Closure Property Path Query Optimization  Based on Node Clustered Index</t>
  </si>
  <si>
    <t>Chaofan Li, Lixing Chen, Junhua Tang, Yang Bai, Yutong
Zhang, Zhi Zheng, Pan Zhou and Zhe Qu</t>
  </si>
  <si>
    <t>Zhiheng Xi, Chenyang Liao, Guanyu Li, Zhihao Zhang,
Wenxiang Chen, Binghai Wang, Senjie Jin, Yuhao Zhou, Jian
Guan, Wei Wu, Tao Ji, Tao Gui, Qi Zhang and Xuanjing Huang</t>
  </si>
  <si>
    <t>Ana Alexandra Morim da Silva, Atul Bhopalsing Pundir,
Michael Röder and Axel-Cyrille Ngonga Ngomo</t>
  </si>
  <si>
    <t>Huidong Wu, Haojia Xiang, Jingtong Gao, Xiangyu Zhao,
Dengsheng Wu and Jianping Li</t>
  </si>
  <si>
    <t>Xingyu Tan, Xiaoyang Wang, Qing Liu, Xiwei Xu, Xin Yuan,
Liming Zhu and Wenjie Zhang</t>
  </si>
  <si>
    <t>Feng Zhao, Kangzheng Liu, Teng Peng, Yu Yang and Guandong Xu</t>
  </si>
  <si>
    <t>Xuanning Hu, Anchen Li, Qianli Xing, Jinglong Ji, Hao Tuo
and Bo Yang</t>
  </si>
  <si>
    <t>Xiangjun Zai, Xingyu Tan, Xiaoyang Wang, Qing Liu, Xiwei Xu
and Wenjie Zhang</t>
  </si>
  <si>
    <t>Yunhao Xiao, Ying Wang, Michael Bewong, Selasi Kwashie,
Xiaoxia Li and Zaiwen Feng</t>
  </si>
  <si>
    <t>Han Zhang, Chen Zhao, Shasha Wang, Gang Chen and Chenghong
Zhang</t>
  </si>
  <si>
    <t>Zirui Chen, Xin Wang, Zhao Li, Wenbin Guo, Dongxiao He,
Yanbing Li and Wushour Silamu</t>
  </si>
  <si>
    <t>Zhuo Chen, Fei Wang, Zixuan Li, Zhao Zhang, Weiwei Ding,
Chuanguang Yang, Yongjun Xu and Xiaolong Jin</t>
  </si>
  <si>
    <t>Qirui Hao, Kewei Cheng, Tongze Zhang, Hongyuan Liu, Junming
Shao and Carl Yang</t>
  </si>
  <si>
    <t>Sahil Mishra, Srinitish Srinivasan, Srikanta Bedathur and
Tanmoy Chakraborty</t>
  </si>
  <si>
    <t>Haoyue Bai, Haoyu Wang, Shengyu Chen, Zhengzhang Chen,
Lu-An Tang, Wei Cheng, Yanjie Fu and Haifeng Chen</t>
  </si>
  <si>
    <t>Lihui Liu, Jiayuan Ding, Subhabrata Mukherjee and Carl Yang</t>
  </si>
  <si>
    <t>Haoxuan Zhang, Ruochi Li, Zhenni Liang, Sattari Mehri, Phat
Vo, Collin Qu, Ting Xiao, Junhua Ding, Yang Zhang and
Haihua Chen</t>
  </si>
  <si>
    <t>Linyu Li, Zhi Jin, Yuanpeng He, Dongming Jin, Yichi Zhang,
Haoran Duan, Xuan Zhang, Zhengwei Tao and Tashi Nyima</t>
  </si>
  <si>
    <t>Hu Chen, Yu Zhu and Wei Shen</t>
  </si>
  <si>
    <t>Revanth Gangi Reddy, Tanay Dixit, Jiaxin Qin, Cheng Qian,
Daniel Lee, Jiawei Han, Kevin Small, Xing Fan, Ruhi
Sarikaya and Heng Ji</t>
  </si>
  <si>
    <t>Zhiqiang Wang, Jiaxin Zhang, Chenchao Zhang, Shiying Cheng,
Jianqing Liang and Peng Song</t>
  </si>
  <si>
    <t>Dongyuan Li, Ying Zhang, Yaozu Wu and Renhe Jiang</t>
  </si>
  <si>
    <t>Shundong Yang, Jing Yang, Xiaowen Jiang, Xiaofen Wang,
Laurence T. Yang, Yuan Gao, Xinfa Jiang, Jie Chen and
Chaojun Zhang</t>
  </si>
  <si>
    <t>Qin Zhang, Jiaying Liu, Qian Tao, Zhiwei Guo, Qiyue Zhong,
Yifan Zhang and Ziyan Huang</t>
  </si>
  <si>
    <t>Pankaj Iiitd, Dhruv Kumar, Vinayak Abrol and Vikram Goyal</t>
  </si>
  <si>
    <t>Ruiyi Yang, Hao Xue, Imran Razzak and Flora D. Salim</t>
  </si>
  <si>
    <t>Zihan Feng, Yajun Yang, Xin Huang, Xin Wang, Hong Gao and
Qinghua Hu</t>
  </si>
  <si>
    <t>Social Networks and Social Media</t>
  </si>
  <si>
    <t>Yuli Liu</t>
  </si>
  <si>
    <t>Longzhu He, Peng Tang, Li Sun and Sen Su</t>
  </si>
  <si>
    <t>Saidu Sokoto, Leonhard Balduf, Onur Ascigil, Gareth Tyson,
Ignacio Castro, Björn Scheuermann, Andrea Baronchelli and
Michał Król</t>
  </si>
  <si>
    <t>Shijun Guo, Haoran Xu, Yaming Yang, Ziyu Guan, Wei Zhao,
Zhang Xinyi and Song Yishan</t>
  </si>
  <si>
    <t>Qitong Liu, Hao Peng, Zuchen Li, Xihang Meng, Ziyu Yang,
Jiting Li, Li Sun and Philip Yu</t>
  </si>
  <si>
    <t>Renqiang Luo, Huafei Huang, Tao Tang, Jing Ren, Ziqi Xu,
Mingliang Hou, Enyan Dai and Feng Xia</t>
  </si>
  <si>
    <t>Yicong Li, Shan Jin, Qi Liu, Shuo Wang, Jiaying Liu, Shuo
Yu, Qiang Zhang, Kuanjiu Zhou and Feng Xia</t>
  </si>
  <si>
    <t>Yuxing Guo, Jianqing Liang, Kaixuan Yao, Zhihao Guo and
Jiye Liang</t>
  </si>
  <si>
    <t>Ting Gan, Kudereti Kuerban, Qian Yan, Ling Han, Zhigao
Zheng and Hao Huang</t>
  </si>
  <si>
    <t>Mingjie Qiu, Zhiyi Tan and Bing-Kun Bao</t>
  </si>
  <si>
    <t>Yulong Li, Zhixiang Lu, Peixin Guo, Simin Lai, Yuxuan
Zhang, Haochen Xue, Xiwei Liu, Yichen Li, Zhaodong Wu,
Feilong Tang, Mian Zhou, Chong Li, Imran Razzak, Qingxia Li
and Jionglong Su</t>
  </si>
  <si>
    <t>Chang Guo, Juyuan Zhang, Chang Su, Tianlong Fan and Linyuan
Lü</t>
  </si>
  <si>
    <t>Wei Chen, Tongguan Wang, Feiyue Xue, Junkai Li, Hui Liu and
Ying Sha</t>
  </si>
  <si>
    <t>Zehao Wang, Lanjun Wang, Fuxia Guo and Yanjie Dong</t>
  </si>
  <si>
    <t>Dongpeng Hou, Yuchen Wang, Giulio Cimini, Roberto Benzi,
Huixiang Zhang, Zhen Wang and Chao Gao</t>
  </si>
  <si>
    <t>Hantong Feng, Yonggang Wu, Duxin Chen and Wenwu Yu</t>
  </si>
  <si>
    <t>Xiao Yu, Haolong Xiang, Xiaolong Xu, Qi Lianyong, Zhang
Xuyun, Fan Wei and Dou Wanchun</t>
  </si>
  <si>
    <t>Longkun Guo, Chaoqi Jia and Chao Chen</t>
  </si>
  <si>
    <t>Tangila Islam Tanni, Renita Washburn, Yan Solihin and Mary
Jean Amon</t>
  </si>
  <si>
    <t>Fangfang Li, Huihui Zhang, Xin Zhang and Wei Wu</t>
  </si>
  <si>
    <t>Chunyu Wei, Tu Yongsiqi and Yunhai Wang</t>
  </si>
  <si>
    <t>Zenghua Liao, Jinzhi Liao and Xiang Zhao</t>
  </si>
  <si>
    <t>Zhejian Yang, Songwei Zhao, Zilin Zhao and Hechang Chen</t>
  </si>
  <si>
    <t>Hengrui Cui, Yang Fang, Yuehang Cao and Xiang Zhao</t>
  </si>
  <si>
    <t>Hankun Kang, Xin Miao, Jianhao Chen, Jintao Wen, Mayi Xu,
Weiyu Zhang, Wenpeng Lu and Tieyun Qian</t>
  </si>
  <si>
    <t>Renhong Huang, Ning Tang, Jiarong Xu, Yuxuan Cao, Qingqian
Tu, Sheng Guo, Bo Zheng, Huiyuan Liu and Yang Yang</t>
  </si>
  <si>
    <t>Yilong Zang, Hengyun Li, Xinbo Yu and Liangfei Qiu</t>
  </si>
  <si>
    <t>Gian Marco Orlando, Jinyi Ye, Valerio La Gatta, Mahdi
Saeedi, Vincenzo Moscato, Emilio Ferrara and Luca Luceri</t>
  </si>
  <si>
    <t>Yangyang Xu, Jinpeng Hu, Peipei Song, Zhangling Duan and
Xun Yang</t>
  </si>
  <si>
    <t>Dun Tan, Lixing Chen, Bo Zhang, Hongfu Liu, Hao Peng,
Shenghong Li, Yang Bai and Pan Zhou</t>
  </si>
  <si>
    <t>Nikos Theologis, Evaggelia Pitoura, Evimaria Terzi and
Panayiotis Tsaparas</t>
  </si>
  <si>
    <t>Haoshuang Liu, Zihan Feng, Yajun Yang, Xin Wang, Hong Gao
and Qinghua Hu</t>
  </si>
  <si>
    <t>Xuanyu Su, Diana Inkpen and Nathalie Japkowicz</t>
  </si>
  <si>
    <t>Jintao Wen, Yunfeng Ning, Hankun Kang, Xin Miao and Tieyun
Qian</t>
  </si>
  <si>
    <t>Lin Tian and Marian-Andrei Rizoiu</t>
  </si>
  <si>
    <t>Patrick Gerard, Luca Luceri, Leonardo Blas and Emilio
Ferrara</t>
  </si>
  <si>
    <t>Sahil Tripathi, Gautam Siddharth Kashyap, Mehwish Nasim,
Jian Yang, Jiechao Gao and Usman Naseem</t>
  </si>
  <si>
    <t>Xinyi Gao, Jingxi Zhang, Lijian Chen, Tong Chen, Lizhen Cui
and Hongzhi Yin</t>
  </si>
  <si>
    <t>Dongwon Shin and Sooel Son</t>
  </si>
  <si>
    <t>Daiyunke Zhang, Ting Deng, Tianchen Zhu, Shuai Ma, Daqing
Li, Mingtian Peng and Feng Tian</t>
  </si>
  <si>
    <t>Chenxin Mao, Haibo Liu, Zhenzhe Zheng, Fan Wu and Guihai
Chen</t>
  </si>
  <si>
    <t>Systems and Infrastructure for Web, Mobile, and Web of Things</t>
  </si>
  <si>
    <t>Yue Jiang, Chenxi Liu, Yile Chen, Qin Chao, Shuai Liu,
Cheng Long and Gao Cong</t>
  </si>
  <si>
    <t>Kaibin Wang, Qiang He, Zeqian Dong, Ziteng Wei, Caslon
Chua, Feifei Chen, Hai Jin and Yun Yang</t>
  </si>
  <si>
    <t>Wenyu Wu, Jiafan Liu and Jiali Mao</t>
  </si>
  <si>
    <t>Qiang He, Sheng Zhong, Jiazhen Yang, Feifei Chen, Hai Jin
and Yun Yang</t>
  </si>
  <si>
    <t>Mohan Gao, Zhemeng Yu, Yang Luo, Lintao Ma, Yinbo Sun,
Yuchen Fang and Xiaofeng Gao</t>
  </si>
  <si>
    <t>Zian Wang, Ziyi Wang, Jie Xing, Yaya Wei, Ziyan Zhong and
Lanshan Zhang</t>
  </si>
  <si>
    <t>Yuanzheng Tan, Qing Li, Jiaqi Cui, Jun Peng, Gareth Tyson,
Zhenhui Yuan, Tingting Yang and Yong Jiang</t>
  </si>
  <si>
    <t>Shuhao Li, Weidong Yang, Yue Cui, Lipeng Ma, Yixuan Li,
Chaoteng Wu, Lu Qin and Fan Zhang</t>
  </si>
  <si>
    <t>Gongming Zhao, Baoqing Wang, Min Chen, Hongli Xu, Jiawei
Liu, Xuwei Yang, Liguang Xie, Yongqiang Yang and Ying Xiong</t>
  </si>
  <si>
    <t>Di Yu, Helin Zheng, Changze Lv, Xin Du, Linshan Jiang,
Xiang Liu, Gang Pan and Shuiguang Deng</t>
  </si>
  <si>
    <t>Haizhou Du, Haolin Wu, Zijie Zhu and Zicheng Shi</t>
  </si>
  <si>
    <t>Guochen Yan, Luyuan Xie, Qingni Shen, Yuejian Fang and
Zhonghai Wu</t>
  </si>
  <si>
    <t>Yicheng Zhang, Zhen Qin, Zhaomin Wu, Jian Hou and Shuiguang
Deng</t>
  </si>
  <si>
    <t>Zeyi Lu, Xiaoxiao Ma, Yujun Huang, Minxiao Chen, Bin Chen
and Shu-Tao Xia</t>
  </si>
  <si>
    <t>Tong Zhou, Xin Peng, Jie Zhang, Chaofeng Sha, Chenxi Zhang,
Zicheng Yuan and Senyu Xie</t>
  </si>
  <si>
    <t>Xiangyu Xu, Qingsong Zhong and Jilin Hu</t>
  </si>
  <si>
    <t>Xiao Wu, Alan Romano, Liyan Huang, Qiwen Yan, Cai Fu and
Weihang Wang</t>
  </si>
  <si>
    <t>Peirong Zheng, Wenchao Xu and Haozhao Wang</t>
  </si>
  <si>
    <t>Rohan Bose, Jinwei Zhao, Tanya Shreedhar, Jianping Pan and
Nitinder Mohan</t>
  </si>
  <si>
    <t>Ji Shen, Lixing Chen, Yang Bai, Zhongqi Miao, Zhe Qu, Pan
Zhou and Jianhua Li</t>
  </si>
  <si>
    <t>Xiaofei Yue, Fangming Zhao, Fulun Ye, Jiongchi Yu, Zhaoxuan
Li, Tingting Li, Ziming Zhao and Jianwei Yin</t>
  </si>
  <si>
    <t>Sijia Li, Xiaoyu Tan, Shahir Ali, Niels Schmidt, Gengchen
Ma and Xihe Qiu</t>
  </si>
  <si>
    <t>Gong Chen, Mingkai Lin, Xiaobin Hong, Wenzhong Li and
Sanglu Lu</t>
  </si>
  <si>
    <t>Shiyang Huang, Gerui Lv, Yuankang Zhao, Jiaxing Zhang,
Qingyue Tan, Congkai An, Huanhuan Zhang, Xinyi Zhang,
Qinghua Wu and Zhenyu Li</t>
  </si>
  <si>
    <t>Enze Yu, Penghuan Cheng, Haipeng Dai, Haihan Zhang, Sujin
Hou, Meng Li, Zhenzhe Zheng, Qiang He and Guihai Chen</t>
  </si>
  <si>
    <t>Mengsha Kou, Xiaoyu Xia, Ziqi Wang, Ibrahim Khalil, Ruikun
Luo, Jingwen Zhou and Minhui Xue</t>
  </si>
  <si>
    <t>Mingxuan Liu, Jianhua Gu, Tianhai Zhao and Dong Sun</t>
  </si>
  <si>
    <t>Ruikun Luo, Jiadong Zhao, Peize Su, Jieming Yang, Jing
Yang, Yuan Gao, Minhui Xue and Xiaoyu Xia</t>
  </si>
  <si>
    <t>Yongqiang Huang, Yingyu Chen, Tao Wang, Zexin Lu, Zerui
Shao, Beibei Li and Yi Zhang</t>
  </si>
  <si>
    <t>Zexin Wang, Changhua Pei, Yang Liu, Hengyue Jiang, Quan
Zhou, Haotian Si, Hang Cui, Jianhui Li, Gaogang Xie,
Jingjing Li and Dan Pei</t>
  </si>
  <si>
    <t>Haoran Shi, Junru Zhang, Cheng Peng, Xiaoli Tang, Longtao
Huang and Han Yu</t>
  </si>
  <si>
    <t>Wangmeng Shen, Hongfan Gao, Qingsong Zhong, Dingli Xu and
Jilin Hu</t>
  </si>
  <si>
    <t>Xiaoxuan Fan, Jiaqi Sun, Xianjun Deng, Qiankun Zhang, Wei
Xiang, Shenghao Liu and Lingzhi Yi</t>
  </si>
  <si>
    <t>Chenyu Wang, Zhanglu Yan, Zhi Zhou, Xu Chen and Weng-Fai
Wong</t>
  </si>
  <si>
    <t>Yicheng Di and Zhanjie Zhang</t>
  </si>
  <si>
    <t>Zenghao Guan, Guojun Zhu, Yucan Zhou, Wu Liu, Weiping Wang,
Jiebo Luo and Xiaoyan Gu</t>
  </si>
  <si>
    <t>Yaqiao Zhu, Hongkai Wen, Geyong Min and Man Luo</t>
  </si>
  <si>
    <t>Ruoxuan Xia, Bingyu Li, Zhenyu Chen, Pengyu Yuan, Yunjia
Wang, Xiaofeng Zheng and Jingqiang Lin</t>
  </si>
  <si>
    <t>Xiongxiao Xu, Haoran Wang, Yueqing Liang, Philip S. Yu, Yue
Zhao and Kai Shu</t>
  </si>
  <si>
    <t>Siqi Zhong, Mugeng Liu, Haiyang Shen, Chongyang Pan and Yun
Ma</t>
  </si>
  <si>
    <t>Yingchao Wang, Wenqi Niu and Hanpo Hou</t>
  </si>
  <si>
    <t>Yingqi Peng, Wenhao Zhou, Kaijie Gong, Yang Liu, Yi Gao and
Wei Dong</t>
  </si>
  <si>
    <t>Xusen Guo, Mingxing Peng, Xixuan Hao, Xingchen Zou,
Qiongyan Wang, Sijie Ruan and Yuxuan Liang</t>
  </si>
  <si>
    <t>Bingjie Wang, Chao Zhang, Wentao Li and Deyu Li</t>
  </si>
  <si>
    <t>Yuping Zhou, Siqi Lai, Jindong Han and Hao Liu</t>
  </si>
  <si>
    <t>Qiuyu Ding, Rongkai Zhang, Qinnan Zhang, Zhen Xiao, Jieyi
Long, Mingchao Wan, Sen Liu and Jin Dong</t>
  </si>
  <si>
    <t>Jinming Wang, Hai Wang, Hongkai Wen, Geyong Min and Man Luo</t>
  </si>
  <si>
    <t>Yanxiu Liu, Linpeng Jia, Xiaohu Yang, Zhongcheng Li and Yi
Sun</t>
  </si>
  <si>
    <t>Zhihao Dou, Dongfei Cui, Weida Wang, Anjun Gao, Yueyang
Quan, Mengyao Ma, Viet Vo, Guangdong Bai, Zhuqing Liu and
Minghong Fang</t>
  </si>
  <si>
    <t>Jinyao Liu, Si Wu, Haoyuan Ma, Chaoqun Li, Hongjing Yu,
Dingyi Jia, Feng Li and Pengfei Hu</t>
  </si>
  <si>
    <t>Ziqi Liu, Pei Zeng and Yi Ding</t>
  </si>
  <si>
    <t>Zhiyuan Fang, Xingfan Yu, Yuegui Huang, Zicong Hong, Yufeng
Lyu, Wuhui Chen, Yue Yu and Fan Yu</t>
  </si>
  <si>
    <t>Jiahao Qi, Dian Ding, Jie Li, Jiannong Cao, Yi-Chao Chen,
Guangtao Xue and Shengyun Liu</t>
  </si>
  <si>
    <t>Liming Liu, Zhidong Jia, Li Jiang, Wei Zhang, Lan Xie, Feng
Qian, Leju Yan, Bing Yan, Qiang Ma, Zhou Sha, Wei Yang,
Yixuan Ban and Xinggong Zhang</t>
  </si>
  <si>
    <t>Zhihong Pan, Kai Zhang, Yuze Zhao and Yupeng Han</t>
  </si>
  <si>
    <t>Wenying He, Feiyu Wang, Guangquan Xu, Yude Bai and Fei Guo</t>
  </si>
  <si>
    <t>Kai Zhang, Yuxuan Xu, Wenxiang Lin, Chaoqun Hong, Pei-Wei
Tsai, Xin Yuan and Minhui Xue</t>
  </si>
  <si>
    <t>Daixin Song, Hui Cai, Haojie Zhang, Biyun Sheng, Jian Zhou,
Mang Ye and Fu Xiao</t>
  </si>
  <si>
    <t>Wei Sun, Ting Wang, Xinran Tian, Wanshun Lan, Xuhan Feng,
Haoyue Li and Fangxin Wang</t>
  </si>
  <si>
    <t>Xu Zhang, Peng Wang, Yichen Li and Wei Wang</t>
  </si>
  <si>
    <t>Xu Zhang, Qitong Wang, Peng Wang and Wei Wang</t>
  </si>
  <si>
    <t>Yuk Hang Tsui, Ze Wu, Ahmad Alhilal, Matti Siekkinen and
Pan Hui</t>
  </si>
  <si>
    <t>Zhiyuan Ning, Zhanyong Tang, Juan He, Weizhi Meng, Yuntian
Chen, Jie Zhang and Zheng Wang</t>
  </si>
  <si>
    <t>Yuze Liu, Yunhan Wang, Tiehua Zhang, Zhishu Shen, Cheng
Peng, Libing Wu, Feng Xia and Jiong Jin</t>
  </si>
  <si>
    <t>Min Gao, Wen Wen, Haoran Du, Qiang Duan, Yu Xiao, Yupeng
Li, Xin Wang, Pan Hui and Yang Chen</t>
  </si>
  <si>
    <t>Dezhong Yao, Tongtong Liu, Yuexin Shi and Zhiqiang Xu</t>
  </si>
  <si>
    <t>Qihang Yu, Kairui Fu, Zheqi Lv, Shengyu Zhang, Xinhui Wu,
Chen Lin, Feng Wei, Bo Zheng and Fei Wu</t>
  </si>
  <si>
    <t>User Modeling, Personalization and Recommendation</t>
  </si>
  <si>
    <t>Yijun Sheng, Ximing Chen, Pui Ieng Lei, Yanyan Liu and
Zhiguo Gong</t>
  </si>
  <si>
    <t>Anchen Li and Elena Casiraghi</t>
  </si>
  <si>
    <t>Wei Guan, Jian Cao, Qiqi Cai, Jianqi Gao, Jinyu Cai and
See-Kiong Ng</t>
  </si>
  <si>
    <t>Yunkai Zhang, Qiang Zhang, Diji Yang, Ryan Lin, Ruizhong
Qiu, Benyu Zhang, Hanchao Yu, Jason Liu, Yinglong Xia,
Zhuokai Zhao, Lizhu Zhang, Xiangjun Fan, Zhuoran Yu,
Abhishek Kumar and Zeyu Zheng</t>
  </si>
  <si>
    <t>Xiaofei Zhu, Jinfei Chen, Feiyang Yuan and Yang Zhou</t>
  </si>
  <si>
    <t>Jiaqing Zhang, Mingjia Yin, Hao Wang, Yuxin Tian, Yuyang
Ye, Yawen Li, Wei Guo, Yong Liu and Enhong Chen</t>
  </si>
  <si>
    <t>Ze Liu, Xianquan Wang, Shuochen Liu, Jie Ma, Huibo Xu,
Yupeng Han, Kai Zhang and Jun Zhou</t>
  </si>
  <si>
    <t>Yu Xia, Qing Tan, He Chen, Jingyu Chen and Qian Dong</t>
  </si>
  <si>
    <t>Qiang He, Rui Chen, Yicheng Liu, Sheng Zhong, Haipeng Dai,
Feifei Chen, Hai Jin and Yun Yang</t>
  </si>
  <si>
    <t>Tiantian Chen, Jiaqi Lu, Ying Shen and Lin Zhang</t>
  </si>
  <si>
    <t>Alireza Salemi, Cheng Li, Mingyang Zhang, Qiaozhu Mei,
Zhuowan Li, Spurthi Amba Hombaiah, Weize Kong, Tao Chen,
Hamed Zamani and Michael Bendersky</t>
  </si>
  <si>
    <t>Xian Mo, Yijun Hu and Jun Pang</t>
  </si>
  <si>
    <t>Pengfei Zhang, Guojia An, Jin Huang, Yuhan Yang, Yang Yang
and Jie Zou</t>
  </si>
  <si>
    <t>Zhao Liu, Yichen Zhu, Yiqing Yang, Xiao Lv, Guoping Tang,
Rui Huang, Qiang Luo, Ruiming Tang and Guorui Zhou</t>
  </si>
  <si>
    <t>Huiying Hu, Tuo Wang, Yixiao Zhou and Xiaoqing Lyu</t>
  </si>
  <si>
    <t>Xianquan Wang, Zhaocheng Du, Jieming Zhu, Qinglin Jia,
Zhenhua Dong and Kai Zhang</t>
  </si>
  <si>
    <t>Yizhou Dang, Zhifu Wei, Minhan Huang, Lianbo Ma, Jianzhe
Zhao, Guibing Guo and Xingwei Wang</t>
  </si>
  <si>
    <t>Fei Li, Xiaoming Liu, Jiayi Luo, Guibing Guo, Jianzhe Zhao
and Xingwei Wang</t>
  </si>
  <si>
    <t>Koichi Tanaka, Ren Kishimoto, Bushun Kawagishi, Yusuke
Narita, Yasuo Yamamoto, Nobuyuki Shimizu and Yuta Saito</t>
  </si>
  <si>
    <t>Weihao Du, Ziran Deng, Weike Pan and Zhong Ming</t>
  </si>
  <si>
    <t>Xiaodong Li, Juwei Yue, Xinghua Zhang, Jiawei Sheng,
Wenyuan Zhang, Taoyu Su, Zefeng Zhang and Tingwen Liu</t>
  </si>
  <si>
    <t>Haozhao Wang, Wenchao Xu, Jingzhi Wang, Yunfeng Fan,
Xiaoquan Yi and Rui Zhang</t>
  </si>
  <si>
    <t>Yanbo Zhou, Bin Lü, Xu-Hua Yang, Xin-Li Xu and Boling Wang</t>
  </si>
  <si>
    <t>Xueyang Feng, Jiakai Tang, Xu Chen, Quanyu Dai and Zhenhua
Dong</t>
  </si>
  <si>
    <t>Chen Xu, Zhipeng Yi, Ruizi Wang, Wenjie Wang, Jun Xu and
Maarten de Rijke</t>
  </si>
  <si>
    <t>Jingyi Zhou, Cheng Chen, Kai Zuo, Manjie Xu, Zhendong Fu,
Yibo Chen, Xu Tang and Yao Hu</t>
  </si>
  <si>
    <t>Doyun Choi, Cheonwoo Lee, Biniyam Aschalew Tolera, Taewook
Ham, Chanyoung Park and Jaemin Yoo</t>
  </si>
  <si>
    <t>Yutong Li, Xinyi Zhang, Peijie Sun, Letian Sha and
Zhongxuan Han</t>
  </si>
  <si>
    <t>Guangzhi Qi, Guojun Liu and Qi Zhou</t>
  </si>
  <si>
    <t>Ke Guo, Changle Qu, Xiao Zhang, Liqin Zhao, Shijun Wang,
Yanan Niu and Jun Xu</t>
  </si>
  <si>
    <t>Yingpeng Du, Zhu Sun, Tianjun Wei and Jie Zhang</t>
  </si>
  <si>
    <t>Joy Jia Yin Lim, Ye He, Jifan Yu, Xin Cong, Daniel
Zhang-Li, Zhiyuan Liu, Huiqin Liu, Lei Hou, Juanzi Li and
Bin Xu</t>
  </si>
  <si>
    <t>Sunwoo Kim, Hyunjin Hwang and Kijung Shin</t>
  </si>
  <si>
    <t>Zemu Liu, Zhida Qin, Pengzhan Zhou, Tianyu Huang and Gangyi
Ding</t>
  </si>
  <si>
    <t>Dongliang Liao, Chenxing Wang and Yawen Zeng</t>
  </si>
  <si>
    <t>Mingyu Zhao, Haoran Bai, Yu Tian, Bing Zhu and Hengliang Luo</t>
  </si>
  <si>
    <t>Jiale Huang, Yingyuan Xiao, Likang Wu, Xu Cheng, Wengguang
Zheng, Qingbo Hao, Ming He and Hongke Zhao</t>
  </si>
  <si>
    <t>Jiayu Bao, Hongjian Shi, Guanyu Zhang, Rui Zhou, Haozhao
Wang and Yuan Liu</t>
  </si>
  <si>
    <t>Shaokang Jiang, Arshia Arya, Seoyoung Kweon, Ivan Liang,
Deepak Kumar and Kristen Vaccaro</t>
  </si>
  <si>
    <t>Xiaoxin Ye, Chengkai Huang, Hongtao Huang and Lina Yao</t>
  </si>
  <si>
    <t>Zhi-Yuan Chen, Siyu Lu, Qiang Liu, Xingxing Wang and Yankai
Lin</t>
  </si>
  <si>
    <t>Hongxu Ma, Kai Tian, Tao Zhang, Xuefeng Zhang, Han Zhou,
Chenghou Jin, Chunjie Chen, Han Li, Jihong Guan and
Shuigeng Zhou</t>
  </si>
  <si>
    <t>Junming Zhou, Hao Zhong, Shupeng Li, Zhengyang Wu, Yong
Tang and Ronghua Lin</t>
  </si>
  <si>
    <t>Xinrui He, Ting-Wei Li, Tianxin Wei, Xuying Ning, Xinyu He,
Wenxuan Bao, Hanghang Tong and Jingrui He</t>
  </si>
  <si>
    <t>Jianye Xie, Lianyong Qi, Weiming Liu, Anqi Wang, Xiaolong
Xu, Haolong Xiang, Xuyun Zhang, Wenwen Gong, Yang Zhang,
Amin Beheshti and Wanchun Dou</t>
  </si>
  <si>
    <t>Mingdai Yang, Nurendra Choudhary, Jiangshu Du, Edward W.
Huang, Philip Yu, Karthik Subbian and Danai Koutra</t>
  </si>
  <si>
    <t>Kaibei Li, Jie Zou, Qika Lin, Weikang Guo, Qinyang He and
Yang Yang</t>
  </si>
  <si>
    <t>Mingxuan Luo, Guipeng Xv, Sishuo Chen, Xinyu Li, Li Zhang,
Zhangming Chan, Xiang-Rong Sheng, Han Zhu, Jian Xu, Bo
Zheng and Chen Lin</t>
  </si>
  <si>
    <t>Rongbo Qi, Yaqi Zhang, Chunyao Song and Tingjian Ge</t>
  </si>
  <si>
    <t>Weixin Zheng, Chunyao Song and Tingjian Ge</t>
  </si>
  <si>
    <t>Yueqing Xuan, Kacper Sokol, Mark Sanderson and Jeffrey Chan</t>
  </si>
  <si>
    <t>Xinyu Li, Sishuo Chen, Guipeng Xv, Li Zhang, Mingxuan Luo,
Zhangming Chan, Xiang-Rong Sheng, Han Zhu, Jian Xu and Chen
Lin</t>
  </si>
  <si>
    <t>Minseo Jeon, Junwoo Jung, Daewon Gwak and Jinhong Jung</t>
  </si>
  <si>
    <t>Jinpeng Chen, Jianxiang He, Yuan Cao, Huan Li, Zhenye Yang,
Kaimin Wei, Xiongnan Jin, Senzhang Wang and Weiping Tu</t>
  </si>
  <si>
    <t>Yuanzi Li, Xuri Ge, Jingyu Zhao, Yidan Wang, Jiyuan Yang,
Zhumin Chen, Zhaochun Ren and Xin Xin</t>
  </si>
  <si>
    <t>Min Hou, Xin Liu, Le Wu, Chenyi He, Hao Liu, Zhi Li, Xin Li
and Si Wei</t>
  </si>
  <si>
    <t>Weilin Zhou, Hao Zhang and Guangxin Wu</t>
  </si>
  <si>
    <t>Yu Cui, Feng Liu, Jiawei Chen, Xingyu Lou, Changwang Zhang,
Jun Wang, Yuegang Sun, Xiaohu Yang and Can Wang</t>
  </si>
  <si>
    <t>Min-Jeong Kim, Jiwon Son, Yeon-Chang Lee and Sang-Wook Kim</t>
  </si>
  <si>
    <t>Mengyang Ma, Xiaopeng Li, Wanyu Wang, Zhaocheng Du,
Jingtong Gao, Pengyue Jia, Yuyang Ye, Yiqi Wang, Yunpeng
Weng, Weihong Luo, Xiao Han and Xiangyu Zhao</t>
  </si>
  <si>
    <t>Yuzhe Chen, Jie Cao, Youquan Wang, Haicheng Tao, Darko
Vuković and Jia Wu</t>
  </si>
  <si>
    <t>Furen Xu, Jie Zhang, Kai Jiang, Chengxiang Zhuo and Zang Li</t>
  </si>
  <si>
    <t>Zhenhua Meng and Fanshen Meng</t>
  </si>
  <si>
    <t>Maolin Wang, Tongshu Bian, Ziyan Wang, Xiaotong Jiang,
Binhao Wang, Derong Xu, Wanyu Wang, Ruocheng Guo and
Xiangyu Zhao</t>
  </si>
  <si>
    <t>Yixuan Huang, Jiawei Chen, Shengfan Zhang and Zane Cao</t>
  </si>
  <si>
    <t>Gu Tang, Jinghe Wang, Jiang Bo, Ze Zhao, Jianping Zhou,
Xiaoying Gan, Luoyi Fu, Xinbing Wang and Chenghu Zhou</t>
  </si>
  <si>
    <t>Xiao Lin, Zhicheng Tang, Weilin Cong, Mengyue Hang, Kai
Wang, Yajuan Wang, Zhichen Zeng, Ting-Wei Li, Hyunsik Yoo,
Zhining Liu, Xuying Ning, Ruizhong Qiu, Wen-Yen Chen, Shuo
Chang, Rong Jin, Huayu Li and Hanghang Tong</t>
  </si>
  <si>
    <t>Ranxu Zhang, Junjie Meng, Ying Sun, Ziqi Xu, Bing Yin, Hao
Li, Yanyong Zhang and Chao Wang</t>
  </si>
  <si>
    <t>Yu Wang, Junshu Dai, Yuchen Ying, Hanyang Yuan, Zunlei
Feng, Tongya Zheng and Mingli Song</t>
  </si>
  <si>
    <t>Liwei Jin, Dan Luo, Lixin Zou, Chenliang Li, Xiangyang Luo,
Xixun Lin, Liming Dong and Yifan Zhang</t>
  </si>
  <si>
    <t>Yuanhao Liu, Zihan Zhou, Kaiying Wu, Shuo Liu, Yiyang
Huang, Jiajun Guo, Aimin Zhou and Hong Qian</t>
  </si>
  <si>
    <t>Bo Yan, Yurong Hao, Dingqi Liu, Huabin Sun, Pengpeng Qiao,
Wei Yang Bryan Lim, Yang Cao and Chuan Shi</t>
  </si>
  <si>
    <t>Jiahao Liang, Yutian Xiao, Haoran Yang, Zhiwen Yu, Jia-Nan
Liu and Kaixiang Yang</t>
  </si>
  <si>
    <t>Zhiding Liu, Ben Chen, Mingyue Cheng, Enhong Chen, Li Li,
Chenyi Lei, Wenwu Ou, Han Li and Kun Gai</t>
  </si>
  <si>
    <t>Michael Soumm, Alexandre Fournier-Montgieux, Adrian Popescu
and Bertrand Delezoide</t>
  </si>
  <si>
    <t>Byungmoon Heo, Namjun Lee, Seonah Kim and Jaekwang Kim</t>
  </si>
  <si>
    <t>Jie Li, Zhen Cui and Linmei Hu</t>
  </si>
  <si>
    <t>Chunxu Zhang, Weipeng Zhang, Guodong Long, Zhiheng Xue,
Riting Xia and Bo Yang</t>
  </si>
  <si>
    <t>Chunxu Zhang, Zhiheng Xue, Guodong Long, Weipeng Zhang and
Bo Yang</t>
  </si>
  <si>
    <t>Ke Fei, Jingjing Li, Zhekai Du and Hongbo Chen</t>
  </si>
  <si>
    <t>Fengyuan Yu, Xiaohua Feng, Yuyuan Li, Changwang Zhang, Jun
Wang and Chaochao Chen</t>
  </si>
  <si>
    <t>Yifan Li, Jiahong Liu, Xinni Zhang, Hao Chen, Yankai Chen,
Wenhao Yu, Jianting Chen and Irwin King</t>
  </si>
  <si>
    <t>Haotian Wu, Yingpeng Du, Zhu Sun, Jie Zhang and Puay Siew
Tan</t>
  </si>
  <si>
    <t>Shengjia Zhang, Weiqin Yang, Jiawei Chen, Peng Wu, Yuegang
Sun, Gang Wang, Qihao Shi and Can Wang</t>
  </si>
  <si>
    <t>Zhibo Wu, Yunfan Wu, Yang Chang, Ping Yang and Yao Hu</t>
  </si>
  <si>
    <t>Bohao Wang, Jiawei Chen, Feng Liu, Changwang Zhang, Jun
Wang, Canghong Jin, Chun Chen and Can Wang</t>
  </si>
  <si>
    <t>Xiaokun Zhang, Bowei He, Jiamin Chen, Ziqiang Cui and Chen
Ma</t>
  </si>
  <si>
    <t>Kesha Ou, Zhen Tian, Wayne Xin Zhao, Hongyu Lu and Ji-Rong
Wen</t>
  </si>
  <si>
    <t>Yinan Zhang, Zhixi Chen, Jiazheng Jing and Zhiqi Shen</t>
  </si>
  <si>
    <t>Miaomiao Cai, Zhijie Zhang, Junfeng Fang, Zhiyong Cheng,
Xiang Wang and Meng Wang</t>
  </si>
  <si>
    <t>Canran Xiao and Liwei Hou</t>
  </si>
  <si>
    <t>Zhiyong Cheng, Yike Jin, Zhijie Zhang, Huilin Chen,
Zhangling Duan and Meng Wang</t>
  </si>
  <si>
    <t>Nengjun Zhu, Yixun Lu and Qi Zhang</t>
  </si>
  <si>
    <t>Parthiv Chatterjee, Dhara Jhaveri, Sourish Dasgupta and
Tanmoy Chakraborty</t>
  </si>
  <si>
    <t>Lingyan Zhang, Wanyu Ling, Shuwen Daizhou, Li Kuang and
Kehua Guo</t>
  </si>
  <si>
    <t>Chunxu Zhang, Shanqiang Huang, Zijian Zhang, Jiahong Liu,
Linsong Yu, Ruiqi Wan, Bo Yang and Irwin King</t>
  </si>
  <si>
    <t>Ethan Che, Hakan Ceylan, James McInerney and Nathan Kallus</t>
  </si>
  <si>
    <t>Md Aminul Islam, Elena Zheleva and Ren Wang</t>
  </si>
  <si>
    <t>David Liu, Erik Weis, Moritz Laber, Tina Eliassi-Rad and
Brennan Klein</t>
  </si>
  <si>
    <t>Hung V. Tran, Tong Chen, Hechuan Wen, Quoc Viet Hung
Nguyen, Bin Cui and Hongzhi Yin</t>
  </si>
  <si>
    <t>Shiyi Yang, Zhibo Hu, Xinshu Li, Chen Wang, Tong Yu, Xiwei
Xu, Liming Zhu and Lina Yao</t>
  </si>
  <si>
    <t>Yuhan Zhao, Weixin Chen, Li Chen and Weike Pan</t>
  </si>
  <si>
    <t>Ying He, Desheng Cai, Shengsheng Qian, Quan Fang, Yinwei
Wei and Changsheng Xu</t>
  </si>
  <si>
    <t>Jiahao Liu, Lin Li, Zhiyuan Li, Kaixi Hu, Kaize Shi and
Jingling Yuan</t>
  </si>
  <si>
    <t>Sirui Chen, Jiawei Chen, Canghong Jin, Sheng Zhou, Jingbang
Chen, Wujie Sun and Can Wang</t>
  </si>
  <si>
    <t>Fake Lin, Binbin Hu, Zhi Zheng, Xi Zhu, Ziqi Liu, Zhiqiang
Zhang, Jun Zhou and Tong Xu</t>
  </si>
  <si>
    <t>Shuo Yu, Mingyue Cheng, Daoyu Wang, Qi Liu, Zirui Liu, Ze
Guo and Xiaoyu Tao</t>
  </si>
  <si>
    <t>Jiaming Zhang, Yuyuan Li, Xiaohua Feng, Li Zhang, Longfei
Li, Jun Zhou and Chaochao Chen</t>
  </si>
  <si>
    <t>Yilin Zhao, Jiawei Huang, Xianshi Su, Weihe Li, Xin Li, Yan
Liu, Jiacheng Xie, Qichen Su, Jin Ye, Wanchun Jiang and
Jianxin Wang</t>
  </si>
  <si>
    <t>Shuili Zhang, Hongzhang Mu, Wenyuan Zhang, Duohe Ma and
Tingwen Liu</t>
  </si>
  <si>
    <t>Jinrui Sun, Tong Jia, Minghua He and Ying Li</t>
  </si>
  <si>
    <t>Zongwei Wang, Min Gao, Junliang Yu, Tong Chen and Chenghua
Lin</t>
  </si>
  <si>
    <t>Soshi Kakio, Yasuko Matsubara, Ren Fujiwara and Yasushi
Sakurai</t>
  </si>
  <si>
    <t>Jiping Zhang, Hua Zhu, Hong Huang, Yongkang Zhou, Kehan Yin
and Bang Liu</t>
  </si>
  <si>
    <t>Quyu Kong, Yixuan Zhang, Yang Liu, Panrong Tong, Enqi Liu
and Feng Zhou</t>
  </si>
  <si>
    <t>Yuanyi Song, Heyuan Huang, Qiqiang Lin, Yin Zhao, Xiangmou
Qu, Jun Wang, Xingyu Lou, Weiwen Liu, Zhuosheng Zhang, Jun
Wang, Zhaoxiang Wang, Yong Yu and Weinan Zhang</t>
  </si>
  <si>
    <t>Zhaodan Zhang, Jin Zhang and Jiafeng Guo</t>
  </si>
  <si>
    <t>Jie Li, Jinrui Wang, Linmei Hu and Yuqiu Deng</t>
  </si>
  <si>
    <t>Weiyi Yang, Richong Zhang, Junfan Chen, Jiawei Sheng and
Lihong Wang</t>
  </si>
  <si>
    <t>Chaoqun Cui, Shijing Wang, Liangbin Huang, Qingqing Gu,
Zhaolong Huang, Xiao Zeng and Wenji Mao</t>
  </si>
  <si>
    <t>Youheng Bai, Mingliang Hou, Teng Guo, Zitao Liu and Weiqi
Luo</t>
  </si>
  <si>
    <t>Mingming Zhang, Pengfei Shi, Junbo Zhao, Ningtao Wang, Feng
Zhao, Guandong Sun, Yulin Kang, Xing Fu, Zhiqing Xiao,
Weiqiang Wang and Ruizhe Gao</t>
  </si>
  <si>
    <t>Yuanzhen Hao and Desheng Wu</t>
  </si>
  <si>
    <t>Liwei Qian, Hang Zhang, Yiheng Wu, Yanmin Li, Mengna Zhu,
Lihua Liu and Jibing Wu</t>
  </si>
  <si>
    <t>Baohang Zhou, Kehui Song, Rize Jin, Yu Zhao, Xuhui Sui,
Xinying Qian, Xingyue Guo and Ying Zhang</t>
  </si>
  <si>
    <t>Zhibo Zhang, Jianjun Li and Zhiyuan Ma</t>
  </si>
  <si>
    <t>Zhongxian Liang, Qilong Shi, Xiyan Liang, Zihan Li, Wenjun
Li, Tong Yang, Yangyang Wang, Mingwei Xu and Weizhe Zhang</t>
  </si>
  <si>
    <t>Lin Zhang, Qing Li and Jingmei Zhao</t>
  </si>
  <si>
    <t>Wenxia Chang, Chao Zhang, Wentao Li and Deyu Li</t>
  </si>
  <si>
    <t>Junyi Chen, Qian Liu, Jing Sun and Yi Zhang</t>
  </si>
  <si>
    <t>Huajian Zhang, Mingyue Cheng, Yucong Luo and Xiaoyu Tao</t>
  </si>
  <si>
    <t>Zhipeng Liu, Peibo Duan, Xuan Tang, Haodong Jing, Mingyang
Geng, Yongsheng Huang, Jialu Xu, Bin Zhang and Binwu Wang</t>
  </si>
  <si>
    <t>Jianqi Zhang, Jingyao Wang, Wenwen Qiang, Fanjiang Xu and
Changwen Zheng</t>
  </si>
  <si>
    <t>Yuchen Fang, Shiyu Wang, Yuxuan Liang, Zhou Ye, Yang Xiang,
Yan Zhao and Kai Zheng</t>
  </si>
  <si>
    <t>Chengyu Song, Lin Yang, Jianming Zheng, Jingjing Zhang,
Hongyu Kuang, Jinzhi Liao and Mengchun Zhao</t>
  </si>
  <si>
    <t>Yichi Zhang, Yunqi Han, Jiayue Ding and Liangyu Chen</t>
  </si>
  <si>
    <t>Haohao Qu, Shanru Lin, Yujuan Ding, Yiqi Wang and Wenqi Fan</t>
  </si>
  <si>
    <t>Hua Wang, Jinghao Lu and Fan Zhang</t>
  </si>
  <si>
    <t>Rui Wang, Ziang Li, Haiping Huang, Jialin Yu, Yuxiang Zhou
and Guozi Sun</t>
  </si>
  <si>
    <t>Qing Wei, Hao Miao, Yan Zhao, Kai Zheng, Bin Yang, Volker
Markl and Christian S. Jensen</t>
  </si>
  <si>
    <t>Jinwen Chen, Hao Miao, Chenxi Liu, Yan Zhao and Kai Zheng</t>
  </si>
  <si>
    <t>Diandian Guo, Fangfang Yuan, Cong Cao, Xixun Lin, Chuan
Zhou, Hao Peng, Yanan Cao and Yanbing Liu</t>
  </si>
  <si>
    <t>Ruiting Dai, Zesen Cai, Lisi Mo, Guiduo Duan, Keren Shi and
Tao He</t>
  </si>
  <si>
    <t>Shengkun Zhu, Jinshan Zeng, Yiming Wang, Sheng Wang, Yuan
Sun, Shangfeng Chen, Yuan Yao and Qiang Yang</t>
  </si>
  <si>
    <t>Xinyu Li, Kexi Chen, Ying Zheng, Zhiyi Yao, Yi Xie, Jihan
Dai, Lei Bai, Jin Zhao, Jiajie Shen, Yunqi Cai, Hong Lu and
Xin Wang</t>
  </si>
  <si>
    <t>Haihua Xu, Qi Hao, He Zhang, Jianpeng Zhao, Ziyue Qiao, Lu
Jiang, Pengfei Wang, Yingjie Zhou and Pengyang Wang</t>
  </si>
  <si>
    <t>Mingxing Shao, Tiancheng Zhang, Yifang Yin, Wenhui Wu,
Zikai Li, Minghe Yu, Fangling Leng and Ge Yu</t>
  </si>
  <si>
    <t>Boning Zhang, Haishuai Wang, Zehong Hu, Jiajun Wang, Hongyi
Zhang and Jia Jia</t>
  </si>
  <si>
    <t>Liyao Li, Hao Chen, Jiaming Tian, Wentao Ye, Lirong Gao,
Chao Ye, Ningtao Wang, Xing Fu, Yu Cheng, Haobo Wang, Gang
Chen and Junbo Zhao</t>
  </si>
  <si>
    <t>Shuofu Liu, Quanjiang Guo, Xiao Liu and Ying Liu</t>
  </si>
  <si>
    <t>Xianbing Zhao, Shengzun Yang and Buzhou Tang</t>
  </si>
  <si>
    <t>Jiajun Chen, Yue Wu, Kai Huang, Wenxi Zhao, Wu Yangyang,
Xiaoye Miao, Mengying Zhu, Meng Xi and Guanjie Cheng</t>
  </si>
  <si>
    <t>Zhaowei Liu, Sheng Liu, Weiqing Yan, Peng Song, Yongchao
Song and Rufei Gao</t>
  </si>
  <si>
    <t>Yuhua Zhao, Zhixin Han, Xuan Li, Peiyu Xu, Hang Gao,
Mengting Hu and Tiegang Gao</t>
  </si>
  <si>
    <t>Shan Dai, Yuyang Shen, Yuyang Liang, Chenhao Ma and
Anningzhe Gao</t>
  </si>
  <si>
    <t>Changwu Li, Tongjun Shi, Shuhao Zhang, Binbin Chen,
Bingsheng He, Xiaofei Liao and Hai Jin</t>
  </si>
  <si>
    <t>Shingo Higashiguchi, Koki Kawabata, Yasuko Matsubara and
Yasushi Sakurai</t>
  </si>
  <si>
    <t>Fan Zhang, Shiming Fan and Hua Wang</t>
  </si>
  <si>
    <t>Nicolas Steinacker-Olsztyn, Devashish Gosain and Ha Dao</t>
  </si>
  <si>
    <t>Jiangfeng Zeng, Cheng Xiong, Xiao Ma and Jialin Qin</t>
  </si>
  <si>
    <t>Juntao Yang, Dayuan Cao, Kui Yu, Xiang Wang, Jing Yang, Lin
Liu and Jiuyong Li</t>
  </si>
  <si>
    <t>Chengyang Zhou, Zijian Zhang, Chunxu Zhang, Hao Miao, Yulin
Zhang, Kedi Lyu and Juncheng Hu</t>
  </si>
  <si>
    <t>Athanasios Efthymiou, Stevan Rudinac, Monika Kackovic,
Nachoem Wijnberg and Marcel Worring</t>
  </si>
  <si>
    <t>Chengliang Liu, Liangbo Ning, Yujuan Ding and Wenqi Fan</t>
  </si>
  <si>
    <t>Yunze Wei, Xingang Shi, Han Zhang, Tianyu Zhang, Yahui Li
and Xia Yin</t>
  </si>
  <si>
    <t>Pingping Liu, Jiamiao Liu, Zijian Zhang, Hao Miao, Qi
Jiang, Qingliang Li, Qiuzhan Zhou and Irwin King</t>
  </si>
  <si>
    <t>Mingfei Lu, Mengjia Wu, Jiawei Xu, Weikai Li, Feng Liu,
Ying Ding, Yizhou Sun, Jie Lu and Yi Zhang</t>
  </si>
  <si>
    <t>Zhiwei Hu, Liang Zhang and Guangxu Zhu</t>
  </si>
  <si>
    <t>Zhi Zeng, Yifei Yang, Jiaying Wu, Xulang Zhang, Xiangzheng
Kong, Herun Wan, Zihan Ma and Minnan Luo</t>
  </si>
  <si>
    <t>Chi Wang, Min Gao, Zongwei Wang, Junwei Yin, Kai Shu and
Chenghua Lin</t>
  </si>
  <si>
    <t>Lingkai Zu, Xiyue Peng and Xin Liu</t>
  </si>
  <si>
    <t>Seongchan Park, Jaehong Kim, Hyeonseung Kim, Heejin Bin,
Sue Moon and Wonjae Lee</t>
  </si>
  <si>
    <t>Seungha Hong, Sukang Chae, Suyeon Kim, Sanghwan Jang and
Hwanjo Yu</t>
  </si>
  <si>
    <t>Jiarui Zhang, Yifan Deng and Qihao Wang</t>
  </si>
  <si>
    <t>tweb</t>
  </si>
  <si>
    <t>Salim Hafid, Sebastian Schellhammer, Yavuz Selim Kartal, Thomas Papastergiou, Stefan Dietze, Sandra Bringay and Konstantin Todorov</t>
  </si>
  <si>
    <t xml:space="preserve">An In-depth Analysis of the Linguistic Characteristics of Science Claims on the Web and their Impact on Fact-checking </t>
  </si>
  <si>
    <t>Danielle Caled, Paula Carvalho, Francisco Sousa and Mário Silva</t>
  </si>
  <si>
    <t xml:space="preserve">DOMAIN: Explainable Credibility Assessment Tools for Empowering Online Readers Coping with Misinformation </t>
  </si>
  <si>
    <t>Ben Rosenzweig, Valentino Dalla Valle, Giovanni Apruzzese and Aurore Fass</t>
  </si>
  <si>
    <t xml:space="preserve">It's not Easy: Applying Supervised Machine Learning to Detect Malicious Extensions in the Chrome Web Store </t>
  </si>
  <si>
    <t>Paper Number</t>
  </si>
  <si>
    <t>Sheridan Title</t>
  </si>
  <si>
    <t>Authors (Cleaned)</t>
  </si>
  <si>
    <t>Shaoqing Wang:Alibaba Group;Yingcai Ma:Alibaba Group;Kairui Fu:Zhejiang University;Ziyang Wang:Alibaba Group;Dunxian Huang:Alibaba Group;Yuliang Yan:Alibaba Group;Jian Wu:Alibaba Group</t>
  </si>
  <si>
    <t>Maolin Wang:City University of Hong Kong;Lang Fu:Alibaba International Digital Commerce Group;Jun Chu:Alibaba International Digital Commerce Group;Kai Guo:Alibaba International Digital Commerce Group;Chenjie Qin:Alibaba International Digital Commerce Group;Xinxin Wang:Alibaba International Digital Commerce Group;Siyu Wu:Alibaba International Digital Commerce Group;Wen Jiang:Alibaba International Digital Commerce Group;Xiangyu Zhao:City University of Hong Kong</t>
  </si>
  <si>
    <t>Ziheng Ni:JD.com;Congcong Liu:JD.com;Cai Shang:JD.com;Yiming Sun:JD.com;Junjie Li:JD.com;Zhiwei Fang:JD.com;Guangpeng Chen:JD.com;Li Jian:JD.com;Zehua Zhang:JD.com;Changping Peng:JD.COM;Zhangang Lin:JD.com;Ching Law:JD.com;Jingping Shao:JD</t>
  </si>
  <si>
    <t>Jiazheng Kang:Beijing University of Posts and Telecommunications, Beijing University of Posts and Telecommunications;Le Huang:Beijing University of Posts and Telecommunications;Cheng Hou:Researcher;Zhe Zhao:Researcher;ZhenXiang Yan:Researcher;Ting Bai:Beijing University of Posts and Telecommunications</t>
  </si>
  <si>
    <t>Zhongjian Zhang:Beijing University of Posts and Telecommunications,China Telecom Bestpay;Mengmei Zhang:China Telecom Bestpay;Dehua Xu:China Telecom Bestpay;Rongjun Shi:China Telecom Bestpay;Jianfeng Liu:China Telecom Bestpay;Fuli Meng:China Telecom Bestpay;Huajian Xu:China Telecom Bestpay;Xiao Wang:Beihang University;Ruijia Wang:China Telecom Cloud Computing Research Institute;Junze Chen:China Telecom Bestpay;Minwei Tang:China Telecom Bestpay;Chuan Shi:Beijing University of Post and Telecommunication</t>
  </si>
  <si>
    <t>Wei Wang:East China Normal University;Fanyu Han:East China Normal University;Shengyu Zhao:Tongji University;Xuan Zhou:East China Normal University;Weining Qian:East China Normal University;Aoying Zhou:East China Normal University;Xiaoya Xia:Ant Group;Liyun Yang:China Electronics Standardization Institute;Rong Wang:Alibaba Group;Ning Jiang:Apache Software Foundation;Moming Duan:East China Normal University</t>
  </si>
  <si>
    <t>Zhenghan Tai:SimpleWay.AI;Hanwei Wu:SimpleWay.AI;Qingchen Hu:SimpleWay.AI;Jijun Chi:SimpleWay.AI;Hailin He:SimpleWay.AI;Lei Ding:University of Manitoba;Tung Sum Thomas Kwok:SimpleWay.AI;Bohuai Xiao:SimpleWay.AI;Yuchen Hua:SimpleWay.AI;Suyuchen Wang:Mila – Quebec AI Institute;Peng Lu:University of Montreal;Muzhi Li:The Chinese University of Hong Kong;Yihong Wu:University of Montreal;Liheng Ma:Mila – Quebec AI Institute;Jerry Huang:Mila – Quebec AI Institute;Jiayi Zhang:Hong Kong University of Science and Technology;Gonghao Zhang:Flab;Chaolong Jiang:SimpleWay.AI;Jingrui Tian:University of California, Los Angeles;Sicheng Lyu:McGill University;Zeyu Li:Nanyang Technological University;Boyu Han:Stanford University;Fengran Mo:University of Montreal;Xinyue Yu:University of Montreal;Yufei Cui:McGill University;Ling Zhou:CG Matrix Technology Limited;Xinyu Wang:McGill University</t>
  </si>
  <si>
    <t>Zhuoning Guo:Hong Kong University of Science and Technology (Guangzhou);Guangxing Chen:Baidu;Qian Gao:Baidu;Xiaochao Liao:Baidu;Jianjia Zheng:Baidu;Lu Shen:Baidu;Hao Liu:The Hong Kong University of Science and Technology (Guangzhou),The Hong Kong University of Science and Technology</t>
  </si>
  <si>
    <t>Zhao Li:Zhejiang University,Taotian Group;FengYang Qi:Taotian Group;Chuanyu Xu:Taotian Group;Tao Zhang:Taotian Group;Chengfu Huo:Taotian Group;Peng Zhang:Zhejiang University</t>
  </si>
  <si>
    <t>Huabin Chen:Alibaba Group;Xinao Wang:Alibaba Group;Huiping Chu:Alibaba Group;Keqin Xu:Alibaba Group;Chenhao Zhai:Tsinghua University;Chenyi Wang:Alibaba Group;Kai Meng:Alibaba Group;Yuning Jiang:Alibaba Group</t>
  </si>
  <si>
    <t>Yijia Sun:Kuaishou Technology;Shanshan Huang:Kuaishou Technology;Zhiyuan Guan:Shanghai Jiaotong University,Kuaishou Technology;Qiang Luo:Kuaishou Technology;Ruiming Tang:Kuaishou Technology;Kun Gai:Unaffiliated;Guorui Zhou:Algorithm, Kuaishou Technology</t>
  </si>
  <si>
    <t>Junshen Xu:Amazon Web Services;Jiayun Zhang:Amazon Web Services;Yi Fan:Amazon Web Services</t>
  </si>
  <si>
    <t>Xing Tang:Shenzhen Technology University;Hao Chen:FiT,Tencent;Shiwei Li:Huazhong University of Science and Technology;Fuyuan Lyu:McGill University;Weijie Shi:Hong Kong University of Science and Technology;Lingjie Li:Shenzhen Technology University;Dugang Liu:Shenzhen University;Weihong Luo:FiT,Tencent;Xiku Du:FiT,Tencent;Xiuqiang He:Shenzhen Technology University</t>
  </si>
  <si>
    <t>Lingfei Qian:The FinAI;Xueqing Peng:The FinAI;Hanley Smith:PAAL AI;Yi Han:Georgia Institute of Technology;Yueru He:Columbia University;Haohang Li:Stevens Institute of Technology;Yupeng Cao:Stevens Institute of Technology;Yangyang Yu:Stevens Institute of Technology;Guojun Xiong:Harvard University;Peng Lu:University of Montreal;Yan Wang:The FinAI;Vincent Jim Zhang:DeepKin;Huan He:The FinAI;Alejandro Lopez-Lira:University of Florida;Jimin Huang:The FinAI,National Centre for Text Mining, University of Manchester;Jian-Yun Nie:University of Montreal;Sophia Ananiadou:National Centre for Text Mining, University of Manchester,Tecnologico de Monterrey</t>
  </si>
  <si>
    <t>Fuling Wang:Thrust of Artificial Intelligence, The Hong Kong University of Science and Technology(Guangzhou);Le Zhang:Baidu Research, Baidu;Jingbo Zhou:Baidu Research, Baidu;Jindong Han:School of Artificial Intelligence, Shandong University;Ying Sun:Thrust of Artificial Intelligence, Hong Kong University of Science and Technology (Guangzhou);Chuan Qin:Department of Big Data Technology and Application Development, CNIC,Chinese Academy of Sciences;Hengshu Zhu:Department of Big Data Technology and Application Development, Computer Network Information Center,Chinese Academy of Sciences;Hui Xiong:Thrust of Artificial Intellegence, Hong Kong University of Science and Technology (Guangzhou),Department of Computer Science and Engineering, Hong Kong University of Science and Technology Hong Kong SAR</t>
  </si>
  <si>
    <t>Minmao Wang:Fudan University;Xingchen Liu:Kuaishou Technology;Shijie Yi:Kuaishou Technology;Likang Wu:Tianjin University;Hongke Zhao:Tianjin University;Fei Pan:Kuaishou Technology;Qingpeng Cai:Kuaishou Technology;Peng Jiang:Kuaishou Technology</t>
  </si>
  <si>
    <t>Changhua Pei:Computer Network Information Center, Chinese Academy of Sciences,Hangzhou Institute for Advanced Study, University of Chinese Academy of Sciences;Hang Cui:Computer Network Information Center, Chinese Academy of Sciences,University of the Chinese Academy of Sciences;Jingjing Li:Computer Network Information Center, Chinese Academy of Sciences;Yuxuan Li:Computer Network Information Center, Chinese Academy of Sciences;Zihan Liu:Computer Network Information Center, Chinese Academy of Sciences;Xinyuan Liao:CloudCore, Huawei Technologies Ltd;Cenjie Hu:Shenyang Institute of Automation, Chinese Academy of Sciences;Jiabao Wang:CloudCore, Huawei Technologies Ltd;Zheyuan Li:Computer Network Information Center, Chinese Academy of Sciences;Zexin Wang:Computer Network Information Center, Chinese Academy of Sciences;Haotian Si:Computer Network Information Center, Chinese Academy of Sciences;Ke Xiang:Computer Network Information Center, Chinese Academy of Sciences;Gaogang Xie:Computer Network Information Center, Chinese Academy of Sciences;Dan Pei:Tsinghua University</t>
  </si>
  <si>
    <t>Qijie Shen:Alibaba Group;Yuanchen Bei:Zhejiang University;Zihong Huang:Alibaba Group;Xixian Wang:Jinan University;Zhibo Xiao:Alibaba Group;Dimin Wang:Alibaba Group;Jialin Zhu:Alibaba Group;Yuning Jiang:Alibaba Group;Feiran Huang:Beihang University;Hao Chen:City University of Macau</t>
  </si>
  <si>
    <t>Qingyang Liu:Shanghai Jiao Tong University;Jiangtong Li:Tongji University;Zelin Peng:Shanghai Jiao Tong University;Shaobo Wang:Shanghai Jiao Tong University;Zhaohe Liao:Shanghai Jiao Tong University;Shuochen Chang:Shanghai Jiao Tong University;Bingjie Gao:Shanghai Jiao Tong University;Haonan Zhao:Shanghai Jiao Tong University;Mu Liu:ByteDance;Jidong Jiang:ByteDance;Li Niu:Shanghai Jiao Tong University</t>
  </si>
  <si>
    <t>Xu Chu:Peking University;Angela Li:Mobile Ecosystem Group, Baidu Inc.;Jiaming Zhang:Mobile Ecosystem Group, Baidu Inc.;Wei Li:Mobile Ecosystem Group, Baidu Inc.;Zhijie Tan:Peking University;Dawei Yin:Mobile Ecosystem Group, Baidu Inc.;Shuaiqiang Wang:Mobile Ecosystem Group, Baidu Inc.;Daiting Shi:Mobile Ecosystem Group, Baidu Inc.</t>
  </si>
  <si>
    <t>Felipe Marineli:Roma Tre University,Meltwater Deutschland GmbH;Valerio Cetorelli:Meltwater (UK) Ltd;Valter Crescenzi:Roma Tre University;Tim Furche:Meltwater (UK) Ltd;Xiaonan Guo:Meltwater (UK) Ltd</t>
  </si>
  <si>
    <t>Phuc Nguyen:LinkedIn;Benjamin Zelditch:LinkedIn;Joyce Chen:LinkedIn;Rohit K Patra:LinkedIn;Changshuai Wei:LinkedIn</t>
  </si>
  <si>
    <t>Ruize Ou:Alibaba Group;Kai Wang:Alibaba Group;Jianzhi Shao:Alibaba Group;Tao Zhang:Alibaba Group;Chengfu Huo:Alibaba Group</t>
  </si>
  <si>
    <t>Yuting Huang:School of Software, Zhejiang University;Ziquan Fang:School of Software, Zhejiang University;Zhengjie Zhou:Ant Group;Tinghui Luo:School of Software, Zhejiang University;Lu Chen:College of Computer Science and Technology, Zhejiang University;Surun Ji:iQIYI Inc;Huimei Zheng:iQIYI Inc;Mingfan Lu:iQIYI Inc;Fangshu Chen:Shanghai Polytechnic University;Yunjun Gao:College of Computer Science and Technology, Zhejiang University</t>
  </si>
  <si>
    <t>Jianhui Yang:Tsinghua University,Taobao &amp; Tmall Group of Alibaba;Yiming Jin:Taobao &amp; Tmall Group of Alibaba;Pengkun Jiao:Fudan University,Taobao &amp; Tmall Group of Alibaba;Chenhe Dong:Taobao &amp; Tmall Group of Alibaba;Zerui Huang:Taobao &amp; Tmall Group of Alibaba;Shaowei Yao:Taobao &amp; Tmall Group of Alibaba;Xiaojiang Zhou:Taobao &amp; Tmall Group of Alibaba;Dan Ou:Taobao &amp; Tmall Group of Alibaba;Haihong Tang:Taobao &amp; Tmall Group of Alibaba</t>
  </si>
  <si>
    <t>Mingjie You:Tongji University;Dawei Cheng:Tongji University;Meilin Zhang:Tongji University;Peng Zhu:Tongji University;Yuqi Liang:Seek Data Group, Emoney Inc.</t>
  </si>
  <si>
    <t>Yuejia Dou:Gaoling School of Artificial Intelligence, Renmin University of China;Shuai Dou:Alibaba Group;Yuchao Ma:Gaoling School of Artificial Intelligence, Renmin University of China;Bingzhe Wang:Gaoling School of Artificial Intelligence, Renmin University of China;Tianyu Wang:Alibaba Group;Zhilin Zhang:Alibaba Group;Chuan Yu:Alibaba Group;Jian Xu:Alibaba Group;Qi Qi:Gaoling School of Artificial Intelligence, Renmin University of China,Beijing Key Laboratory of Research on Large Models and Intelligent Governance</t>
  </si>
  <si>
    <t>Lin Guan:ByteDance;Jia-Qi Yang:ByteDance;Zhishan Zhao:ByteDance;Beichuan Zhang:ByteDance;Bo Sun:ByteDance;Xuanyuan Luo:ByteDance;Jinan Ni:ByteDance;Xiaowen Li:ByteDance;Yuhang Qi:ByteDance;Zhifang Fan:ByteDance;Hangyu Wang:ByteDance;Qiwei Chen:ByteDance;Yi Cheng:ByteDance;Feng Zhang:ByteDance;Xiao Yang:ByteDance</t>
  </si>
  <si>
    <t>Zerui Chen:Harbin Institute of Technology;Heng Chang:Huawei Technologies Co., Ltd.;Tianying Liu:Huawei Technologies Co., Ltd.;Chuantian Zhou:Beijing University of Posts and Telecommunications;Yi Cao:Huawei Technologies Co., Ltd.;Jiandong Ding:Huawei Technologies Co., Ltd.;Ming Liu:Harbin Institute of Technology;Bing Qin:Harbin Institute of Technology</t>
  </si>
  <si>
    <t>Chenghui Yu:TikTok Inc.;Hongwei Wang:TikTok Inc.;Junwen Chen:TikTok Inc.;Zixuan Wang:TikTok Inc.;Bingfeng Deng:TikTok Inc.;Zhuolin Hao:TikTok Inc.;Hongyu Xiong:TikTok Inc.;Yang Song:TikTok Inc.</t>
  </si>
  <si>
    <t>Omer Madmon:Technion - Israel Institute of Technology,Booking.com;Shiran Golan:Booking.com;Eran Fainman:Booking.com;Ofri Kleinfeld:Booking.com;Moran Beladev:Booking.com</t>
  </si>
  <si>
    <t>Peiyuan Gong:GSAI, Renmin University of China;Feiran Zhu:Kuaishou Technology;Yaqi Yin:Kuaishou Technology;ChengLei Dai:Kuaishou Technology;Chao Zhang:Kuaishou Technology;Kai Zheng:Independent;Wentian Bao:Independent;Jiaxin Mao:GSAI, Renmin University of China;Yi Zhang:Kuaishou Technology</t>
  </si>
  <si>
    <t>Weijiang Lai:Institute of Software, Chinese Academy of Sciences,University of Chinese Academy of Sciences;Beihong Jin:Institute of Software, Chinese Academy of Sciences,University of Chinese Academy of Sciences;Di Zhang:Meituan;Siru Chen:Meituan;Jiongyan Zhang:Meituan;Yuhang Gou:Meituan;Jian Dong:Meituan;Xingxing Wang:meituan</t>
  </si>
  <si>
    <t>Pengfei Tong:ByteDance;Siyuan Chen:ByteDance;Chenwei Zhang:ByteDance;Bo Wang:ByteDance;Qi Pi:ByteDance;Pixun Li:ByteDance;Zuotao Liu:ByteDance</t>
  </si>
  <si>
    <t>Fanwei Zhu:Hangzhou City University;Zhuoran Zhuang:Alibaba Group;Detao Lv:Alibaba Group;Manwei Li:Alibaba Group;Yao Yu:Alibaba Group</t>
  </si>
  <si>
    <t>Yejing Wang:City University of Hong Kong;Shengyu Zhou:Alibaba Group;Jinyu Lu:Alibaba Group;Ziwei Liu:City University of Hong Kong;Langming Liu:Alibaba Group;Maolin Wang:City University of Hong Kong;Wenlin Zhang:City University of Hong Kong;Feng Li:Alibaba Group;Wenbo Su:Alibaba Group;Pengjie Wang:Alibaba Group;Jian Xu:Alibaba Group;Xiangyu Zhao:City University of Hong Kong</t>
  </si>
  <si>
    <t>Bokai Cao:The Hong Kong University of Science and Technology (Guangzhou),IDEA Research, International Digital Economy Academy;Xueyuan Lin:The Hong Kong University of Science and Technology (Guangzhou),IDEA Research, International Digital Economy Academy;Yiyan Qi:IDEA Research, International Digital Economy Academy;Chengjin Xu:IDEA Research, International Digital Economy Academy;Cehao Yang:The Hong Kong University of Science and Technology (Guangzhou),IDEA Research, International Digital Economy Academy;Jian Guo:IDEA Research, International Digital Economy Academy</t>
  </si>
  <si>
    <t>Ruining He:Google DeepMind;Lukasz Heldt:YouTube;Lichan Hong:Google DeepMind;Raghunandan Keshavan:YouTube;Shifan Mao:YouTube;Nikhil Mehta:Google DeepMind;Zhengyang Su:YouTube;Alicia Tsai:Google DeepMind;Yueqi Wang:YouTube;Shao-Chuan Wang:Google DeepMind;Xinyang Yi:Google DeepMind;Lexi Baugher:YouTube;Baykal Cakici:YouTube;Ed Chi:Google DeepMind;Cristos Goodrow:YouTube;Ningren Han:YouTube;He Ma:YouTube;Romer Rosales:YouTube;Abby Van Soest:YouTube;Devansh Tandon:YouTube;Su-Lin Wu:YouTube;Weilong Yang:YouTube;Yilin Zheng:YouTube</t>
  </si>
  <si>
    <t>Saeed Ebrahimi:Pinterest,Inc.,West Virginia University;Weijie Jiang:Pinterest,Inc.;Jaewon Yang:Pinterest,Inc.;Olafur Gudmundsson:Pinterest,Inc.;Yucheng Tu:Pinterest,Inc.;Huizhong Duan:Pinterest,Inc.</t>
  </si>
  <si>
    <t>Jianting Tang:University of Science and Technology of China,State Key Laboratory of Cognitive Intelligence;Dongshuai Li:Researcher;Tao Wen:Researcher;Fuyu Lv:Researcher;Dan Ou:Researcher;Linli Xu:University of Science and Technology of China,State Key Laboratory of Cognitive Intelligence</t>
  </si>
  <si>
    <t>Yuchen Li:Baidu Inc.,Shanghai Jiao Tong University;Rui Kong:Baidu Inc.;Xinran Chen:Baidu Inc.;Chengzhe Zhang:Baidu Inc.;Jiamin Chen:City University of Hong Kong;Cheng Deng:University of Edinburgh;Xinyu Ma:Baidu Inc.;Haojie Zhang:Baidu Inc.;Tianhao Peng:Baidu Inc.;Hengyi Cai:Baidu Inc.;Shuaiqiang Wang:Baidu Inc.;Jiashu Zhao:Wilfrid Laurier University;Yongqi Zhang:The Hong Kong University of Science and Technology (Guangzhou);Haoyi Xiong:Baidu Inc.;Jimmy Xiangji Huang:York University;Lei Chen:The Hong Kong University of Science and Technology (Guangzhou);Jun Wang:University College London;Dawei Yin:Baidu Inc.</t>
  </si>
  <si>
    <t>Mengze Hong:Hong Kong Polytechnic University;Chen Jason Zhang:Hong Kong Polytechnic University;Zichang Guo:Hong Kong Polytechnic University;Hanlin Gu:AI Group, WeBank;Di Jiang:Hong Kong Polytechnic University;Qing Li:Hong Kong Polytechnic University</t>
  </si>
  <si>
    <t>Hebin Liang:Tianjin University;Jianye Hao:Tianjin University;Jinyi Liu:Tianjin University;Yi Ma:Shanxi University;Zilin Cao:Tianjin University;Jing Liang:Tianjin University;Kun Shao:Huawei Noah's Ark Lab;Zhaocheng Du:Huawei Noah's Ark Lab;Fei Ni:Imperial College London;Yifu Yuan:Tianjin University;Yan Zheng:Tianjin Unibersity</t>
  </si>
  <si>
    <t>Zhaoqi Zhang:Nanyang Technological University,ByteDance;Haolei Pei:ByteDance;Jun Guo:ByteDance;Tianyu Wang:ByteDance;Yufei Feng:ByteDance;Hui Sun:ByteDance;Shaowei Liu:ByteDance;Aixin Sun:Nanyang Technological University</t>
  </si>
  <si>
    <t>Baopu Qiu:Alibaba International Digital Commerce Group;Hao Chen:Alibaba International Digital Commerce Group;Yuanrong Wu:Zhejiang University;Changtong Zan:Alibaba International Digital Commerce Group;Chao Wei:Alibaba International Digital Commerce Group;Weiru Zhang:Alibaba International Digital Commerce Group;Xiaoyi Zeng:Alibaba International Digital Commerce Group</t>
  </si>
  <si>
    <t>Xiaofeng Liu:JD.com;Wenliang Li:JD.com;Tao Yu:JD.com;Guanliang Song:JD.com;Zhen Chen:JD.com;Jing Zhou:JD.com;Dongyue Wang:JD.com;Xiwei Zhao:JD.com;Sulong Xu:JD.com</t>
  </si>
  <si>
    <t>Aitolkyn Baigutanova:Korea Advanced Institute of Science &amp; Technology;Francisco Navas:Wikimedia;Pablo Aragon:Wikimedia Foundation;Mykola Trokhymovych:Universitat Pompeu Fabra;Muniza Aslam:Independent;Ai-Jou Chou:Product &amp; Technology, Wikimedia;Miriam Redi:King's College London,University of London;Diego Saez Trumper:Wikimedia</t>
  </si>
  <si>
    <t>Xixuan Hao:The Hong Kong University of Science and Technology (Guangzhou);Guicheng Li:China University of Geoscience (Wuhan);Daiqiang Wu:Didichuxing Co. Ltd;Xusen Guo:The Hong Kong University of Science and Technology (Guangzhou);Yumeng Zhu:Didichuxing Co. Ltd;Zhichao Zou:Didichuxing Co. Ltd;Peng Zhen:Didichuxing Co. Ltd;Yao Yao:China University of Geoscience (Wuhan);Yuxuan Liang:The Hong Kong University of Science and Technology (Guangzhou)</t>
  </si>
  <si>
    <t>Wenyi Xu:Zhejiang University,Kuaishou Technology;Feiran Zhu:Kuaishou Technology;Songyang Li:Kuaishou Technology;Renzhe Zhou:Kuaishou Technology;Chao Zhang:Kuaishou Technology;ChengLei Dai:Kuaishou Technology;Yuren Mao:Zhejiang University;Yunjun Gao:Zhejiang University;Yi Zhang:Kuaishou Technology</t>
  </si>
  <si>
    <t>Runze Xia:Meituan;Yupeng Ji:Meituan;Yuxi Zhou:Meituan;Haodong Liu:Meituan;Teng Zhang:Meituan;Piji Li:Researcher</t>
  </si>
  <si>
    <t>Tingfeng Hong:Kuaishou Technology;Pingye Ren:Kuaishou Technology;Xinlong Xiao:Kuaishou Technology;Chao Wang:Kuaishou Technology;Chenyi Lei:Kuaishou Technology;Wenwu Ou:Kuaishou Technology;Han Li:Kuaishou Technology</t>
  </si>
  <si>
    <t>Maria Ljubičić:Infobip,Graz University of Technology;Emanuel Lacić:Infobip;Denis Helić:Graz University of Technology</t>
  </si>
  <si>
    <t>Benshuo Lin:South China Normal University;Jiayu Ding:South China Normal University;Yuelei Li:Chongqing Samin Consumer Finance Co., Ltd.;Peng Wu:Chongqing Samin Consumer Finance Co., Ltd.;Yun Xue:South China Normal University;Yiping Song:National University of Defense Technology</t>
  </si>
  <si>
    <t>Jing Huang:Ant Digital Technologies, Ant Group;Zhiya Tan:College of Computing and Data Science, Nanyang Technological University,Ant Digital Technologies, Ant Group;Shutao Gong:Ant Digital Technologies, Ant Group;Fanwei Zeng:Ant Digital Technologies, Ant Group;Joey Tianyi Zhou:CFAR, Agency for Science, Technology and Research,IHPC, Agency for Science, Technology and Research;Changtao Miao:Ant Group;Huazhe Tan:Ant Digital Technologies, Ant Group;Weibin Yao:Ant Digital Technologies, Ant Group;Jianshu Li:Ant Digital Technologies, Ant Group</t>
  </si>
  <si>
    <t>Wenjing Li:Shanghai Jiao Tong University;Jiang Rong:Xiaohongshu;Yao Hu:Xiaohongshu;Zhenzhe Zheng:Shanghai Jiao Tong University;Fan Wu:Shanghai Jiao Tong University</t>
  </si>
  <si>
    <t>Kakam Chong:Tsinghua University;Xu Yan:Alibaba Group;Shuai Xiao:Alibaba Group;Ming Chen:Alibaba Group, Alibaba Group;Chen Ju:Alibaba Group;Fei Huang:Alibaba Group;Yuantao Gu:Tsinghua University;Shuguang Han:Alibaba Group;Jufeng Chen:Alibaba Group</t>
  </si>
  <si>
    <t>Abhinav Naikawadi:Pinterest Inc.;Hedi Xia:Pinterest Inc.;Dafang He:Pinterest Inc.;Yichu Zhou:Pinterest Inc.;Xue Xia:Pinterest Inc.;Piyush Maheshwari:Pinterest Inc.;Bella Huang:Pinterest Inc.;Bowen Deng:Pinterest Inc.;James Li:Pinterest Inc.;Dhruvil Deven Badani:Pinterest Inc.;Yijie Dylan Wang:Pinterest Inc.</t>
  </si>
  <si>
    <t>Wenxuan Wang:School of Data Science, Lingnan University;Zirui Liu:School of Data Science, Lingnan University;Haoxuan Kou:School of Data Science, Lingnan University;Xuefeng Liu:School of Computer Science and Engineering, Beihang University;Jiaxing Shen:School of Data Science, Lingnan University</t>
  </si>
  <si>
    <t>Yuanyi You:Department of Electronic Engineering, BNRist, Tsinghua University;Yunke Zhang:Department of Electronic Engineering, BNRist, Tsinghua University;Yong Li:Department of Electronic Engineering, BNRist, Tsinghua University</t>
  </si>
  <si>
    <t>Dandan Liu:Universiti Malaya;Aznul Qalid Md Sabri:Universiti Malaya;Pan Lihu:Taiyuan University of Science and Technology;Guangrui Fan:Taiyuan University of Science and Technology</t>
  </si>
  <si>
    <t>Wenhao Ying:Fudan University;Peng Zhu:Tongji University;Mingzhe Li:Tongji University;Ziyan Wang:Tongji University;Dawei Cheng:Tongji University</t>
  </si>
  <si>
    <t>Wentao Gao:Adelaide University;Xiaojing Du:Adelaide University;Xiongren Chen:Adelaide University;Yifan Guo:Adelaide University;Andres Mauricio Cifuentes-Bernal:Adelaide University;Renqiang Luo:Jilin University;Ziqi Xu:RMIT University</t>
  </si>
  <si>
    <t>Haorui He:Department of Interactive Media, Hong Kong Baptist University,School of Computing and Data Science, The University of Hong Kong;Yupeng Li:Department of Interactive Media, Hong Kong Baptist University;Dacheng Wen:Department of Interactive Media, Hong Kong Baptist University,School of Computing and Data Science, The University of Hong Kong;Yang Chen:College of Computer Science and Artificial Intelligence, Fudan University;Reynold Cheng:School of Computing and Data Science, The University of Hong Kong;Donglong Chen:Beijing Normal-Hong Kong Baptist University;Francis C. M. Lau:School of Computing and Data Science, The University of Hong Kong,Shenzhen Institute of Advanced Technology</t>
  </si>
  <si>
    <t>Sicheng Yang:Shenzhen International Graduate School, Tsinghua University;Yukai Huang:Independent researcher;Weitong Cai:Queen Mary University of London;Shitong Sun:Queen Mary University of London;Fengyi Fang:Shenzhen International Graduate School, Tsinghua University;You He:Shenzhen International Graduate School, Tsinghua University;Yiqiao Xie:Imperial College London;Jiankang Deng:Imperial College London;Hang Zhang:Independent researcher;Jifei Song:University of Surrey;Zhensong Zhang:Independent researcher</t>
  </si>
  <si>
    <t>Pengyang Shao:National University of Singapore;Naixin Zhai:University of Science and Technology of China;Lei Chen:University of Science and Technology of China;Yonghui Yang:National University of Singapore;Fengbin Zhu:National University of Singapore;Xun Yang:University of Science and Technology of China;Meng Wang:Hefei University of Technology</t>
  </si>
  <si>
    <t>Yuwei Chuai:University of Luxembourg;Gabriele Lenzini:University of Luxembourg;Nicolas Pröllochs:JLU Giessen</t>
  </si>
  <si>
    <t>Han Wang:Singapore University of Technology and Design;Deyi Ji:University of Science and Technology of China;Lanyun Zhu:Nanyang Technological Universities;Jiebo Luo:University of Rochester;Roy Ka-Wei Lee:Singapore University of Technology and Design</t>
  </si>
  <si>
    <t>Liping Huang:Agency for Science, Technology and Research (A*STAR);Gaoxi Xiao:Nanyang Technological University;Stefan Ma:Ministry of Health, Singapore;Hechang Chen:Jilin University;Shisong Tang:Tsinghua University;Flora D. Salim:University of New South Wales</t>
  </si>
  <si>
    <t>Bingbing Fan:Department of Electronic Engineering, BNRist, Tsinghua University;Lin Chen:Hong Kong University of Science and Technology;Songwei Li:Department of Electronic Engineering, BNRist, Tsinghua University;Jian Yuan:Department of Electronic Engineering, BNRist, Tsinghua University;Fengli Xu:Department of Electronic Engineering, BNRist, Tsinghua University;Pan Hui:Hong Kong University of Science and Technology(Guangzhou)),Hong Kong University of Science and Technology;Yong Li:Department of Electronic Engineering, BNRist, Tsinghua University</t>
  </si>
  <si>
    <t>Wei Zhang:Beijing Institute of Technology;Shufeng Hao:Taiyuan University of Technology;Chongyang Shi:Beijing Institute of Technology;Usman Naseem:Macquarie University;Jinyan Liu:Beijing Institute of Technology;Ziyu Li:Beijing Institute of Technology</t>
  </si>
  <si>
    <t>Xinyu Lin:School of Computing, National University of Singapore;Pengyuan Liu:University of Science and Technology of China;Wenjie Wang:University of Science and Technology of China;Yicheng Hu:University of Science and Technology of China;Chen Xu:Gaoling School of Artificial Intelligence, Renmin University of China;Fuli Feng:University of Science and Technology of China;Qifan Wang:Meta AI, Meta AI;Tat-Seng Chua:School of Computing, National University of Singapore</t>
  </si>
  <si>
    <t>Chi Xu:Simon Fraser University;Jiaxing Li:Simon Fraser University;Mengdi Jin:Simon Fraser University;William I. Atlas:Wild Salmon Center;Mark A. Spoljaric:Haida Fisheries Program;Edith C.H. Ngai:The University of Hong Kong;Jiangchuan Liu:Simon Fraser University</t>
  </si>
  <si>
    <t>Fangjian Shen:School of Computer Science and Engineering, Sun Yat-sen University;Yifan Zeng:School of Computer Science and Engineering, Sun Yat-sen University;Dechen Lyu:Guiyang Huian Medical Equipment Co., Ltd.;Wushao Wen:School of Computer Science and Engineering, Sun Yat-sen University</t>
  </si>
  <si>
    <t>Lei Zhao:Hunan University;Xingguo Lv:Hunan University;Qika Lin:National University of Singapore;Kaize Shi:University of Southern Queensland;Xiaoming Qi:National University of Singapore;Bin Pu:The Hong Kong University of Science and Technology;Kenli Li:Hunan University</t>
  </si>
  <si>
    <t>Yongkang Zhao:College of Mathematics and Computer Science, Zhejiang A&amp;F University;Hailin Feng:College of Mathematics and Computer Science, Zhejiang A&amp;F University;Tingting Wang:Zhuhai UM Science and Technology Research Institute;Thippa Reddy Gadekallu:College of Mathematics and Computer Science, Zhejiang A&amp;F University;Kai Fang:College of Mathematics and Computer Science, Zhejiang A&amp;F University;Wei Wang:Engineering Research Centre of Applied Technology on Machine Translation and Artificial Intelligence, Macao Polytechnic University</t>
  </si>
  <si>
    <t>Rongkun Cui:School of Computer Science and Technology, Tongji University;Nana Zhang:School of Computer Science and Technology, Donghua University;Kun Zhu:School of Computer Science and Technology, Tongji University;Qi Zhang:School of Computer Science and Technology, Tongji University</t>
  </si>
  <si>
    <t>Xiaoyang Zhang:Hong Kong Polytechnic University;Yang Deng:Hong Kong Polytechnic University;Fang He:Hong Kong Polytechnic University;Dan Wang:Hong Kong University of Science and Technology</t>
  </si>
  <si>
    <t>Xiaoyang Zhang:Hong Kong Polytechnic University;Taiqi Zhou:Hong Kong Polytechnic University;Fang He:Hong Kong Polytechnic University;Yang Deng:Hong Kong Polytechnic University;Dan Wang:Hong Kong University of Science and Technology</t>
  </si>
  <si>
    <t>Qiyue Sun:Department of Computer Science, University of Exeter;Tailin Chen:Department of Computer Science, University of Exeter;Yinghui Zhang:Department of Computer Science, University of Exeter;Yuchen Zhang:Institute for Analytics and Data Science, University of Essex;Jiangbei Yue:Department of Computer Science, University of Exeter;Jianbo Jiao:School of Computer Science, University of Birmingham;Zeyu Fu:Department of Computer Science, University of Exeter</t>
  </si>
  <si>
    <t>Yuansheng Gao:Zhejiang University;Peng Gao:Zhejiang University;Han Bao:Zhejiang University;Bin Li:Shenzhen Institute of Advanced Technology, Chinese Academy of Sciences;Jixiang Luo:Institute of Artificial Intelligence (TeleAI), China Telecom;Zonghui Wang:Zhejiang University;Wenzhi Chen:Zhejiang University</t>
  </si>
  <si>
    <t>Jing Du:Computer Science and Engineering, Faculty of Engineering, The University of New South Wales;Haley Stone:The Kirby Institute, Faculty of Medicine &amp; Health, The University of New South Wales;Yang Yang:Computer Science and Engineering, Faculty of Engineering, The University of New South Wales;Ashna Desai:Computer Science and Engineering, Faculty of Engineering, The University of New South Wales;Hao Xue:The Hong Kong University of Science and Technology (Guangzhou);Andreas Züfle:Department of Computer Science, Emory University;C. Raina MacIntyre:The Kirby Institute, Faculty of Medicine &amp; Health, The University of New South Wales;Flora D. Salim:Computer Science and Engineering, Faculty of Engineering, The University of New South Wales</t>
  </si>
  <si>
    <t>Jing Ren:RMIT University;Jiapeng Du:RMIT University;Bowen Li:RMIT University;Ziqi Xu:RMIT University;Xin Zheng:RMIT University;Hong Jia:University of Auckland;Suyu Ma:CSIRO's Data61;Xiwei Xu:CSIRO's Data61;Feng Xia:RMIT University</t>
  </si>
  <si>
    <t>Ping Liu:Taiyuan University of Technology,Tsinghua University;Hui Song:Taiyuan University of Technology;Shufeng Hao:Taiyuan University of Technology;Xiaoning Hao:Taiyuan University of Technology;Zexu Zhang:Taiyuan University of Technology;Usman Naseem:Macquarie University</t>
  </si>
  <si>
    <t>Ruixiao Zhu:School of Computer Science and Technology, Tongji University;Kun Zhu:School of Computer Science and Technology, Tongji University;Nana Zhang:School of Computer Science and Technology, Donghua University;Qi Zhang:School of Computer Science and Technology, Tongji University;Changjun Jiang:School of Computer Science and Technology, Tongji University</t>
  </si>
  <si>
    <t>Pengyue Yang:The University of Sydney;Jiawen Wen:The University of Sydney;Haolin Jin:The University of Sydney;Linghan Huang:The University of Sydney;Huaming Chen:The University of Sydney;Ling Chen:University of Technology Sydney</t>
  </si>
  <si>
    <t>Zhixiang Lu:Xi'an Jiaotong-Liverpool University;Chong Zhang:Xi'an Jiaotong-Liverpool University;Yulong Li:Xi'an Jiaotong-Liverpool University;Angelos Stefanidis:Xi'an Jiaotong-Liverpool University;Anh Nguyen:University of Liverpool;Imran Razzak:Mohamed bin Zayed University of Artificial Intelligence;Jionglong Su:Xi'an Jiaotong-Liverpool University;Zhengyong Jiang:Xi'an Jiaotong-Liverpool University</t>
  </si>
  <si>
    <t>Michelle Bobek:JLU Giessen;Nicolas Pröllochs:JLU Giessen</t>
  </si>
  <si>
    <t>Linxiao Li:The University of Sydney;Zhixiang Lu:University of Liverpool</t>
  </si>
  <si>
    <t>He Hu:College of Computer Science and Software Engineering, Shenzhen University,Guangdong Laboratory of Artificial Intelligence and Digital Economy (SZ);Chiyuan Ma:The Chinese University of Hong Kong, Shenzhen;Qianning Wang:Auckland University of Technology;Liu Lin:University of Science and Technology of China;Yucheng Zhou:SKL-IOTSC, CIS, University of Macau;Laizhong Cui:College of Computer Science and Software Engineering, Shenzhen University;Fei Ma:Guangdong Laboratory of Artificial Intelligence and Digital Economy (SZ);Qi Tian:Guangdong Laboratory of Artificial Intelligence and Digital Economy (SZ)</t>
  </si>
  <si>
    <t>Yubo Wang:The Hong Kong University of Science and Technology;Haoyang Li:The Hong Kong Polytechnic University;Fei Teng:The Hong Kong University of Science and Technology;Lei Chen:The Hong Kong University of Science and Technology (Guangzhou),Guangzhou HKUST Fok Ying Tung Research Institute</t>
  </si>
  <si>
    <t>Yuankun Zu:Southeast University;Xiangyu Cai:Platform Marketing, JD.com;Chuchu Yu:JD.com;Hao Peng:JD.com;Jia Duan:Platform Marketing Center, JD.com;Long Chen:JD.com;Kunyao Wang:JD.com;Zehua Zhang:JD.com;Changping Peng:JD.com;Zhangang Lin:JD.com;Ching Law:JD.com</t>
  </si>
  <si>
    <t>Muhammad Muneeb Pervez:Lahore University of Management Sciences;Muhammad Qasim Atiq Ullah:Lahore University of Management Sciences;Ibrahim Ahmed Khan:Lahore University of Management Sciences;Roshnik Rahat:Lahore University of Management Sciences;Muhammad Fareed Zaffar:Lahore University of Management Sciences;Rashid Tahir:University of Prince Mugrin;Talal Rahwan:New York University Abu Dhabi;Yasir Zaki:New York University Abu Dhabi</t>
  </si>
  <si>
    <t>Yiluo Wei:The Hong Kong University of Science and Technology (Guangzhou);Gareth Tyson:The Hong Kong University of Science and Technology (Guangzhou)</t>
  </si>
  <si>
    <t>Chaoqun Li:Shandong University;Si Wu:Shandong University;Yijun Lu:Waseda University;Yuyin Ma:Xinjiang University;Jinyao Liu:Shandong University;Dingyi Jia:Shandong University;Mingda Han:Shandong University;Feng Li:Shandong University;Pengfei Hu:Shandong University,Quancheng Laboratory</t>
  </si>
  <si>
    <t>Wei Wang:Macao Polytechnic University;Jian Chen:The University of Hong Kong;Junxin Chen:Dalian University of Technology;Zeling Xu:Hong Kong University of Science and Technology;Yuntao Zou:Huazhong University of Science and Technology;Henry H. Y. Tong:Macao Polytechnic University</t>
  </si>
  <si>
    <t>Xiongxiao Xu:Illinois Institute of Technology;Solomon Abera Bekele:Argonne National Laboratory;Brice Videau:Argonne National Laboratory;Kai Shu:Emory University</t>
  </si>
  <si>
    <t>Tangwei Ye:Tongji University;Liang Hu:Tongji University;Zhongyuan Lai:Shanghai Ballsnow Intelligent Technology Co. Ltd;Qi Zhang:Tongji University;Yiming Wu:Tongji University;Jiaxing Miao:Tongji University;Yijun Yang:Tongji University;Kun Yi:State Information Center</t>
  </si>
  <si>
    <t>Jiahao Yuan:University of Macau,East China Normal University;Zhiqing Cui:University of Macau;Hanqing Wang:University of Macau;Yuansheng Gao:University of Macau;Yucheng Zhou:University of Macau;Usman Naseem:Macquarie University</t>
  </si>
  <si>
    <t>Hao Wu:School of Computer Science and Technology, Huazhong University of Science and Technology,Xiaohua (Shanghai) Internet Technology Co., Ltd.;Yuhua Li:School of Computer Science and Technology, Huazhong University of Science and Technology;Yuntao Zou:School of Computer Science and Technology, Huazhong University of Science and Technology;Qianqi Zhang:Faculty of Innovation Engineering, Macau University of Science and Technology;Ruixuan Li:School of Computer Science and Technology, Huazhong University of Science and Technology;Zeling Xu:School of Engineering, Hong Kong University of Science and Technology;Wei Wang:Engineering Research Centre of Applied Technology on Machine Translation and Artificial Intelligence, Macao Polytechnic University</t>
  </si>
  <si>
    <t>Weizheng Wang:Hong Kong Polytechnic University;Qipeng Xie:The Hong Kong University of Science and Technology;Shiyu Wang:CTO, Ant Group;Qingqing Ye:The Hong Kong Polytechnic University;Kaishun Wu:The Hong Kong University of Science and Technology(Guangzhou);Haibo Hu:Department of Electrical and Electronic Engineering, The Hong Kong Polytechnic University,PolyU Research Centre for Privacy and Security Technologies in Future Smart Systems, The Hong Kong Polytechnic University</t>
  </si>
  <si>
    <t>Chunze Yang:Sch Comp Sci &amp; Technol, Xi’an Jiaotong University;Wenjie Zhao:Sch Comp Sci &amp; Technol, Xi’an Jiaotong University;Yue Tang:Sch Comp Sci &amp; Technol, Xi’an Jiaotong University;Junbo Lu:Sch Comp Sci &amp; Technol, Xi’an Jiaotong University;Jiusong Ge:Sch Comp Sci &amp; Technol, Xi’an Jiaotong University;Qidong Liu:Sch Comp Sci &amp; Technol, Xi’an Jiaotong University;Zeyu Gao:Department of Oncology, University of Cambridge;Chen Li:Sch Comp Sci &amp; Technol, Xi’an Jiaotong University</t>
  </si>
  <si>
    <t>Jing Ren:RMIT University;Bowen Li:RMIT University;Ziqi Xu:RMIT University;Renqiang Luo:Jilin University;Shuo Yu:Dalian University of Technology;Xin Ye:Dalian University of Technology;Haytham Fayek:RMIT University;Xiaodong Li:RMIT University;Feng Xia:RMIT University</t>
  </si>
  <si>
    <t>Xuanhan Fan:Beijing Institute of Technology,Shenzhen MSU-BIT University;Rui Ding:Shenzhen University;Haojie Liu:Shenzhen University;Jibin Zhou:Dalian Institute of Chemical Physics, Chinese Academy of Sciences;Han Liu:Dalian University of Technology;Yuanman Li:Shenzhen University;Wei Wang:Shenzhen MSU-BIT University;Mao Ye:Dalian Institute of Chemical Physics, Chinese Academy of Sciences</t>
  </si>
  <si>
    <t>Fei Wang:Hefei University of Technology,Institute of Artificial Intelligence, Hefei Comprehensive National Science Center;Jiangnan Yang:Anhui University,Institute of Artificial Intelligence, Hefei Comprehensive National Science Center;Junjie Chen:Hefei University of Technology,Institute of Artificial Intelligence, Hefei Comprehensive National Science Center;Yuxin Liu:Anhui University,Institute of Artificial Intelligence, Hefei Comprehensive National Science Center;Kun Li:United Arab Emirates University;Yanyan Wei:Hefei University of Technology,Intelligent Interconnected Systems Laboratory of Anhui Province (HFUT);Dan Guo:Hefei University of Technology,Institute of Artificial Intelligence, Hefei Comprehensive National Science Center;Meng Wang:Hefei University of Technology,Institute of Artificial Intelligence, Hefei Comprehensive National Science Center</t>
  </si>
  <si>
    <t>Chenglong Fu:School of Artificial Intelligence and Computer Science, Jiangnan University,The PRC Ministry of Education Engineering Research Center of Intelligent Technology for Healthcare;Jian Yao:School of Artificial Intelligence and Computer Science, Jiangnan University,The PRC Ministry of Education Engineering Research Center of Intelligent Technology for Healthcare;Pengjiang Qian:School of Artificial Intelligence and Computer Science, Jiangnan University,The PRC Ministry of Education Engineering Research Center of Intelligent Technology for Healthcare;Weiwei Fu:School of Biomedical Engineering (Suzhou), Division of Life Sciences and Medicine, University of Science and Technology of China,Suzhou Institute of Biomedical Engineering and Technology, Chinese Academy of Science;Chuang Wang:School of Artificial Intelligence and Computer Science, Jiangnan University,The PRC Ministry of Education Engineering Research Center of Intelligent Technology for Healthcare;Guisong Yang:Department of Computer Science and Engineering, University of Shanghai for Science and Technology</t>
  </si>
  <si>
    <t>Wenhui Wu:School of Computer Science and Engineering, Northeastern University;Tiancheng Zhang:School of Computer Science and Engineering, Northeastern University;Hengyu Liu:Department of Computer Science, Aalborg University;Lun Du:Ant Research, Ant Group;Zikai Li:School of Computer Science and Engineering, Northeastern University;Mingxing Shao:School of Computer Science and Engineering, Northeastern University;Minghe Yu:Software College, Northeastern University;Yifang Yin:Institute for Infocomm Research, A*STAR;Ge Yu:School of Computer Science and Engineering, Northeastern University</t>
  </si>
  <si>
    <t>Aoqi Wu:Tongji University;Junming Liu:Tongji University;Yuwei Zhang:Tongji University;Weiquan Huang:Tongji University;Liang Hu:Tongji University;Yifan Yang:Microsoft Research Asia;Qi Zhang:Tongji University;Jiaxing Miao:Tongji University;Yuhan Tang:Tongji University;Zhongyuan Lai:Shanghai Ballsnow Intelligent Technology Co. Ltd</t>
  </si>
  <si>
    <t>Peijie Liu:Department of Electronic Engineering, BNRist, Tsinghua University;Fengli Xu:Department of Electronic Engineering, BNRist, Tsinghua University;Yong Li:Department of Electronic Engineering, BNRist, Tsinghua University</t>
  </si>
  <si>
    <t>Yinglun Zhang:Kansas State University;Sonia Moavenzadeh:University of Maine;Jarrar Amjad:Kansas State University;Onur Apul:Pennsylvania State University;Adrita Barua:Kansas State University;Fatih Evrendilek:University of Maine;Torsten Hahmann:University of  Maine;Ganga Hettiarachchi:Kansas State University;Pascal Hitzler:Kansas State University;David Kedrowski:University of Maine;Vasu Kilaru:Environmental Protection Agency (EPA);Prayas Lashkari:Roux Institute at Northeastern University;Katrina Schweikert:University of Maine;Antony Williams:Environmental Protection Agency (EPA);Hande McGinty:Kansas State University</t>
  </si>
  <si>
    <t>Swapnil Mane:Department of Computer Science &amp; Engineering, Indian Institute of Technology Jodhpur;Rajesh Sharma:Computer Science &amp; Artificial Intelligence, Plaksha University;Suman Kundu:Wadhwani School of Data Science &amp; Artificial Intelligence, Indian Institute of Technology Madras</t>
  </si>
  <si>
    <t>Yaokun Liu:University of Illinois Urbana-Champaign;Yifan Liu:University of Illinois at Urbana-Champaign;Phoebe Mbuvi:University of Illinois Urbana-Champaign;Zelin Li:University of Illinois Urbana-Champaign;Ruichen Yao:University of Illinois Urbana-Champaign;Gawon Lim:University of Illinois Urbana-Champaign;Dong Wang:University of Illinois Urbana-Champaign</t>
  </si>
  <si>
    <t>Xixian Yong:Gaoling School of Artificial Intelligence, Renmin University of China;Peilin Sun:Gaoling School of Artificial Intelligence, Renmin University of China;Zihe Wang:Gaoling School of Artificial Intelligence, Renmin University of China;Xiao Zhou:Gaoling School of Artificial Intelligence, Renmin University of China</t>
  </si>
  <si>
    <t>Xingrao Ma:Lingnan University;Zongxi Li:Lingnan University;Chengzu Dong:Lingnan University;Kai Fang:Zhejiang Agriculture and Forestry University;Shao Di:Pengcheng Lab</t>
  </si>
  <si>
    <t>Weiwei Fang:Wuhan University of Technology;Lin Li:Wuhan University of Technology;Kaize Shi:University of Southern Queensland;Yu Yang:The Education University of Hong Kong;Jianwei Zhang:Iwate University</t>
  </si>
  <si>
    <t>Rui Guo:School of Marxism, Beijing Normal University;Fengyi Wang:School of Artificial Intelligence and Data Science, University of International Business and Economics;Ling-Yu Lin:Peking University;Guolong Wang:School of Artificial Intelligence and Data Science, University of International Business and Economics</t>
  </si>
  <si>
    <t>Guisong Yang:Department of Computer Science and Engineering, University of Shanghai for Science and Technology;Yuchen Yang:Department of Computer Science and Engineering, University of Shanghai for Science and Technology;Yunbo Shen:Department of Computer Science and Engineering, University of Shanghai for Science and Technology;Xingyu He:Department of Computer Science and Engineering, University of Shanghai for Science and Technology;Jianheng Tang:School of Computer Science, Peking University;Yunhuai Liu:School of Computer Science, Peking University;Chengji Xu:School of Computer Science, The University of New South Wales</t>
  </si>
  <si>
    <t>Renqiang Luo:Jilin University;Yongshuai Yang:Zhejiang Gongshang University;Huafei Huang:Adelaide University;Qing Qing:Jilin University;Mingliang Hou:Jinan University,TAL Education Group;Ziqi Xu:RMIT University;Yi Yu:Nanyang Technological University;Jingjing Zhou:Zhejiang Gongshang University;Feng Xia:RMIT University</t>
  </si>
  <si>
    <t>Thi Huyen Nguyen:L3S Research Center, Leibniz University Hannover;Koustav Rudra:Indian Institute of Technology Kharagpur;Wolfgang Nejdl:L3S Research Center, Leibniz University Hannover</t>
  </si>
  <si>
    <t>Lili Tian:Shanghai Key Laboratory of Trustworthy Computing, East China Normal University,Shanghai Institute of Artificial Intelligence for Education, East China Normal University;Dehui Du:Shanghai Key Laboratory of Trustworthy Computing, East China Normal University;Yikang Chen:Shanghai Key Laboratory of Trustworthy Computing, East China Normal University</t>
  </si>
  <si>
    <t>Md. Rafiul Biswas:Hamad Bin Khalifa University;Mabrouka Bessghaier:Northwestern University in Qatar;Shimaa Ibrahim:Northwestern University in Qatar;George Mikros:Hamad Bin Khalifa University;Wajdi Zaghouani:Northwestern University in Qatar</t>
  </si>
  <si>
    <t>Qiuyu Li:Hefei University of Technology, Key Laboratory of Knowledge Engineering with Big Data;Kun Zhang:Hefei University of Technology, Key Laboratory of Knowledge Engineering with Big Data;Le Wu:Hefei University of Technology, Innovation School of Artificial Intelligence;Hao Liu:Hefei University of Technology, Key Laboratory of Knowledge Engineering with Big Data;Hefei Xu:Hefei University of Technology, Key Laboratory of Knowledge Engineering with Big Data;Xin Li:University of Science and Technology of China, School of Information Science and Technology;Si Wei:iFLYTEK Company Limited, Artificial Intelligence Research Institute</t>
  </si>
  <si>
    <t>Xuankai Yang:School of Computing, Macquarie University;Yan Wang:School of Computing, Macquarie University;Jiajie Zhu:School of Computing, Macquarie University;Pengfei Ding:School of Computing, Macquarie University;Hongyang Liu:School of Computing, Macquarie University;Xiuzhen Zhang:School of Computing Technologies, RMIT University;Huan Liu:School of Computing and Augmented Intelligence, Arizona State University</t>
  </si>
  <si>
    <t>Xinyi Wang:University of Malaya;Jiayu Zhang:Changshu Institute of Technology;Zhiyu Zhu:University of Technology Sydney;Zhibo Jin:University of Technology Sydney;Dong Yuan:The University of Sydney;Huaming Chen:The University of Sydney</t>
  </si>
  <si>
    <t>Aditya Kishore:Indian Institute of Science Education and Research, Bhopal, India;Gaurav Kumar:Indian Institute of Science Education and Research, Bhopal, India;Jasabanta Patro:Indian Institute of Science Education and Research, Bhopal, India</t>
  </si>
  <si>
    <t>Prottay Kumar Adhikary:Depertment of Electrical Engineering, Indian Institute of Technology Delhi;Reena Rawat:Indian Institute of Technology Delhi;Tanmoy Chakraborty:Dept of Electrical Engineering, Indian Institute of Technology Delhi</t>
  </si>
  <si>
    <t>Han Liu:Dalian University of Technology;Zhi Xu:Dalian University of Technology;Xiaotong Zhang:Dalian University of Technology;Feng Zhang:Peking University;Xiaoming Xu:Dalian University of Technology;Wei Wang:Macao Polytechnic University;Fenglong Ma:The Pennsylvania State University;Hong Yu:Dalian University of Technology</t>
  </si>
  <si>
    <t>Chenyang Shao:Department of Electronic Engineering, BNRist, Tsinghua University,Zhongguancun Academy;Xinyang Liu:Department of Electronic Engineering, BNRist, Tsinghua University;Yutang Lin:Department of Electronic Engineering, Tsinghua University;Fengli Xu:Department of Electronic Engineering, BNRist, Tsinghua University,Zhongguancun Academy;Yong Li:Department of Electronic Engineering, BNRist, Tsinghua University,Zhongguancun Academy</t>
  </si>
  <si>
    <t>Tingting Li:Shanghai Qi Zhi Institute,Zhejiang University;Ziming Zhao:Zhejiang University;Zhaoxuan Li:State Key Laboratory of Cyberspace Security Defense, IIE, CAS;Xiaofei Yue:Beijing Institute of Technology;Jiongchi Yu:Singapore Management University</t>
  </si>
  <si>
    <t>Maolin Wang:City University of Hong Kong;Beining Bao:City University of HongKong;Hongyu Chen:City University of Hongkong;Zichun Liu:City University of Hong Kong;Lang Fu:Alibaba International Digital Commerce Group;Jun Chu:Alibaba International Digital Commerce Group;Langzhang Liang:Fudan University;Zenglin Xu:Fudan University</t>
  </si>
  <si>
    <t>Eman Nabeel:Lahore University of Management Sciences;Haleema Jamil:Lahore University of Management Sciences;Shizza Asher:Lahore University of Management Sciences;Zaeem Mohtashim Khan:Lahore University of Management Sciences;Nida Tanveer:Lahore University of Management Sciences;Ihsan Ayyub Qazi:Lahore University of Management Sciences;Zafar Ayyub Qazi:Lahore University of Management Sciences &amp; KAUST</t>
  </si>
  <si>
    <t>Tao Tang:Zhejiang University of Technology,Zhejiang Key Laboratory of Visual Information Intelligent Processing;Mujie Liu:Federation University Australia;Botao Liu:Zhejiang University of Technology,Zhejiang Key Laboratory of Visual Information Intelligent Processing;Wei Du:Xinjiang Rural Commercial Bank Co., Ltd.;Liping Chen:RMIT University;Xinrui Cheng:RMIT University;Jiaxin Du:Zhejiang University of Technology,Zhejiang Key Laboratory of Visual Information Intelligent Processing;Xiangjie Kong:College of Computer Science and Technology, Zhejiang University of Technology,Zhejiang Key Laboratory of Visual Information Intelligent Processing</t>
  </si>
  <si>
    <t>Baiyu Chen:The University of New South Wales;Benjamin Tag:The University of New South Wales;Hao Xue:Hong Kong University of Science and Technology (Guangzhou);Daniel Angus:Queensland University of Technology;Flora Salim:The University of New South Wales</t>
  </si>
  <si>
    <t>Liping Chen:RMIT University;Mujie Liu:Federation University Australia;Haytham Fayek:RMIT University</t>
  </si>
  <si>
    <t>Qian Hong:Gaoling School of Artificial Intelligence, Renmin University of China;Siyuan Chang:School of Statistics, Renmin University of China;Xiao Zhou:Gaoling School of Artificial Intelligence, Renmin University of China</t>
  </si>
  <si>
    <t>Valerio La Gatta:Department of Computer Science and Buffett Institute for Global Affairs, Northwestern University;Marco Postiglione:Department of Computer Science and Buffett Institute for Global Affairs, Northwestern University;Jeremy Gilbert:Medill School of Journalism, Media, Integrated Marketing Communications, Northwestern University;Daniel W. Linna Jr.:Northwestern Pritzker School of Law and Department of Computer Science, Northwestern University;Morgan Manella Greenfield:The Wall Street Journal;Aaron Shaw:Department of Communication Studies, Northwestern University;V.S. Subrahmanian:Department of Computer Science and Buffett Institute for Global Affairs, Northwestern University</t>
  </si>
  <si>
    <t>Georgios Kaoukis:Archimedes, Athena Research Center;Ioannis-Aris Koufopoulos:Archimedes, Athena Research Center;Eleni Psaroudaki:Archimedes, Athena Research Center;Danae Pla Karidi:Archimedes, Athena Research Center;Evaggelia Pitoura:University of Ioannina,Archimedes, Athena Research Center;George Papastefanatos:IMSI, Athena Research Center;Panayiotis Tsaparas:University of Ioannina,Archimedes, Athena Research Center</t>
  </si>
  <si>
    <t>Seoyoon Jeong:Sungkyunkwan University;JeeEun Kim:Sungkyunkwan University;S. Shyam Sundar:The Pennsylvania State University,Sungkyunkwan University;Jinyoung Han:Sungkyunkwan University</t>
  </si>
  <si>
    <t>Shuxin Zhong:HKUST(GZ),HKUST(GZ);Hongyu Lin:JD Logistics;Yan Fang:HKUST(GZ);Jun Chen:HKUST(GZ);Kaishun Wu:HKUST(GZ)</t>
  </si>
  <si>
    <t>Jin Li:University of Technology Sydney;Huilin Gu:University of Technology Sydney;Shoujin Wang:University of Technology Sydney;Qi Zhang:Tongji University;Shui Yu:University of Technology Sydney;Chen Wang:CSIRO Data61;Xiwei Xu:CSIRO Data61;Fang Chen:University of Technology Sydney</t>
  </si>
  <si>
    <t>Lingyao Li:University of South Florida;Xiaoshan Huang:McGill University;Renkai Ma:University of Cincinnati;Ben Zefeng Zhang:Stony Brook University;Haolun Wu:McGill University;Fan Yang:School of Journalism and Mass Communications, University of South Carolina;Chen Chen:School of Computing and Information Sciences, Florida International University</t>
  </si>
  <si>
    <t>Hefei Xu:Key Laboratory of Knowledge Engineering with Big Data, Hefei University of Technology;Le Wu:Key Laboratory of Knowledge Engineering with Big Data, Hefei University of Technology,Innovation School of Artificial Intelligence, Hefei University of Technology;Yu Wang:Key Laboratory of Knowledge Engineering with Big Data, Hefei University of Technology;Min Hou:Key Laboratory of Knowledge Engineering with Big Data, Hefei University of Technology;Han Wu:Key Laboratory of Knowledge Engineering with Big Data, Hefei University of Technology;Zhen Zhang:Key Laboratory of Knowledge Engineering with Big Data, Hefei University of Technology;Meng Wang:Key Laboratory of Knowledge Engineering with Big Data, Hefei University of Technology</t>
  </si>
  <si>
    <t>Sai Keerthana Karnam:Indian Institute of Technology Kharagpur;Abhisek Dash:Max Planck Institute for Software Systems;Krishna Gummadi:Max Planck Institute for Software Systems;Animesh Mukherjee:Indian Institute of Technology Kharagpur;Ingmar Weber:Saarland University;Savvas Zannettou:Delft University of Technology</t>
  </si>
  <si>
    <t>Chen Cheng:Key Laboratory of Knowledge Engineering with Big Data, Hefei University of Technology;Hefei Xu:Key Laboratory of Knowledge Engineering with Big Data, Hefei University of Technology;Le Wu:Key Laboratory of Knowledge Engineering with Big Data, Hefei University of Technology,Innovation School of Artificial Intelligence, Hefei University of Technology</t>
  </si>
  <si>
    <t>Moming Duan:East China Normal University;Rui Zhao:University of Oxford;Linshan Jiang:National University of Singapore;Nigel Shadbolt:University of Oxford;Bingsheng He:National University of Singapore</t>
  </si>
  <si>
    <t>Xiaoli Zeng:Guangdong Institute of Smart Education, Jinan University;Ying Zheng:Guangdong Institute of Smart Education, Jinan University;Shuyan Huang:TAL Education Group;Zitao Liu:Guangdong Institute of Smart Education, Jinan University;Mi Tian:TAL Education Group;Mingliang Hou:TAL Education Group;Jiaqi Zheng:Guangdong Institute of Smart Education, Jinan University;Wenzhou Dou:TAL Education Group</t>
  </si>
  <si>
    <t>Xin Jing:State Key Laboratory of IOTSC, University of Macau;Zeyu Shi:State Key Laboratory of IOTSC, University of Macau;Zhangtao Cheng:University of Electronic Science and Technology of China;Yichen Jing:State Key Laboratory of IOTSC, University of Macau;Yuhuan Lu:State Key Laboratory of IOTSC, University of Macau;Bangchao Deng:State Key Laboratory of IOTSC, University of Macau;Dingqi Yang:State Key Laboratory of IOTSC, University of Macau</t>
  </si>
  <si>
    <t>Parviz Ahmadov:Delft University of Technology;Masoud Mansoury:Intelligent System, Delft University of Technology</t>
  </si>
  <si>
    <t>Zhipeng Liu:Zhejiang University;Ziming Zhao:School of Software Technology, Zhejiang University;Fan Zhang:Zhejiang University</t>
  </si>
  <si>
    <t>Mo Wang:Macquarie University;Kaixuan Ren:Macquarie University;Pratik Jalan:Macquarie University;Ahmed Ashraf:Nile University;Tuong Vy Vu:Macquarie University;Rahul Seetharaman:University of Massachusetts Amherst;Shah Nawaz:Johannes Kepler University;Usman Naseem:Macquarie University</t>
  </si>
  <si>
    <t>Bo Yang:Zhejiang University;Lanfei Feng:Zhejiang University;Yunkui Chen:Zhejiang University;Yu Zhang:Zhejiang University;Jianyu Zhang:Zhejiang University;Xiao Xu:Zhejiang University;Nueraili Aierken:Zhejiang University;Shijian Li:Zhejiang University</t>
  </si>
  <si>
    <t>Yicheng Di:School of Artificial Intelligence and Computer Science, Jiangnan University</t>
  </si>
  <si>
    <t>Jiahui He:The Hong Kong University of Science and Technology (Guangzhou);Yiluo Wei:The Hong Kong University of Science and Technology (Guangzhou);Gareth Tyson:The Hong Kong University of Science and Technology (Guangzhou)</t>
  </si>
  <si>
    <t>code</t>
  </si>
  <si>
    <t>authors/comments</t>
  </si>
  <si>
    <t>DL link</t>
  </si>
  <si>
    <t>- Konstantin Todorov (registered)</t>
  </si>
  <si>
    <t>konstantin.todorov@lirmm.fr</t>
  </si>
  <si>
    <t>full/10.1145/3746170</t>
  </si>
  <si>
    <t>Mining3 - canceled</t>
  </si>
  <si>
    <t>- Mario Silva (registered)</t>
  </si>
  <si>
    <t>PORTRAIT: A Hybrid Approach to Create Extractive Ground-truth Summary for Disaster Event - Piyush Kumar Garg (did not register will ask Ryen)</t>
  </si>
  <si>
    <t>- Piyush Kumar Garg (did not register will ask Ryen)</t>
  </si>
  <si>
    <t>- Valentino Dalla Valle (Giovanni Appruzzese who is a coauthor registered)</t>
  </si>
  <si>
    <t>giovanni.apruzzese@uni.li</t>
  </si>
  <si>
    <t>10.1145/3770852</t>
  </si>
  <si>
    <t>DOI</t>
  </si>
  <si>
    <t>Contact Email</t>
  </si>
  <si>
    <t>Rights Form</t>
  </si>
  <si>
    <t>Government</t>
  </si>
  <si>
    <t>Livestream</t>
  </si>
  <si>
    <t>Video Distribution</t>
  </si>
  <si>
    <t>10.1145/3774904.3787910</t>
  </si>
  <si>
    <t>Mounia Lalmas:Spotify</t>
  </si>
  <si>
    <t>mounia@acm.org</t>
  </si>
  <si>
    <t>permissionRelease(01/18/2026)</t>
  </si>
  <si>
    <t>yes</t>
  </si>
  <si>
    <t>10.1145/3774904.3787911</t>
  </si>
  <si>
    <t>Katrina Ligett:Hebrew University of Jerusalem</t>
  </si>
  <si>
    <t>katrina.ligett@mail.huji.ac.il</t>
  </si>
  <si>
    <t>permissionRelease(01/20/2026)</t>
  </si>
  <si>
    <t>10.1145/3774904.3792070</t>
  </si>
  <si>
    <t>Qihang Yu:Zhejiang University;Kairui Fu:Zhejiang University;Zheqi Lv:Zhejiang University;Shengyu Zhang:Zhejiang University;Xinhui Wu:Ant Group;Chen Lin:Ant Group;Feng Wei:Ant Group;Bo Zheng:Ant Group;Fei Wu:Zhejiang University,Shanghai AI Laboratory</t>
  </si>
  <si>
    <t>yuqihang@zju.edu.cn</t>
  </si>
  <si>
    <t>permissionRelease(01/21/2026)</t>
  </si>
  <si>
    <t>10.1145/3774904.3792071</t>
  </si>
  <si>
    <t>Yilin Zhao:Central South University;Jiawei Huang:Central South University;Xianshi Su:Central South University;Weihe Li:The University of Edinburgh;Xin Li:Central South University;Yan Liu:Central South University;Jiacheng Xie:Central South University;Qichen Su:Central South University;Jin Ye:Guangxi University;Wanchun Jiang:Central South University;Jianxin Wang:Central South University</t>
  </si>
  <si>
    <t>jiaweihuang@csu.edu.cn</t>
  </si>
  <si>
    <t>permissionRelease(01/25/2026)</t>
  </si>
  <si>
    <t>10.1145/3774904.3792072</t>
  </si>
  <si>
    <t>Linan Yue:School of Computer Science and Engineering, Southeast University &amp; Key Laboratory of Computer Network and Information Integration (Southeast University), Ministry of Education;Weibo Gao:University of Science and Technology of China &amp; State Key Laboratory of Cognitive Intelligence</t>
  </si>
  <si>
    <t>lnyue@seu.edu.cn</t>
  </si>
  <si>
    <t>permissionRelease(01/24/2026)</t>
  </si>
  <si>
    <t>10.1145/3774904.3792073</t>
  </si>
  <si>
    <t>Chenxin Mao:Shanghai Jiao Tong University;Haibo Liu:Shanghai Jiao Tong University;Zhenzhe Zheng:Shanghai Jiao Tong University;Fan Wu:Shanghai Jiao Tong University;Guihai Chen:Shanghai Jiao Tong University</t>
  </si>
  <si>
    <t>zhengzhenzhe@sjtu.edu.cn</t>
  </si>
  <si>
    <t>permissionRelease(01/23/2026)</t>
  </si>
  <si>
    <t>10.1145/3774904.3792074</t>
  </si>
  <si>
    <t>Yue Jiang:College of Computing and Data Science, Nanyang Technological Unversity;Chenxi Liu:Hong Kong Institute of Science &amp; Innovation, Chinese Academy of Sciences;Yile Chen:College of Computing and Data Science, Nanyang Technological Unversity;Qin Chao:College of Computing and Data Science, Nanyang Technological Unversity;Shuai Liu:College of Computing and Data Science, Nanyang Technological Unversity;Cheng Long:College of Computing and Data Science, Nanyang Technological Unversity;Gao Cong:College of Computing and Data Science, Nanyang Technological Unversity</t>
  </si>
  <si>
    <t>YILE001@e.ntu.edu.sg</t>
  </si>
  <si>
    <t>10.1145/3774904.3792075</t>
  </si>
  <si>
    <t>Leqi Zheng:Tsinghua University;Jiajun Zhang:University of Science and Technology of China;Canzhi Chen:Beijing Institute of Technology;Chaokun Wang:Tsinghua University;Hongwei Li:Tsinghua University;Yuying Li:Tsinghua University;Yaoxin Mao:Beijing Institute of Technology;Shannan Yan:Tsinghua University;Zixin Song:Tsinghua University;Zhiyuan Feng:Tsinghua University;Zhaolu Kang:Peking University;Zirong Chen:Tsinghua University;Hang Zhang:Tsinghua University;Qiang Liu:Institute of Automation, Chinese Academy of Sciences;Liang Wang:Institute of Automation, Chinese Academy of Sciences;Ziyang Liu:Tsinghua University</t>
  </si>
  <si>
    <t>chaokun@tsinghua.edu.cn</t>
  </si>
  <si>
    <t>10.1145/3774904.3792076</t>
  </si>
  <si>
    <t>Lu Keer:Peking University;Zheng Liang:Baichuan Inc.;Da Pan:Baichuan Inc.;Shusen Zhang:Baichuan Inc.;Guosheng Dong:Baichuan Inc.;Huang Leng:Peking University;Bin Cui:Peking University;Zhonghai Wu:Peking University;Wentao Zhang:Peking University</t>
  </si>
  <si>
    <t>keer.lu@stu.pku.edu.cn</t>
  </si>
  <si>
    <t>10.1145/3774904.3792077</t>
  </si>
  <si>
    <t>Zhongjian Zhang:Beijing University of Posts and Telecommunications;Xiao Wang:Beihang University;Mengmei Zhang:China Telecom Bestpay;Jiarui Tan:Beijing University of Posts and Telecommunications;Chuan Shi:Beijing University of Posts and Telecommunications</t>
  </si>
  <si>
    <t>zhangzj@bupt.edu.cn</t>
  </si>
  <si>
    <t>10.1145/3774904.3792078</t>
  </si>
  <si>
    <t>Yiteng Tu:DCST, Tsinghua University,Quan Cheng Laboratory;Weihang Su:DCST, Tsinghua University;Yujia Zhou:DCST, Tsinghua University;Yiqun Liu:DCST, Tsinghua University;Fen Lin:Tencent;Qin Liu:Tencent;Qingyao Ai:Quan Cheng Laboratory,DCST, Tsinghua University</t>
  </si>
  <si>
    <t>tyt24@mails.tsinghua.edu.cn</t>
  </si>
  <si>
    <t>10.1145/3774904.3792079</t>
  </si>
  <si>
    <t>Jiayi Wang:Dalian University of Technology;Yi Li:Dalian University of Technology;Xin Zheng:RMIT University;Junyang Chen:Shenzhen University;Yanqing Guo:Dalian University of Technology;Alan Wee-Chung Liew:Griffith University;Shirui Pan:Griffith University</t>
  </si>
  <si>
    <t>jiayiwang@mail.dlut.edu.cn</t>
  </si>
  <si>
    <t>10.1145/3774904.3792080</t>
  </si>
  <si>
    <t>Akhil Jalan:Department of Computer Science, University of Texas at Austin;Marios Papachristou:W. P. Carey School of Business, Arizona State University,Department of Computer Science, Cornell University</t>
  </si>
  <si>
    <t>mpapachr@asu.edu</t>
  </si>
  <si>
    <t>permissionRelease(01/19/2026)</t>
  </si>
  <si>
    <t>10.1145/3774904.3792081</t>
  </si>
  <si>
    <t>Yijun Sheng:University of Macau;Ximing Chen:University of Macau;Pui Ieng Lei:University of Macau;Yanyan Liu:University of Macau;Zhiguo Gong:University of Macau</t>
  </si>
  <si>
    <t>yc17419@um.edu.mo</t>
  </si>
  <si>
    <t>10.1145/3774904.3792082</t>
  </si>
  <si>
    <t>Zihan Feng:Tianjin University;Yajun Yang:Tianjin University;Xin Huang:Hong Kong Baptist University;Xin Wang:Tianjin University;Hong Gao:Zhejiang Normal University;Qinghua Hu:Tianjin University</t>
  </si>
  <si>
    <t>yjyang@tju.edu.cn</t>
  </si>
  <si>
    <t>permissionRelease(01/22/2026)</t>
  </si>
  <si>
    <t>10.1145/3774904.3792083</t>
  </si>
  <si>
    <t>Wenbo Guo:Nanyang Technological University;Shiwen Song:Singapore Management University;Jiaxun Guo:Sichuan University;Zhengzi Xu:Imperial Global Singapore;Chengwei Liu:Nanyang Technological University;Haoran Ou:Nanyang Technological University;Mengmeng Ge:Nanyang Technological University;Yang Liu:Nanyang Technological University</t>
  </si>
  <si>
    <t>z.xu@imperial.ac.uk</t>
  </si>
  <si>
    <t>10.1145/3774904.3792084</t>
  </si>
  <si>
    <t>Kaibin Wang:Swinburne University of Technology;Qiang He:Huazhong University of Science and Technology,Swinburne University of Technology;Zeqian Dong:Swinburne University of Technology;Ziteng Wei:Huazhong University of Science and Technology;Caslon Chua:Swinburne University of Technology;Feifei Chen:Deakin University;Hai Jin:Huazhong University of Science and Technology;Yun Yang:Swinburne University of Technology</t>
  </si>
  <si>
    <t>hqiang@hust.edu.cn</t>
  </si>
  <si>
    <t>10.1145/3774904.3792085</t>
  </si>
  <si>
    <t>Zhizhao Liu:College of Computer Science and Technology, National University of Defense Technology;Zhihua Wen:College of Computer Science and Technology, National University of Defense Technology;Zhiliang Tian:College of Computer Science and Technology, National University of Defense Technology;Zhen Huang:College of Computer Science and Technology, National University of Defense Technology;Miaorong Zhu:Software College, Northeastern University;Zimian Wei:College of Computer Science and Technology, National University of Defense Technology;Yifu Gao:College of Computer Science and Technology, National University of Defense Technology;Liang Ding:Zhejiang University;Dongsheng Li:College of Computer Science and Technology, National University of Defense Technology</t>
  </si>
  <si>
    <t>tianzhiliang@nudt.edu.cn</t>
  </si>
  <si>
    <t>10.1145/3774904.3792086</t>
  </si>
  <si>
    <t>Anchen Li:Department of Computer Science, Aalto University;Elena Casiraghi:Dipartimento di Informatica, University of Milan</t>
  </si>
  <si>
    <t>10.1145/3774904.3792087</t>
  </si>
  <si>
    <t>Benhui Zhang:Northwestern Polytechnical University;Junyu Gao:Northwestern Polytechnical University;Yuan Yuan:Northwestern Polytechnical University</t>
  </si>
  <si>
    <t>zhangbh0208@gmail.com</t>
  </si>
  <si>
    <t>10.1145/3774904.3792088</t>
  </si>
  <si>
    <t>Qin Tian:College of Intelligence and Computing, Tianjin University;Chen Zhao:Department of Computer Science, Baylor University;Xintao Wu:Department of Electrical Engineering and Computer Science, University of Arkansas;Dong Li:Department of Computer Science, Baylor University;Minglai Shao:School of New Media and Communication, Tianjin University;Xujiang Zhao:NEC Laboratories America;Wenjun Wang:College of Intelligence and Computing, Tianjin University,State Key Laboratory of Synthetic Biology, Tianjin University</t>
  </si>
  <si>
    <t>tianqin123@tju.edu.cn</t>
  </si>
  <si>
    <t>10.1145/3774904.3792089</t>
  </si>
  <si>
    <t>Yijie Zhong:College of Design and Innovation, Tongji University;Yunfan Gao:Shanghai Research Institute for Intelligent Autonomous Systems, Tongji University;Haofen Wang:College of Design and Innovation, Tongji University</t>
  </si>
  <si>
    <t>carter.whfcarter@gmail.com</t>
  </si>
  <si>
    <t>10.1145/3774904.3792090</t>
  </si>
  <si>
    <t>Liangsi Lu:Guangdong University of Technology;Jingchao Wang:Peking University;Zhaorong Dai:South China Agricultural University;Hanqian Liu:Sun Yat-Sen University;Yang Shi:Guangdong University of Technology</t>
  </si>
  <si>
    <t>sudo.shiyang@gmail.com</t>
  </si>
  <si>
    <t>10.1145/3774904.3792091</t>
  </si>
  <si>
    <t>Yi Wang:Tianjin University;Jitao Zhao:Tianjin University;Dongxiao He:Tianjin University;Jia Li:The Hong Kong University of Science and Technology (Guangzhou);Yuxiao Huang:George Washington University;Zhiyong Feng:Tianjin University</t>
  </si>
  <si>
    <t>hedongxiao@tju.edu.cn</t>
  </si>
  <si>
    <t>10.1145/3774904.3792092</t>
  </si>
  <si>
    <t>Wei Guan:Shanghai Jiao Tong University,National University of Singapore;Jian Cao:Shanghai Jiao Tong University;Qiqi Cai:Shanghai Jiao Tong University;Jianqi Gao:Shanghai Jiao Tong University;Jinyu Cai:National University of Singapore;See-Kiong Ng:National University of Singapore</t>
  </si>
  <si>
    <t>cao-jian@sjtu.edu.cn</t>
  </si>
  <si>
    <t>10.1145/3774904.3792093</t>
  </si>
  <si>
    <t>Shiyao Peng:Beijing University of Posts and Telecommunications;Qianhe Zheng:Beijing University of Posts and Telecommunications;Zhuodi Hao:Beijing University of Posts and Telecommunications;Zichen Tang:Beijing University of Posts and Telecommunications;Rongjin Li:Beijing University of Posts and Telecommunications;Qing Huang:Beijing University of Posts and Telecommunications;Jiayu Huang:Beijing University of Posts and Telecommunications;Jiacheng Liu:Beijing University of Posts and Telecommunications;Yifan Zhu:Beijing University of Posts and Telecommunications;Haihong E:Beijing University of Posts and Telecommunications</t>
  </si>
  <si>
    <t>ehaihong@bupt.edu.cn</t>
  </si>
  <si>
    <t>permissionRelease(01/30/2026)</t>
  </si>
  <si>
    <t>10.1145/3774904.3792094</t>
  </si>
  <si>
    <t>Shuili Zhang:Institute of Information Engineering, Chinese Academy of Sciences,School of Cyber Security, University of Chinese Academy of Sciences;Hongzhang Mu:Institute of Information Engineering, Chinese Academy of Sciences,School of Cyber Security, University of Chinese Academy of Sciences;Wenyuan Zhang:Institute of Information Engineering, Chinese Academy of Sciences,School of Cyber Security, University of Chinese Academy of Sciences;Duohe Ma:Institute of Information Engineering, Chinese Academy of Sciences,School of Cyber Security, University of Chinese Academy of Sciences;Tingwen Liu:Institute of Information Engineering, Chinese Academy of Sciences,School of Cyber Security, University of Chinese Academy of Sciences</t>
  </si>
  <si>
    <t>zhangshuili@iie.ac.cn</t>
  </si>
  <si>
    <t>10.1145/3774904.3792095</t>
  </si>
  <si>
    <t>Jinrui Sun:Peking University;Tong Jia:Peking University;Minghua He:Peking University;Ying Li:Peking University</t>
  </si>
  <si>
    <t>jia.tong@pku.edu.cn</t>
  </si>
  <si>
    <t>10.1145/3774904.3792096</t>
  </si>
  <si>
    <t>Wenyu Wu:East China Normal University;Jiafan Liu:East China Normal University;Jiali Mao:East China Normal University</t>
  </si>
  <si>
    <t>jlmao@dase.ecnu.edu.cn</t>
  </si>
  <si>
    <t>10.1145/3774904.3792097</t>
  </si>
  <si>
    <t>Zhihuang Liu:National University of Defense Technology;Ling Hu:National University of Defense Technology;Yonghao Tang:National University of Defense Technology;Tongqing Zhou:National University of Defense Technology;Fang Liu:Hunan University;Zhiping Cai:National University of Defense Technology</t>
  </si>
  <si>
    <t>lzhliu@nudt.edu.cn</t>
  </si>
  <si>
    <t>10.1145/3774904.3792098</t>
  </si>
  <si>
    <t>Yuli Liu:Quan Cheng Laboratory,Qinghai University</t>
  </si>
  <si>
    <t>liuyuli012@gmail.com</t>
  </si>
  <si>
    <t>10.1145/3774904.3792099</t>
  </si>
  <si>
    <t>Hao Liang:Peking University,Zhongguancun Academy;Qifeng Cai:East China Normal University;Zhaoyang Han:Huazhong University of Science and Technology;Hejun Dong:Beihang University;Meiyi Qiang:Peking University;Ruichuan An:Peking University;Quanqing Xu:OceanBase, Ant Group;Bin Cui:Peking University;Wentao Zhang:Peking University,Zhongguancun Academy</t>
  </si>
  <si>
    <t>10.1145/3774904.3792100</t>
  </si>
  <si>
    <t>Yunkai Zhang:University of California, Berkeley;Qiang Zhang:Meta;Diji Yang:University of California Santa Cruz;Ryan Lin:University of Washington;Ruizhong Qiu:University of Illinois Urbana-Champaign;Benyu Zhang:Meta;Hanchao Yu:Meta;Jason Liu:Meta;Yinglong Xia:Meta;Zhuokai Zhao:Meta;Lizhu Zhang:Meta;Xiangjun Fan:Meta;Zhuoran Yu:Meta;Abhishek Kumar:Meta;Zeyu Zheng:University of California, Berkeley</t>
  </si>
  <si>
    <t>qiangzhang@meta.com</t>
  </si>
  <si>
    <t>10.1145/3774904.3792101</t>
  </si>
  <si>
    <t>Yuanyuan Xu:University of New South Wales;Danni Wu:East China Normal University;Xuemin Lin:The Chinese University of Hong Kong, Shenzhen;Dong Wen:University of New South Wales;Wenjie Zhang:University of New South Wales;Lei Chen:The Hong Kong University of Science and Technology (Guangzhou),The Hong Kong University of Science and Technology;Ying Zhang:Laboratory for Statistical Monitoring and Intelligent Governance of Common Prosperity, Zhejiang GongShang University</t>
  </si>
  <si>
    <t>10.1145/3774904.3792102</t>
  </si>
  <si>
    <t>Longzhu He:Beijing University of Posts and Telecommunications;Peng Tang:Shandong University;Li Sun:Beijing University of Posts and Telecommunications;Sen Su:Beijing University of Posts and Telecommunications,Chongqing University of Posts and Telecommunications</t>
  </si>
  <si>
    <t>10.1145/3774904.3792103</t>
  </si>
  <si>
    <t>Shuguang Jiao:Harbin Institute of Technology, Shenzhen;Xinyu Xiao:Harbin Institute of Technology, Shenzhen;Yunfan Wei:South China University of Technology;Shuhan Qi:Harbin Institute of Technology, Shenzhen,Leanplans;Chengkai Huang:Macquarie University,The University of New South Wales;Quan Z. Sheng:Macquarie University;Lina Yao:The University of New South Wales,CSIRO’s Data61</t>
  </si>
  <si>
    <t>chengkai.huang1@unsw.edu.au</t>
  </si>
  <si>
    <t>10.1145/3774904.3792104</t>
  </si>
  <si>
    <t>Mingtao Zhang:Peking University,Advanced Institute of Big Data;Guoli Yang:Advanced Institute of Big Data;Zhanxing Zhu:University of Southampton;Guangyin Jin:Tsinghua University;Mengzhu Wang:Advanced Institute of Big Data,Hebei University of Technology;Xiaoying Bai:Advanced Institute of Big Data</t>
  </si>
  <si>
    <t>guoliyangcn@outlook.com</t>
  </si>
  <si>
    <t>10.1145/3774904.3792105</t>
  </si>
  <si>
    <t>Peizhao Zhou:Nankai University;Xiaojie Guo:Shanghai Qi Zhi Institute;Pinzhi Chen:Nankai University;Ranyang Liu:Nankai University;Lihai Nie:Nankai University;Tong Li:Nankai University;Zheli Liu:Nankai University</t>
  </si>
  <si>
    <t>NLH@nankai.edu.cn</t>
  </si>
  <si>
    <t>10.1145/3774904.3792106</t>
  </si>
  <si>
    <t>Saidu Sokoto:City St George's, University of London;Leonhard Balduf:TU Darmstadt;Onur Ascigil:Lancaster University;Gareth Tyson:Hong Kong University of Science and Technology (GZ);Ignacio Castro:Queen Mary University of London;Björn Scheuermann:TU Darmstadt;Andrea Baronchelli:City St George's, University of London;Michał Król:City St George's, University of London</t>
  </si>
  <si>
    <t>saidu.sokoto@city.ac.uk</t>
  </si>
  <si>
    <t>10.1145/3774904.3792107</t>
  </si>
  <si>
    <t>Qian Chang:University of Auckland,Central China Normal University;Xia Li:Central China Normal University;Xiufeng Cheng:Central China Normal University;Runsong Jia:University of Technology Sydney;Jinqing Yang:Central China Normal University;Guoping Hu:University of Auckland;Ciprian Doru Giurcaneanu:University of Auckland</t>
  </si>
  <si>
    <t>lixia@ccnu.edu.cn</t>
  </si>
  <si>
    <t>10.1145/3774904.3792108</t>
  </si>
  <si>
    <t>Renda Han:Tianjin Key Laboratory of Cognitive Computing and Application, School of Artificial Intelligence, Tianjin University;Xiaobao Wang:Tianjin Key Laboratory of Cognitive Computing and Application, School of Artificial Intelligence, Tianjin University;Luzhi Wang:College of Artificial Intelligence, Dalian Maritime University;Wenxin Zhang:University of Chinese Academy of Sciences;Guangzhen Yao:Northeast Normal University;Hongxiang Liang:School of Artificial Intelligence, Tianjin University</t>
  </si>
  <si>
    <t>rd.h@computer.org</t>
  </si>
  <si>
    <t>10.1145/3774904.3792109</t>
  </si>
  <si>
    <t>Jiale Han:University of California, Los Angeles;Chun Gan:JD.com;Chengcheng Zhang:The Chinese University of Hong Kong, Shenzhen;Jie He:JD.com;Zhangang Lin:JD.com;Ching Law:JD.com;Xiaowu Dai:University of California, Los Angeles</t>
  </si>
  <si>
    <t>daix@ucla.edu</t>
  </si>
  <si>
    <t>10.1145/3774904.3792110</t>
  </si>
  <si>
    <t>Qiang He:Huazhong University of Science and Technology,Swinburne University of Technology;Sheng Zhong:Huazhong University of Science and Technology;Jiazhen Yang:Huazhong University of Science and Technology;Feifei Chen:Deakin University;Hai Jin:Huazhong University of Science and Technology;Yun Yang:Swinburne University of Technology</t>
  </si>
  <si>
    <t>feifei.chen@deakin.edu.au</t>
  </si>
  <si>
    <t>10.1145/3774904.3792111</t>
  </si>
  <si>
    <t>Yaming Yang:School of Computer Science and Technology, Xidian University;Zhe Wang:School of Computer Science and Technology, Xidian University;Ziyu Guan:School of Computer Science and Technology, Xidian University;Wei Zhao:School of Computer Science and Technology, Xidian University;Weigang Lu:The Hong Kong University of Science and Technology;Xinyan Huang:School of Artificial Intelligence, Xidian University;Jiangtao Cui:School of Computer Science and Technology, Xidian University;Xiaofei He:State Key Laboratory of CAD&amp;CG, Zhejiang University</t>
  </si>
  <si>
    <t>zyguan@xidian.edu.cn</t>
  </si>
  <si>
    <t>permissionRelease(01/26/2026)</t>
  </si>
  <si>
    <t>10.1145/3774904.3792112</t>
  </si>
  <si>
    <t>Wujia Niu:University of Science and Technology of China;Lan Zhang:University of Science and Technology of China;Haoran Cheng:University of Science and Technology of China;Shen Li:University of Science and Technology of China</t>
  </si>
  <si>
    <t>zhanglan@ustc.edu.cn</t>
  </si>
  <si>
    <t>10.1145/3774904.3792113</t>
  </si>
  <si>
    <t>Shijun Guo:School of Computer Science and Technology, Xidian University;Haoran Xu:School of Intelligent Systems Engineering, Sun Yat-sen University;Yaming Yang:School of Computer Science and Technology, Xidian University;Ziyu Guan:School of Computer Science and Technology, Xidian University;Wei Zhao:School of Computer Science and Technology, Xidian University;Xinyi Zhang:School of Intelligent Systems Engineering, Sun Yat-sen University;Yishan Song:School of Computing &amp; Data Science, The University of Hong Kong</t>
  </si>
  <si>
    <t>permissionRelease(01/28/2026)</t>
  </si>
  <si>
    <t>10.1145/3774904.3792114</t>
  </si>
  <si>
    <t>Hongbo Xia:Harbin Institute of Technology, Shenzhen;Shengxin Liu:Harbin Institute of Technology, Shenzhen;Zhaoquan Gu:Harbin Institute of Technology, Shenzhen</t>
  </si>
  <si>
    <t>sxliu@hit.edu.cn</t>
  </si>
  <si>
    <t>10.1145/3774904.3792115</t>
  </si>
  <si>
    <t>Ziyu Zheng:School of Computer Science and Technology, Xidian University;Yaming Yang:School of Computer Science and Technology, Xidian University;Ziyu Guan:School of Computer Science and Technology, Xidian University;Wei Zhao:School of Computer Science and Technology, Xidian University;Xinyan Huang:School of Artificial Intelligence, Xidian University;Weigang Lu:Department of Civil and Environmental Engineering, The Hong Kong University of Science and Technology</t>
  </si>
  <si>
    <t>ywzhao@mail.xidian.edu.cn</t>
  </si>
  <si>
    <t>10.1145/3774904.3792116</t>
  </si>
  <si>
    <t>Longlong Lin:Southwest University;Zeli Wang:Chongqing University of Posts and Telecommunications;Rong-Hua Li:Beijing Institute of Technology;Xiaohai Dai:Huazhong University of Science and Technology;Li Ni:Anhui University;Jin Zhao:Huazhong University of Science and Technology</t>
  </si>
  <si>
    <t>longlonglin@swu.edu.cn</t>
  </si>
  <si>
    <t>10.1145/3774904.3792117</t>
  </si>
  <si>
    <t>Wenzheng Jiang:National University of Defense Technology;Ke Liang:National University of Defense Technology;Wenke Huang:Nanyang Technological University;Xiongtao Zhang:National University of Defense Technology;Zhenxing Xu:National University of Defense Technology;Guancheng Wan:Nanyang Technological University;Cheston Tan:Agency for Science, Technology and Research;Flint Xiaofeng Fan:Agency for Science, Technology and Research;Ji Wang:National University of Defense Technology</t>
  </si>
  <si>
    <t>jiangwenzheng@nudt.edu.cn</t>
  </si>
  <si>
    <t>10.1145/3774904.3792118</t>
  </si>
  <si>
    <t>Xingcheng Fu:Key Lab of Education Blockchain and Intelligent Technology, Guangxi Normal University,Guangxi Key Lab of Multi-source Information Mining &amp; Security, Guangxi Normal University;Lingyun Liu:Key Lab of Education Blockchain and Intelligent Technology, Guangxi Normal University,Guangxi Key Lab of Multi-source Information Mining &amp; Security, Guangxi Normal University;Yisen Gao:Computer Science and Engineering, Hong Kong University of Science and Technology;Tianyu Chen:SKLCCSE, School of Computer Science and Engineering, Beihang University;Qingyun Sun:SKLCCSE, School of Computer Science and Engineering, Beihang University,Guangxi Key Lab of Multi-source Information Mining &amp; Security, Guangxi Normal University;Jianxin Li:SKLCCSE, School of Computer Science and Engineering, Beihang University;Xianxian Li:Key Lab of Education Blockchain and Intelligent Technology, Guangxi Normal University</t>
  </si>
  <si>
    <t>sunqy@buaa.edu.cn</t>
  </si>
  <si>
    <t>10.1145/3774904.3792119</t>
  </si>
  <si>
    <t>Ping Zhang:School of Artificial Intelligence, Hebei University of Technology;Jiayu Leng:School of Artificial Intelligence, Hebei University of Technology;Liang Yang:School of Artificial Intelligence, Hebei University of Technology;Anchen Li:Department of Computer Science, Aalto University;Xiaochun Cao:School of Cyber Science and Technology, Shenzhen Campus of Sun Yat-sen University;Riting Xia:College of Computer Science, Inner Mongolia University</t>
  </si>
  <si>
    <t>xiart@imu.edu.cn</t>
  </si>
  <si>
    <t>10.1145/3774904.3792120</t>
  </si>
  <si>
    <t>Qimin Zhou:Beijing University of Posts and Telecommunications;Haibo Liu:Beijing University of Posts and Telecommunications;Yujie Wang:Beijing University of Posts and Telecommunications;Li Sun:Beijing University of Posts and Telecommunications;Chuan Shi:Beijing University of Posts and Telecommunications</t>
  </si>
  <si>
    <t>zhouqimin@bupt.edu.cn</t>
  </si>
  <si>
    <t>10.1145/3774904.3792121</t>
  </si>
  <si>
    <t>Yotam Gafni:Weizmann Institute of Science</t>
  </si>
  <si>
    <t>yotam.gafni@gmail.com</t>
  </si>
  <si>
    <t>10.1145/3774904.3792122</t>
  </si>
  <si>
    <t>Zhizhi Yu:School of Computer Software, Tianjin University;Di Jin:School of Computer Science and Technology, Tianjin University;Dongxiao He:School of Computer Science and Technology, Tianjin University;Wenhuan Lu:School of Computer Software, Tianjin University;Jianguo Wei:School of Cyber Security, Tianjin University</t>
  </si>
  <si>
    <t>yuzhizhi@tju.edu.cn</t>
  </si>
  <si>
    <t>10.1145/3774904.3792123</t>
  </si>
  <si>
    <t>Xiaofei Zhu:College of Computer Science and Engineering, Chongqing University of Technology;Jinfei Chen:College of Computer Science and Engineering, Chongqing University of Technology;Feiyang Yuan:College of Computer Science and Engineering, Chongqing University of Technology;Zhou Yang:College of Computer and Information Science, Chongqing Normal University</t>
  </si>
  <si>
    <t>zhouzhouyang520@126.com</t>
  </si>
  <si>
    <t>10.1145/3774904.3792124</t>
  </si>
  <si>
    <t>Jiaqing Zhang:University of Science and Technology of China;Mingjia Yin:University of Science and Technology of China;Hao Wang:University of Science and Technology of China;Yuxin Tian:University of Science and Technology of China;Yuyang Ye:University of Science and Technology of China;Yawen Li:Beijing University of Posts and Telecommunications;Wei Guo:Huawei Noah’s Ark Lab;Yong Liu:Huawei Noah’s Ark Lab;Enhong Chen:University of Science and Technology of China</t>
  </si>
  <si>
    <t>jiaqing.zhang@mail.ustc.edu.cn</t>
  </si>
  <si>
    <t>10.1145/3774904.3792125</t>
  </si>
  <si>
    <t>Mohan Gao:School of Computer Science, Shanghai Jiao Tong University;Zhemeng Yu:School of Computer Science, Shanghai Jiao Tong University;Yang Luo:School of Computer Science, Shanghai Jiao Tong University;Lintao Ma:Ant Group;Yinbo Sun:Ant Group;Yuchen Fang:Ant Group;Xiaofeng Gao:Shanghai Key Laboratory of Scalable Computing and Systems, School of Computer Science, Shanghai Jiao Tong University</t>
  </si>
  <si>
    <t>gao-xf@cs.sjtu.edu.cn</t>
  </si>
  <si>
    <t>10.1145/3774904.3792126</t>
  </si>
  <si>
    <t>Lianze Shan:Tianjin University;Jitao Zhao:Tianjin University;Dongxiao He:Tianjin University;Siqi Liu:Tianjin University;Jiaxu Cui:Jilin University;Weixiong Zhang:The Hong Kong Polytechnic University</t>
  </si>
  <si>
    <t>10.1145/3774904.3792127</t>
  </si>
  <si>
    <t>Zian Wang:Beijing University of Posts and Telecommunications;Ziyi Wang:Beijing University of Posts and Telecommunications;Jie Xing:Beijing University of Posts and Telecommunications;Yaya Wei:Omni-Channel Operation Center, China Telecommunications Corporation;Ziyan Zhong:Omni-Channel Operation Center, China Telecommunications Corporation;Lanshan Zhang:Beijing University of Posts and Telecommunications</t>
  </si>
  <si>
    <t>zls326@sina.com</t>
  </si>
  <si>
    <t>10.1145/3774904.3792128</t>
  </si>
  <si>
    <t>Ze Liu:University of Science and Technology of China;Xianquan Wang:University of Science and Technology of China;Shuochen Liu:University of Science and Technology of China;Jie Ma:University of Science and Technology of China;Huibo Xu:University of Science and Technology of China;Yupeng Han:University of Science and Technology of China;Kai Zhang:University of Science and Technology of China;Jun Zhou:Zhejiang University</t>
  </si>
  <si>
    <t>kkzhang08@ustc.edu.cn</t>
  </si>
  <si>
    <t>10.1145/3774904.3792129</t>
  </si>
  <si>
    <t>Mingxuan Song:School of Computer Science, Peking University;Yusen Huo:Alibaba Group;Bohan Zhou:School of Computer Science, Peking University;Shenglin Yin:School of Computer Science, Peking University;Zhen Xiao:School of Computer Science, Peking University;Jieyi Long:Theta Labs, Inc.;Zhilin Zhang:Alibaba Group;Chuan Yu:Alibaba Group</t>
  </si>
  <si>
    <t>xiaozhen@pku.edu.cn</t>
  </si>
  <si>
    <t>10.1145/3774904.3792130</t>
  </si>
  <si>
    <t>Yu Xia:Institute of Software, Chinese Academy of Sciences,University of Chinese Academy of Sciences;Qing Tan:Institute of Software, Chinese Academy of Sciences,University of Chinese Academy of Sciences;He Chen:Institute of Software, Chinese Academy of Sciences;Jingyu Chen:Institute of Software, Chinese Academy of Sciences;Qian Dong:Institute of Software, Chinese Academy of Sciences</t>
  </si>
  <si>
    <t>dongqian@iscas.ac.cn</t>
  </si>
  <si>
    <t>10.1145/3774904.3792131</t>
  </si>
  <si>
    <t>Yuanzheng Tan:Shenzhen International Graduate School, Tsinghua University,Pengcheng Laboratory;Qing Li:Pengcheng Laboratory;Jiaqi Cui:Shenzhen International Graduate School, Tsinghua University;Junkun Peng:Shenzhen International Graduate School, Tsinghua University;Gareth Tyson:Hong Kong University of Science and Technology (GZ);Zhenhui Yuan:Northumbria University;Tingting Yang:Pengcheng Laboratory;Yong Jiang:Shenzhen International Graduate School, Tsinghua University,Pengcheng Laboratory</t>
  </si>
  <si>
    <t>liq@pcl.ac.cn</t>
  </si>
  <si>
    <t>10.1145/3774904.3792132</t>
  </si>
  <si>
    <t>Shuhao Li:Fudan University,Shanghai Key Laboratory of Data Science;Weidong Yang:Fudan University,Zhuhai Fudan Innovation Research Institute;Yue Cui:Tongyi Laboratory, Alibaba Group;Lipeng Ma:Fudan University,Shanghai Key Laboratory of Data Science;Yixuan Li:Fudan University,Shanghai Key Laboratory of Data Science;Chaoteng Wu:Fudan University,Shanghai SEARI Intelligent System Co., Ltd;Lu Qin:University of Technology Sydney;Fan Zhang:Guangzhou University,GZHUSCHB Intelligent Transportation Joint Lab</t>
  </si>
  <si>
    <t>shli23@m.fudan.edu.cn</t>
  </si>
  <si>
    <t>10.1145/3774904.3792133</t>
  </si>
  <si>
    <t>Yisen Gao:Computer Science and Engineering, Hong Kong University of Science and Technology;Jiaxin Bai:Computer Science and Engineering, Hong Kong University of Science and Technology;Yi Huang:Computer Science and Engineering, Beihang University;Xingcheng Fu:Key Lab of Education Blockchain and Intelligent Technology, Guangxi Normal University;Qingyun Sun:Computer Science and Engineering, Beihang University;Yangqiu Song:Computer Science and Engineering, Hong Kong University of Science and Technology</t>
  </si>
  <si>
    <t>ygaodi@cse.ust.hk</t>
  </si>
  <si>
    <t>10.1145/3774904.3792134</t>
  </si>
  <si>
    <t>Yuheng Liang:College of Computer Science and Technology, Jilin University;Haipeng Chen:Key Laboratory of Symbolic Computation and Knowledge Engineering of Ministry of Education, Jilin University;Yu Liu:College of Computer Science and Technology, Jilin University;Yingda Lyu:Public Computer Education and Research Center, Jilin University;Xue Wang:School of Information Science and Technology, Northeast Normal University</t>
  </si>
  <si>
    <t>ydlv@jlu.edu.cn</t>
  </si>
  <si>
    <t>10.1145/3774904.3792135</t>
  </si>
  <si>
    <t>Gongming Zhao:University of Science and Technology of China;Baoqing Wang:University of Science and Technology of China;Min Chen:Huawei Technologies;Hongli Xu:University of Science and Technology of China;Jiawei Liu:University of Science and Technology of China;Xuwei Yang:Huawei Technologies;Liguang Xie:Independent;Yongqiang Yang:Huawei Technologies;Ying Xiong:Huawei Technologies</t>
  </si>
  <si>
    <t>xuhongli@ustc.edu.cn</t>
  </si>
  <si>
    <t>10.1145/3774904.3792136</t>
  </si>
  <si>
    <t>Di Yu:Zhejiang University;Helin Zheng:Zhejiang University;Changze Lv:Fudan University;Xin Du:Zhejiang University;Linshan Jiang:National University of Singapore;Xiang Liu:National University of Singapore;Gang Pan:Zhejiang University;Shuiguang Deng:Zhejiang University</t>
  </si>
  <si>
    <t>xindu@zju.edu.cn</t>
  </si>
  <si>
    <t>10.1145/3774904.3792137</t>
  </si>
  <si>
    <t>Zitai Qiu:Macquarie University;Rongwei Xu:Macquarie University;Congbo Ma:New York University Abu Dhabi;Shan Xue:Macquarie University;Jian Yang:Beijing Normal-Hong Kong Baptist University,Macquarie University;Guanfeng Liu:Macquarie University;Quan Z. Sheng:Macquarie University;Amin Beheshti:Macquarie University;Jia Wu:Macquarie University</t>
  </si>
  <si>
    <t>jia.wu@mq.edu.au</t>
  </si>
  <si>
    <t>10.1145/3774904.3792138</t>
  </si>
  <si>
    <t>Qitong Liu:Beihang University;Hao Peng:Beihang University;Zuchen Li:Beihang University;Xihang Meng:Beihang University;Ziyu Yang:Beihang University;Jiting Li:Academy of Military Sciences;Li Sun:North China Electric Power University;Philip S. Yu:University of Illinois Chicago</t>
  </si>
  <si>
    <t>penghao@buaa.edu.cn</t>
  </si>
  <si>
    <t>10.1145/3774904.3792139</t>
  </si>
  <si>
    <t>Haonan Yuan:SKLCCSE, School of Computer Science and Engineering, Beihang University;Qingyun Sun:SKLCCSE, School of Computer Science and Engineering, Beihang University;Jiacheng Tao:SKLCCSE, School of Computer Science and Engineering, Beihang University;Xingcheng Fu:{Key Lab of Education Blockchain and Intelligent Technology, Ministry of Education, Guangxi Normal University;Jianxin Li:SKLCCSE, School of Computer Science and Engineering, Beihang University</t>
  </si>
  <si>
    <t>10.1145/3774904.3792140</t>
  </si>
  <si>
    <t>Qiang He:Huazhong University of Science and Technology,Swinburne University of Technology;Rui Chen:Huazhong University of Science and Technology;Yicheng Liu:HuaZhong University of science and technology;Sheng Zhong:Huazhong University of Science and Technology;Haipeng Dai:Nanjing University;Feifei Chen:Deakin University;Hai Jin:Huazhong University of Science and Technology;Yun Yang:Swinburne University of Technology</t>
  </si>
  <si>
    <t>10.1145/3774904.3792141</t>
  </si>
  <si>
    <t>Shichao Ma:University of Science and Technology of China;Zhengyang Zhou:University of Science and Technology of China,Suzhou Institute for Advanced Research, USTC;Qihe Huang:University of Science and Technology of China;Binwu Wang:University of Science and Technology of China;Yang Wang:University of Science and Technology of China,Suzhou Institute for Advanced Research, USTC</t>
  </si>
  <si>
    <t>zzy0929@ustc.edu.cn</t>
  </si>
  <si>
    <t>10.1145/3774904.3792142</t>
  </si>
  <si>
    <t>Haizhou Du:Faculty of Artificial Intelligence, Shanghai University of Electric Power;Haolin Wu:Faculty of Artificial Intelligence, Shanghai University of Electric Power;Zijie Zhu:Faculty of Artificial Intelligence, Shanghai University of Electric Power;Zicheng Shi:Faculty of Artificial Intelligence, Shanghai University of Electric Power</t>
  </si>
  <si>
    <t>duhaizhou@shiep.edu.cn</t>
  </si>
  <si>
    <t>10.1145/3774904.3792143</t>
  </si>
  <si>
    <t>Tiantian Chen:Tongji University;Jiaqi Lu:Tongji University;Ying Shen:Tongji University;Lin Zhang:Tongji University</t>
  </si>
  <si>
    <t>2111287@tongji.edu.cn</t>
  </si>
  <si>
    <t>10.1145/3774904.3792144</t>
  </si>
  <si>
    <t>Guochen Yan:Beijing Key Laboratory of Data Intelligence and Security, Peking University,National Engineering Research Center for Software Engineering, Peking University;Luyuan Xie:Beijing Key Laboratory of Data Intelligence and Security, Peking University,School of Software and Microelectronics, Peking University;Qingni Shen:Beijing Key Laboratory of Data Intelligence and Security, Peking University,School of Software and Microelectronics, Peking University;Yuejian Fang:Beijing Key Laboratory of Data Intelligence and Security, Peking University,School of Software and Microelectronics, Peking University;Zhonghai Wu:Beijing Key Laboratory of Data Intelligence and Security, Peking University,National Engineering Research Center for Software Engineering, Peking University</t>
  </si>
  <si>
    <t>guochen_yan@outlook.com</t>
  </si>
  <si>
    <t>10.1145/3774904.3792145</t>
  </si>
  <si>
    <t>Alireza Salemi:University of Massachusetts Amherst;Cheng Li:Google DeepMind;Mingyang Zhang:Google DeepMind;Qiaozhu Mei:University of Michigan;Zhuowan Li:Google DeepMind;Spurthi Amba Hombaiah:Google DeepMind;Weize Kong:Google DeepMind;Tao Chen:Google DeepMind;Hamed Zamani:University of Massachusetts Amherst;Michael Bendersky:Google DeepMind</t>
  </si>
  <si>
    <t>asalemi@cs.umass.edu</t>
  </si>
  <si>
    <t>10.1145/3774904.3792146</t>
  </si>
  <si>
    <t>Jie Gao:University of Exeter;Jia Hu:University of Exeter;Geyong Min:University of Exeter;Fei Hao:Shaanxi Normal University</t>
  </si>
  <si>
    <t>j.hu@exeter.ac.uk</t>
  </si>
  <si>
    <t>10.1145/3774904.3792147</t>
  </si>
  <si>
    <t>Yicheng Zhang:Zhejiang University;Zhen Qin:Ningbo Global Innovation Center, Zhejiang University;Zhaomin Wu:National University of Singapore;Jian Hou:Zhejiang Sci-Tech University;Shuiguang Deng:Zhejiang University</t>
  </si>
  <si>
    <t>zhenqin@zju.edu.cn</t>
  </si>
  <si>
    <t>10.1145/3774904.3792148</t>
  </si>
  <si>
    <t>Xian Mo:School of Information Engineering, Ningxia University;Yijun Hu:School of Information Engineering, Ningxia University;Jun Pang:Faculty of Science, Technology and Medicine, University of Luxembourg</t>
  </si>
  <si>
    <t>mxian168@nxu.edu.cn</t>
  </si>
  <si>
    <t>10.1145/3774904.3792149</t>
  </si>
  <si>
    <t>Shenping Xiong:Institute of Information Engineering, Chinese Academy of Sciences,School of Cyber Security, University of Chinese Academy of Sciences;Xutong Wang:Institute of Information Engineering, Chinese Academy of Sciences;Ze Jin:Institute of Information Engineering, Chinese Academy of Sciences,School of Cyber Security, University of Chinese Academy of Sciences;Xinyu Liu:Institute of Information Engineering, Chinese Academy of Sciences;Haoqiang Wang:Institute of Information Engineering, Chinese Academy of Sciences,School of Cyber Security, University of Chinese Academy of Sciences;Zhen Chen:Institute of Information Engineering, Chinese Academy of Sciences,School of Cyber Security, University of Chinese Academy of Sciences;Ru Tan:Institute of Information Engineering, Chinese Academy of Sciences,School of Cyber Security, University of Chinese Academy of Sciences;Qixu Liu:Institute of Information Engineering, Chinese Academy of Sciences,School of Cyber Security, University of Chinese Academy of Sciences</t>
  </si>
  <si>
    <t>liuxinyu@iie.ac.cn</t>
  </si>
  <si>
    <t>10.1145/3774904.3792150</t>
  </si>
  <si>
    <t>Zeyi Lu:Tsinghua University;Xiaoxiao Ma:Tsinghua University;Yujun Huang:Tsinghua University;Minxiao Chen:Beijing University of Posts and Telecommunications;Bin Chen:Harbin Institute of Technology, Shenzhen;Shu-Tao Xia:Tsinghua University</t>
  </si>
  <si>
    <t>luzy23@mails.tsinghua.edu.cn</t>
  </si>
  <si>
    <t>10.1145/3774904.3792151</t>
  </si>
  <si>
    <t>Zhiyao Wu:University of Macau;Zi Liang:Hong Kong Polytechnic University;Haibo Hu:Hong Kong Polytechnic University,PolyU Research Centre for Privacy and Security Technologies in Future Smart Systems</t>
  </si>
  <si>
    <t>haibo.hu@polyu.edu.hk</t>
  </si>
  <si>
    <t>10.1145/3774904.3792152</t>
  </si>
  <si>
    <t>Pengfei Zhang:University of Electronic Science and Technology of China;Guojia An:University of Electronic Science and Technology of China;Jin Huang:University of Cambridge;Yuhan Yang:University of Electronic Science and Technology of China;Yang Yang:University of Electronic Science and Technology of China;Jie Zou:University of Electronic Science and Technology of China</t>
  </si>
  <si>
    <t>jie.zou@uestc.edu.cn</t>
  </si>
  <si>
    <t>10.1145/3774904.3792153</t>
  </si>
  <si>
    <t>Lijing Ren:Guangdong Mechanical &amp; Electrical Polytechnic;Denghui Zhang:Guangzhou University</t>
  </si>
  <si>
    <t>denghui.zhang@gzhu.edu.cn</t>
  </si>
  <si>
    <t>10.1145/3774904.3792154</t>
  </si>
  <si>
    <t>Zihao Chen:The Key Laboratory of Knowledge Engineering with Big Data (the Ministry of Education of China), Hefei University of Technology;Chenyang Bu:The Key Laboratory of Knowledge Engineering with Big Data (the Ministry of Education of China), Hefei University of Technology;Shengwei Ji:School of Artificial Intelligence and Big Data, Hefei University;Xindong Wu:The Key Laboratory of Knowledge Engineering with Big Data (the Ministry of Education of China), Hefei University of Technology</t>
  </si>
  <si>
    <t>xwu@hfut.edu.cn</t>
  </si>
  <si>
    <t>10.1145/3774904.3792155</t>
  </si>
  <si>
    <t>Mengying Zhu:School of Software Technology, Zhejiang University;Feiyue Chen:School of Software Technology, Zhejiang University;Lifan Jiang:School of Software Technology, Zhejiang University;Mengyuan Yang:Zhejiang University;Yangyang Wu:School of Software Technology, Zhejiang University;Guanjie Cheng:School of Software Technology, Zhejiang University;Xiaolin Zheng:Zhejiang University</t>
  </si>
  <si>
    <t>yangmy412@zju.edu.cn</t>
  </si>
  <si>
    <t>permissionRelease(01/27/2026)</t>
  </si>
  <si>
    <t>10.1145/3774904.3792156</t>
  </si>
  <si>
    <t>Zhao Liu:Kuaishou Technology;Yichen Zhu:Kuaishou Technology;Yiqing Yang:Kuaishou Technology;Xiao Lv:Kuaishou Technology;Guoping Tang:Kuaishou Technology;Rui Huang:Kuaishou Technology;Qiang Luo:Kuaishou Technology;Ruiming Tang:Kuaishou Technology;Guorui Zhou:Kuaishou Technology</t>
  </si>
  <si>
    <t>liuzhao09@kuaishou.com</t>
  </si>
  <si>
    <t>10.1145/3774904.3792157</t>
  </si>
  <si>
    <t>Michelle Contreras-Catalan:Universidad de Chile;Matteo Riondato:Amherst College</t>
  </si>
  <si>
    <t>mriondato@amherst.edu</t>
  </si>
  <si>
    <t>10.1145/3774904.3792158</t>
  </si>
  <si>
    <t>Qianchi Zhang:School of Artificial Intelligence, Beihang University;Hainan Zhang:School of Artificial Intelligence, Beihang University;Liang Pang:Institute of Computing Technology, Chinese Academy of Sciences;Yongxin Tong:School of Computer Science and Engineering, Beihang University;Hongwei Zheng:Beijing Academy of Blockchain and Edge Computing;Zhiming Zheng:School of Artificial Intelligence, Beihang University</t>
  </si>
  <si>
    <t>zhanghainan@buaa.edu.cn</t>
  </si>
  <si>
    <t>10.1145/3774904.3792159</t>
  </si>
  <si>
    <t>Shiqi Sun:State Key Laboratory of AI Safety, Institute of Computing Technology, Chinese Academy of Sciences,University of Chinese Academy of Sciences;Du Su:State Key Laboratory of AI Safety, Institute of Computing Technology, Chinese Academy of Sciences;Wei Chen:State Key Laboratory of AI Safety, Institute of Computing Technology, Chinese Academy of Sciences;Xueqi Cheng:State Key Laboratory of AI Safety, Institute of Computing Technology, Chinese Academy of Sciences</t>
  </si>
  <si>
    <t>sudu@ict.ac.cn</t>
  </si>
  <si>
    <t>10.1145/3774904.3792160</t>
  </si>
  <si>
    <t>Huiying Hu:Wangxuan Institute of Computer Technology, Peking University;Tuo Wang:Wangxuan Institute of Computer Technology, Peking University;Yixiao Zhou:Wangxuan Institute of Computer Technology, Peking University;Xiaoqing Lyu:Wangxuan Institute of Computer Technology, Peking University</t>
  </si>
  <si>
    <t>lvxiaoqing@pku.edu.cn</t>
  </si>
  <si>
    <t>10.1145/3774904.3792161</t>
  </si>
  <si>
    <t>Qingchuan Li:State Key Laboratory of Cognitive Intelligence, University of Science and Technology of China;Jiatong Li:State Key Laboratory of Cognitive Intelligence, University of Science and Technology of China;Zirui Liu:State Key Laboratory of Cognitive Intelligence, University of Science and Technology of China;Mingyue Cheng:State Key Laboratory of Cognitive Intelligence, University of Science and Technology of China;Yitong Zhou:State Key Laboratory of Cognitive Intelligence, University of Science and Technology of China;Yuting Zeng:School of Computer Science and Technology, University of Science and Technology of China;Qi Liu:State Key Laboratory of Cognitive Intelligence, University of Science and Technology of China;Tongxuan Liu:School of Information Science and Technology, University of Science and Technology of China,JD.com</t>
  </si>
  <si>
    <t>qiliuql@ustc.edu.cn</t>
  </si>
  <si>
    <t>10.1145/3774904.3792162</t>
  </si>
  <si>
    <t>Ce Yang:School of Artificial Intelligence and Computer Science, Shaanxi Normal University;Fei Hao:School of Artificial Intelligence and Computer Science, Shaanxi Normal University;Jie Gao:Department of Computer Science, University of Exeter;Jianrui Chen:School of Artificial Intelligence and Computer Science, Shaanxi Normal University;Jia Hu:Department of Computer Science, University of Exeter;Geyong Min:Department of Computer Science, University of Exeter</t>
  </si>
  <si>
    <t>fhao@snnu.edu.cn</t>
  </si>
  <si>
    <t>10.1145/3774904.3792163</t>
  </si>
  <si>
    <t>Soheila Farokhi:Utah State University;Xiaojun Qi:Utah State University;Hamid Karimi:Utah State University</t>
  </si>
  <si>
    <t>soheila.farokhi@usu.edu</t>
  </si>
  <si>
    <t>10.1145/3774904.3792164</t>
  </si>
  <si>
    <t>Tong Zhou:Fudan University;Xin Peng:Fudan University;Jie Zhang:Samsung Electronics (China) R&amp;D Centre;Chaofeng Sha:Fudan University;Chenxi Zhang:Xidian University;Zicheng Yuan:Fudan University;Senyu Xie:Fudan University</t>
  </si>
  <si>
    <t>cxzhang20@fudan.edu.cn</t>
  </si>
  <si>
    <t>10.1145/3774904.3792165</t>
  </si>
  <si>
    <t>Yuchao Zhang:College of Computer Science and Technology, Zhejiang University of Technology,Zhejiang Key Laboratory of Visual Information Intelligent Processing;Xiangjie Kong:College of Computer Science and Technology, Zhejiang University of Technology,Zhejiang Key Laboratory of Visual Information Intelligent Processing;Kailun Ye:College of Computer Science and Technology, Zhejiang University of Technology,Zhejiang Key Laboratory of Visual Information Intelligent Processing;Shangfei Zheng:School of Computer Science and Technology, Zhejiang Sci-Tech University;Guojiang Shen:College of Computer Science and Technology, Zhejiang University of Technology,Zhejiang Key Laboratory of Visual Information Intelligent Processing</t>
  </si>
  <si>
    <t>xjkong@ieee.org</t>
  </si>
  <si>
    <t>10.1145/3774904.3792166</t>
  </si>
  <si>
    <t>Zongwei Wang:Chongqing University;Min Gao:Chongqing University,Key Laboratory of Dependable Service Computing in Cyber Physical Society (Chongqing University), Ministry of Education of China;Junliang Yu:Griffith University;Tong Chen:The University of Queensland;Chenghua Lin:University of Manchester</t>
  </si>
  <si>
    <t>gaomin@cqu.edu.cn</t>
  </si>
  <si>
    <t>10.1145/3774904.3792167</t>
  </si>
  <si>
    <t>Xianquan Wang:University of Science and Technology of China;Zhaocheng Du:Huawei Noah’s Ark Lab;Jieming Zhu:Huawei Noah’s Ark Lab;Qinglin Jia:Huawei Noah’s Ark Lab;Zhenhua Dong:Huawei Noah’s Ark Lab;Kai Zhang:University of Science and Technology of China</t>
  </si>
  <si>
    <t>10.1145/3774904.3792168</t>
  </si>
  <si>
    <t>Renqiang Luo:Jilin University;Dong Zhang:Dalian University of Technology;Yupeng Gao:Dalian University of Technology;Wen Shi:Jilin University;Mingliang Hou:Jinan University,TAL Education Group;Jiaying Liu:Dalian University of Technology;Zhe Wang:Jilin University;Shuo Yu:Dalian University of Technology</t>
  </si>
  <si>
    <t>shuo.yu@ieee.org</t>
  </si>
  <si>
    <t>10.1145/3774904.3792169</t>
  </si>
  <si>
    <t>Renqiang Luo:Jilin University;Huafei Huang:Adelaide University;Tao Tang:Zhejiang University of Technology;Jing Ren:RMIT University;Ziqi Xu:RMIT University;Mingliang Hou:Jinan University,TAL Education Group;Enyan Dai:Hong Kong University of Science and Technology (Guangzhou);Feng Xia:RMIT University</t>
  </si>
  <si>
    <t>ziqi.xu@rmit.edu.au</t>
  </si>
  <si>
    <t>10.1145/3774904.3792170</t>
  </si>
  <si>
    <t>Kai Wang:University of Science and Technology of China;Runze Wu:NetEase Fuxi AI Lab;Yu Xiong:NetEase Fuxi AI Lab;Haifeng Sun:University of Science and Technology of China;Anran Li:University of Science and Technology of China;Shaojie Tang:University at Buffalo;Changjie Fan:NetEase Fuxi AI Lab;Xiang-Yang Li:University of Science and Technology of China</t>
  </si>
  <si>
    <t>shaojiet@buffalo.edu</t>
  </si>
  <si>
    <t>10.1145/3774904.3792171</t>
  </si>
  <si>
    <t>Yizhou Dang:Software College, Northeastern University;Zhifu Wei:School of Computer Science and Engineering, Northeastern University;Minhan Huang:Software College, Northeastern University;Lianbo Ma:Software College, Northeastern University;Jianzhe Zhao:Software College, Northeastern University;Guibing Guo:Software College, Northeastern University;Xingwei Wang:School of Computer Science and Engineering, Northeastern University</t>
  </si>
  <si>
    <t>dangyz@mails.neu.edu.cn</t>
  </si>
  <si>
    <t>10.1145/3774904.3792172</t>
  </si>
  <si>
    <t>Huanchang Ma:Northeast Normal University;Xin Zheng:RMIT University;Jianyu Li:Northeast Normal University;Alan Wee-Chung Liew:Griffith University;Wei Lan:Guangxi University;Jian Gao:Northeast Normal University</t>
  </si>
  <si>
    <t>xin.zheng2@rmit.edu.au</t>
  </si>
  <si>
    <t>10.1145/3774904.3792173</t>
  </si>
  <si>
    <t>Xiangyu Xu:School of Data Science and Engineering, East China Normal University;Qingsong Zhong:School of Data Science and Engineering, East China Normal University;Jilin Hu:School of Data Science and Engineering, East China Normal University,Engineering Research Center of Blockchain Data Management, Ministry of Education, East China Normal University</t>
  </si>
  <si>
    <t>jlhu@dase.ecnu.edu.cn</t>
  </si>
  <si>
    <t>10.1145/3774904.3792174</t>
  </si>
  <si>
    <t>Yicong Li:Dalian University of Technology;Shan Jin:Dalian University of Technology;Qi Liu:Dalian University of Technology;Shuo Wang:Dalian University of Technology;Jiaying Liu:Dalian University of Technology;Shuo Yu:Dalian University of Technology;Qiang Zhang:Dalian University of Technology;Kuanjiu Zhou:Dalian University of Technology;Feng Xia:RMIT University</t>
  </si>
  <si>
    <t>10.1145/3774904.3792175</t>
  </si>
  <si>
    <t>Soshi Kakio:SANKEN, The University of Osaka;Yasuko Matsubara:SANKEN, The University of Osaka;Ren Fujiwara:SANKEN, The University of Osaka;Yasushi Sakurai:SANKEN, The University of Osaka</t>
  </si>
  <si>
    <t>skakio88@sanken.osaka-u.ac.jp</t>
  </si>
  <si>
    <t>permissionRelease(02/01/2026)</t>
  </si>
  <si>
    <t>10.1145/3774904.3792176</t>
  </si>
  <si>
    <t>Fei Li:Software College, Northeastern University;Xiaoming Liu:Software College, Northeastern University;Jiayi Luo:Software College, Northeastern University;Guibing Guo:Software College, Northeastern University;Jianzhe Zhao:Software College, Northeastern University;Xingwei Wang:School of Computer Science and Engineering, Northeastern University</t>
  </si>
  <si>
    <t>neulifei@stumail.neu.edu.cn</t>
  </si>
  <si>
    <t>10.1145/3774904.3792177</t>
  </si>
  <si>
    <t>Yu-An Liu:University of Chinese Academy of Sciences, CAS;Ruqing Zhang:University of Chinese Academy of Sciences, CAS;Jiafeng Guo:University of Chinese Academy of Sciences, CAS;Changjiang Zhou:University of Chinese Academy of Sciences, CAS;Fan Zhang:WeChat Search Application Department, Tencent Inc.;Yinhu Zhao:WeChat Search Application Department, Tencent Inc.</t>
  </si>
  <si>
    <t>liuyuan21@mails.ucas.ac.cn</t>
  </si>
  <si>
    <t>10.1145/3774904.3792178</t>
  </si>
  <si>
    <t>Zhen Zhang:Shandong University;Zihan Wang:University of Amsterdam;Xinyu Ma:Baidu Inc.;Shuaiqiang Wang:Baidu Inc.;Dawei Yin:Baidu Inc.;Xin Xin:Shandong University;Pengjie Ren:Shandong University;Maarten de Rijke:University of Amsterdam;Zhaochun Ren:Leiden University</t>
  </si>
  <si>
    <t>z.ren@liacs.leidenuniv.nl</t>
  </si>
  <si>
    <t>10.1145/3774904.3792179</t>
  </si>
  <si>
    <t>Changjiang Zhou:Institute of Computing Technology, Chinese Academy of Sciences;Ruqing Zhang:Institute of Computing Technology, Chinese Academy of Sciences;Jiafeng Guo:Institute of Computing Technology, Chinese Academy of Sciences;Maarten de Rijke:University of Amsterdam;Fan Yixing:Institute of Computing Technology, Chinese Academy of Sciences;Xueqi Cheng:Institute of Computing Technology, Chinese Academy of Sciences</t>
  </si>
  <si>
    <t>zhouchangjiang23s@ict.ac.cn</t>
  </si>
  <si>
    <t>10.1145/3774904.3792180</t>
  </si>
  <si>
    <t>Junwei Gong:Hainan University;Xiao Shen:Hainan University;Zhihao Chen:Hainan University;Shirui Pan:Griffith University;Xiao Wang:Beihang University;Xi Zhou:Hainan University</t>
  </si>
  <si>
    <t>shenxiaocam@163.com</t>
  </si>
  <si>
    <t>10.1145/3774904.3792181</t>
  </si>
  <si>
    <t>Koichi Tanaka:Keio University;Ren Kishimoto:Institute of Science Tokyo;Bushun Kawagishi:Meiji University;Yusuke Narita:Yale University;Yasuo Yamamoto:LY Corporation;Nobuyuki Shimizu:LY Corporation;Yuta Saito:Cornell University</t>
  </si>
  <si>
    <t>ys552@cornell.edu</t>
  </si>
  <si>
    <t>10.1145/3774904.3792182</t>
  </si>
  <si>
    <t>Silong Chen:National University of Defense Technology;Yuchuan Luo:National University of Defense Technology;Guilin Deng:National University of Defense Technology;Yi Liu:City University of Hong Kong;Ming Xu:National University of Defense Technology;Shaojing Fu:National University of Defense Technology;Xiaohua Jia:City University of Hong Kong</t>
  </si>
  <si>
    <t>luoyuchuan09@nudt.edu.cn</t>
  </si>
  <si>
    <t>10.1145/3774904.3792183</t>
  </si>
  <si>
    <t>Jesse McCrosky:Egen AI;Ranadheer Malla:University of Exeter;Aapo Tanskanen:Renessai;Chico Camargo:University of Exeter,Ewha Womans University</t>
  </si>
  <si>
    <t>f.camargo@exeter.ac.uk</t>
  </si>
  <si>
    <t>10.1145/3774904.3792184</t>
  </si>
  <si>
    <t>Yu Yan:Henan Key Laboratory of Network Cryptography Technology, Information Engineering University;Siqi Lu:Henan Key Laboratory of Network Cryptography Technology, Information Engineering University;Yang Gao:Henan Key Laboratory of Network Cryptography Technology, Information Engineering University;Zhaoxuan Li:State Key Laboratory of Information Security, Institute of Information Engineering, Chinese Academy of Sciences;Ziming Zhao:Zhejiang University;Qingjun Yuan:Henan Key Laboratory of Network Cryptography Technology, Information Engineering University;Yongjuan Wang:Henan Key Laboratory of Network Cryptography Technology, Information Engineering University</t>
  </si>
  <si>
    <t>080lusiqi@sina.com</t>
  </si>
  <si>
    <t>10.1145/3774904.3792185</t>
  </si>
  <si>
    <t>Bence Ladóczki:Department of Telecommunications and Artificial Intelligence, Faculty of Electrical Engineering and Informatics, Budapest University of Technology and Economics,HUN-REN Information Systems Research Group</t>
  </si>
  <si>
    <t>hikari.code@gmail.com</t>
  </si>
  <si>
    <t>10.1145/3774904.3792186</t>
  </si>
  <si>
    <t>Mingqian Ding:School of Computer Science and Technology, ‌Huazhong University of Science and Technology;Jianjun Li:School of Computer Science and Technology, ‌Huazhong University of Science and Technology;Zhiyuan Ma:School of Computer Science and Technology, Huazhong University of Science and Technology;Liwei Zhang:School of Artificial Intelligence and Automation, ‌Huazhong University of Science and Technology;Wenqi Yang:School of Computer Science and Technology, ‌Huazhong University of Science and Technology</t>
  </si>
  <si>
    <t>jianjunli@hust.edu.cn</t>
  </si>
  <si>
    <t>10.1145/3774904.3792187</t>
  </si>
  <si>
    <t>Weihao Du:College of Computer Science and Software Engineering, Shenzhen University;Ziran Deng:College of Computer Science and Software Engineering, Shenzhen University;Weike Pan:College of Computer Science and Software Engineering, Shenzhen University;Zhong Ming:Guangdong Laboratory of Artiffcial Intelligence and Digital Economy (SZ)</t>
  </si>
  <si>
    <t>panweike@szu.edu.cn</t>
  </si>
  <si>
    <t>10.1145/3774904.3792188</t>
  </si>
  <si>
    <t>Anas Kastantin:University of Grenoble Alpes,KOR Labs;Leonhard Balduf:TU Darmstadt;Onur Ascigil:Lancaster University;Saidu Sokoto:City St George's, University of London;Björn Scheuermann:TU Darmstadt;Andrzej Duda:LIG, University of Grenoble Alpes,KOR Labs;Michał Król:City St George's, University of London;Maciej Korczyński:University of Grenoble Alpes,KOR Labs</t>
  </si>
  <si>
    <t>leonhard.balduf@tu-darmstadt.de</t>
  </si>
  <si>
    <t>10.1145/3774904.3792189</t>
  </si>
  <si>
    <t>Xiaodong Li:Institute of Information Engineering, Chinese Academy of Sciences,School of Cyber Security, UCAS;Juwei Yue:Institute of Information Engineering, Chinese Academy of Sciences,School of Cyber Security, UCAS;Xinghua Zhang:Alibaba Group;Jiawei Sheng:Institute of Information Engineering, Chinese Academy of Sciences;Wenyuan Zhang:Institute of Information Engineering, Chinese Academy of Sciences,School of Cyber Security, UCAS;Taoyu Su:Institute of Information Engineering, Chinese Academy of Sciences;Zefeng Zhang:Institute of Information Engineering, Chinese Academy of Sciences,School of Cyber Security, UCAS;Tingwen Liu:Institute of Information Engineering, Chinese Academy of Sciences,School of Cyber Security, UCAS</t>
  </si>
  <si>
    <t>lixiaodong@iie.ac.cn</t>
  </si>
  <si>
    <t>10.1145/3774904.3792190</t>
  </si>
  <si>
    <t>Qianyu Song:College of Electronic and Information Engineering, Shandong University of Science and Technology;Chao Li:College of Electronic and Information Engineering, Shandong University of Science and Technology;Yeyu Yan:Institute of Information Science, Beijing Jiaotong University;Hui Zhou:College of Computer Science and Engineering, Shandong University of Science and Technology;Zhongying Zhao:College of Computer Science and Engineering, Shandong University of Science and Technology;Qingtian Zeng:College of Computer Science and Engineering, Shandong University of Science and Technology</t>
  </si>
  <si>
    <t>zzysuin@163.com</t>
  </si>
  <si>
    <t>10.1145/3774904.3792191</t>
  </si>
  <si>
    <t>Yanlin Song:School of Computer Science, Wuhan University;Ben Liu:Ant Group;Víctor Gutiérrez-Basulto:School of Computer Science and Informatics, Cardiff University;Zhiwei Hu:College of Information Science and Engineering, Shanxi Agricultural Unverisity;Qianqian Xie:School of Artificial Intelligence, Wuhan University,Center for Language and Information, Wuhan University;Min Peng:School of Artificial Intelligence, Wuhan University,Center for Language and Information, Wuhan University;Sophia Ananiadou:School of Computer Science, University of Manchester;Jeff Z. Pan:ILCC, School of Informatics, University of Edinburgh</t>
  </si>
  <si>
    <t>songyanlin@whu.edu.cn</t>
  </si>
  <si>
    <t>10.1145/3774904.3792192</t>
  </si>
  <si>
    <t>Jiuqiang Li:School of Computing and Artificial Intelligence, Southwest Jiaotong University,Engineering Research Center of Sustainable Urban Intelligent Transportation, Ministry of Education;Hongjun Wang:School of Computing and Artificial Intelligence, Southwest Jiaotong University,Engineering Research Center of Sustainable Urban Intelligent Transportation, Ministry of Education</t>
  </si>
  <si>
    <t>wanghongjun@swjtu.edu.cn</t>
  </si>
  <si>
    <t>permissionRelease(01/31/2026)</t>
  </si>
  <si>
    <t>10.1145/3774904.3792193</t>
  </si>
  <si>
    <t>Xiao Wu:Hubei Key Laboratory of Distributed System Security, Huazhong University of Science and Technology;Alan Romano:University of Southern California;Liyan Huang:University of Southern California;Qiwen Yan:Hubei Key Laboratory of Distributed System Security, Huazhong University of Science and Technology;Cai Fu:Hubei Key Laboratory of Distributed System Security, Huazhong University of Science and Technology;Weihang Wang:University of Southern California</t>
  </si>
  <si>
    <t>weihangw@usc.edu</t>
  </si>
  <si>
    <t>10.1145/3774904.3792194</t>
  </si>
  <si>
    <t>Jiping Zhang:Huazhong University of Science and Technology;Hua Zhu:Huazhong University of Science and Technology;Hong Huang:School of Computer and Science, Huazhong University of Science and Technology;Yongkang Zhou:Huazhong University of Science and Technology;Kehan Yin:Huazhong University of Science and Technology;Bang Liu:University of Montreal</t>
  </si>
  <si>
    <t>honghuang@hust.edu.cn</t>
  </si>
  <si>
    <t>10.1145/3774904.3792195</t>
  </si>
  <si>
    <t>Rui Ou:School of Computer Science and Technology, Tongji University,Key Laboratory of Embedded System and Service Computing, Ministry of Education, Tongji University;Kun Zhu:School of Computer Science and Technology, Tongji University,Key Laboratory of Embedded System and Service Computing, Ministry of Education, Tongji University;Nana Zhang:School of Information and Intelligent Science, Donghua University;Jiangtong Li:School of Computer Science and Technology, Tongji University,Key Laboratory of Embedded System and Service Computing, Ministry of Education, Tongji University;Chaochao Chen:School of Computer Science and Technology, Zhejiang University;Changjun Jiang:School of Computer Science and Technology, Tongji University,Key Laboratory of Embedded System and Service Computing, Ministry of Education, Tongji University</t>
  </si>
  <si>
    <t>kzhu00@tongji.edu.cn</t>
  </si>
  <si>
    <t>10.1145/3774904.3792196</t>
  </si>
  <si>
    <t>Shuo Shao:Zhejiang University;Yiming Li:Nanyang Technological University;Hongwei Yao:City University of Hong Kong;Yifei Chen:Zhejiang University;Yuchen Yang:Zhejiang University;Zhan Qin:Zhejiang University</t>
  </si>
  <si>
    <t>liyiming.tech@gmail.com</t>
  </si>
  <si>
    <t>10.1145/3774904.3792197</t>
  </si>
  <si>
    <t>Quyu Kong:Independent Researcher;Yixuan Zhang:Southeast University;Yang Liu:Independent Researcher;Panrong Tong:Independent Researcher;Enqi Liu:Independent Researcher;Feng Zhou:Center for Applied Statistics and School of Statistics, Renmin University of China</t>
  </si>
  <si>
    <t>feng.zhou@ruc.edu.cn</t>
  </si>
  <si>
    <t>10.1145/3774904.3792198</t>
  </si>
  <si>
    <t>Yuxing Guo:School of Computer and Information Technology, Shanxi University;Jianqing Liang:School of Computer and Information Technology, Shanxi University;Kaixuan Yao:School of Computer and Information Technology, Shanxi University;Zhihao Guo:School of Economics and Management, Shanxi University;Jiye Liang:School of Computer and Information Technology, Shanxi University</t>
  </si>
  <si>
    <t>liangjq@sxu.edu.cn</t>
  </si>
  <si>
    <t>10.1145/3774904.3792199</t>
  </si>
  <si>
    <t>Naen Xu:Zhejiang University;Jinghuai Zhang:University of California, Los Angeles;Ping He:Zhejiang University;Chunyi Zhou:Zhejiang University;Jun Wang:OPPO Research Institute;Zhihui Fu:OPPO Research Institute;Tianyu Du:Zhejiang University;Zhaoxiang Wang:OPPO Research Institute;Shouling Ji:Zhejiang University, Zhejiang Key Laboratory of Decision Intelligence</t>
  </si>
  <si>
    <t>zjradty@zju.edu.cn</t>
  </si>
  <si>
    <t>10.1145/3774904.3792200</t>
  </si>
  <si>
    <t>Zhaoqi Wang:Beijing Institute of Technology;Daqing He:Beijing Institute of Technology;Zijian Zhang:Beijing Institute of Technology;Ye Liu:Singapore Management University;Jiamou Liu:The University of Auckland;Zhirui Zeng:The University of Auckland;Zhan Qin:Zhejiang University;Zhen Li:Beijing Institute of Technology;Xin Li:Beijing Institute of Technology;Hongwei Yao:City University of Hong Kong;Jincheng An:Qi An Xin Technology Group Inc;Yong Liu:Qianxin Technology Group Company Inc,Zhongguancun Laboratory;Yi Li:Nanyang Technological University;Qi Sun:Hangzhou Nuowei Information Technology Company;Xiulei Liu:Beijing Information Science and Technology University;Liehuang Zhu:Beijing Institute of Technology</t>
  </si>
  <si>
    <t>zhangzijian@bit.edu.cn</t>
  </si>
  <si>
    <t>10.1145/3774904.3792201</t>
  </si>
  <si>
    <t>Ziyue Wu:School of Cyberspace Science and Technology, Beijing Jiaotong University;Nan Wang:School of Cyberspace Science and Technology, Beijing Jiaotong University;Jiqiang Liu:School of Cyberspace Science and Technology, Beijing Jiaotong University;Hairong Dong:School of Electronic and Information Engineering, TONGJI University;Xibin Zhao:School of Software, Tsinghua University</t>
  </si>
  <si>
    <t>zxb@tsinghua.edu.cn</t>
  </si>
  <si>
    <t>10.1145/3774904.3792202</t>
  </si>
  <si>
    <t>Yewen Li:Kuaishou Technology;Zhiyi Lyu:Nanyang Technological University;Peng Jiang:Kuaishou Technology;Qingpeng Cai:Kuaishou Technology;Fei Pan:Kuaishou Technology;Bo An:Nanyang Technological University;Peng Jiang:Kuaishou Technology</t>
  </si>
  <si>
    <t>caiqingpeng@kuaishou.com</t>
  </si>
  <si>
    <t>permissionRelease(01/29/2026)</t>
  </si>
  <si>
    <t>10.1145/3774904.3792203</t>
  </si>
  <si>
    <t>Haozhao Wang:The School of Computer Science and Technology, Huazhong University of Science and Technology;Wenchao Xu:Division of Integrative Systems and Design, Hong Kong University of Science and Technology;Jingzhi Wang:School of Electronic Science and Engineering, Nanjing University;Yunfeng Fan:Department of Computing, The Hong Kong Polytechnic University;Xiaoquan Yi:School of Computer Science and Technology, Huazhong University of Science and Technology;Rui Zhang:School of Computer Science and Technology, Huazhong University of Science and Technology (www.ruizhang.info)</t>
  </si>
  <si>
    <t>wenchaoxu@ust.hk</t>
  </si>
  <si>
    <t>10.1145/3774904.3792204</t>
  </si>
  <si>
    <t>Ziqun Bao:East China Normal University;Jiaqiang Niu:Zhejiang Sci-Tech University;Yuchen Shao:East China Normal University,Shanghai Innovation Institute;Chengcheng Wan:East China Normal University,Shanghai Innovation Institute</t>
  </si>
  <si>
    <t>ccwan@sei.ecnu.edu.cn</t>
  </si>
  <si>
    <t>10.1145/3774904.3792205</t>
  </si>
  <si>
    <t>Haowei Han:School of Computer Science, Wuhan University;Yuxiang Wang:School of Computer Science, Wuhan University;Guojia Wan:School of Computer Science, Wuhan University;Hao Wang:School of Computer Science, Wuhan University;Shanshan Feng:School of Computer Science, Wuhan University;Hao Huang:School of Computer Science, Wuhan University;Jiawei Jiang:School of Computer Science, Wuhan University;Xiao Yan:Institute for Math &amp; AI, Wuhan University</t>
  </si>
  <si>
    <t>jiawei.jiang@whu.edu.cn</t>
  </si>
  <si>
    <t>10.1145/3774904.3792206</t>
  </si>
  <si>
    <t>Peining Li:Beijing University of Posts and Telecommunications;Meiyu Liang:Beijing University of Posts and Telecommunications;Wei Huang:Beijing University of Posts and Telecommunications;Junping Du:Beijing University of Posts and Telecommunications;Zhe Xue:Beijing University of Posts and Telecommunications;Guanhua Ye:Beijing University of Posts and Telecommunications;Wu Liu:University of Science and Technology of China;Lei Shi:State Key Laboratory of Media Convergence and Communication, ‌Communication University of China</t>
  </si>
  <si>
    <t>meiyu1210@bupt.edu.cn</t>
  </si>
  <si>
    <t>10.1145/3774904.3792207</t>
  </si>
  <si>
    <t>Yanbo Zhou:College of Computer Science and Technology, Zhejiang University of Technology,Zhejiang Key Laboratory of Visual Information Intelligent Processing;Bin Lü:College of Computer Science and Technology, Zhejiang University of Technology;Xu-Hua Yang:College of Computer Science and Technology, Zhejiang University of Technology;Xin-Li Xu:College of Computer Science and Technology, Zhejiang University of Technology;Boling Wang:College of Computer Science and Engineering, North China Institute of Science and Technology</t>
  </si>
  <si>
    <t>xhyang@zjut.edu.cn</t>
  </si>
  <si>
    <t>10.1145/3774904.3792208</t>
  </si>
  <si>
    <t>Jiadong Xie:The Chinese University of Hong Kong;Jeffrey Liang:The Australian National University;Siyi Teng:The Chinese University of Hong Kong;Jeffrey Xu Yu:The Hong Kong University of Science and Technology (Guangzhou);Yingfan Liu:Xidian University</t>
  </si>
  <si>
    <t>liuyingfan@xidian.edu.cn</t>
  </si>
  <si>
    <t>10.1145/3774904.3792209</t>
  </si>
  <si>
    <t>Xueyang Feng:Gaoling School of Artificial Intelligence, Renmin University of China;Jiakai Tang:Gaoling School of Artificial Intelligence, Renmin University of China;Xu Chen:Gaoling School of Artificial Intelligence, Renmin University of China;Quanyu Dai:Huawei Technologies Ltd.;Zhenhua Dong:Huawei Technologies Ltd.</t>
  </si>
  <si>
    <t>daiquanyu@huawei.com</t>
  </si>
  <si>
    <t>10.1145/3774904.3792210</t>
  </si>
  <si>
    <t>Qicheng Shan:State Key Laboratory for Novel Software Technology, Nanjing University;Yuxuan Yang:State Key Laboratory for Novel Software Technology, Nanjing University;Gong Cheng:State Key Laboratory for Novel Software Technology, Nanjing University</t>
  </si>
  <si>
    <t>gcheng@nju.edu.cn</t>
  </si>
  <si>
    <t>10.1145/3774904.3792211</t>
  </si>
  <si>
    <t>Zhi Pang:School of Cyber Science and Engineering, Wuhan University;Bo Feng:The State Key Laboratory of Blockchain and Data Security, Zhejiang University,Hangzhou High-Tech Zone (Binjiang) Institute of Blockchain and Data Security;Meng Luo:The State Key Laboratory of Blockchain and Data Security, Zhejiang University,Hangzhou High-Tech Zone (Binjiang) Institute of Blockchain and Data Security;Chenhao Liu:School of Cyber Science and Engineering, Wuhan University;Shuwang Xu:School of Cyber Science and Engineering, Wuhan University;Kai Zhao:School of Cyber Science and Engineering, Wuhan University;Yadi Wu:School of Cyber Science and Engineering, Wuhan University;Bo Zeng:School of Cyber Science and Engineering, Wuhan University</t>
  </si>
  <si>
    <t>bo.feng@zju.edu.cn</t>
  </si>
  <si>
    <t>10.1145/3774904.3792212</t>
  </si>
  <si>
    <t>Xingyu Ma:Huazhong University of Science and Technology;Xin Tian:Wuhan AI Research;Lingxiang Wu:Institute of Automation, Chinese Academy of Sciences;Xuepeng Wang:Institute of Automation, Chinese Academy of Sciences;Xueming Tang:Huazhong University of Science and Technology;Jinqiao Wang:Insitute of automation, Chinese Academy of Science,School of Artificial Intelligence, University of Chinese Academy of Sciences</t>
  </si>
  <si>
    <t>xuepeng.wang@ia.ac.cn</t>
  </si>
  <si>
    <t>10.1145/3774904.3792213</t>
  </si>
  <si>
    <t>Ke Chen:Faculty of Arts and Sciences, Beijing Normal University;Jiandian Zeng:Institute of Artificial Intelligence and Future Networks, Beijing Normal University;Zihao Peng:Institute of Artificial Intelligence and Future Networks, Beijing Normal University;Guo Li:Institute of Artificial Intelligence and Future Networks, Beijing Normal University;Guangxue Zhang:Institute of Artificial Intelligence and Future Networks, Beijing Normal University;Tian Wang:Engineering Research Center of Cloud-Edge Intelligent Collaboration on Big Data, Ministry of Education, Beijing Normal University</t>
  </si>
  <si>
    <t>tianwang@bnu.edu.cn</t>
  </si>
  <si>
    <t>10.1145/3774904.3792214</t>
  </si>
  <si>
    <t>Sun Jiayang:School of Cyber Science and Engineering, Huazhong University of Science and Technology;Shenghao Liu:School of Cyber Science and Engineering, Huazhong University of Science and Technology;Xianjun Deng:School of Cyber Science and Engineering, Huazhong University of Science and Technology;Xiang Wei:Faculty of Artificial Intelligence in Education, Central China Normal University;Luo Meng:The State Key Laboratory of Blockchain and Data Security, Zhejiang University,Hangzhou High-Tech Zone (Binjiang) Institute of Blockchain and Data Security;Zhang Qiankun:School of Cyber Science and Engineering, Huazhong University of Science and Technology,Key Laboratory of Cyberspace Security, Ministry of Education of China;Zheng Dandan:School of Cyber Science and Engineering, Huazhong University of Science and Technology</t>
  </si>
  <si>
    <t>liushenghao@hust.edu.cn</t>
  </si>
  <si>
    <t>10.1145/3774904.3792215</t>
  </si>
  <si>
    <t>Yuanyi Song:Shanghai Jiao Tong University;Heyuan Huang:OPPO;Qiqiang Lin:OPPO;Yin Zhao:OPPO;Xiangmou Qu:OPPO;Jun Wang:OPPO;Xingyu Lou:OPPO;Weiwen Liu:Shanghai Jiao Tong University;Zhuosheng Zhang:Shanghai Jiao Tong University;Jun Wang:OPPO;Zhaoxiang Wang:OPPO;Yong Yu:Shanghai Jiao Tong University;Weinan Zhang:Shanghai Jiao Tong University</t>
  </si>
  <si>
    <t>wnzhang@sjtu.edu.cn</t>
  </si>
  <si>
    <t>10.1145/3774904.3792216</t>
  </si>
  <si>
    <t>Chen Xu:Renmin University of China;Zhipeng Yi:University of Science and Technology of China;Ruizi Wang:University of Science and Technology of China;Wenjie Wang:University of Science and Technology of China;Jun Xu:Gaoling School of Artificial Intelligence, Renmin University of China;Maarten de Rijke:University of Amsterdam</t>
  </si>
  <si>
    <t>m.derijke@uva.nl</t>
  </si>
  <si>
    <t>10.1145/3774904.3792217</t>
  </si>
  <si>
    <t>Jingyi Zhou:Xiaohongshu Inc.,Fudan University;Cheng Chen:Xiaohongshu Inc.;Kai Zuo:Xiaohongshu Inc.;Manjie Xu:Xiaohongshu Inc.,Peking University;Zhendong Fu:Xiaohongshu Inc.;Yibo Chen:Xiaohongshu Inc.;Xu Tang:Xiaohongshu Inc.;Yao Hu:Xiaohongshu Inc.</t>
  </si>
  <si>
    <t>zhoujingyi19@fudan.edu.cn</t>
  </si>
  <si>
    <t>10.1145/3774904.3792218</t>
  </si>
  <si>
    <t>Peirong Zheng:Department of Computing, The Hong Kong Polytechnic University;Wenchao Xu:Division of Integrative Systems and Design, The Hong Kong University of Science and Technology;Haozhao Wang:The School of Computer Science and Technology, Huazhong University of Science and Technology</t>
  </si>
  <si>
    <t>10.1145/3774904.3792219</t>
  </si>
  <si>
    <t>Zhaolin Hu:Zhejiang University;Kun Li:United Arab Emirates University;Hehe Fan:Zhejiang University;Yi Yang:Zhejiang University</t>
  </si>
  <si>
    <t>hehefan@zju.edu.cn</t>
  </si>
  <si>
    <t>10.1145/3774904.3792220</t>
  </si>
  <si>
    <t>Tao Chen:Xidian University;Jingyi Zhang:Hikvision Research Institute;Decheng Liu:Xidian Unviersity;Chunlei Peng:Xidian Unviersity</t>
  </si>
  <si>
    <t>clpeng@xidian.edu.cn</t>
  </si>
  <si>
    <t>10.1145/3774904.3792221</t>
  </si>
  <si>
    <t>Zhaodan Zhang:School of Advanced Interdisciplinary Sciences, University of Chinese Academy of Sciences;Jin Zhang:State Key Laboratory of AI Safety, Institute of Computing Technology, Chinese Academy of Sciences;Jiafeng Guo:State Key Laboratory of AI Safety, Institute of Computing Technology, Chinese Academy of Sciences</t>
  </si>
  <si>
    <t>zhangzhaodan23s@ict.ac.cn</t>
  </si>
  <si>
    <t>10.1145/3774904.3792222</t>
  </si>
  <si>
    <t>Ting Gan:School of Computer Science, Wuhan University;Kudereti Kuerban:School of Cyber Science and Engineering, Wuhan University;Qian Yan:School of Computer Science, Wuhan University;Ling Han:Department of Computer Science, Yale University;Zhigao Zheng:School of Computer Science, Wuhan University;Hao Huang:School of Computer Science, Wuhan University</t>
  </si>
  <si>
    <t>10.1145/3774904.3792223</t>
  </si>
  <si>
    <t>Jianxin Wei:National University of Singapore;Ergute Bao:Mohamed bin Zayed University of Artificial Intelligence;Xiaokui Xiao:National University of Singapore;Ting Yu:Mohamed bin Zayed University of Artificial Intelligence</t>
  </si>
  <si>
    <t>jianxinwei@u.nus.edu</t>
  </si>
  <si>
    <t>10.1145/3774904.3792224</t>
  </si>
  <si>
    <t>Jiahao Xie:University of Delaware;Guangmo Tong:University of Delaware</t>
  </si>
  <si>
    <t>jiahaox@udel.edu</t>
  </si>
  <si>
    <t>10.1145/3774904.3792225</t>
  </si>
  <si>
    <t>Gagan Aggarwal:Google Research;Andres Perlroth:Reddit;Ariel Schvartzman:Google Research;Mingfei Zhao:Google Research</t>
  </si>
  <si>
    <t>aschvartzman@google.com</t>
  </si>
  <si>
    <t>10.1145/3774904.3792226</t>
  </si>
  <si>
    <t>Zelin Li:University of Illinois Urbana-Champaign;Yifan Liu:University of Illinois Urbana-Champaign;Huimin Zeng:University of Illinois Urbana-Champaign;Yaokun Liu:University of Illinois Urbana-Champaign;Ruichen Yao:University of Illinois Urbana-Champaign;Yang Zhang:Miami University;Dong Wang:University of Illinois Urbana-Champaign</t>
  </si>
  <si>
    <t>dwang24@illinois.edu</t>
  </si>
  <si>
    <t>10.1145/3774904.3792227</t>
  </si>
  <si>
    <t>Rohan Bose:Technical University of Munich;Jinwei Zhao:University of Victoria;Tanya Shreedhar:Delft University of Technology (TU Delft);Jianping Pan:University of Victoria;Nitinder Mohan:Delft University of Technology (TU Delft)</t>
  </si>
  <si>
    <t>rohan.bose@tum.de</t>
  </si>
  <si>
    <t>10.1145/3774904.3792228</t>
  </si>
  <si>
    <t>Doyun Choi:Korea Advanced Institute of Science and Technology;Cheonwoo Lee:Korea Advanced Institute of Science and Technology;Biniyam Aschalew Tolera:Korea Advanced Institute of Science and Technology;Taewook Ham:Korea Advanced Institute of Science and Technology;Chanyoung Park:Korea Advanced Institute of Science and Technology;Jaemin Yoo:Korea Advanced Institute of Science and Technology</t>
  </si>
  <si>
    <t>jaemin@kaist.ac.kr</t>
  </si>
  <si>
    <t>10.1145/3774904.3792229</t>
  </si>
  <si>
    <t>Shunliang Fu:Nanjing University of Science and Technology;Yanxin Zhang:Independant Study;Yixin Xiang:Nanjing University of Science and Technology;Xiaoyu Du:Nanjing University of Science and Technology;Jinhui Tang:Nanjing Forestry University</t>
  </si>
  <si>
    <t>duxy@njust.edu.cn</t>
  </si>
  <si>
    <t>10.1145/3774904.3792230</t>
  </si>
  <si>
    <t>Yutong Li:University College London;Xinyi Zhang:Imperial College London;Peijie Sun:Nanjing University of Posts and Telecommunications;Letian Sha:Nanjing University of Posts and Telecommunications;Zhongxuan Han:Zhejiang University</t>
  </si>
  <si>
    <t>sun.hfut@gmail.com</t>
  </si>
  <si>
    <t>10.1145/3774904.3792231</t>
  </si>
  <si>
    <t>Ruisheng Shi:Beijing University of Posts and Telecommunications;Yuxuan Liang:Beijing University of Posts and Telecommunications;Zijun Guo:Beijing University of Posts and Telecommunications;Qin Wang:UNSW Sydney;Lina Lan:Beijing University of Posts and Telecommunications;Chenfeng Wang:Beijing University of Posts and Telecommunications;Zhuoyi Zheng:Beijing University of Posts and Telecommunications</t>
  </si>
  <si>
    <t>shiruisheng@bupt.edu.cn</t>
  </si>
  <si>
    <t>10.1145/3774904.3792232</t>
  </si>
  <si>
    <t>Mingjie Qiu:Nanjing University of Posts and Telecommunications;Zhiyi Tan:Nanjing University of Posts and Telecommunications;Bing-Kun Bao:Hefei University of Technology,Nanjing University of Posts and Telecommunications</t>
  </si>
  <si>
    <t>bingkunbao@njupt.edu.cn</t>
  </si>
  <si>
    <t>10.1145/3774904.3792233</t>
  </si>
  <si>
    <t>Ji Shen:School of Computer Science, Shanghai Jiao Tong University;Lixing Chen:School of Computer Science, Shanghai Jiao Tong University;Yang Bai:School of Automation and Intelligent Sensing, Shanghai Jiao Tong University;Zhongqi Miao:School of Computer Science, Shanghai Jiao Tong University;Zhe Qu:School of Computer Science and Engineering, Central South University;Pan Zhou:School of Cyber Science and Engineering, Huazhong University of Science and Technology;Jianhua Li:School of Computer Science, Shanghai Jiao Tong University</t>
  </si>
  <si>
    <t>lxchen@sjtu.edu.cn</t>
  </si>
  <si>
    <t>10.1145/3774904.3792234</t>
  </si>
  <si>
    <t>10.1145/3774904.3792235</t>
  </si>
  <si>
    <t>Wenlin Zhang:City University of Hong Kong;Kuicai Dong:Huawei Technologies Ltd.;Junyi Li:City University of Hong Kong;Yingyi Zhang:City University of Hong Kong;Xiaopeng Li:City University of Hong Kong;Pengyue Jia:City University of Hong Kong;Yi Wen:City University of Hong Kong;Derong Xu:City University of Hong Kong;Maolin Wang:City University of Hong Kong;Yichao Wang:Huawei Technologies Ltd.;Yong Liu:Huawei Technologies Ltd.;Xiangyu Zhao:City University of Hong Kong</t>
  </si>
  <si>
    <t>xianzhao@cityu.edu.hk</t>
  </si>
  <si>
    <t>10.1145/3774904.3792236</t>
  </si>
  <si>
    <t>Jitao Zhao:Tianjin University;Yi Wang:Tianjin University;Yawen Li:Beijing University of Posts and Telecommunications;Dongxiao He:Tianjin University;Di Jin:Tianjin University;Zhiyong Feng:Tianjin University;Weixiong Zhang:The Hong Kong Polytechnic University</t>
  </si>
  <si>
    <t>10.1145/3774904.3792237</t>
  </si>
  <si>
    <t>Mengyu Li:College of Computer Science and Technology, Jilin University;Yonghao Liu:College of Computer Science and Technology, Jilin University;Fausto Giunchiglia:Department of Information Engineering and Computer Science, University of Trento;Ximing Li:College of Computer Science and Technology, Jilin University;Xiaoyue Feng:College of Computer Science and Technology, Jilin University;Renchu Guan:College of Computer Science and Technology, Jilin University</t>
  </si>
  <si>
    <t>fengxy@jlu.edu.cn</t>
  </si>
  <si>
    <t>10.1145/3774904.3792238</t>
  </si>
  <si>
    <t>Liang Chen:Fujian Normal University;Xiaoding Wang:Fujian Normal University;Limei Lin:Fujian Normal University;Dajin Wang:Montclair State University;Zhiquan Liu:Jinan University;Jie Wu:Temple University</t>
  </si>
  <si>
    <t>linlimei@fjnu.edu.cn</t>
  </si>
  <si>
    <t>10.1145/3774904.3792239</t>
  </si>
  <si>
    <t>Guangzhi Qi:Harbin Institute of Technology;Guojun Liu:Harbin Institute of Technology;Qi Zhou:Harbin Institute of Technology</t>
  </si>
  <si>
    <t>hitliu@hit.edu.cn</t>
  </si>
  <si>
    <t>10.1145/3774904.3792240</t>
  </si>
  <si>
    <t>Jinwei Su:South China Normal University;Qizhen Lan:The University of Texas Health Science Center;Yinghui Xia:The Hong Kong University of Science and Technology;Lifan Sun:University of California;Weiyou Tian:Peking University;Tianyu Shi:University of Toronto;Lewei He:South China Normal University</t>
  </si>
  <si>
    <t>2024024579@m.scnu.edu.cn</t>
  </si>
  <si>
    <t>10.1145/3774904.3792241</t>
  </si>
  <si>
    <t>Ke Guo:Gaoling School of Artificial Intelligence, Renmin University of China;Changle Qu:Gaoling School of Artificial Intelligence, Renmin University of China;Xiao Zhang:Gaoling School of Artificial Intelligence, Renmin University of China;Liqin Zhao:Kuaishou Technology;Shijun Wang:Kuaishou Technology;Yanan Niu:Kuaishou Technology;Jun Xu:Gaoling School of Artificial Intelligence, Renmin University of China</t>
  </si>
  <si>
    <t>zhangx89@ruc.edu.cn</t>
  </si>
  <si>
    <t>10.1145/3774904.3792242</t>
  </si>
  <si>
    <t>Jixuan Wu:Fujian Normal University;Limei Lin:Fujian Normal University;Xiaoding Wang:Fujian Normal University;Kunpeng Xu:McGill University;Jie Wu:Temple University</t>
  </si>
  <si>
    <t>10.1145/3774904.3792243</t>
  </si>
  <si>
    <t>Yingpeng Du:Nanyang Technological University;Zhu Sun:Singapore University of Technology and Design;Tianjun Wei:Nanyang Technological University;Jie Zhang:Nanyang Technological University</t>
  </si>
  <si>
    <t>yingpeng.du@ntu.edu.sg</t>
  </si>
  <si>
    <t>10.1145/3774904.3792244</t>
  </si>
  <si>
    <t>Huaming Du:Southwestern University of Finance and Economics;Tao Hu:Southwestern University of Finance and Economics;Yijie Huang:Southwestern University of Finance and Economics;Yu Zhao:Southwestern University of Finance and Economics;Guisong Liu:Southwestern University of Finance and Economics;Tao Gu:Southwestern University of Finance and Economics;Gang Kou:Southwestern University of Finance and Economics;Carl Yang:Emory University</t>
  </si>
  <si>
    <t>j.carlyang@emory.edu</t>
  </si>
  <si>
    <t>10.1145/3774904.3792245</t>
  </si>
  <si>
    <t>Joy Jia Yin Lim:Department of Computer Science and Technology, Beijing National Research Center for Information Science and Technology, Tsinghua University;Ye He:Department of Computer Science and Technology, Tsinghua University;Jifan Yu:Institution of Education, Tsinghua University;Xin Cong:Department of Statistics and Data Science, Tsinghua University;Daniel Zhang-Li:Department of Computer Science and Technology, Tsinghua University;Zhiyuan Liu:Department of Computer Science and Technology, Tsinghua University;Huiqin Liu:Institution of Education, Tsinghua University;Lei Hou:Department of Computer Science and Technology, Tsinghua University;Juanzi Li:Department of Computer Science and Technology, Tsinghua University;Bin Xu:Department of Computer Science and Technology, Beijing National Research Center for Information Science and Technology, Tsinghua University</t>
  </si>
  <si>
    <t>xubin@tsinghua.edu.cn</t>
  </si>
  <si>
    <t>10.1145/3774904.3792246</t>
  </si>
  <si>
    <t>Jie Li:Beijing University of Posts and Telecommunications;Jinrui Wang:Beijing University of Posts and Telecommunications;Linmei Hu:Beijing Institute of Technology;Yuqiu Deng:Beijing University of Posts and Telecommunications</t>
  </si>
  <si>
    <t>hulinmei@bit.edu.cn</t>
  </si>
  <si>
    <t>10.1145/3774904.3792247</t>
  </si>
  <si>
    <t>Xinxin Xing:Beihang University;Yizhong Liu:Beihang University,Beijing Advanced Innovation Center for Future Blockchain and Privacy Computing;Ruonan Chen:Xidian University;Banghong Qin:Beihang University;Wangjie Qiu:Beihang University,Beijing Advanced Innovation Center for Future Blockchain and Privacy Computing;Jianwei Liu:Beihang University;Qianhong Wu:Beihang University;Willy Susilo:University of Wollongong;Robert H. Deng:Singapore Management University</t>
  </si>
  <si>
    <t>liuyizhong@buaa.edu.cn</t>
  </si>
  <si>
    <t>10.1145/3774904.3792248</t>
  </si>
  <si>
    <t>Sunwoo Kim:KAIST;Hyunjin Hwang:KAIST;Kijung Shin:KAIST</t>
  </si>
  <si>
    <t>10.1145/3774904.3792249</t>
  </si>
  <si>
    <t>Zemu Liu:School of Computer Science, Beijing Institute of Technology;Zhida Qin:School of Computer Science, Beijing Institute of Technology;Pengzhan Zhou:School of Computer Science, Chongqing University;Tianyu Huang:School of Computer Science, Beijing Institute of Technology;Gangyi Ding:School of Computer Science, Beijing Institute of Technology</t>
  </si>
  <si>
    <t>zanderqin@bit.edu.cn</t>
  </si>
  <si>
    <t>10.1145/3774904.3792250</t>
  </si>
  <si>
    <t>Junqiang Peng:University of Electronic Science and Technology of China;Tian Bai:Department of Informatics, University of Bergen;Jingyang Zhao:University of Electronic Science and Technology of China;Mingyu Xiao:University of Electronic Science and Technology of China</t>
  </si>
  <si>
    <t>myxiao@gmail.com</t>
  </si>
  <si>
    <t>10.1145/3774904.3792251</t>
  </si>
  <si>
    <t>Junghun Kim:Data Mining Lab, Seoul National University;Shihyung Park:Seoul National University;U Kang:Seoul National University</t>
  </si>
  <si>
    <t>ukang@snu.ac.kr</t>
  </si>
  <si>
    <t>10.1145/3774904.3792252</t>
  </si>
  <si>
    <t>Jiawei Sheng:Institute of Information Engineering, CAS;Taoyu Su:Institute of Information Engineering, CAS;Xixun Lin:Institute of Information Engineering, CAS;Xiaodong Li:Institute of Information Engineering, CAS,School of Cyber Security, UCAS;Tingwen Liu:Institute of Information Engineering, CAS,School of Cyber Security, UCAS</t>
  </si>
  <si>
    <t>shengjiawei@iie.ac.cn</t>
  </si>
  <si>
    <t>10.1145/3774904.3792253</t>
  </si>
  <si>
    <t>Dongliang Liao:South China University of Technology;Chenxing Wang:Tencent Inc.;Yawen Zeng:South China University of Technology</t>
  </si>
  <si>
    <t>liaodl@scut.edu.cn</t>
  </si>
  <si>
    <t>10.1145/3774904.3792254</t>
  </si>
  <si>
    <t>Xiaofei Yue:School of Software Technology, Zhejiang University,Beijing Institute of Technology;Fangming Zhao:School of Software Technology, Zhejiang University;Fulun Ye:School of Software Technology, Zhejiang University;Jiongchi Yu:Singapore Management University;Zhaoxuan Li:Institute of Information Engineering, CAS;Tingting Li:School of Software Technology, Zhejiang University;Ziming Zhao:School of Software Technology, Zhejiang University;Jianwei Yin:School of Software Technology, Zhejiang University</t>
  </si>
  <si>
    <t>lizhaoxuan@iie.ac.cn</t>
  </si>
  <si>
    <t>10.1145/3774904.3792255</t>
  </si>
  <si>
    <t>Weiyi Yang:Beihang University, Beijing, China;Richong Zhang:Beihang University, Beijing, China;Junfan Chen:Beihang University, Beijing, China;Jiawei Sheng:Institute of Information Engineering, Chinese Academy of Sciences;Lihong Wang:Coordination Institute of China</t>
  </si>
  <si>
    <t>yangweiyi@buaa.edu.cn</t>
  </si>
  <si>
    <t>10.1145/3774904.3792256</t>
  </si>
  <si>
    <t>Xiangxiang Chen:Zhejiang University;Peixin Zhang:Singapore Management University;Jun Sun:Singapore Management University;Jin Song Dong:National University of Singapore;Wenhai Wang:Zhejiang University;Jingyi Wang:Zhejiang University</t>
  </si>
  <si>
    <t>pxzhang94@gmail.com</t>
  </si>
  <si>
    <t>10.1145/3774904.3792257</t>
  </si>
  <si>
    <t>Sijia Li:Shanghai University of Engineering Science;Xiaoyu Tan:National University of Singapore;Shahir Ali:Droidrun;Niels Schmidt:Droidrun;Gengchen Ma:Shanghai University of Engineering Science;Xihe Qiu:Shanghai University of Engineering Science</t>
  </si>
  <si>
    <t>qiuxihe1993@gmail.com</t>
  </si>
  <si>
    <t>10.1145/3774904.3792258</t>
  </si>
  <si>
    <t>Yongkang Guo:CFCS, School of Computer Science, Peking University;Zhihuan Huang:CFCS, School of Computer Science, Peking University;Yuqing Kong:CFCS, School of Computer Science, Peking University</t>
  </si>
  <si>
    <t>yuqing.kong@pku.edu.cn</t>
  </si>
  <si>
    <t>10.1145/3774904.3792259</t>
  </si>
  <si>
    <t>Mingyu Zhao:Renmin University of China;Haoran Bai:Meituan;Yu Tian:Meituan;Bing Zhu:Meituan;Hengliang Luo:Meituan</t>
  </si>
  <si>
    <t>zhubing04@meituan.com</t>
  </si>
  <si>
    <t>10.1145/3774904.3792260</t>
  </si>
  <si>
    <t>Qinde Chen:SSE, Sun Yat-sen University;Huawei Huang:SSE, Sun Yat-Sen University, China;Jian Zheng:SSE, Sun Yat-Sen University, China</t>
  </si>
  <si>
    <t>huanghw28@mail.sysu.edu.cn</t>
  </si>
  <si>
    <t>10.1145/3774904.3792261</t>
  </si>
  <si>
    <t>Jiale Huang:Tianjin University of Technology;Yingyuan Xiao:Tianjin University of Technology;Likang Wu:College of Management and Economics, Tianjin University,Tianjin University of Technology;Xu Cheng:Tianjin University of Technology;Wengguang Zheng:Tianjin University of Technology;Qingbo Hao:Tianjin University of Technology;Ming He:Lenovo Research;Hongke Zhao:College of Management and Economics, Tianjin University,Tianjin University of Technology</t>
  </si>
  <si>
    <t>yyxiao@tjut.edu.cn</t>
  </si>
  <si>
    <t>10.1145/3774904.3792262</t>
  </si>
  <si>
    <t>Chaoqun Cui:MAIS, Institute of Automation, Chinese Academy of Sciences,School of AI, University of Chinese Academy of Sciences;Shijing Wang:Beijing Jiaotong University,Hujing Digital Media &amp; Entertainment Group;Liangbin Huang:Hujing Digital Media &amp; Entertainment Group;Qingqing Gu:Geely AI Lab;Zhaolong Huang:Hujing Digital Media &amp; Entertainment Group;Xiao Zeng:Hujing Digital Media &amp; Entertainment Group;Wenji Mao:MAIS, Institute of Automation, Chinese Academy of Sciences,School of AI, University of Chinese Academy of Sciences</t>
  </si>
  <si>
    <t>wenji.mao@ia.ac.cn</t>
  </si>
  <si>
    <t>10.1145/3774904.3792263</t>
  </si>
  <si>
    <t>Xudong Zhao:Nanjing University of Information Science and Technology,Key Laboratory of Symbolic Computation and Knowledge Engineering of Ministry of Education, Jilin University;Xiaolong Xu:Nanjing University of Information Science &amp; technology;Haolong Xiang:Nanjing University of Information Science &amp; technology,Key Laboratory of Symbolic Computation and Knowledge Engineering of Ministry of Education, Jilin University;Tong Gao:Nanjing University of Information Science &amp; technology;Lianyong Qi:China University of Petroleum (East China);Amin Beheshti:Macquarie University;Xuyun Zhang:Macquarie University;Wanchun Dou:Nanjing University</t>
  </si>
  <si>
    <t>xlxu@ieee.org</t>
  </si>
  <si>
    <t>10.1145/3774904.3792264</t>
  </si>
  <si>
    <t>Gong Chen:State Key Laboratory for Novel Software Technology, Nanjing University;Mingkai Lin:State Key Laboratory for Novel Software Technology, Nanjing University;Xiaobin Hong:State Key Laboratory for Novel Software Technology, Nanjing University;Wenzhong Li:State Key Laboratory for Novel Software Technology, Nanjing University;Sanglu Lu:State Key Laboratory for Novel Software Technology, Nanjing University</t>
  </si>
  <si>
    <t>lwz@nju.edu.cn</t>
  </si>
  <si>
    <t>10.1145/3774904.3792265</t>
  </si>
  <si>
    <t>Shiyang Huang:Institute of Computing Technology, Chinese Academy of Sciences,University of Chinese Academy of Sciences;Gerui Lv:Institute of Computing Technology, Chinese Academy of Sciences,University of Chinese Academy of Sciences;Yuankang Zhao:Institute of Computing Technology, Chinese Academy of Sciences,University of Chinese Academy of Sciences;Jiaxing Zhang:Institute of Computing Technology, Chinese Academy of Sciences,University of Chinese Academy of Sciences;Qingyue Tan:Institute of Computing Technology, Chinese Academy of Sciences;Congkai An:Beijing University of Posts and Telecommunications;Huanhuan Zhang:Beijing University of Posts and Telecommunications;Xinyi Zhang:Computer Network Information Center, Chinese Academy of Sciences;Qinghua Wu:Institute of Computing Technology, Chinese Academy of Sciences,University of Chinese Academy of Sciences;Zhenyu Li:Institute of Computing Technology, Chinese Academy of Sciences,University of Chinese Academy of Sciences</t>
  </si>
  <si>
    <t>wuqinghua@ict.ac.cn</t>
  </si>
  <si>
    <t>10.1145/3774904.3792266</t>
  </si>
  <si>
    <t>Renda Han:Tianjin Key Laboratory of Cognitive Computing and Application, School of Artificial Intelligence, Tianjin University;Xiaobao Wang:Tianjin Key Laboratory of Cognitive Computing and Application, School of Artificial Intelligence, Tianjin University;Longbiao Wang:Tianjin Key Laboratory of Cognitive Computing and Application, School of Artificial Intelligence, Tianjin University;Wenxin Zhang:University of Chinese Academy of Sciences;Ronghao Fu:Jilin University;Kaiming Wang:Southeast University;Zeyu Zhang:The Australian National University;Kuntharrgyal Khysru:Qinghai Minzu University</t>
  </si>
  <si>
    <t>wangxiaobao@tju.edu.cn</t>
  </si>
  <si>
    <t>10.1145/3774904.3792267</t>
  </si>
  <si>
    <t>Jiayu Bao:School of Artificial Intelligence and Computer Science, Jiangnan University;Hongjian Shi:School of Computer Science, Shanghai Jiao Tong University;Guanyu Zhang:School of Artificial Intelligence and Computer Science, Jiangnan University;Rui Zhou:School of Artificial Intelligence and Computer Science, Jiangnan University;Haozhao Wang:The School of Computer Science and Technology, Huazhong University of Science and Technology;Yuan Liu:School of Artificial Intelligence and Computer Science, Jiangnan University</t>
  </si>
  <si>
    <t>hz_wang@hust.edu.cn</t>
  </si>
  <si>
    <t>10.1145/3774904.3792268</t>
  </si>
  <si>
    <t>Jialun Zheng:Department of Computing, The Hong Kong Polytechnic University;Jie Liu:Department of Computer Science, City University of Hong Kong;Jiannong Cao:Department of Computing, The Hong Kong Polytechnic University;Xiao Wang:School of Software, Beihang University;Hanchen Yang:Department of Computing, The Hong Kong Polytechnic University;Yankai Chen:School of Computer Science, McGill University</t>
  </si>
  <si>
    <t>hanchen.yang@connect.polyu.hk</t>
  </si>
  <si>
    <t>10.1145/3774904.3792269</t>
  </si>
  <si>
    <t>Anyuan Sang:Xidian University;Li Yang:Xidian University,Shaanxi Key Laboratory of Network and System Security;Lu Zhou:Xidian University;Cheng Zhou:Xidian University;Junbo Jia:Xidian University;Huipeng Yang:Xidian University</t>
  </si>
  <si>
    <t>zhoulu@xidian.edu.cn</t>
  </si>
  <si>
    <t>10.1145/3774904.3792270</t>
  </si>
  <si>
    <t>Qishen Han:Rutges University;Grant Schoenebeck:University of Michigan;Biaoshuai Tao:Shanghai Jiao Tong University;Lirong Xia:Rutgers University</t>
  </si>
  <si>
    <t>hnickc2017@gmail.com</t>
  </si>
  <si>
    <t>10.1145/3774904.3792271</t>
  </si>
  <si>
    <t>Han Zhao:Hohai University,State Key Laboratory for Novel Software Technology, Nanjing University;Xu Yang:Xidian University;Cheng Deng:Hohai University;Fan Liu:Hohai University</t>
  </si>
  <si>
    <t>hzhao1698@gmail.com</t>
  </si>
  <si>
    <t>10.1145/3774904.3792272</t>
  </si>
  <si>
    <t>Youheng Bai:Guangdong Institute of Smart Education, Jinan University;Mingliang Hou:TAL Education Group;Teng Guo:Guangdong Institute of Smart Education, Jinan University;Zitao Liu:Guangdong Institute of Smart Education, Jinan University;Weiqi Luo:Guangdong Institute of Smart Education, Jinan University</t>
  </si>
  <si>
    <t>zitao.jerry.liu@gmail.com</t>
  </si>
  <si>
    <t>10.1145/3774904.3792273</t>
  </si>
  <si>
    <t>Manjiang Yu:EECS, University of Queensland;Hongji Li:MBZUAI;Priyanka Singh:EECS, University of Queensland;Xue Li:EECS, University of Queensland;Di Wang:KAUST;Lijie Hu:MBZUAI</t>
  </si>
  <si>
    <t>lijie.hu@mbzuai.ac.ae</t>
  </si>
  <si>
    <t>permissionRelease(02/02/2026)</t>
  </si>
  <si>
    <t>10.1145/3774904.3792274</t>
  </si>
  <si>
    <t>Hengtong Zhang:Harbin Institute of Technology;Chen Ye:Hangzhou Dianzi University;Hongzhi Wang:Harbin Institute of Technology</t>
  </si>
  <si>
    <t>hengtong@hit.edu.cn</t>
  </si>
  <si>
    <t>10.1145/3774904.3792275</t>
  </si>
  <si>
    <t>Qishen Han:Rutgers University;Grant Schoenebeck:University of Michigan;Biaoshuai Tao:Shanghai Jiao Tong University;Lirong Xia:Rutgers University</t>
  </si>
  <si>
    <t>10.1145/3774904.3792276</t>
  </si>
  <si>
    <t>Zhongyu Yang:BCML, Heriot-Watt University;Wei Pang:BCML, Heriot-Watt University;Yingfang Yuan:BCML, Heriot-Watt University</t>
  </si>
  <si>
    <t>Y.Yuan@hw.ac.uk</t>
  </si>
  <si>
    <t>10.1145/3774904.3792277</t>
  </si>
  <si>
    <t>Shaokang Jiang:University of California San Diego;Arshia Arya:University of California San Diego;Seoyoung Kweon:University of California San Diego;Ivan Liang:University of California San Diego;Deepak Kumar:University of California San Diego;Kristen Vaccaro:University of California San Diego</t>
  </si>
  <si>
    <t>shj002@ucsd.edu</t>
  </si>
  <si>
    <t>10.1145/3774904.3792278</t>
  </si>
  <si>
    <t>Abdur-Rahman Ibrahim Sayyid-Ali:Lahore University of Management Sciences (LUMS);Daanish Uddin Khan:Lahore University of Management Sciences (LUMS);Naveed Anwar Bhatti:Lahore University of Management Sciences (LUMS)</t>
  </si>
  <si>
    <t>naveed.bhatti@lums.edu.pk</t>
  </si>
  <si>
    <t>10.1145/3774904.3792279</t>
  </si>
  <si>
    <t>Xiaoxin Ye:University of New South Wales;Chengkai Huang:Macquarie University,University of New South Wales;Hongtao Huang:University of New South Wales;Lina Yao:CSIRO’s Data61,University of New South Wales</t>
  </si>
  <si>
    <t>xiaoxin.ye@unsw.edu.au</t>
  </si>
  <si>
    <t>10.1145/3774904.3792280</t>
  </si>
  <si>
    <t>Liangwei Nathan Zheng:Australian Institute for Machine Learning, Adelaide University;Wenhao Liang:Australian Institute for Machine Learning, Adelaide University;Wei Emma Zhang:Australian Institute for Machine Learning, Adelaide University;Miao Xu:The University of Queensland;Olaf Maennel:School of Computer Science and Information Technology, Adelaide University;Weitong Chen:Australian Institute for Machine Learning, Adelaide University</t>
  </si>
  <si>
    <t>T.Chen@Adelaide.edu.au</t>
  </si>
  <si>
    <t>10.1145/3774904.3792281</t>
  </si>
  <si>
    <t>Enze Yu:Nanjing University;Penghuan Cheng:Nanjing University;Haipeng Dai:Nanjing University;Haihan Zhang:Nanjing University;Sujin Hou:Jilin University;Meng Li:Nanjing University;Zhenzhe Zheng:Shanghai Jiao Tong University;Qiang He:Huazhong University of Science and Technology;Guihai Chen:Nanjing University</t>
  </si>
  <si>
    <t>haipengdai@nju.edu.cn</t>
  </si>
  <si>
    <t>10.1145/3774904.3792282</t>
  </si>
  <si>
    <t>Shuai Ren:CIAT &amp; Guangdong Key Laboratory of Industrial Control System Security &amp; Huangpu Research School, Guangzhou University;Fan Zhang:CIAT &amp; Guangdong Key Laboratory of Industrial Control System Security &amp; Huangpu Research School, Guangzhou University;Bolin Wang:CIAT &amp; Guangdong Key Laboratory of Industrial Control System Security &amp; Huangpu Research School, Guangzhou University;Xiang Zhao:National Key Laboratory of Big Data and Decision, National University of Defense Technology;Zhihong Tian:CIAT &amp; Guangdong Key Laboratory of Industrial Control System Security &amp; Huangpu Research School, Guangzhou University</t>
  </si>
  <si>
    <t>zhangf@gzhu.edu.cn</t>
  </si>
  <si>
    <t>10.1145/3774904.3792283</t>
  </si>
  <si>
    <t>Zhi-Yuan Chen:Gaoling School of Artificial Intelligence, Renmin University of China;Siyu Lu:Meituan;Qiang Liu:Meituan;Xingxing Wang:Meituan;Yankai Lin:Gaoling School of Artificial Intelligence, Renmin University of China</t>
  </si>
  <si>
    <t>yankailin@ruc.edu.cn</t>
  </si>
  <si>
    <t>10.1145/3774904.3792284</t>
  </si>
  <si>
    <t>Bowen Fan:Beijing Institute of Technology;Zhilin Guo:Shandong University;Xunkai Li:Beijing Institute of Technology;Yihan Zhou:Beijing Institute of Technology;Bing Zhou:Shenzhen Institute of Technology;Zhenjun Li:Shenzhen Institute of Technology;Rong-Hua Li:Beijing Institute of Technology;Guoren Wang:Beijing Institute of Technology</t>
  </si>
  <si>
    <t>3220241345@bit.edu.cn</t>
  </si>
  <si>
    <t>10.1145/3774904.3792285</t>
  </si>
  <si>
    <t>Jun Yang:School of Computer Science and Technology, Beijing Institute of Technology;Bai Yuhan:School of Computer Science and Technology, Beijing Institute of Technology;Dandan Song:School of Computer Science and Technology, Beijing Institute of Technology;Zhijing Wu:School of Computer Science and Technology, Beijing Institute of Technology;Yuhang Tian:School of Computer Science and Technology, Beijing Institute of Technology</t>
  </si>
  <si>
    <t>sdd@bit.edu.cn</t>
  </si>
  <si>
    <t>10.1145/3774904.3792286</t>
  </si>
  <si>
    <t>Yejiang Wang:Northeastern University,Xiamen University;Yuhai Zhao:Northeastern University;Fangting Li:Northeastern University;Jiapu Wang:Nanjing University of Science and Technology;Meixia Wang:Northeastern University;Ling Li:Shanxi University;Miaomiao Huang:Northeastern University;Zhengkui Wang:Singapore Institute of Technology;Shirui Pan:Griffith University</t>
  </si>
  <si>
    <t>zhaoyuhai@mail.neu.edu.cn</t>
  </si>
  <si>
    <t>10.1145/3774904.3792287</t>
  </si>
  <si>
    <t>Xuri Ge:Shandong University;Chunhao Wang:Shandong University;Xindi Wang:Shandong University;Zheyun Qin:Shandong University;Zhumin Chen:Shandong University;Xin Xin:Shandong University</t>
  </si>
  <si>
    <t>xinxin@sdu.edu.cn</t>
  </si>
  <si>
    <t>10.1145/3774904.3792288</t>
  </si>
  <si>
    <t>Xiyuan Zhao:Tsinghua University;Xinhao Deng:Ant Group,Tsinghua University;Tianyu Cui:Zhongguancun Laboratory;Yixiang Zhang:Tsinghua University;Ke Xu:Tsinghua University,Zhongguancun Laboratory;Qi Li:Tsinghua University,Zhongguancun Laboratory</t>
  </si>
  <si>
    <t>qli01@tsinghua.edu.cn</t>
  </si>
  <si>
    <t>10.1145/3774904.3792289</t>
  </si>
  <si>
    <t>Haiyan Wu:Zhejiang University of Finance and Economics;Chenchen Wang:Zhejiang University of Finance and Economics;Chaoqun Sun:Zhejiang University of Finance and Economics;Chengxiong Lu:Zhejiang University of Finance and Economics;Zhiqiang Zhang:Zhejiang University of Finance and Economics;Yanhong Chen:Zhejiang University of Finance and Economics</t>
  </si>
  <si>
    <t>cyhong@zufe.edu.cn</t>
  </si>
  <si>
    <t>10.1145/3774904.3792290</t>
  </si>
  <si>
    <t>Hongxu Ma:Fudan University;Kai Tian:Kuaishou Technology;Tao Zhang:Kuaishou Technology;Xuefeng Zhang:Kuaishou Technology;Han Zhou:Shanghai University of Finance and Economics;Chenghou Jin:Fudan University;Chunjie Chen:Kuaishou Technology;Han Li:Kuaishou Technology;Jihong Guan:Tongji University;Shuigeng Zhou:Fudan University</t>
  </si>
  <si>
    <t>sgzhou@fudan.edu.cn</t>
  </si>
  <si>
    <t>10.1145/3774904.3792291</t>
  </si>
  <si>
    <t>Tongguan Wang:College of Informatics, Huazhong Agricultural University;Junkai Li:College of Informatics, Huazhong Agricultural University;Feiyue Xue:College of Informatics, Huazhong Agricultural University;Hui Liu:College of Informatics, Huazhong Agricultural University;Dongyu Su:College of Informatics, Huazhong Agricultural University;Wangjun Huang:College of Informatics, Huazhong Agricultural University;Ying Sha:College of Informatics, Huazhong Agricultural University,Engineering Research Center of Intelligent Technology for Agriculture</t>
  </si>
  <si>
    <t>shaying@mail.hzau.edu.cn</t>
  </si>
  <si>
    <t>10.1145/3774904.3792292</t>
  </si>
  <si>
    <t>Junming Zhou:School of Computer Science, South China Normal University;Hao Zhong:School of Computer Science, Guangdong Polytechnic Normal University;Shupeng Li:School of Computer Science, South China Normal University;Zhengyang Wu:School of Computer Science, South China Normal University;Yong Tang:School of Computer Science, South China Normal University,Institute of Data Intelligence, Guangdong University of Science and Technology;Ronghua Lin:School of Computer Science, South China Normal University</t>
  </si>
  <si>
    <t>rhlin@m.scnu.edu.cn</t>
  </si>
  <si>
    <t>10.1145/3774904.3792293</t>
  </si>
  <si>
    <t>Jianye Xie:College of Computer Science and Technology, China University of Petroleum (East China),Shandong Key Laboratory of Intelligent Oil and Gas Industrial Software;Chunhua Hu:Institute of Big Data and Internet Innovation, Hunan University of Technology and Business;Lianyong Qi:College of Computer Science and Technology, China University of Petroleum (East China),Shandong Key Laboratory of Intelligent Oil and Gas Industrial Software;Fan Wang:College of Computer Science, Zhejiang University;Xiaolong Xu:School of Computer and Software, Nanjing University of Information Science and Technology;Haolong Xiang:School of Software, Nanjing University of Information Science and Technology;Xuyun Zhang:School of Computing, Macquarie University;Shichao Pei:Department of Computer Science, University of Massachusetts Boston;Amin Beheshti:School of Computing, Macquarie University;Wanchun Dou:State Key Laboratory for Novel Software Technology, School of Computer Science and Technology, Nanjing University;Xiaokang Zhou:Faculty of Business and Data Science, Kansai University,RIKEN Center for Advanced Intelligence Project</t>
  </si>
  <si>
    <t>lianyongqi@upc.edu.cn</t>
  </si>
  <si>
    <t>10.1145/3774904.3792294</t>
  </si>
  <si>
    <t>Xinrui He:University of Illinois Urbana-Champaign;Ting-Wei Li:University of Illinois Urbana-Champaign;Tianxin Wei:University of Illinois Urbana-Champaign;Xuying Ning:University of Illinois Urbana-Champaign;Xinyu He:University of Illinois Urbana-Champaign;Wenxuan Bao:University of Illinois Urbana-Champaign;Hanghang Tong:University of Illinois Urbana-Champaign;Jingrui He:University of Illinois Urbana-Champaign</t>
  </si>
  <si>
    <t>xhe33@illinois.edu</t>
  </si>
  <si>
    <t>10.1145/3774904.3792295</t>
  </si>
  <si>
    <t>Mengsha Kou:RMIT University;Xiaoyu Xia:RMIT University;Ziqi Wang:RMIT University;Ibrahim Khalil:RMIT University;Ruikun Luo:Huazhong University of Science and Technology;Jingwen Zhou:CSIRO’s Data61;Minhui Xue:CSIRO’s Data61,Responsible AI Research (RAIR) Centre</t>
  </si>
  <si>
    <t>xiaoyushaw@gmail.com</t>
  </si>
  <si>
    <t>10.1145/3774904.3792296</t>
  </si>
  <si>
    <t>Yiran Gao:Huazhong University of Science and Technology;Pengcheng Xia:Huazhong University of Science and Technology;Liu Wang:Huazhong University of Science and Technology;Tianming Liu:Huazhong University of Science and Technology;Haoyu Wang:Huazhong University of Science and Technology</t>
  </si>
  <si>
    <t>tmliu@hust.edu.cn</t>
  </si>
  <si>
    <t>10.1145/3774904.3792297</t>
  </si>
  <si>
    <t>Yitong Wang:Nanjing University of Aeronautics and Astronautics;Pengfei Yu:Nanjing University of Aeronautics and Astronautics;Hao Han:Nanjing University of Aeronautics and Astronautics;Jingjing Gu:Nanjing University of Aeronautics and Astronautics;Fengyuan Xu:Nanjing University;Xinyi Huang:Nanjing University of Aeronautics and Astronautics</t>
  </si>
  <si>
    <t>hhan@nuaa.edu.cn</t>
  </si>
  <si>
    <t>10.1145/3774904.3792298</t>
  </si>
  <si>
    <t>Mingming Zhang:Zhejiang University,Ant Group;Pengfei Shi:Ant Group;Junbo Zhao:Zhejiang University;Ningtao Wang:Ant Group;Feng Zhao:Ant Group;Guandong Sun:Ant Group;Yulin Kang:Ant Group;Xing Fu:Ant Group;Zhiqing Xiao:Zhejiang University;Weiqiang Wang:Ant Group;Ruizhe Gao:Ant Group</t>
  </si>
  <si>
    <t>ningtao.nt@antgroup.com</t>
  </si>
  <si>
    <t>10.1145/3774904.3792299</t>
  </si>
  <si>
    <t>Yuanzhen Hao:University of Chinese Academy of Sciences;Desheng Wu:University of Chinese Academy of Sciences</t>
  </si>
  <si>
    <t>dwu@ucas.ac.cn</t>
  </si>
  <si>
    <t>10.1145/3774904.3792300</t>
  </si>
  <si>
    <t>Zehan Lin:University of Macau;Xiaowei Wu:University of Macau;Shengwei Zhou:Nanyang Technological University</t>
  </si>
  <si>
    <t>yc47490@um.edu.mo</t>
  </si>
  <si>
    <t>10.1145/3774904.3792301</t>
  </si>
  <si>
    <t>Guanting Dong:Beijing University of Posts and Telecommunications, Renmin University of China;Licheng Bao:Kuaishou Technology;Zhongyuan Wang:Kuaishou Technology;Kangzhi Zhao:Kuaishou Technology;Xiaoxi Li:Renmin University of China;Jiajie Jin:Renmin University of China;Jinghan Yang:Kuaishou Technology;Hangyu Mao:Kuaishou Technology;Fuzheng Zhang:Kuaishou Technology;Kun Gai:Kuaishou Technology;Guorui Zhou:Kuaishou Technology;Yutao Zhu:Renmin University of China;Ji-Rong Wen:Renmin University of China;Zhicheng Dou:Renmin University of China</t>
  </si>
  <si>
    <t>dou@ruc.edu.cn</t>
  </si>
  <si>
    <t>10.1145/3774904.3792302</t>
  </si>
  <si>
    <t>Jianye Xie:College of Computer Science and Technology, China University of Petroleum (East China),Shandong Key Laboratory of Intelligent Oil and Gas Industrial Software;Lianyong Qi:College of Computer Science and Technology, China University of Petroleum (East China),Shandong Key Laboratory of Intelligent Oil and Gas Industrial Software;Weiming Liu:ByteDance Inc.;Anqi Wang:College of Computer Science and Technology, China University of Petroleum (East China),Shandong Key Laboratory of Intelligent Oil and Gas Industrial Software;Xiaolong Xu:School of Computer and Software, Nanjing University of Information Science and Technology;Haolong Xiang:School of Software, Nanjing University of Information Science and Technology;Xuyun Zhang:School of Computing, Macquarie University;Wenwen Gong:College of Information and Electrical Engineering, China Agricultural University;Yang Zhang:Anuradha and Vikas Sinha Department of Data Science, University of North Texas;Amin Beheshti:School of Computing, Macquarie University;Wanchun Dou:State Key Laboratory for Novel Software Technology, School of Computer Science and Technology, Nanjing University</t>
  </si>
  <si>
    <t>10.1145/3774904.3792303</t>
  </si>
  <si>
    <t>Yulong Li:Xi’an Jiaotong-Liverpool University;Zhixiang Lu:Xi’an Jiaotong-Liverpool University;Peixin Guo:Xi’an Jiaotong-Liverpool University;Simin Lai:Xi’an Jiaotong-Liverpool University;Yuxuan Zhang:Xi’an Jiaotong-Liverpool University;Haochen Xue:Xi’an Jiaotong-Liverpool University;Xiwei Liu:MBZUAI;Yichen Li:Huazhong University of Science and Technology;Zhaodong Wu:Xi’an Jiaotong-Liverpool University;Feilong Tang:Monash University;Mian Zhou:Xi’an Jiaotong-Liverpool University;Chong Li:Xi’an Jiaotong-Liverpool University;Imran Razzak:MBZUAI;Qingxia Li:Fisk University;Jionglong Su:Xi’an Jiaotong-Liverpool University</t>
  </si>
  <si>
    <t>imran.razzak@mbzuai.ac.ae</t>
  </si>
  <si>
    <t>10.1145/3774904.3792304</t>
  </si>
  <si>
    <t>Mingdai Yang:University of Illinois at Chicago;Nurendra Choudhary:Amazon;Jiangshu Du:Amazon;Edward W Huang:Amazon;Philip Yu:University of Illinois at Chicago;Karthik Subbian:Amazon;Danai Koutra:University of Michigan</t>
  </si>
  <si>
    <t>myang72@uic.edu</t>
  </si>
  <si>
    <t>10.1145/3774904.3792305</t>
  </si>
  <si>
    <t>Jiawei Qiu:IOTSC, University of Macau;Xiaowei Wu:IOTSC, University of Macau;Cong Zhang:IOTSC, University of Macau;Shengwei Zhou:SPMS, Nanyang Technological University</t>
  </si>
  <si>
    <t>yc27429@um.edu.mo</t>
  </si>
  <si>
    <t>10.1145/3774904.3792306</t>
  </si>
  <si>
    <t>Liwei Qian:National University of Defense Technology;Hang Zhang:National University of Defense Technology;Yiheng Wu:National University of Defense Technology;Yanmin Li:National University of Defense Technology;Mengna Zhu:National University of Defense Technology;Lihua Liu:National University of Defense Technology;Jibing Wu:National University of Defense Technology</t>
  </si>
  <si>
    <t>wujibing@nudt.edu.cn</t>
  </si>
  <si>
    <t>10.1145/3774904.3792307</t>
  </si>
  <si>
    <t>Zhenyu Yang:School of Computing, Macquarie University;Ge Zhang:School of Information and Intelligent Science, Donghua University;Shan Xue:School of Computing, Macquarie University;Xiaoxiao Ma:Oracle Corporation;Jian Yang:Faculty of Science and Technology, Beijing Normal-Hong Kong Baptist University,School of Computing, Macquarie University;Hao Peng:School of Cyber Science and Technology, Beihang University;Amin Beheshti:School of Computing, Macquarie University;Jia Wu:School of Computing, Macquarie University</t>
  </si>
  <si>
    <t>10.1145/3774904.3792308</t>
  </si>
  <si>
    <t>Gur Keinan:Technion - Israel Institute of Technology;Omer Ben-Porat:Technion - Israel Institute of Technology</t>
  </si>
  <si>
    <t>gur.keinan@campus.technion.ac.il</t>
  </si>
  <si>
    <t>10.1145/3774904.3792309</t>
  </si>
  <si>
    <t>Mingxuan Liu:School of Computer Science, Northwestern Polytechnical University;Jianhua Gu:School of Computer Science, Northwestern Polytechnical University;Tianhai Zhao:School of Computer Science, Northwestern Polytechnical University;Dong Sun:School of Computer Science, Northwestern Polytechnical University</t>
  </si>
  <si>
    <t>gujh@nwpu.edu.cn</t>
  </si>
  <si>
    <t>10.1145/3774904.3792310</t>
  </si>
  <si>
    <t>Kailun Ye:College of Computer Science and Technology, Zhejiang University of Technology,Zhejiang Key Laboratory of Visual Information Intelligent Processing;Xiangjie Kong:College of Computer Science and Technology, Zhejiang University of Technology,Zhejiang Key Laboratory of Visual Information Intelligent Processing;Yuchao Zhang:College of Computer Science and Technology, Zhejiang University of Technology,Zhejiang Key Laboratory of Visual Information Intelligent Processing;Xuan Wang:College of Education Criminal Justice and Human Services, University of Cincinnati;Linan Zhu:College of Computer Science and Technology, Zhejiang University of Technology,Zhejiang Key Laboratory of Visual Information Intelligent Processing;Jiaxin Du:College of Computer Science and Technology, Zhejiang University of Technology,Zhejiang Key Laboratory of Visual Information Intelligent Processing;Guojiang Shen:College of Computer Science and Technology, Zhejiang University of Technology,Zhejiang Key Laboratory of Visual Information Intelligent Processing;Jianxin Li:School of Business and Law, Edith Cowan University</t>
  </si>
  <si>
    <t>10.1145/3774904.3792311</t>
  </si>
  <si>
    <t>Baohang Zhou:School of Software, Tiangong University;Kehui Song:School of Software, Tiangong University;Rize Jin:School of Software, Tiangong University;Yu Zhao:College of Computer Science, VCIP, DISSec, TMCC, TBI Center, Nankai University;Xuhui Sui:College of Computer Science, VCIP, DISSec, TMCC, TBI Center, Nankai University;Xinying Qian:College of Computer Science, VCIP, DISSec, TMCC, TBI Center, Nankai University;Xingyue Guo:College of Computer Science, VCIP, DISSec, TMCC, TBI Center, Nankai University;Ying Zhang:College of Computer Science, VCIP, DISSec, TMCC, TBI Center, Nankai University</t>
  </si>
  <si>
    <t>songkehui@tiangong.edu.cn</t>
  </si>
  <si>
    <t>10.1145/3774904.3792312</t>
  </si>
  <si>
    <t>Zhenyu Yang:School of Computing, Macquarie University;Chaoyu Yang:School of Artificial Intelligence, Anhui University of Science and Technology;Wenfeng Xu:School of Artificial Intelligence, Anhui University of Science and Technology;Xiuxiu Hao:School of Artificial Intelligence, Anhui University of Science and Technology;Huan Wang:School of Computing and Information Technology, University of Wollongong;Ge Zhang:School of Information and Intelligent Science, Donghua University;Xiaoxiao Ma:Oracle Corporation;Jun Shen:School of Computing and Information Technology, University of Wollongong</t>
  </si>
  <si>
    <t>yangchy@aust.edu.cn</t>
  </si>
  <si>
    <t>10.1145/3774904.3792313</t>
  </si>
  <si>
    <t>Kaibei Li:University of Electronic Science and Technology of China;Jie Zou:University of Electronic Science and Technology of China;Qika Lin:National University of Singapore;Weikang Guo:Southwestern University of Finance and Economics;Qinyang He:Chongqing University of Technology;Yang Yang:University of Electronic Science and Technology of China</t>
  </si>
  <si>
    <t>10.1145/3774904.3792314</t>
  </si>
  <si>
    <t>Rongzheng Wang:Institute of Intelligent Computing, University of Electronic Science and Technology of China;Shuang Liang:Institute of Intelligent Computing, University of Electronic Science and Technology of China,Ubiquitous Intelligence and Trusted Services Key Laboratory of Sichuan Province;Qizhi Chen:Institute of Intelligent Computing, University of Electronic Science and Technology of China;Yihong Huang:Institute of Intelligent Computing, University of Electronic Science and Technology of China;Muquan Li:School of Information and Software Engineering, University of Electronic Science and Technology of China;Yizhuo Ma:Institute of Intelligent Computing, University of Electronic Science and Technology of China;Dongyang Zhang:Institute of Intelligent Computing, University of Electronic Science and Technology of China,Ubiquitous Intelligence and Trusted Services Key Laboratory of Sichuan Province;Ke Qin:Institute of Intelligent Computing, University of Electronic Science and Technology of China,Ubiquitous Intelligence and Trusted Services Key Laboratory of Sichuan Province;Man-Fai Leung:Faculty of Science and Engineering, School of Computing and Information Science, Anglia Ruskin University</t>
  </si>
  <si>
    <t>shuangliang@uestc.edu.cn</t>
  </si>
  <si>
    <t>10.1145/3774904.3792315</t>
  </si>
  <si>
    <t>Zhihui Zhao:College of Computer Science and Technology (College of Data Science), Taiyuan University of Technology,State Key Laboratory of Internet Architecture, Tsinghua University;Xiaorong Dong:College of Computer Science and Technology (College of Data Science), Taiyuan University of Technology,Shanxi Key Laboratory of Industrial Internet Security;Yaowen Zheng:Institute of Information Engineering, Chinese Academy of Sciences;Xiaohui Chen:China Mobile Research Institute;Yimo Ren:Institute of Information Engineering, Chinese Academy of Sciences;Hangbei Cheng:College of Computer Science and Technology (College of Data Science), Taiyuan University of Technology;Yongle Chen:College of Artificial Intelligence, Taiyuan University of Technology,Shanxi Key Laboratory of Industrial Internet Security;Limin Sun:Institute of Information Engineering, Chinese Academy of Sciences</t>
  </si>
  <si>
    <t>chenyongle@tyut.edu.cn</t>
  </si>
  <si>
    <t>10.1145/3774904.3792316</t>
  </si>
  <si>
    <t>Jinyu Duan:CIAT &amp; Guangdong Key Laboratory of Industrial Control System Security &amp; Huangpu Research School, Guangzhou University;Sijin Wang:CIAT &amp; Guangdong Key Laboratory of Industrial Control System Security &amp; Huangpu Research School, Guangzhou University;Fan Zhang:CIAT &amp; Guangdong Key Laboratory of Industrial Control System Security &amp; Huangpu Research School, Guangzhou University;Xiang Zhao:National Key Laboratory of Big Data and Decision, National University of Defense Technology;Wenjie Zhang:School of Computer Science and Engineering, The University of New South Wales;Zhihong Tian:CIAT &amp; Guangdong Key Laboratory of Industrial Control System Security &amp; Huangpu Research School, Guangzhou University</t>
  </si>
  <si>
    <t>10.1145/3774904.3792317</t>
  </si>
  <si>
    <t>Ruikun Luo:Huazhong University of Science and Technology;Jiadong Zhao:Huazhong University of Science and Technology;Peize Su:Huazhong University of Science and Technology;Jieming Yang:Zhengzhou University;Jing Yang:Zhengzhou University;Yuan Gao:Zhengzhou University;Minhui Xue:CSIRO and Adelaide University;Xiaoyu Xia:RMIT University</t>
  </si>
  <si>
    <t>xiaoyu.xia@rmit.edu.au</t>
  </si>
  <si>
    <t>10.1145/3774904.3792318</t>
  </si>
  <si>
    <t>Fajie Wu:Sun Yat-sen University;Jiajing Wu:Shenzhen Research Institute of Sun Yat-sen University;Zhiying Wu:Sun Yat-sen University;Jun Chen:Ant Group;Tao Wang:Sun Yat-sen University;Longjian He:Sun Yat-sen University;Bowen Song:Ant Group;Weiqiang Wang:Ant Group</t>
  </si>
  <si>
    <t>bowen.sbw@antgroup.com</t>
  </si>
  <si>
    <t>10.1145/3774904.3792319</t>
  </si>
  <si>
    <t>Ruikun Luo:Huazhong University of Science and Technology;Zixiao Feng:Huazhong University of Science and Technology;Lin Gu:Huazhong University of Science and Technology;Xiaoyu Xia:RMIT University</t>
  </si>
  <si>
    <t>10.1145/3774904.3792320</t>
  </si>
  <si>
    <t>Zhibo Zhang:School of Computer Science and Technology, Huazhong University of Science and Technology;Jianjun Li:School of Computer Science and Technology, Huazhong University of Science and Technology;Zhiyuan Ma:School of Computer Science and Technology, Huazhong University of Science and Technology</t>
  </si>
  <si>
    <t>10.1145/3774904.3792321</t>
  </si>
  <si>
    <t>Yongqiang Huang:School of Cyber Science and Engineering, Sichuan University,Tianfu Jiangxi Laboratory;Yingyu Chen:College of Computer Science, Sichuan University,Tianfu Jiangxi Laboratory;Tao Wang:College of Computer Science, Sichuan University;Zexin Lu:College of Computer Science, Sichuan University;Zerui Shao:School of Cyber Science and Engineering, Sichuan University,Tianfu Jiangxi Laboratory;Beibei Li:School of Cyber Science and Engineering, Sichuan University;Yi Zhang:School of Cyber Science and Engineering, Sichuan University,Tianfu Jiangxi Laboratory</t>
  </si>
  <si>
    <t>yqhuang2912@gmail.com</t>
  </si>
  <si>
    <t>10.1145/3774904.3792322</t>
  </si>
  <si>
    <t>Xinxin Yang:OPPO;Yangyang Tang:OPPO;Yikun Zhou:OPPO;Yaolei Liu:OPPO;Yun Li:OPPO;Bo Yang:OPPO</t>
  </si>
  <si>
    <t>yangxinxin@oppo.com</t>
  </si>
  <si>
    <t>10.1145/3774904.3792323</t>
  </si>
  <si>
    <t>Zexin Wang:Computer Network Information Center, Chinese Academy of Sciences,University of Chinese Academy of Sciences;Changhua Pei:Computer Network Information Center, Chinese Academy of Sciences,Hangzhou Institute for Advanced Study, University of Chinese Academy of Sciences;Yang Liu:Computer Network Information Center, Chinese Academy of Sciences;Hengyue Jiang:Hangzhou Institute for Advanced Study, University of Chinese Academy of Sciences;Quan Zhou:Computer Network Information Center, Chinese Academy of Sciences;Haotian Si:Computer Network Information Center, Chinese Academy of Sciences;Hang Cui:Computer Network Information Center, Chinese Academy of Sciences;Jianhui Li:Nanjing University,Computer Network Information Center, Chinese Academy of Sciences;Gaogang Xie:Computer Network Information Center, Chinese Academy of Sciences;Jingjing Li:Computer Network Information Center, Chinese Academy of Sciences;Dan Pei:Tsinghua University</t>
  </si>
  <si>
    <t>chpei@cnic.cn</t>
  </si>
  <si>
    <t>10.1145/3774904.3792324</t>
  </si>
  <si>
    <t>Peng Liu:Soochow University;Peng-Fei Zhang:School of Computer Science and Technology, Tongji University;Jianfeng Qu:Renmin University of China;Ximing Li:College of Computer Sciences and Technology, Jilin University;Zhixu Li:Renmin University of China;Pengpeng Zhao:Soochow University</t>
  </si>
  <si>
    <t>jfqu@ruc.edu.cn</t>
  </si>
  <si>
    <t>10.1145/3774904.3792325</t>
  </si>
  <si>
    <t>Junlong Wu:School of Computer Science and Technology, Hainan University;Renda Han:School of Computer Science and Technology, Hainan University;Wenxuan Tu:School of Computer Science and Technology, Hainan University;Jingxin Liu:School of Cyberspace Security, Hainan University;Haotian Wang:School of Computer Science and Technology, Hainan University;Jieren Cheng:School of Computer Science and Technology, Hainan University</t>
  </si>
  <si>
    <t>twx@hainanu.edu.cn</t>
  </si>
  <si>
    <t>10.1145/3774904.3792326</t>
  </si>
  <si>
    <t>Dong-Hyuk Seo:Hanyang University;Sein Kim:Hanyang University;Taeri Kim:Hanyang University;Won-Yong Shin:Computational Science and Engineering, Yonsei University;Sang-Wook Kim:Hanyang University</t>
  </si>
  <si>
    <t>wook@hanyang.ac.kr</t>
  </si>
  <si>
    <t>10.1145/3774904.3792327</t>
  </si>
  <si>
    <t>Mingxuan Luo:Xiamen University;Guipeng Xv:Xiamen University;Sishuo Chen:Taobao &amp; Tmall Group of Alibaba;Xinyu Li:Xiamen University;Li Zhang:Taobao &amp; Tmall Group of Alibaba;Zhangming Chan:Taobao &amp; Tmall Group of Alibaba;Xiang-Rong Sheng:Taobao &amp; Tmall Group of Alibaba;Han Zhu:Taobao &amp; Tmall Group of Alibaba;Jian Xu:Taobao &amp; Tmall Group of Alibaba;Bo Zheng:Taobao &amp; Tmall Group of Alibaba;Chen Lin:Xiamen University</t>
  </si>
  <si>
    <t>chenlin@xmu.edu.cn</t>
  </si>
  <si>
    <t>10.1145/3774904.3792328</t>
  </si>
  <si>
    <t>Zhongxian Liang:Harbin Institute of Technology,Pengcheng Laboratory;Qilong Shi:Tsinghua University;Xiyan Liang:Nankai University;Zihan Li:National University of Defense Technology;Wenjun Li:Pengcheng Laboratory,Harbin Institute of Technology;Tong Yang:Peking University;Yangyang Wang:Tsinghua University;Mingwei Xu:Tsinghua University;Weizhe Zhang:Harbin Institute of Technology,Pengcheng Laboratory</t>
  </si>
  <si>
    <t>wenjunli@pku.org.cn</t>
  </si>
  <si>
    <t>10.1145/3774904.3792329</t>
  </si>
  <si>
    <t>Haoran Shi:Nanyang Technological University;Junru Zhang:Zhejiang University;Cheng Peng:Zhejiang University;Xiaoli Tang:Nanyang Technological University;Longtao Huang:Alibaba Group;Han Yu:Nanyang Technological University</t>
  </si>
  <si>
    <t>SHIH0020@e.ntu.edu.sg</t>
  </si>
  <si>
    <t>10.1145/3774904.3792330</t>
  </si>
  <si>
    <t>Wangmeng Shen:School of Data Science and Engineering, East China Normal University;Hongfan Gao:School of Data Science and Engineering, East China Normal University;Qingsong Zhong:School of Data Science and Engineering, East China Normal University;Dingli Xu:School of Data Science and Engineering, East China Normal University;Jilin Hu:School of Data Science and Engineering, East China Normal University,Engineering Research Center of Blockchain Data Management, Ministry of Education., East China Normal University</t>
  </si>
  <si>
    <t>10.1145/3774904.3792331</t>
  </si>
  <si>
    <t>Zhaoxing Yang:Shanghai Jiao Tong University;Yuchen Guo:Shanghai Institute of Satellite Engineering;Wenlong Li:Shanghai Institute of Satellite Engineering;Guiyun Fan:Tongji University;Haiming Jin:Shanghai Jiao Tong University;Linghe Kong:Shanghai Jiao Tong University</t>
  </si>
  <si>
    <t>fanguiyun@tongji.edu.cn</t>
  </si>
  <si>
    <t>10.1145/3774904.3792332</t>
  </si>
  <si>
    <t>Xiaoxuan Fan:School of Cyber Science and Engineering, Huazhong University of Science and Technology;Jiaqi Sun:Cyber Security Center, China Nuclear Power Operation Technology Co., Ltd.;Xianjun Deng:School of Cyber Science and Engineering, Huazhong University of Science and Technology;Qiankun Zhang:School of Cyber Science and Engineering, Huazhong University of Science and Technology,Key Laboratory of Cyberspace Security, Ministry of Education of China;Wei Xiang:Faculty of Artificial Intelligence in Education, Central China Normal University;Shenghao Liu:School of Cyber Science and Engineering, Huazhong University of Science and Technology;Lingzhi Yi:School of Information Engineering, Zhongnan University of Economics and Law</t>
  </si>
  <si>
    <t>dengxj615@hust.edu.cn</t>
  </si>
  <si>
    <t>10.1145/3774904.3792333</t>
  </si>
  <si>
    <t>Rongbo Qi:School of Computer Science, TJ Key Lab of NDST, DISSec, TMCC, TBI Center, VCIP, AAIS, Nankai University;Yaqi Zhang:School of Computer Science, TJ Key Lab of NDST, DISSec, TMCC, TBI Center, VCIP, AAIS, Nankai University;Chunyao Song:School of Computer Science, TJ Key Lab of NDST, DISSec, TMCC, TBI Center, VCIP, AAIS, Nankai University;Tingjian Ge:Department of Computer Science, University of Massachusetts Lowell</t>
  </si>
  <si>
    <t>chunyao.song@nankai.edu.cn</t>
  </si>
  <si>
    <t>10.1145/3774904.3792334</t>
  </si>
  <si>
    <t>Weixin Zheng:School of Computer Science, TJ Key Lab of NDST, DISSec, TMCC, TBI Center, VCIP, AAIS, Nankai University;Chunyao Song:School of Computer Science, TJ Key Lab of NDST, DISSec, TMCC, TBI Center, VCIP, AAIS, Nankai Univeristy;Tingjian Ge:Department of Computer Science, University of Massachusetts Lowell</t>
  </si>
  <si>
    <t>10.1145/3774904.3792335</t>
  </si>
  <si>
    <t>Minghui Ma:Northwestern Polytechnical University;Bin Guo:Northwestern Polytechnical University;Mengqi Chen:Northwestern Polytechnical University;Jingqi Liu:Northwestern Polytechnical University;Yasan Ding:Northwestern Polytechnical University;Yan Liu:Northwestern Polytechnical University;Han Wang:Northwestern Polytechnical University</t>
  </si>
  <si>
    <t>guob@nwpu.edu.cn</t>
  </si>
  <si>
    <t>10.1145/3774904.3792336</t>
  </si>
  <si>
    <t>Luyao Zhuang:The Hong Kong Polytechnic University;Qinggang Zhang:The Hong Kong Polytechnic University;Huachi Zhou:The Hong Kong Polytechnic University;Yujing Zhang:The Hong Kong Polytechnic University;Xiao Huang:The Hong Kong Polytechnic University</t>
  </si>
  <si>
    <t>qinggangg.zhang@connect.polyu.hk</t>
  </si>
  <si>
    <t>10.1145/3774904.3792337</t>
  </si>
  <si>
    <t>Chenyu Wang:Sun Yat-sen University;Zhanglu Yan:National University of Singapore;Zhi Zhou:Sun Yat-sen University;Xu Chen:Sun Yat-sen University;Weng-Fai Wong:National University of Singapore</t>
  </si>
  <si>
    <t>wangchy236@mail2.sysu.edu.cn</t>
  </si>
  <si>
    <t>10.1145/3774904.3792338</t>
  </si>
  <si>
    <t>Yufang Wu:Beijing Jiaotong University;Siwen Chen:Beijing Jiaotong University;Chao Li:Beijing Jiaotong University,Beijing Advanced Innovation Center for Future Blockchain and Privacy Computing;Yuan Weng:Beijing Jiaotong University;Wei Wang:Xi’an Jiaotong University,Beijing Jiaotong University</t>
  </si>
  <si>
    <t>li.chao@bjtu.edu.cn</t>
  </si>
  <si>
    <t>10.1145/3774904.3792339</t>
  </si>
  <si>
    <t>Yi Sun:Wuhan University of Technology;Jinyu Xu:Wuhan University of Technology;Qing Xie:Wuhan University of Technology;Jiachen Li:Wuhan University of Technology;Yanchun Ma:Wuhan Vocational College of Software and Engineering;Yongjian Liu:Wuhan University of Technology</t>
  </si>
  <si>
    <t>felixxq@whut.edu.cn</t>
  </si>
  <si>
    <t>10.1145/3774904.3792340</t>
  </si>
  <si>
    <t>Ting Guo:North University of China;Dongyu Pei:North University of China;Gangzhu Qiao:North University of China;Kaixuan Yao:Shanxi University;Da Wang:Shanxi University</t>
  </si>
  <si>
    <t>qiaogangzhu@sohu.com</t>
  </si>
  <si>
    <t>10.1145/3774904.3792341</t>
  </si>
  <si>
    <t>Huipeng Yang:Xidian University;Li Yang:Xidian University,Shaanxi Key Laboratory of Network and System Security;Lu Zhou:Xidian University,Shaanxi Key Laboratory of Network and System Security;Lichuan Ma:Xidian University,Shaanxi Key Laboratory of Blockchain and Secure Computing;Xinyue Wang:Xidian University;Junbo Jia:Xidian University;Anyuan Sang:School of Computer Science &amp; Technology, Xidian University</t>
  </si>
  <si>
    <t>yangli@xidian.edu.cn</t>
  </si>
  <si>
    <t>10.1145/3774904.3792342</t>
  </si>
  <si>
    <t>Yanghui Fu:Laboratory for Big Data and Decision, National University of Defense Technology;Yunfei Wang:National Key Laboratory of Information Systems Engineering, National University of Defense Technology;Hao Zou:Department of Computer Science and Technology, Tsinghua University;Yue He:School of Information, Renmin University of China;Haotian Wang:College of Computer Science and Technology, National University of Defense Technology;Qing Cheng:Laboratory for Big Data and Decision, National University of Defense Technology;Guangquan Cheng:Laboratory for Big Data and Decision, National University of Defense Technology;Shixuan Liu:College of Computer Science and Technology, National University of Defense Technology</t>
  </si>
  <si>
    <t>szftandy@hotmail.com</t>
  </si>
  <si>
    <t>10.1145/3774904.3792343</t>
  </si>
  <si>
    <t>Yicheng Di:College of Artificial Intelligence and Computer Science, Jiangnan University;Zhanjie Zhang:College of Computer Science and Technology, Zhejiang University</t>
  </si>
  <si>
    <t>cszzj@zju.edu.cn</t>
  </si>
  <si>
    <t>10.1145/3774904.3792344</t>
  </si>
  <si>
    <t>Ningyuan He:University of Science and Technology of China;Ronghong Huang:University of Science and Technology of China;Qianqian Tang:Shandong University;Hongyu Wang:University of Science and Technology of China;Xianghang Mi:University of Science and Technology of China,Monash University;Shanqing Guo:Shandong University</t>
  </si>
  <si>
    <t>xmi@ustc.edu.cn</t>
  </si>
  <si>
    <t>10.1145/3774904.3792345</t>
  </si>
  <si>
    <t>Lin Zhang:School of Finance, Southwestern University of Finance and Economics;Qing Li:School of Management Science and Engineering, Southwestern University of Finance and Economics;Jingmei Zhao:School of Finance, Southwestern University of Finance and Economics</t>
  </si>
  <si>
    <t>liq_t@swufe.edu.cn</t>
  </si>
  <si>
    <t>10.1145/3774904.3792346</t>
  </si>
  <si>
    <t>Yueqing Xuan:RMIT University;Kacper Sokol:Università della Svizzera italiana;Mark Sanderson:RMIT University;Jeffrey Chan:RMIT University</t>
  </si>
  <si>
    <t>yueqing.xuan@rmit.edu.au</t>
  </si>
  <si>
    <t>10.1145/3774904.3792347</t>
  </si>
  <si>
    <t>Xiang Li:Ocean University of China;Jianpeng Qi:Ocean University of China;Haobing Liu:Ocean University of China;Yuan Cao:Ocean University of China;Guoqing Chao:Harbin Institute of Technology;Zhongying Zhao:Shandong University of Science and Technology;Junyu Dong:Ocean University of China;Xinwang Liu:School of Computer, National University of Defense Technology;Yanwei Yu:Ocean University of China</t>
  </si>
  <si>
    <t>yuyanwei@ouc.edu.cn</t>
  </si>
  <si>
    <t>10.1145/3774904.3792348</t>
  </si>
  <si>
    <t>Xinyu Li:Xiamen University;Sishuo Chen:Taobao &amp; Tmall Group of Alibaba;Guipeng Xv:Xiamen University;Li Zhang:Taobao &amp; Tmall Group of Alibaba;Mingxuan Luo:Xiamen University;Zhangming Chan:Taobao &amp; Tmall Group of Alibaba;Xiang-Rong Sheng:Taobao &amp; Tmall Group of Alibaba;Han Zhu:Taobao &amp; Tmall Group of Alibaba;Jian Xu:Taobao &amp; Tmall Group of Alibaba;Chen Lin:Xiamen University</t>
  </si>
  <si>
    <t>10.1145/3774904.3792349</t>
  </si>
  <si>
    <t>Juan Luque:University of Maryland;Sharmila Duppala:University of Maryland;Michael Curry:University of Illinois Chicago;John Dickerson:Mozilla AI;Aravind Srinivasan:University of Maryland</t>
  </si>
  <si>
    <t>jluque@umd.edu</t>
  </si>
  <si>
    <t>10.1145/3774904.3792350</t>
  </si>
  <si>
    <t>Zenghao Guan:Institute of Information Engineering, Chinese Academy of Sciences,School of Cyber Security, University of Chinese Academy of Sciences;Guojun Zhu:University of Chinese Academy of Sciences, School of Mathematical Sciences;Yucan Zhou:Tianjin University, College of Intelligence and Computing;Wu Liu:University of Science and Technology of China, School of information Science and Technology;Weiping Wang:Institute of Information Engineering，Chinese Academy of Sciences;Jiebo Luo:University of Rochester;Xiaoyan Gu:Institute of Information Engineering, Chinese Academy of Sciences,School of Cyber Security, University of Chinese Academy of Sciences</t>
  </si>
  <si>
    <t>guxiaoyan@iie.ac.cn</t>
  </si>
  <si>
    <t>10.1145/3774904.3792351</t>
  </si>
  <si>
    <t>Haoran Li:Software College, Northeastern University;Renyang Liu:Institute of Data Science, National University of Singapore;Hongjia Liu:Software College, Northeastern University;Chen Wang:Software College, Shenyang University of Technology;Long Yin:Software College, Northeastern University;Jian Xu:Software College, Northeastern University</t>
  </si>
  <si>
    <t>xuj@mail.neu.edu.cn</t>
  </si>
  <si>
    <t>10.1145/3774904.3792352</t>
  </si>
  <si>
    <t>Yaqiao Zhu:Department of Computer Science, University of Exeter;Hongkai Wen:Department of Computer Science, University of Warwick;Geyong Min:Department of Computer Science, University of Exeter;Man Luo:Department of Computer Science, University of Exeter</t>
  </si>
  <si>
    <t>m.luo@exeter.ac.uk</t>
  </si>
  <si>
    <t>10.1145/3774904.3792353</t>
  </si>
  <si>
    <t>Chengjun Yu:Southwest University;Di Wu:Southwest University;Yi He:College of William &amp; Mary;Jia Chen:Beihang University;Xin Luo:Southwest University</t>
  </si>
  <si>
    <t>wudi1986@swu.edu.cn</t>
  </si>
  <si>
    <t>10.1145/3774904.3792354</t>
  </si>
  <si>
    <t>Yongsheng Yu:School of Computing, Macquarie University;Congbo Ma:Computer Engineering, New York University Abu Dhabi;Zitai Qiu:School of Computing, Macquarie University;Shan Xue:School of Computing, Macquarie University;Jian Yang:Faculty of Science and Technology, Beijing Normal-Hong Kong Baptist University,School of Computing, Macquarie University;Jia Wu:School of Computing, Macquarie University</t>
  </si>
  <si>
    <t>10.1145/3774904.3792355</t>
  </si>
  <si>
    <t>Minseo Jeon:Soongsil University;Junwoo Jung:Soongsil University;Daewon Gwak:Soongsil University;Jinhong Jung:Soongsil University</t>
  </si>
  <si>
    <t>jinhong@ssu.ac.kr</t>
  </si>
  <si>
    <t>10.1145/3774904.3792356</t>
  </si>
  <si>
    <t>Jinpeng Chen:School of Computer Science (National Pilot Software Engineering School), Beijing University of Posts and Telecommunications;Jianxiang He:Beijing University of Posts and Telecommunications;Yuan Cao:National University of Singapore;Huan Li:The State Key Laboratory of Blockchain and Data Security, Zhejiang University;Zhenye Yang:School of Computer Science (National Pilot Software Engineering School), Beijing University of Posts and Telecommunications;Kaimin Wei:College of Information Science and Technology, Jinan University;Xiongnan Jin:Research Center for Astronomical Computing, Shenzhen University;Senzhang Wang:College of Information Science and Technology, Central South University;Weiping Tu:TravelSky Technology Limited</t>
  </si>
  <si>
    <t>jpchen@bupt.edu.cn</t>
  </si>
  <si>
    <t>10.1145/3774904.3792357</t>
  </si>
  <si>
    <t>Xiaopeng Li:National University of Defense Technology;Shasha Li:National University of Defense Technology;Xi Wang:National University of Defense Technology;Shezheng Song:National University of Defense Technology;Bin Ji:National University of Defense Technology;Shangwen Wang:National University of Defense Technology;Jun Ma:National University of Defense Technology;Xiaodong Liu:National University of Defense Technology;Mina Liu:KylinSoft;Jie Yu:National University of Defense Technology</t>
  </si>
  <si>
    <t>xiaopengli@nudt.edu.cn</t>
  </si>
  <si>
    <t>10.1145/3774904.3792358</t>
  </si>
  <si>
    <t>Jing Ren:RMIT University;Bowen Li:RMIT University;Ziqi Xu:RMIT University;Xikun Zhang:RMIT University;Haytham Fayek:RMIT University;Xiaodong Li:RMIT University</t>
  </si>
  <si>
    <t>10.1145/3774904.3792359</t>
  </si>
  <si>
    <t>Wenxia Chang:Shanxi University;Chao Zhang:Shanxi University;Wentao Li:Southwest University;Deyu Li:Shanxi University</t>
  </si>
  <si>
    <t>czhang@sxu.edu.cn</t>
  </si>
  <si>
    <t>10.1145/3774904.3792360</t>
  </si>
  <si>
    <t>Yuanzi Li:Shandong University;Xuri Ge:Shandong University;Jingyu Zhao:Shandong University;Yidan Wang:Shandong University;Jiyuan Yang:Shandong University;Zhumin Chen:Shandong University;Zhaochun Ren:Leiden University;Xin Xin:Shandong University</t>
  </si>
  <si>
    <t>10.1145/3774904.3792361</t>
  </si>
  <si>
    <t>Senlei Zhang:National Engineering Research Center for Big Data Technology and System, Service Computing Technology and System Lab, Cluster and Grid Computing Lab, School of Computer Science and Technology, Huazhong University of Science and Technology;Tongjun Shi:Futu Holdings Limited;Dandan Song:Beijing Institute of Technology;Luan Zhang:Beijing Institute of Technology;Shuhao Zhang:National Engineering Research Center for Big Data Technology and System, Service Computing Technology and System Lab, Cluster and Grid Computing Lab, School of Computer Science and Technology, Huazhong University of Science and Technology;Xiaofei Liao:National Engineering Research Center for Big Data Technology and System, Service Computing Technology and System Lab, Cluster and Grid Computing Lab, School of Computer Science and Technology, Huazhong University of Science and Technology;Hai Jin:National Engineering Research Center for Big Data Technology and System, Service Computing Technology and System Lab, Cluster and Grid Computing Lab, School of Computer Science and Technology, Huazhong University of Science and Technology</t>
  </si>
  <si>
    <t>m202574111@hust.edu.cn</t>
  </si>
  <si>
    <t>10.1145/3774904.3792362</t>
  </si>
  <si>
    <t>Junyi Chen:University of Auckland;Qian Liu:University of Auckland;Jing Sun:University of Auckland;Yi Zhang:University of Technology, Sydney</t>
  </si>
  <si>
    <t>liu.qian@auckland.ac.nz</t>
  </si>
  <si>
    <t>10.1145/3774904.3792363</t>
  </si>
  <si>
    <t>Haobing Liu:Ocean University of China;Yinuo Zhang:Ocean University of China;Tingting Wang:Ocean University of China;Ruobing Jiang:Ocean University of China;Yanwei Yu:Ocean University of China</t>
  </si>
  <si>
    <t>jrb@ouc.edu.cn</t>
  </si>
  <si>
    <t>10.1145/3774904.3792364</t>
  </si>
  <si>
    <t>Debo Cheng:Hainan University;Jianfeng Deng:School of Computer, Electronics and Information, Guangxi University;Qingfeng Chen:Guangxi University;Jinyi Jie:Hainan University;Jiangzhang Gan:Hainan University</t>
  </si>
  <si>
    <t>qingfeng@gxu.edu.cn</t>
  </si>
  <si>
    <t>10.1145/3774904.3792365</t>
  </si>
  <si>
    <t>Min Hou:The Key Laboratory of Knowledge Engineering with Big Data (the Ministry of Education of China), Hefei University of Technology;Xin Liu:The Key Laboratory of Knowledge Engineering with Big Data (the Ministry of Education of China), Hefei University of Technology;Le Wu:The Key Laboratory of Knowledge Engineering with Big Data (the Ministry of Education of China), Hefei University of Technology;Chenyi He:School of Computer Science and Information Engineering, Hefei University of Technology;Hao Liu:The Key Laboratory of Knowledge Engineering with Big Data (the Ministry of Education of China), Hefei University of Technology;Zhi Li:Shenzhen International Graduate School, Tsinghua University;Xin Li:School of Information Science and Technology, University of Science and Technology of China;Si Wei:Artificial Intelligence Research Institute, iFLYTEK Company Ltd.</t>
  </si>
  <si>
    <t>lewu.ustc@gmail.com</t>
  </si>
  <si>
    <t>10.1145/3774904.3792366</t>
  </si>
  <si>
    <t>Ruoxuan Xia:National Superior College for Engineers, Beihang University,QI-ANXIN Technology Research Institute;Bingyu Li:School of Cyber Science and Technology, Beihang University,Zhongguancun Laboratory;Zhenyu Chen:QI-ANXIN Technology Research Institute;Pengyu Yuan:School of Cyber Science and Technology, Beihang University;Yunjia Wang:QI-ANXIN Technology Research Institute;Xiaofeng Zheng:QI-ANXIN Technology Research Institute;Jingqiang Lin:School of Cyber Science and Technology, University of Science and Technology of China</t>
  </si>
  <si>
    <t>libingyu@buaa.edu.cn</t>
  </si>
  <si>
    <t>10.1145/3774904.3792367</t>
  </si>
  <si>
    <t>Xianjie Wu:Beihang University;Xiaohang Xu:The Graduate School of Information Science and Technology, The University of Tokyo;Tingyu Jiang:Beihang University;Jian Yang:Beihang University;Di Liang:Fudan University;Xianfu Cheng:State Key Laboratory of Complex &amp; Critical Software Environment, Beihang University;Zhenhe Wu:Beihang University;Linzheng Chai:Beihang University;Wei Zhang:CCSE, Beihang University;Jiaheng Liu:Nanjing University;Ge Zhang:M-A-P;Bob Simons:Peking University;Tongliang Li:Beijing Information Science and Technology University;Zhoujun Li:Beihang University</t>
  </si>
  <si>
    <t>jiaya@buaa.edu.cn</t>
  </si>
  <si>
    <t>10.1145/3774904.3792368</t>
  </si>
  <si>
    <t>Hossein Nekouyan:University of Alberta;Bo Sun:University of Ottawa,Vector Institute;Raouf Boutaba:University of Waterloo;Xiaoqi Tan:University of Alberta</t>
  </si>
  <si>
    <t>nekouyan@ualberta.ca</t>
  </si>
  <si>
    <t>10.1145/3774904.3792369</t>
  </si>
  <si>
    <t>Di Jin:School of Computer Science and Technology, Tianjin University,Key Laboratory of Artificial Intelligence Application Technology, Qinghai Minzu University;Xiao Huang:Tianjin Key Laboratory of Cognitive Computing and Application, School of Computer Science and Technology, Tianjin University;Xiaobao Wang:Tianjin Key Laboratory of Cognitive Computing and Application, School of Artificial Intelligence, Tianjin University;Fengyu Yan:School of Computer Science and Technology, Tianjin University;Luzhi Wang:College of Artificial Intelligence, Dalian Maritime University;Hongxiang Liang:School of Artificial Intelligence, Tianjin University</t>
  </si>
  <si>
    <t>2024244227@tju.edu.cn</t>
  </si>
  <si>
    <t>10.1145/3774904.3792370</t>
  </si>
  <si>
    <t>Gagan Aggarwal:Google Research;Yifan Wang:School of Computer Science, Georgia Institute of Technology;Mingfei Zhao:Google Research</t>
  </si>
  <si>
    <t>ywang3782@gatech.edu</t>
  </si>
  <si>
    <t>10.1145/3774904.3792371</t>
  </si>
  <si>
    <t>Yanqi Dai:Renmin University of China;Yong Wang:AMAP, Alibaba Group;Zebin You:Renmin University of China;Dong Jing:Renmin University of China;Xiangxiang Chu:AMAP, Alibaba Group;Zhiwu Lu:Renmin University of China</t>
  </si>
  <si>
    <t>luzhiwu@ruc.edu.cn</t>
  </si>
  <si>
    <t>10.1145/3774904.3792372</t>
  </si>
  <si>
    <t>Huajian Zhang:State Key Laboratory of Cognitive Intelligence, University of Science and Technology of China;Mingyue Cheng:State Key Laboratory of Cognitive Intelligence, University of Science and Technology of China;Yucong Luo:State Key Laboratory of Cognitive Intelligence, University of Science and Technology of China;Xiaoyu Tao:State Key Laboratory of Cognitive Intelligence, University of Science and Technology of China</t>
  </si>
  <si>
    <t>mycheng@ustc.edu.cn</t>
  </si>
  <si>
    <t>10.1145/3774904.3792373</t>
  </si>
  <si>
    <t>Zhipeng Liu:School of Software, Northeastern University;Peibo Duan:School of Software, Northeastern University;Xuan Tang:School of Software, Northeastern University;Haodong Jing:Institute of Artificial Intelligence and Robotics, Xi’an Jiaotong University;Mingyang Geng:College of Computer Science and Technology, National University of Defense Technology;Yongsheng Huang:School of Software, Northeastern University;Jialu Xu:School of Software, Northeastern University;Bin Zhang:School of Software, Northeastern University;Binwu Wang:School of Software, University of Science and Technology of China</t>
  </si>
  <si>
    <t>2310543@stu.neu.edu.cn</t>
  </si>
  <si>
    <t>10.1145/3774904.3792374</t>
  </si>
  <si>
    <t>Jianqi Zhang:Institute of Software, Chinese Academy of Sciences,University of the Chinese Academy of Sciences;Jingyao Wang:Institute of Software, Chinese Academy of Sciences,University of the Chinese Academy of Sciences;Wenwen Qiang:Institute of Software, Chinese Academy of Sciences;Fanjiang Xu:Institute of Software, Chinese Academy of Sciences;Changwen Zheng:Institute of Software, Chinese Academy of Sciences</t>
  </si>
  <si>
    <t>qiang.ww0922@gmail.com</t>
  </si>
  <si>
    <t>jluzhangjianqi@163.com</t>
  </si>
  <si>
    <t>10.1145/3774904.3792375</t>
  </si>
  <si>
    <t>Weilin Zhou:Nanjing Tech University;Hao Zhang:University of Chinese Academy of Sciences;Guangxin Wu:University of Chinese Academy of Sciences</t>
  </si>
  <si>
    <t>zhanghao233@mails.ucas.ac.cn</t>
  </si>
  <si>
    <t>10.1145/3774904.3792376</t>
  </si>
  <si>
    <t>Xiongxiao Xu:Illinois Institute of Technology;Haoran Wang:Emory University;Yueqing Liang:Illinois Institute of Technology;Philip Yu:University of Illinois Chicago;Yue Zhao:University of Southern California;Kai Shu:Emory University</t>
  </si>
  <si>
    <t>kai.shu@emory.edu</t>
  </si>
  <si>
    <t>10.1145/3774904.3792377</t>
  </si>
  <si>
    <t>Zhijian Duan:School of Computer Science, Peking University;Haoran Sun:School of Computer Science, Peking University;Yichong Xia:School of Computer Science, Peking University;Siqiang Wang:Foster School of Business, University of Washington;Zhilin Zhang:Alibaba Group;Chuan Yu:Alibaba Group;Jian Xu:Alibaba Group;Xiaotie Deng:Center on Frontiers of Computing Studies, School of Computer Science, Peking University</t>
  </si>
  <si>
    <t>zjduan@pku.edu.cn</t>
  </si>
  <si>
    <t>10.1145/3774904.3792378</t>
  </si>
  <si>
    <t>Soyoung Lee:Korea Advanced Institute of Science and Technology;Sunnyeo Park:Korea Advanced Institute of Science and Technology;Yonghwi Kwon:University of Maryland;Sooel Son:Korea Advanced Institute of Science and Technology</t>
  </si>
  <si>
    <t>sl.son@kaist.ac.kr</t>
  </si>
  <si>
    <t>10.1145/3774904.3792379</t>
  </si>
  <si>
    <t>En Yu:Australian Artificial Intelligence Institute (AAII), University of Technology Sydney;Jie Lu:Australian Artificial Intelligence Institute (AAII), University of Technology Sydney;Guangquan Zhang:Australian Artificial Intelligence Institute (AAII),, University of Technology Sydney</t>
  </si>
  <si>
    <t>isenn.yu@gmail.com</t>
  </si>
  <si>
    <t>10.1145/3774904.3792380</t>
  </si>
  <si>
    <t>Rongwei Xu:Macquarie University;Zitai Qiu:Macquarie University;Pengfei Ding:Macquarie University;Jia Wu:Macquarie University;Yan Wang:Macquarie University;Amin Beheshti:Macquarie University;Guanfeng Liu:Macquarie University</t>
  </si>
  <si>
    <t>guanfeng.liu@mq.edu.au</t>
  </si>
  <si>
    <t>10.1145/3774904.3792381</t>
  </si>
  <si>
    <t>Longlong Zhu:Zhejiang University;Linying Zheng:Zhejiang University;Qing Shu:Zhejiang University;Zedi Chen:Zhejiang University;Jiashuo Yu:Fuzhou University;Yuhan Wu:Fuzhou University;Shaopeng Zhou:Zhejiang University;Hongyan Liu:Fuzhou University;Dong Zhang:Fuzhou University;Chunming Wu:Zhejiang University;Xiang Chen:Zhejiang University</t>
  </si>
  <si>
    <t>kikionepin@gmail.com</t>
  </si>
  <si>
    <t>10.1145/3774904.3792382</t>
  </si>
  <si>
    <t>Siqi Zhong:Institute for Artificial Intelligence, Peking University;Mugeng Liu:School of Computer Science, Peking University;Haiyang Shen:Institute for Artificial Intelligence, Peking University;Chongyang Pan:School of Computer Science, Peking University;Yun Ma:Institute for Artificial Intelligence, Peking University</t>
  </si>
  <si>
    <t>siqizhong25@stu.pku.edu.cn</t>
  </si>
  <si>
    <t>10.1145/3774904.3792383</t>
  </si>
  <si>
    <t>Pengfei Ding:Macquarie University;Yan Wang:Macquarie University;Guanfeng Liu:Macquarie University</t>
  </si>
  <si>
    <t>yan.wang@mq.edu.au</t>
  </si>
  <si>
    <t>10.1145/3774904.3792384</t>
  </si>
  <si>
    <t>Qianyi Cai:The Hong Kong University of Science and Technology (Guangzhou);Ziyue Qiao:Great Bay University;Minghao Yang:The Hong Kong University of Science and Technology (Guangzhou);Xiao Luo:University of Wisconsin–Madison;Hui Xiong:The Hong Kong University of Science and Technology (Guangzhou),The Hong Kong University of Science and Technology</t>
  </si>
  <si>
    <t>xionghui@ust.hk</t>
  </si>
  <si>
    <t>10.1145/3774904.3792385</t>
  </si>
  <si>
    <t>Chang Guo:University of Science and Technology of China;Juyuan Zhang:University of Science and Technology of China;Chang Su:University of Electronic Science and Technology of China;Tianlong Fan:University of Science and Technology of China;Linyuan Lü:University of Science and Technology of China</t>
  </si>
  <si>
    <t>tianlong.fan@ustc.edu.cn</t>
  </si>
  <si>
    <t>10.1145/3774904.3792386</t>
  </si>
  <si>
    <t>Yingchao Wang:School of Cyberspace Science and Technology, Beijing Institute of Technology;Wenqi Niu:School of Cyberspace Science and Technology, Beijing Institute of Technology;Hanpo Hou:School of Business, Beijing Technology and Business University</t>
  </si>
  <si>
    <t>yingchaowang@bit.edu.cn</t>
  </si>
  <si>
    <t>10.1145/3774904.3792387</t>
  </si>
  <si>
    <t>Yu Cui:State Key Laboratory of Blockchain and Data Security, College of Computer Science and Technology, Zhejiang University;Feng Liu:OPPO Research Institute;Jiawei Chen:The State Key Laboratory of Blockchain and Data Security, College of Computer Science and Technology, Hangzhou High-Tech Zone (Binjiang) Institute of Blockchain and Data Security, Zhejiang University;Xingyu Lou:OPPO Research Institute;Changwang Zhang:OPPO Research Institute;Jun Wang:OPPO Research Institute;Yuegang Sun:Intelligence Indeed;Xiaohu Yang:State Key Laboratory of Blockchain and Data Security, Zhejiang University;Can Wang:State Key Laboratory of Blockchain and Data Security, Hangzhou High-Tech Zone (Binjiang) Institute of Blockchain and Data Security, Zhejiang University</t>
  </si>
  <si>
    <t>sleepyhunt@zju.edu.cn</t>
  </si>
  <si>
    <t>10.1145/3774904.3792388</t>
  </si>
  <si>
    <t>Zhi Liu:Zhejiang University of Technology College of Computer Science and Technology,Zhejiang Key Laboratory of Visual Information Intelligent Processing;Xuyuan Hu:Zhejiang University of Technology College of Computer Science and Technology;Xiao Han:Zhejiang University of Technology College of Computer Science and Technology,Zhejiang Key Laboratory of Visual Information Intelligent Processing;Zhehao Dai:Zhejiang University of Technology College of Computer Science and Technology;Zhaolin Deng:Zhejiang University of Technology College of Computer Science and Technology;Guojiang Shen:Zhejiang University of Technology College of Computer Science and Technology,Zhejiang Key Laboratory of Visual Information Intelligent Processing;Xiangjie Kong:Zhejiang University of Technology College of Computer Science and Technology,Zhejiang Key Laboratory of Visual Information Intelligent Processing</t>
  </si>
  <si>
    <t>10.1145/3774904.3792389</t>
  </si>
  <si>
    <t>Jiasheng Xu:School of Computer Science and Cyber Engineering, Guangzhou University,Institute of Automation, Chinese Academy of Sciences;Mingda Li:Institute of Automation, Institute of Automation, Chinese Academy of Sciences;Yongqiang Tang:Institute of Automation, Chinese Academy of Sciences;Peijie Wang:Institute of Automation, Chinese Academy of Sciences;Wensheng Zhang:School of Computer Science and Cyber Engineering, Guangzhou University,Institute of Automation, Chinese Academy of Sciences</t>
  </si>
  <si>
    <t>yongqiang.tang@ia.ac.cn</t>
  </si>
  <si>
    <t>10.1145/3774904.3792390</t>
  </si>
  <si>
    <t>Yuzi Yi:Beijing Key Laboratory of Petroleum Data Mining, China University of Petroleum-Beijing;Weixuan Wang:Beijing Key Laboratory of Petroleum Data Mining, China University of Petroleum-Beijing;Yehong Luo:College of Computer Science, Beijing University of Technology;Jinqiao Shi:School of Cyberspace Security, Beijing University of Posts and Telecommunications,Key Laboratory of Trustworthy Distributed Computing and Service (BUPT), Ministry of Education;Jiwei Huang:Beijing Key Laboratory of Petroleum Data Mining, China University of Petroleum-Beijing</t>
  </si>
  <si>
    <t>huangjw@cup.edu.cn</t>
  </si>
  <si>
    <t>10.1145/3774904.3792391</t>
  </si>
  <si>
    <t>Kyung-Hwan Lee:Inha University;Dong-Wan Choi:Inha University</t>
  </si>
  <si>
    <t>dchoi@inha.ac.kr</t>
  </si>
  <si>
    <t>10.1145/3774904.3792392</t>
  </si>
  <si>
    <t>Yuchen Fang:University of Electronic Science and Technology of China;Shiyu Wang:ByteDance China;Yuxuan Liang:Hong Kong University of Science and Technology (Guangzhou);Zhou Ye:ByteDance China;Yang Xiang:ByteDance China;Yan Zhao:Shenzhen Institute for Advanced Study, University of Electronic Science and Technology of China,Aalborg University;Kai Zheng:University of Electronic Science and Technology of China</t>
  </si>
  <si>
    <t>zhaoyan@uestc.edu.cn</t>
  </si>
  <si>
    <t>10.1145/3774904.3792393</t>
  </si>
  <si>
    <t>Wei Chen:College of Informatics, Huazhong Agricultural University;Tongguan Wang:College of Informatics, Huazhong Agricultural University;Feiyue Xue:College of Informatics, Huazhong Agricultural University;Junkai Li:College of Informatics, Huazhong Agricultural University;Hui Liu:College of Informatics, Huazhong Agricultural University;Ying Sha:College of Informatics, Huazhong Agricultural University,Engineering Research Center of Intelligent Technology for Agriculture</t>
  </si>
  <si>
    <t>10.1145/3774904.3792394</t>
  </si>
  <si>
    <t>Yingqi Peng:College of Computer Science and Technology, Zhejiang University;Wenhao Zhou:College of Computer Science and Technology, Zhejiang University;Kaijie Gong:College of Computer Science and Technology, Zhejiang University;Yang Liu:College of Computer Science and Technology, Zhejiang University;Yi Gao:College of Computer Science and Technology, Zhejiang University;Wei Dong:College of Computer Science and Technology, Zhejiang University</t>
  </si>
  <si>
    <t>gaoyi@zju.edu.cn</t>
  </si>
  <si>
    <t>10.1145/3774904.3792395</t>
  </si>
  <si>
    <t>Hui Yang:University of Manchester;Jiaoyan Chen:University of Manchester;Uli Sattler:University of Manchester</t>
  </si>
  <si>
    <t>hui.yang-2@manchester.ac.uk</t>
  </si>
  <si>
    <t>10.1145/3774904.3792396</t>
  </si>
  <si>
    <t>Jin Cheng:The Chinese University of Hong Kong, Shenzhen;Xiangxiang Dai:The Chinese University of Hong Kong;Ningning Ding:The Hong Kong University of Science and Technology (Guangzhou);John C.S. Lui:The Chinese University of Hong Kong;Jianwei Huang:The Chinese University of Hong Kong, Shenzhen</t>
  </si>
  <si>
    <t>jincheng2@link.cuhk.edu.cn</t>
  </si>
  <si>
    <t>10.1145/3774904.3792397</t>
  </si>
  <si>
    <t>Jiajun Liu:School of Computer Science and Engineering, Southeast University;Wenjun Ke:School of Computer Science and Engineering, Southeast University;Peng Wang:School of Computer Science and Engineering, Southeast University;Yao He:School of Computer Science and Engineering, Southeast University;Ziyu Shang:School of Computer Science and Engineering, Southeast University;Guozheng Li:School of Computer Science and Engineering, Southeast University;Zijie Xu:School of Computer Science and Engineering, Southeast University;Ke Ji:The Chinese University of Hong Kong, Shenzhen</t>
  </si>
  <si>
    <t>pwang@seu.edu.cn</t>
  </si>
  <si>
    <t>10.1145/3774904.3792398</t>
  </si>
  <si>
    <t>Chengyu Song:Academy of Military Sciences, Systems Engineering Institute;Lin Yang:Academy of Military Sciences, Systems Engineering Institute;Jianming Zheng:Laboratory for Advanced Computing and Intelligent Engineering;Jingjing Zhang:Academy of Military Sciences, Systems Engineering Institute;Hongyu Kuang:Academy of Military Sciences, Systems Engineering Institute;Jinzhi Liao:National University of Defense Technology, Laboratory for Big Data and Decision;Mengchun Zhao:Renmin University of China, School of Information Resource Management</t>
  </si>
  <si>
    <t>songchengyu@alumni.nudt.edu.cn</t>
  </si>
  <si>
    <t>10.1145/3774904.3792399</t>
  </si>
  <si>
    <t>Pei Chen:Fudan University;Geng Hong:Fudan University;Xinyi Wu:Fudan University;Mengying Wu:Fudan University;Zixuan Zhu:Fudan University;Mingxuan Liu:Zhongguancun Laboratory;Baojun Liu:Tsinghua University;Mi Zhang:Fudan University;Min Yang:Fudan University</t>
  </si>
  <si>
    <t>m_yang@fudan.edu.cn</t>
  </si>
  <si>
    <t>10.1145/3774904.3792400</t>
  </si>
  <si>
    <t>Zhiqiang Wang:University of Science and Technology of China;Guanquan Shi:Beihang University;Yanting Wang:Beihang University;Yichao Gao:University of Science and Technology of China;Hongsen Lang:Shandong University;Yunhao Yao:University of Science and Technology of China;Haohua Du:Beihang University;Xiang-Yang Li:University of Science and Technology of China</t>
  </si>
  <si>
    <t>duhaohua@buaa.edu.cn</t>
  </si>
  <si>
    <t>10.1145/3774904.3792401</t>
  </si>
  <si>
    <t>Zehao Wang:College of Intelligence and Computing, Tianjin University,School of New Media and Communication, Tianjin University;Lanjun Wang:School of New Media and Communication, Tianjin University;Fuxia Guo:School of New Media and Communication, Tianjin University;Yanjie Dong:School of Cyber-Science and Engineering, Xi'an Jiaotong University</t>
  </si>
  <si>
    <t>wanglanjun@tju.edu.cn</t>
  </si>
  <si>
    <t>10.1145/3774904.3792402</t>
  </si>
  <si>
    <t>Dongpeng Hou:School of Mechanical Engineering, Northwestern Polytechnical University;Yuchen Wang:School of Artificial Intelligence, OPtics and ElectroNics (iOPEN), Northwestern Polytechnical University;Giulio Cimini:University of Rome Tor Vergata;Roberto Benzi:University of Rome Tor Vergata;Huixiang Zhang:School of Cybersecurity, Northwestern Polytechnical University;Zhen Wang:School of Cybersecurity, Northwestern Polytechnical University;Chao Gao:School of Artificial Intelligence, OPtics and ElectroNics (iOPEN), Northwestern Polytechnical University</t>
  </si>
  <si>
    <t>zhanghuixiang@nwpu.edu.cn</t>
  </si>
  <si>
    <t>10.1145/3774904.3792403</t>
  </si>
  <si>
    <t>Di Jin:School of Computer Science and Technology, Tianjin University;Bingdao Feng:School of Computer Science and Technology, Tianjin University;Xiaobao Wang:School of Artificial Intelligence, Tianjin University;Yuxiang Zhang:School of Computer Science and Technology, Tianjin University;Zechuan Zhang:School of Computer Science and Technology, Tianjin University;Liang Yang:Hebei Province Key Laboratory of Big Data Calculation,School of Artificial Intelligence, Hebei University of Technology‌;Dongxiao He:School of Computer Science and Technology, Tianjin University;Zhen Wang:School of Cybersecurity, Northwestern Polytechnical University</t>
  </si>
  <si>
    <t>10.1145/3774904.3792404</t>
  </si>
  <si>
    <t>Jannik Albrecht:Ruhr University Bochum;Ghassan Karame:Ruhr University Bochum</t>
  </si>
  <si>
    <t>jannik.albrecht@ruhr-uni-bochum.de</t>
  </si>
  <si>
    <t>10.1145/3774904.3792405</t>
  </si>
  <si>
    <t>Wenhao Wu:Institute of Computing Technology, Chinese Academy of Sciences,University of the Chinese Academy of Sciences;Zhaohua Wang:Computer Network Information Center, Chinese Academy of Sciences;Zihan Li:Institute of Computing Technology, Chinese Academy of Sciences,University of the Chinese Academy of Sciences;Qinxin Li:Institute of Computing Technology, Chinese Academy of Sciences,University of the Chinese Academy of Sciences;Yiming Xia:Institute of Computing Technology, Chinese Academy of Sciences,University of the Chinese Academy of Sciences;Chuan Gao:Institute of Computing Technology, Chinese Academy of Sciences,University of the Chinese Academy of Sciences;Guangxing Zhang:Institute of Computing Technology, Chinese Academy of Sciences;Zhenyu Li:Institute of Computing Technology, Chinese Academy of Sciences,University of the Chinese Academy of Sciences</t>
  </si>
  <si>
    <t>zyli@ict.ac.cn</t>
  </si>
  <si>
    <t>10.1145/3774904.3792406</t>
  </si>
  <si>
    <t>Xusen Guo:The Hong Kong University of Science and Technology (Guangzhou);Mingxing Peng:The Hong Kong University of Science and Technology (Guangzhou);Xixuan Hao:The Hong Kong University of Science and Technology (Guangzhou);Xingchen Zou:The Hong Kong University of Science and Technology (Guangzhou);Qiongyan Wang:The Hong Kong University of Science and Technology (Guangzhou);Sijie Ruan:Beijing Institute of Technology;Yuxuan Liang:The Hong Kong University of Science and Technology (Guangzhou)</t>
  </si>
  <si>
    <t>yuxliang@outlook.com</t>
  </si>
  <si>
    <t>10.1145/3774904.3792407</t>
  </si>
  <si>
    <t>Min-Jeong Kim:Department of Artificial Intelligence, Hanyang University;Jiwon Son:Hanyang University;Yeon-Chang Lee:Ulsan National Institute of Science and Technology (UNIST);Sang-Wook Kim:Hanyang University</t>
  </si>
  <si>
    <t>10.1145/3774904.3792408</t>
  </si>
  <si>
    <t>Mengyang Ma:City University of Hong Kong;Xiaopeng Li:City University of Hong Kong;Wanyu Wang:City University of Hong Kong;Zhaocheng Du:Independent Researcher;Jingtong Gao:City University of Hong Kong;Pengyue Jia:City University of Hong Kong;Yuyang Ye:Rutgers University;Yiqi Wang:Michigan State University;Yunpeng Weng:Tencent;Weihong Luo:Tencent;Xiao Han:Computer Science and Technology, Zhejiang University of Technology;Xiangyu Zhao:City University of Hong Kong</t>
  </si>
  <si>
    <t>10.1145/3774904.3792409</t>
  </si>
  <si>
    <t>Tobias Gattermayer:Technical University of Darmstadt,ATHENE;Haya Schulmann:Goethe University Frankfurt,ATHENE</t>
  </si>
  <si>
    <t>tobias.gattermayer@tu-darmstadt.de</t>
  </si>
  <si>
    <t>10.1145/3774904.3792410</t>
  </si>
  <si>
    <t>Yitan Huang:Institute of Information Engineering, Chinese Academy of Sciences,School of Cyber Security, University of Chinese Academy of Sciences;Wei Qiao:Institute of Information Engineering, Chinese Academy of Sciences,School of Cyber Security, University of Chinese Academy of Sciences;Ding Wang:Institute of Information Engineering, Chinese Academy of Sciences,School of Cyber Security, University of Chinese Academy of Sciences;Meng Shen:School of Cyberspace Science and Technology, Beijing Institute of Technology;Di Zhao:Institute of Information Engineering, Chinese Academy of Sciences,School of Cyber Security, University of Chinese Academy of Sciences;Linxu Li:Institute of Information Engineering, Chinese Academy of Sciences,School of Cyber Security, University of Chinese Academy of Sciences;Susu Cui:Institute of Information Engineering, Chinese Academy of Sciences,School of Cyber Security, University of Chinese Academy of Sciences;Bo Jiang:Institute of Information Engineering, Chinese Academy of Sciences,School of Cyber Security, University of Chinese Academy of Sciences;Zhigang Lu:Institute of Information Engineering, Chinese Academy of Sciences,School of Cyber Security, University of Chinese Academy of Sciences;Baoxu Liu:Institute of Information Engineering, Chinese Academy of Sciences,School of Cyber Security, University of Chinese Academy of Sciences</t>
  </si>
  <si>
    <t>huangyitan@iie.ac.cn</t>
  </si>
  <si>
    <t>10.1145/3774904.3792411</t>
  </si>
  <si>
    <t>Jungwook Seo:Dept. of Artificial Intelligence, BAIK Lab, Hanyang University;Yoonsik Park:Dept. of Data Science, BAIK Lab, Hanyang University;Changmin Lee:Dept. of Data Science, BAIK Lab, Hanyang University;Sungyong Baik:Dept. of Data Science, Dept. of Artificial Intelligence, BAIK Lab, Hanyang University</t>
  </si>
  <si>
    <t>dsybaik@hanyang.ac.kr</t>
  </si>
  <si>
    <t>10.1145/3774904.3792412</t>
  </si>
  <si>
    <t>Songyang Wu:Nanjing University of Science and Technology, China;Chuan Ma:Chongqing University, China;Ming Ding:Commonwealth Scientific and Industrial Research Organisation (CSIRO)-Data61, Australia;Long Yuan:Wuhan University of Technology, China;Biwen Chen:Chongqing University, China;Yuwen Qian:Nanjing University of Science and Technology, China;Tao Xiang:Chongqing University, China</t>
  </si>
  <si>
    <t>chuan.ma@cqu.edu.cn</t>
  </si>
  <si>
    <t>10.1145/3774904.3792413</t>
  </si>
  <si>
    <t>Shuo Yu:Dalian University of Technology;Zhuoyang Han:Dalian University of Technology;Guoqing Han:Dalian University of Technology;Tao Tang:Zhejiang University of Technology;Feng Ding:Dalian University of Technology;Qiang Zhang:Dalian University of Technology</t>
  </si>
  <si>
    <t>dingfeng@dlut.edu.cn</t>
  </si>
  <si>
    <t>10.1145/3774904.3792414</t>
  </si>
  <si>
    <t>Samuel Pélissier:CentraleSupélec, Inria, IRISA;Naif Mehanna:No affiliation;Sterenn Roux:Univ. Rennes, CNRS, Inria, IRISA;Quentin Perez:INSA Rennes, Univ. Rennes, CNRS, Inria, IRISA;Walter Rudametkin:Univ. Rennes, CNRS, Inria, IRISA, IUF;Johann Bourcier:Université de Pau et des Pays de l’Adour, E2S UPPA, LIUPPA;Pierre Laperdrix:CNRS, Univ. Lille, Inria</t>
  </si>
  <si>
    <t>samuel.pelissier@inria.fr</t>
  </si>
  <si>
    <t>naif.meh@gmail.com</t>
  </si>
  <si>
    <t>10.1145/3774904.3792415</t>
  </si>
  <si>
    <t>Bingjie Wang:Shanxi University;Chao Zhang:Shanxi University;Wentao Li:Southwest University;Deyu Li:Shanxi University</t>
  </si>
  <si>
    <t>10.1145/3774904.3792416</t>
  </si>
  <si>
    <t>Meixia Wang:Northeastern University;Yuhai Zhao:Northeastern University;Zhengkui Wang:Singapore Institute of Technology;Fenglong Ma:The Pennsylvania State University;Yejiang Wang:Northeastern University;Miaomiao Huang:Northeastern University;Fazal Wahab:Northeastern University;Wen Shan:Singapore University of Social Sciences;Xingwei Wang:Northeastern University</t>
  </si>
  <si>
    <t>10.1145/3774904.3792417</t>
  </si>
  <si>
    <t>Yichi Zhang:Shanghai Key Laboratory of Trustworthy Computing, East China Normal University;Yunqi Han:Shanghai Key Laboratory of Trustworthy Computing, East China Normal University;Jiayue Ding:Shanghai Key Laboratory of Trustworthy Computing, East China Normal University;Liangyu Chen:Shanghai Key Laboratory of Trustworthy Computing, East China Normal University</t>
  </si>
  <si>
    <t>lychen@sei.ecnu.edu.cn</t>
  </si>
  <si>
    <t>10.1145/3774904.3792418</t>
  </si>
  <si>
    <t>Yuping Zhou:The Hong Kong University of Science and Technology (Guangzhou);Siqi Lai:The Hong Kong University of Science and Technology (Guangzhou);Jindong Han:The Hong Kong University of Science and Technology (Guangzhou);Hao Liu:The Hong Kong University of Science and Technology (Guangzhou),The Hong Kong University of Science and Technology</t>
  </si>
  <si>
    <t>liuh@ust.hk</t>
  </si>
  <si>
    <t>10.1145/3774904.3792419</t>
  </si>
  <si>
    <t>Yuzhe Chen:School of Computer Science and Engineering, Nanjing University of Science and Technology;Jie Cao:School of Management, Hefei University of Technology;Youquan Wang:School of Computer Science and Artificial Intelligence, Nanjing University of Finance and Economics;Haicheng Tao:School of Computer Science and Artificial Intelligence, Nanjing University of Finance and Economics;Darko B. Vukovic:Department of Finance and Accounting, Saint Petersburg State University;Jia Wu:School of Computing, Macquarie University</t>
  </si>
  <si>
    <t>cao_jie@hfut.edu.cn</t>
  </si>
  <si>
    <t>10.1145/3774904.3792420</t>
  </si>
  <si>
    <t>Furen Xu:Platform and Content Group, Tencent;Jie Zhang:Platform and Content Group, Tencent;Kai Jiang:Platform and Content Group, Tencent;Chengxiang Zhuo:Platform and Content Group, Tencent;Zang Li:Platform and Content Group, Tencent</t>
  </si>
  <si>
    <t>furenxu@tencent.com</t>
  </si>
  <si>
    <t>10.1145/3774904.3792421</t>
  </si>
  <si>
    <t>Houshuang Chen:Shanghai Jiao Tong University;Yaonan Jin:Huawei;Pinyan Lu:Laboratory of Interdisciplinary Research of Computation and Economics, Shanghai University of Finance and Economics,Huawei;Chihao Zhang:Shanghai Jiao Tong University</t>
  </si>
  <si>
    <t>jinyaonan@huawei.com</t>
  </si>
  <si>
    <t>10.1145/3774904.3792422</t>
  </si>
  <si>
    <t>Hantong Feng:School of Cyber Science and Engineering, Southeast University;Yonggang Wu:School of Mathematics, Southeast University;Duxin Chen:School of Mathematics, Southeast University;Wenwu Yu:School of Mathematics, Southeast University</t>
  </si>
  <si>
    <t>chendx@seu.edu.cn</t>
  </si>
  <si>
    <t>10.1145/3774904.3792423</t>
  </si>
  <si>
    <t>Hengzhi Wang:College of Computer Science and Software Engineering, Shenzhen University;Lu Dai:College of Computer Science and Software Engineering, Shenzhen University;Xianliang Zhang:College of Computer Science and Software Engineering, Shenzhen University;Haoran Chen:College of Computer Science and Software Engineering, Shenzhen University;Juncheng Hu:College of Computer Science and Technology, Jilin University;Kun Yang:School of Computer Science and Electronic Engineering, University of Essex</t>
  </si>
  <si>
    <t>whz@szu.edu.cn</t>
  </si>
  <si>
    <t>10.1145/3774904.3792424</t>
  </si>
  <si>
    <t>Yizhong Liu:Beihang University,Beijing Advanced Innovation Center for Future Blockchain and Privacy Computing;Zedan Zhao:Beihang University;Boyu Zhao:Beihang University;Na Wang:Beihang University;Haojun Tan:Beihang University;Jianwei Liu:Beihang University</t>
  </si>
  <si>
    <t>10.1145/3774904.3792425</t>
  </si>
  <si>
    <t>Zhenhua Meng:Inner Mongolia University;Fanshen Meng:Beijing University of Posts and Telecommunications</t>
  </si>
  <si>
    <t>zhmeng@imu.edu.cn</t>
  </si>
  <si>
    <t>10.1145/3774904.3792426</t>
  </si>
  <si>
    <t>Weigang Lu:The Hong Kong University of Science and Technology;Zheng Liang:The Hong Kong University of Science and Technology;Yaming Yang:School of Computer Science and Technology, Xidian University;Ziyu Zheng:Xidian University;Meng Yan:Xidian University;Beilei Ling:Xidian University;Ziyu Guan:Xidian University;Wei Zhao:Xidian University</t>
  </si>
  <si>
    <t>liangz@ust.hk</t>
  </si>
  <si>
    <t>10.1145/3774904.3792427</t>
  </si>
  <si>
    <t>Zhange Zhang:Institute of Artificial Intelligence, Beihang University,State Key Laboratory of Complex &amp; Critical Software Environment;Yuqing Ma:Institute of Artificial Intelligence, Beihang University,State Key Laboratory of Complex &amp; Critical Software Environment;Yulong Wang:School of Computer Science and Engineering, Beihang University;Tianbo Wang:School of Computer Science and Engineering, Beihang University;Jiakai Wang:Zhongguancun Laboratory;Simin Li:School of Computer Science and Engineering, Beihang University;Xianglong Liu:State Key Laboratory of Complex &amp; Critical Software Environment,School of Computer Science and Engineering, Beihang University</t>
  </si>
  <si>
    <t>mayuqing@buaa.edu.cn</t>
  </si>
  <si>
    <t>10.1145/3774904.3792428</t>
  </si>
  <si>
    <t>Haohao Qu:The Hong Kong Polytechnic University;Shanru Lin:City University of Hong Kong;Yujuan Ding:The Hongkong Polytechnic University;Yiqi Wang:National University of Defense Technology;Wenqi Fan:The Hong Kong Polytechnic University</t>
  </si>
  <si>
    <t>haohao.qu@connect.polyu.hk</t>
  </si>
  <si>
    <t>10.1145/3774904.3792429</t>
  </si>
  <si>
    <t>Ge Zhang:School of Information and Intelligent Science, Donghua University;Jiapei Chen:School of Information and Intelligent Science, Donghua University;Guohao Sun:School of Information and Intelligent Science, Donghua University;Xiu Fang:School of Information and Intelligent Science, Donghua University;Zhenyu Yang:School of Computing, Macquarie University;Xixun Lin:Institute of Information Engineering, Chinese Academy of Sciences;Liang Yang:School of Artificial Intelligence, Hebei University of Technology</t>
  </si>
  <si>
    <t>linxixun@iie.ac.cn</t>
  </si>
  <si>
    <t>10.1145/3774904.3792430</t>
  </si>
  <si>
    <t>Xingyuan Zeng:Sun Yat-Sen University,The Technology Innovation Center for Collaborative Applications of Natural Resources Data in GBA, MNR;Zuohan Wu:The Hong Kong University of Science and Technology (Guangzhou);Yue Wang:Shenzhen Institute of Computing Sciences;Chen Zhang:The Hong Kong Polytechnic University;Quanming Yao:Tsinghua University,State Key laboratory of Space Network and Communications;Libin Zheng:Sun Yat-Sen University;Jian Yin:Sun Yat-Sen University</t>
  </si>
  <si>
    <t>zhenglb6@mail.sysu.edu.cn</t>
  </si>
  <si>
    <t>10.1145/3774904.3792431</t>
  </si>
  <si>
    <t>Jiaming Guo:Institute of Information Engineering, Chinese Academy of Sciences,School of Cyber Security, University of Chinese Academy of Sciences;Haoran Yang:Institute of Information Engineering, Chinese Academy of Sciences,School of Cyber Security, University of Chinese Academy of Sciences;Kuihao Yan:Institute of Information Engineering, Chinese Academy of Sciences,School of Cyber Security, University of Chinese Academy of Sciences;Jiekang Hu:Institute of Information Engineering, Chinese Academy of Sciences,School of Cyber Security, University of Chinese Academy of Sciences;Xiaoqi Jia:Institute of Information Engineering, Chinese Academy of Sciences,School of Cyber Security, University of Chinese Academy of Sciences;Haichao Du:Institute of Information Engineering, Chinese Academy of Sciences,School of Cyber Security, University of Chinese Academy of Sciences;Qihang Zhou:Institute of Information Engineering, Chinese Academy of Sciences,School of Cyber Security, University of Chinese Academy of Sciences</t>
  </si>
  <si>
    <t>jiaxiaoqi@iie.ac.cn</t>
  </si>
  <si>
    <t>permissionRelease</t>
  </si>
  <si>
    <t>guojiaming@iie.ac.cn</t>
  </si>
  <si>
    <t>10.1145/3774904.3792432</t>
  </si>
  <si>
    <t>Li Ni:School of Computer Science and Technology, Anhui University;Shuaikang Zeng:School of Computer Science and Technology, Anhui University;Lin Mu:School of Computer Science and Technology, Anhui University;Longlong Lin:College of Computer and Information Science, Southwest University</t>
  </si>
  <si>
    <t>10.1145/3774904.3792433</t>
  </si>
  <si>
    <t>Jihao Zhao:School of Information, Renmin University of China;Daixuan Li:School of Smart Governance, Renmin University of China;Pengfei Li:School of Information, Renmin University of China;Shuaishuai Zu:School of Information, Renmin University of China;Biao Qin:School of Information, BRAIN, Renmin University of China;Hongyan Liu:School of Economics and Management, Tsinghua University</t>
  </si>
  <si>
    <t>qinbiao@ruc.edu.cn</t>
  </si>
  <si>
    <t>10.1145/3774904.3792434</t>
  </si>
  <si>
    <t>Hua Wang:School of Computer and Artificial Intelligence, Ludong University;Jinghao Lu:School of Computer and Artificial Intelligence, Ludong University;Fan Zhang:School of Computer Science and Technology, Shandong Technology and Business University</t>
  </si>
  <si>
    <t>Zhangfan51@sina.com</t>
  </si>
  <si>
    <t>10.1145/3774904.3792435</t>
  </si>
  <si>
    <t>Li Sun:Beijing University of Posts and Telecommunications;Ming Zhang:North China Electric Power University;Wenxin Jin:North China Electric Power University;Zhongtian Sun:University of Kent;Zhenhao Huang:North China Electric Power University;Hao Peng:Beihang University;Sen Su:Beijing University of Posts and Telecommunications;Philip Yu:University of Illinois</t>
  </si>
  <si>
    <t>lsun@bupt.edu.cn</t>
  </si>
  <si>
    <t>10.1145/3774904.3792436</t>
  </si>
  <si>
    <t>Rui Wang:School of Computer Science, Nanjing University of Posts and Telecommunications,Intelligent Interconnected Systems Laboratory of Anhui Province, Hefei University of Technology;Ziang Li:School of Computer Science, Nanjing University of Posts and Telecommunications;Haiping Huang:The State Key Laboratory of Tibetan Intelligence, Nanjing University of Posts and Telecommunications;Jialin Yu:Department of Engineering Science, University of Oxford;Yuxiang Zhou:School of Electronic Engineering and Computer Science, Queen Mary University of London;Guozi Sun:School of Computer Science, Nanjing University of Posts And Telecommunications</t>
  </si>
  <si>
    <t>hhp@njupt.edu.cn</t>
  </si>
  <si>
    <t>10.1145/3774904.3792437</t>
  </si>
  <si>
    <t>Wenbin Guo:College of Intelligence and Computing, Tianjin University;Xin Wang:College of Intelligence and Computing, Tianjin University;Jiaoyan Chen:Department of Computer Science, The University of Manchester;Lingbing Guo:College of Intelligence and Computing, Tianjin University;Zhao Li:College of Intelligence and Computing, Tianjin University;Zirui Chen:College of Intelligence and Computing, Tianjin University</t>
  </si>
  <si>
    <t>wangx@tju.edu.cn</t>
  </si>
  <si>
    <t>10.1145/3774904.3792438</t>
  </si>
  <si>
    <t>Junyi Wang:Harbin Institute of Technology;Zhibin Zhu:Harbin Institute of Technology;Chuanyi Liu:Harbin Institute of Technology,Pengcheng Laboratory</t>
  </si>
  <si>
    <t>liuchuanyi@hit.edu.cn</t>
  </si>
  <si>
    <t>10.1145/3774904.3792439</t>
  </si>
  <si>
    <t>Oussama Draissi:paluno - the Ruhr Institute for Software Technology, University of Duisburg-Essen;Lucas Davi:paluno - the Ruhr Institute for Software Technology, University of Duisburg-Essen</t>
  </si>
  <si>
    <t>oussama.draissi@uni-due.de</t>
  </si>
  <si>
    <t>10.1145/3774904.3792440</t>
  </si>
  <si>
    <t>Qing Wei:University of Electronic Science and Technology of China;Hao Miao:The Hong Kong Polytechnic University;Yan Zhao:Shenzhen Institute for Advanced Study, University of Electronic Science and Technology of China;Kai Zheng:University of Electronic Science and Technology of China;Bin Yang:East China Normal University;Volker Markl:TU Berlin;Christian S. Jensen:Aalborg University</t>
  </si>
  <si>
    <t>hao.miao@polyu.edu.hk</t>
  </si>
  <si>
    <t>10.1145/3774904.3792441</t>
  </si>
  <si>
    <t>Zhigao Zheng:School of Computer Science, Wuhan University;Kai Yin:School of Computer Science, Wuhan University;Yaowen Kuang:Hubei Key Laboratory of Digital Education, Central China Normal University;Tao Wang:Hubei Key Laboratory of Digital Education, Central China Normal University;Yahong Chen:School of Computer Science, Central China Normal University;Shihong Yao:School of Geography and Information Engineering, China University of Geosciences;Hao Huang:School of Computer Science, Wuhan University</t>
  </si>
  <si>
    <t>tmac@mail.ccnu.edu.cn</t>
  </si>
  <si>
    <t>10.1145/3774904.3792442</t>
  </si>
  <si>
    <t>Yu Xiao:Nanjing University of Information Science and Technology,Key Laboratory of Symbolic Computation and Knowledge Engineering of Ministry of Education, Jilin University;Haolong Xiang:Nanjing University of Information Science and Technology,Key Laboratory of Symbolic Computation and Knowledge Engineering of Ministry of Education, Jilin University;Xiaolong Xu:Nanjing University of Information Science and Technology;Lianyong Qi:China University of Petroleum (East China);Xuyun Zhang:Macquarie University;Wei Fan:University of Auckland;Wanchun Dou:Nanjing University</t>
  </si>
  <si>
    <t>xlxu@nuist.edu.cn</t>
  </si>
  <si>
    <t>10.1145/3774904.3792443</t>
  </si>
  <si>
    <t>Yilei Qiu:School of Electronic and Information Engineering, Beijing Jiaotong University;Fei Xiong:School of Electronic and Information Engineering, Beijing Jiaotong University;Jun Hu:Institute of Software Chinese Academy of Sciences, University of Chinese Academy of Sciences;Shirui Pan:School of Information and Communication Technology, Griffith University;Liang Wang:School of Computer Science, Northwestern Polytechnical University</t>
  </si>
  <si>
    <t>xiongf@bjtu.edu.cn</t>
  </si>
  <si>
    <t>10.1145/3774904.3792444</t>
  </si>
  <si>
    <t>Feng Ding:School of Software, Dalian University of Technology;Tingting Wang:School of Economics and Management, Dalian University of Technology;Ruolin Li:School of Software, Dalian University of Technology;Ying Jin:School of Software, Dalian University of Technology;Junxiang Zhang:The Hong Kong University of Science and Technology (Guangzhou);Shan Jin:School of Software, Dalian University of Technology;Yicong Li:School of Software, Dalian University of Technology;Xin Ye:School of Economics and Management, Dalian University of Technology</t>
  </si>
  <si>
    <t>yexin@dlut.edu.cn</t>
  </si>
  <si>
    <t>10.1145/3774904.3792445</t>
  </si>
  <si>
    <t>Yiming Wu:Tongji University;Liang Hu:Department of Computer Science and Technology, Tongji University;Mingzhu Zhou:Nankai University;Tangwei Ye:Tongji University;Xuejie Yang:Tongji University;Xun Yang:Tongji University;Zhongyuan Lai:Shanghai Ballsnow Intelligent Technology Co. Ltd;Qi Zhang:Tongji University;Usman Naseem:Macquarie University</t>
  </si>
  <si>
    <t>lianghu@tongji.edu.cn</t>
  </si>
  <si>
    <t>10.1145/3774904.3792446</t>
  </si>
  <si>
    <t>Yuhan Cao:Shanghai Qi Zhi Institute,ShanghaiTech University;Yu Wang:Institute of Information Engineering, Chinese Academy of Sciences,Shanghai Qi Zhi Institute;Sitong Liu:ShanghaiTech University;Miao Li:Beijing Institure for General Artificial Intelligence, BIGAI;Yixin Tao:Shanghai University of Finance and Economics;Tianxing He:Tsinghua University,Shanghai Qi Zhi Institute</t>
  </si>
  <si>
    <t>hetianxing@mail.tsinghua.edu.cn</t>
  </si>
  <si>
    <t>10.1145/3774904.3792447</t>
  </si>
  <si>
    <t>Jinwen Chen:University of Electronic Science and Technology of China;Hao Miao:The Hong Kong Polytechnic University;Chenxi Liu:Hong Kong Institute of Science &amp; Innovation, Chinese Academy of Sciences;Yan Zhao:Shenzhen Institute for Advanced Study, University of Electronic Science and Technology of China;Kai Zheng:University of Electronic Science and Technology of China</t>
  </si>
  <si>
    <t>10.1145/3774904.3792448</t>
  </si>
  <si>
    <t>Qiuyu Ding:School of Computer Science, Peking University;Rongkai Zhang:School of Computer Science, Peking University;Qinnan Zhang:Institute of Artificial Intelligence, Beihang University,Beijing Advanced Innovation Center for Future Blockchain and Privacy Computing, Beihang University;Zhen Xiao:School of Computer Science, Peking University;Jieyi Long:Theta Labs, Inc.;Mingchao Wan:Beijing Academy of Blockchain and Edge Computing;Sen Liu:Beijing Academy of Blockchain and Edge Computing;Jin Dong:Beijing Academy of Blockchain and Edge Computing</t>
  </si>
  <si>
    <t>10.1145/3774904.3792449</t>
  </si>
  <si>
    <t>Yunxiao Yang:Tongji University;Jianting Chen:Tongji University;Xiaoying Gao:Tongji University;Zaiyuan Di:Tongji University;Yang Xiang:Tongji University</t>
  </si>
  <si>
    <t>tj_chenjt@tongji.edu.cn</t>
  </si>
  <si>
    <t>10.1145/3774904.3792450</t>
  </si>
  <si>
    <t>Longkun Guo:Fuzhou University;Chaoqi Jia:RMIT University;Chao Chen:RMIT University</t>
  </si>
  <si>
    <t>chaoqi.jia@rmit.edu.au</t>
  </si>
  <si>
    <t>10.1145/3774904.3792451</t>
  </si>
  <si>
    <t>Jin Zeng:School of Cyber Science and Technology, Shenzhen Campus of Sun Yat-sen University;Yupeng Qi:School of Cyber Science and Technology, Shenzhen Campus of Sun Yat-sen University;Hui Li:Department of Computer Science and Technology, Xiamen University;Chengming Li:Artificial Intelligence Research Institute, Shenzhen MSU-BIT University;Ziyu Lyu:School of Cyber Science and Technology, Shenzhen Campus of Sun Yat-sen University;Lixin Cui:School of Information, Central University of Finance and Economics;Lu Bai:School of Artificial Intelligence, Beijing Normal University</t>
  </si>
  <si>
    <t>10.1145/3774904.3792452</t>
  </si>
  <si>
    <t>Yu Xing:Nanjing University;Qizhuo Xie:Nanjing University;You Lv:Jiangsu University;Ziyang Zhou:Nanjing University;Qianzi Hou:Nanjing University;Qing Gu:Nanjing University;Bin Chong:Peking University;Tieke He:National Key Laboratory for Novel Software Technology, Nanjing University</t>
  </si>
  <si>
    <t>hetieke@gmail.com</t>
  </si>
  <si>
    <t>10.1145/3774904.3792453</t>
  </si>
  <si>
    <t>Jingbo Zhou:Zhejiang University,Westlake University;Jun Xia:Hong Kong University of Science and Technology (Guangzhou);Siyuan Li:Westlake University;Yunfan Liu:Westlake University;Wenjun Wang:Tongji University;Yufei Huang:Westlake University;Changxi Chi:Westlake University;Mutian Hong:ShanghaiTech University;Zhuoli Ouyang:Southern University of Science and Technology;Shu Wang:Jilin University;Zhongqi Wang:Jilin University;Xingyu Wu:Zhejiang University;Chang Yu:Westlake University;Stan Z. Li:Westlake University</t>
  </si>
  <si>
    <t>stan.zq.li@westlake.edu.cn</t>
  </si>
  <si>
    <t>10.1145/3774904.3792454</t>
  </si>
  <si>
    <t>Yunhui Liu:State Key Laboratory for Novel Software Technology, Nanjing University;Qizhuo Xie:State Key Laboratory for Novel Software Technology, Nanjing University;Yinfeng Chen:State Key Laboratory for Novel Software Technology, Nanjing University;Xudong Jin:State Key Laboratory for Novel Software Technology, Nanjing University;Tao Zheng:State Key Laboratory for Novel Software Technology, Nanjing University;Bin Chong:National Engineering Laboratory for Big Data Analysis and Applications, Peking University;Tieke He:State Key Laboratory for Novel Software Technology, Nanjing University</t>
  </si>
  <si>
    <t>10.1145/3774904.3792455</t>
  </si>
  <si>
    <t>Di Jin:School of Computer Science and Technology, Tianjin University;Yixuan Du:School of Computer Science and Technology, Tianjin University;Cuiying Huo:School of Computer Software, Tianjin University;Xiaotong Huang:School of Mathematics, Tianjin University;Ruqiong Zhang:School of Computer Science and Technology, Tianjin University;Xiaobao Wang:School of Artificial Intelligence, Tianjin University;Yawen Li:School of Economics and Management, Beijing University of Posts and Telecommunications</t>
  </si>
  <si>
    <t>huocuiying@tju.edu.cn</t>
  </si>
  <si>
    <t>10.1145/3774904.3792456</t>
  </si>
  <si>
    <t>Maolin Wang:City University of Hong Kong;Tongshu Bian:City University of Hong Kong;Ziyan Wang:City University of Hong Kong;Xiaotong Jiang:City University of Hong Kong;Binhao Wang:City University of Hong Kong;Derong Xu:University of Science and Technology of China,City University of Hong Kong;Wanyu Wang:City University of Hong Kong;Ruocheng Guo:Independent Researcher;Xiangyu Zhao:City University of Hong Kong</t>
  </si>
  <si>
    <t>10.1145/3774904.3792457</t>
  </si>
  <si>
    <t>Ting Qiao:North China Electric Power University;Xing Liu:Research Institute,China Unicom;Wenke Huang:Wuhan University;Jianbin Li:North China Electric Power University;Zhaoxin Fan:Beihang University;Yiming Li:Nanyang Technological University</t>
  </si>
  <si>
    <t>10.1145/3774904.3792458</t>
  </si>
  <si>
    <t>Ming Xu:National University of Singapore;Hongtai Wang:National University of Singapore;Yanpei Guo:National University of Singapore;Zhengmin Yu:Fudan University;Weili Han:Fudan University;Hoon Wei Lim:Cyber Special Ops-R&amp;D, NCS Group;Jin Song Dong:National University of Singapore;Jiaheng Zhang:National University of Singapore</t>
  </si>
  <si>
    <t>mingxucs18@gmail.com</t>
  </si>
  <si>
    <t>10.1145/3774904.3792459</t>
  </si>
  <si>
    <t>Rong Fu:University of Macau;Yemin Wang:Xiamen University;Tianxiang Xu:Peking University;Yongtai Liu:Hanyang University;Weizhi Tang:University of Macau;Wangyu Wu:University of Liverpool;Xiaowen Ma:Zhejiang University;Simon Fong:University of Macau</t>
  </si>
  <si>
    <t>mc46603@um.edu.mo</t>
  </si>
  <si>
    <t>10.1145/3774904.3792460</t>
  </si>
  <si>
    <t>Xiaoxi Li:Gaoling School of Artificial Intelligence, Renmin University of China;Wenxiang Jiao:Xiaohongshu Inc.;Jiarui Jin:Xiaohongshu Inc.;Guanting Dong:Beijing University of Posts and Telecommunications, Renmin University of China;Jiajie Jin:Renmin University of China;Yinuo Wang:Tsinghua University;Hao Wang:Xiaohongshu Inc.;Yutao Zhu:Gaoling School of Artificial Intelligence, Renmin University of China;Ji-Rong Wen:Gaoling School of Artificial Intelligence, Renmin University of China;Yuan Lu:Xiaohongshu Inc.;Zhicheng Dou:Renmin University of China</t>
  </si>
  <si>
    <t>10.1145/3774904.3792461</t>
  </si>
  <si>
    <t>Jinming Wang:Department of Computer Science, University of Exeter;Hai Wang:Jingdong Logistics;Hongkai Wen:Department of Computer Science, The University of Warwick;Geyong Min:Department of Computer Science, University of Exeter;Man Luo:Department of Computer Science, The University of Exeter</t>
  </si>
  <si>
    <t>10.1145/3774904.3792462</t>
  </si>
  <si>
    <t>Yang Feng:The University of Edinburgh;Xudong Pan:Fudan University,Shanghai Innovation Institute</t>
  </si>
  <si>
    <t>s2775736@ed.ac.uk</t>
  </si>
  <si>
    <t>10.1145/3774904.3792463</t>
  </si>
  <si>
    <t>Yixuan Huang:University of Electronic Science and Technology of China;Jiawei Chen:National University of Defense Technology;Shengfan Zhang:Beijing University of Posts and Telecommunications;Zongsheng Cao:Tsinghua University</t>
  </si>
  <si>
    <t>agiczsr@gmail.com</t>
  </si>
  <si>
    <t>10.1145/3774904.3792464</t>
  </si>
  <si>
    <t>Yang Yao:DCST, Tsinghua University;Xin Wang:DCST, BNRist, Tsinghua University;Yuan Meng:DCST, Tsinghua University;Zeyang Zhang:DCST, Tsinghua University;Hong Mei:Peking University;Wenwu Zhu:DCST, BNRist, Tsinghua University</t>
  </si>
  <si>
    <t>yaoyang21@mails.tsinghua.edu.cn</t>
  </si>
  <si>
    <t>10.1145/3774904.3792465</t>
  </si>
  <si>
    <t>Yifan Wang:University of International Business and Economics;Haodong Zhang:Northeastern University;Zhiping Xiao:University of Washington;Yusheng Zhao:Peking University;Siyu Yi:Sichuan University;Nan Yin:Hong Kong University of Science and Technology;Xinwang Liu:National University of Defense Technology;Ming Zhang:Peking University;Wei Ju:Sichuan University</t>
  </si>
  <si>
    <t>yifanwang@uibe.edu.cn</t>
  </si>
  <si>
    <t>10.1145/3774904.3792466</t>
  </si>
  <si>
    <t>Gu Tang:Shanghai Jiao Tong University;Jinghe Wang:Shanghai Jiao Tong University;Jiang Bo:Shanghai Jiao Tong University;Ze Zhao:Shanghai Jiao Tong University;Jianping Zhou:Shanghai Jiao Tong University;Xiaoying Gan:Shanghai Jiao Tong University;Luoyi Fu:Shanghai Jiao Tong University;Xinbing Wang:Shanghai Jiao Tong University;Chenghu Zhou:Chinese Academy of Sciences</t>
  </si>
  <si>
    <t>ganxiaoying@sjtu.edu.cn</t>
  </si>
  <si>
    <t>10.1145/3774904.3792467</t>
  </si>
  <si>
    <t>Andrew T Rozema:Purdue;James Davis:Electrical &amp; Computer Engineering, Purdue</t>
  </si>
  <si>
    <t>arozema@purdue.edu</t>
  </si>
  <si>
    <t>10.1145/3774904.3792468</t>
  </si>
  <si>
    <t>Tangila Islam Tanni:Department of Computer Science, University of Central Florida;Renita Washburn:School of Modeling, Simulation and Training, University of Central Florida;Yan Solihin:Department of Computer Science, University of Central Florida;Mary Jean Amon:Department of Informatics, Indiana University Bloomington</t>
  </si>
  <si>
    <t>tangilaislam.tanni@ucf.edu</t>
  </si>
  <si>
    <t>10.1145/3774904.3792469</t>
  </si>
  <si>
    <t>Yanxiu Liu:Institute of Computing Technology, Chinese Academy of Sciences,University of Chinese Academy of Sciences;Linpeng Jia:Institute of Computing Technology, Chinese Academy of Sciences,State Key Laboratory of Blockchain and Data Security, Zhejiang University;Xiaohu Yang:State Key Laboratory of Blockchain and Data Security, Zhejiang University;Zhongcheng Li:Institute of Computing Technology, Chinese Academy of Sciences,University of Chinese Academy of Sciences;Yi Sun:Institute of Computing Technology, Chinese Academy of Sciences,University of Chinese Academy of Sciences</t>
  </si>
  <si>
    <t>sunyi@ict.ac.cn</t>
  </si>
  <si>
    <t>10.1145/3774904.3792470</t>
  </si>
  <si>
    <t>Yuqing Yang:CISPA Helmholtz Center for Information Security;Zhiqiang Lin:The Ohio State University</t>
  </si>
  <si>
    <t>zlin@cse.ohio-state.edu</t>
  </si>
  <si>
    <t>10.1145/3774904.3792471</t>
  </si>
  <si>
    <t>Xiao Tan:Southeast University;Tongtong Su:Zhejiang University;Jiayi Wu:Southeast University;Yan Zhang:Southeast University;Binghui Xu:Southeast University;Dian Shen:Southeast University;Meng Wang:Tongji University;Beilun Wang:Southeast University</t>
  </si>
  <si>
    <t>beilun@seu.edu.cn</t>
  </si>
  <si>
    <t>10.1145/3774904.3792472</t>
  </si>
  <si>
    <t>Santiago Balseiro:Columbia University, Google Research;Kshipra Bhawalkar:Google Research;Yuan Deng:Google Research;Zhe Feng:Google Research;Jieming Mao:Google Research;Aranyak Mehta:Google Research;Vahab Mirrokni:Google Research;Renato Paes Leme:Google Research;Di Wang:Google Research;Song Zuo:Google Research</t>
  </si>
  <si>
    <t>szuo@google.com</t>
  </si>
  <si>
    <t>10.1145/3774904.3792473</t>
  </si>
  <si>
    <t>Jeffrey Gleason:Northeastern University;Shuo Zhang:Northeastern University;Christo Wilson:Northeastern University</t>
  </si>
  <si>
    <t>gleason.je@northeastern.edu</t>
  </si>
  <si>
    <t>10.1145/3774904.3792474</t>
  </si>
  <si>
    <t>Soham De:University of Washington,FAIR at Meta;Lodewijk Gelauff:Generation Lab,Stanford University;Ashish Goel:Stanford University;Smitha Milli:FAIR at Meta;Ariel D. Procaccia:Harvard University,FAIR at Meta;Alice Siu:Stanford University</t>
  </si>
  <si>
    <t>sohamde@uw.edu</t>
  </si>
  <si>
    <t>10.1145/3774904.3792475</t>
  </si>
  <si>
    <t>Seyed Esmaeili:University of Chicago;Kevin Lim:IXL Learning;Kshipra Bhawalkar:Google Research;Zhe Feng:Google Research;Di Wang:Google Research;Haifeng Xu:University of Chicago</t>
  </si>
  <si>
    <t>esmaeili@uchicago.edu</t>
  </si>
  <si>
    <t>10.1145/3774904.3792476</t>
  </si>
  <si>
    <t>Baigang Chen:University of Minnesota;Dongfang Zhao:University of Washington</t>
  </si>
  <si>
    <t>chen9464@umn.edu</t>
  </si>
  <si>
    <t>10.1145/3774904.3792477</t>
  </si>
  <si>
    <t>Inwon Kang:Rensselaer Polytechnic Institute;Parikshit Ram:IBM Research;Yi Zhou:IBM Research;Horst Samulowitz:IBM Research;Oshani Seneviratne:Rensselaer Polytechnic Institute</t>
  </si>
  <si>
    <t>kangi@rpi.edu</t>
  </si>
  <si>
    <t>10.1145/3774904.3792478</t>
  </si>
  <si>
    <t>Mohammad Mahdian:Google Research;Jieming Mao:Google Research;Enze Sun:The University of Hong Kong;Kangning Wang:Rutgers University;Yifan Wang:Georgia Institute of Technology</t>
  </si>
  <si>
    <t>10.1145/3774904.3792479</t>
  </si>
  <si>
    <t>Luca Cordioli:Department of Electronics, Information and Bioengineering, Politecnico di Milano;Maristella Matera:Department of Electronics, Information and Bioengineering, Politecnico di Milano</t>
  </si>
  <si>
    <t>luca.cordioli@polimi.it</t>
  </si>
  <si>
    <t>10.1145/3774904.3792480</t>
  </si>
  <si>
    <t>George Christodoulou:Aristotle University of Thessaloniki,Archimedes, Athena Research Center;Vasilis Christoforidis:Aristotle University of Thessaloniki,Archimedes, Athena Research Center;Alkmini Sgouritsa:Athens University of Economics and Business,Archimedes, Athena Research Center;Ioannis Vlachos:Athens University of Economics and Business,Archimedes, Athena Research Center</t>
  </si>
  <si>
    <t>vgchrist@csd.auth.gr</t>
  </si>
  <si>
    <t>10.1145/3774904.3792481</t>
  </si>
  <si>
    <t>Ruofan Wang:The University of Auckland;Zijian Huang:The University of Auckland;Qiqi Wang:Nankai University;Yuchen Su:The University of Auckland;Robert Amor:The University of Auckland;Kaiqi Zhao:Harbin Institute of Technology, Shenzhen;Meng-Fen Chiang:National Yang Ming Chiao Tung University</t>
  </si>
  <si>
    <t>10.1145/3774904.3792482</t>
  </si>
  <si>
    <t>Kamal Berahmand:RMIT;Saman Forouzandeh:RMIT;Mehrnoush Mohammadi:UQ;Parham Moradi:RMIT;Mahdi Jalili:RMIT</t>
  </si>
  <si>
    <t>kamal.berahmand@rmit.edu.au</t>
  </si>
  <si>
    <t>10.1145/3774904.3792483</t>
  </si>
  <si>
    <t>Xiao Lin:UIUC;Zhicheng Tang:Meta;Weilin Cong:Meta;Mengyue Hang:Meta;Kai Wang:Meta;Yajuan Wang:Meta;Zhichen Zeng:UIUC;Ting-Wei Li:UIUC;Hyunsik Yoo:UIUC;Zhining Liu:UIUC;Xuying Ning:UIUC;Ruizhong Qiu:UIUC;Wen-Yen Chen:Meta;Shuo Chang:Meta;Rong Jin:Meta;Huayu Li:Meta;Hanghang Tong:UIUC</t>
  </si>
  <si>
    <t>xiaol13@illinois.edu</t>
  </si>
  <si>
    <t>permissionRelease(02/03/2026)</t>
  </si>
  <si>
    <t>10.1145/3774904.3792484</t>
  </si>
  <si>
    <t>Zhihao Dou:Case Western Reserve University;Dongfei Cui:Northeast Electric Power University;Weida Wang:Fudan University;Anjun Gao:University of Louisville;Yueyang Quan:University of North Texas;Mengyao Ma:The University of Queensland;Viet Vo:Swinburne University of Technology;Guangdong Bai:City University of Hong Kong;Zhuqing Liu:University of North Texas;Minghong Fang:University of Louisville</t>
  </si>
  <si>
    <t>minghong.fang@louisville.edu</t>
  </si>
  <si>
    <t>10.1145/3774904.3792485</t>
  </si>
  <si>
    <t>Fangfang Li:School of Computer Science and Engineering, Central South University,Xiangjiang Laboratory;Huihui Zhang:School of Computer Science and Engineering, Central South University;Xin Zhang:National Key Laboratory of Information Systems Engineering, National University of Defence Technology;Wei Wu:School of Computer Science and Engineering, Central South University</t>
  </si>
  <si>
    <t>william.third.wu@gmail.com</t>
  </si>
  <si>
    <t>10.1145/3774904.3792486</t>
  </si>
  <si>
    <t>Chunyu Wei:Renmin University of China;Tu Yongsiqi:Renmin University of China;Yunhai Wang:Renmin University of China</t>
  </si>
  <si>
    <t>weicy15@icloud.com</t>
  </si>
  <si>
    <t>10.1145/3774904.3792487</t>
  </si>
  <si>
    <t>Jinyao Liu:Shandong University;Si Wu:Shandong University;Haoyuan Ma:Shandong University;Chaoqun Li:Shandong University;Hongjing Yu:Shandong University;Dingyi Jia:Shandong University;Feng Li:Shandong University,Inspur Cloud Information Technology Co., Ltd;Pengfei Hu:Shandong University,Quancheng Laboratory</t>
  </si>
  <si>
    <t>phu@sdu.edu.cn</t>
  </si>
  <si>
    <t>10.1145/3774904.3792488</t>
  </si>
  <si>
    <t>Ziqi Liu:Department of Computer Science, The University of Texas at Dallas;Pei Zeng:Global AI &amp; Platforms, LexisNexis;Yi Ding:Department of Computer Science, The University of Texas at Dallas</t>
  </si>
  <si>
    <t>ziqi.liu@utdallas.edu</t>
  </si>
  <si>
    <t>10.1145/3774904.3792489</t>
  </si>
  <si>
    <t>Jiachi Zhao:University of Notre Dame;Zehong Wang:University of Notre Dame;Yamei Liao:Independant Researcher;Chuxu Zhang:University of Connecticut;Yanfang Ye:University of Notre Dame</t>
  </si>
  <si>
    <t>yye7@nd.edu</t>
  </si>
  <si>
    <t>10.1145/3774904.3792490</t>
  </si>
  <si>
    <t>Shaochen Yang:Renmin University of China,City University of Hong Kong;Kefei Zhou:Renmin University of China;Wei Xu:Renmin University of China</t>
  </si>
  <si>
    <t>weixu@ruc.edu.cn</t>
  </si>
  <si>
    <t>10.1145/3774904.3792491</t>
  </si>
  <si>
    <t>Diandian Guo:Institute of Information Engineering, Chinese Academy of Sciences,School of Cyber Security, University of Chinese Academy of Sciences;Fangfang Yuan:Institute of Information Engineering, Chinese Academy of Sciences,School of Cyber Security, University of Chinese Academy of Sciences;Cong Cao:Institute of Information Engineering, Chinese Academy of Sciences,School of Cyber Security, University of Chinese Academy of Sciences;Xixun Lin:Institute of Information Engineering, Chinese Academy of Sciences;Chuan Zhou:Academy of Mathematics and Systems Science, Chinese Academy of Sciences,School of Cyber Security, University of Chinese Academy of Sciences;Hao Peng:Beihang University;Yanan Cao:Institute of Information Engineering, Chinese Academy of Science,School of Cyber Security, University of Chinese Academy of Sciences;Yanbing Liu:Institute of Information Engineering, Chinese Academy of Sciences,School of Cyber Security, University of Chinese Academy of Sciences</t>
  </si>
  <si>
    <t>caocong@iie.ac.cn</t>
  </si>
  <si>
    <t>10.1145/3774904.3792492</t>
  </si>
  <si>
    <t>Haojie Li:School of Data Science, Qingdao University of Science and Technology;Mengjiao Zhang:School of Information Science and Technology, Qingdao University of Science and Technology;Guanfeng Liu:School of Computing, Macquarie University;Qiang Hu:School of Information Science and Technology, Qingdao University of Science and Technology;Yan Wang:School of Computing, Macquarie University;Junwei Du:School of Data Science, Qingdao University of Science and Technology</t>
  </si>
  <si>
    <t>10.1145/3774904.3792493</t>
  </si>
  <si>
    <t>Guixian Zhang:School of Computer Science and Technology/School of Artificial Intelligence, China University of Mining and Technology;Guan Yuan:School of Computer Science and Technology/School of Artificial Intelligence, China University of Mining and Technology;Ziqi Xu:RMIT University;Yanmei Zhang:School of Computer Science and Technology/School of Artificial Intelligence, China University of Mining and Technology;Jing Ren:RMIT University;Zhenyun Deng:Department of Computer Science and Technology, The University of Cambridge;Debo Cheng:School of Computer Science and Technology, Hainan University</t>
  </si>
  <si>
    <t>10.1145/3774904.3792494</t>
  </si>
  <si>
    <t>Zenghua Liao:National Key Laboratory of Big Data and Decision, National University of Defense Technology;Jinzhi Liao:National Key Laboratory of Big Data and Decision, National University of Defense Technology;Xiang Zhao:National Key Laboratory of Big Data and Decision, National University of Defense Technology</t>
  </si>
  <si>
    <t>liaozenghua18@nudt.edu.cn</t>
  </si>
  <si>
    <t>10.1145/3774904.3792495</t>
  </si>
  <si>
    <t>Ranxu Zhang:School of Artificial Intelligence and Data Science, University of Science and Technology of China;Junjie Meng:School of Artificial Intelligence and Data Science, University of Science and Technology of China;Ying Sun:The Hong Kong University of Science and Technology (Guangzhou);Ziqi Xu:RMIT University;Bing Yin:State Key Laboratory of Cognitive Intelligence,iFLYTEK Research, iFLYTEK;Hao Li:iFLYTEK Research, iFLYTEK;Yanyong Zhang:School of Artificial Intelligence and Data Science, University of Science and Technology of China;Chao Wang:School of Artificial Intelligence and Data Science, University of Science and Technology of China,State Key Laboratory of Cognitive Intelligence</t>
  </si>
  <si>
    <t>wangchaoai@ustc.edu.cn</t>
  </si>
  <si>
    <t>10.1145/3774904.3792496</t>
  </si>
  <si>
    <t>Yunzhe Bai:Lexington High School;Alec Sun:The University of Chicago</t>
  </si>
  <si>
    <t>sundogx@gmail.com</t>
  </si>
  <si>
    <t>10.1145/3774904.3792497</t>
  </si>
  <si>
    <t>Zhejian Yang:Jilin University;Songwei Zhao:Jilin University;Zilin Zhao:Jilin University;Hechang Chen:Jilin University</t>
  </si>
  <si>
    <t>zjyang22@mails.jlu.edu.cn</t>
  </si>
  <si>
    <t>10.1145/3774904.3792498</t>
  </si>
  <si>
    <t>Ruiting Dai:University of Electronic Science and Technology of China;Zesen Cai:University of Electronic Science and Technology of China;Lisi Mo:University of Electronic Science and Technology of China;Guiduo Duan:University of Electronic Science and Technology of China;Keren Shi:University of Electronic Science and Technology of China;Tao He:University of Electronic Science and Technology of China</t>
  </si>
  <si>
    <t>tao.he01@hotmail.com</t>
  </si>
  <si>
    <t>10.1145/3774904.3792499</t>
  </si>
  <si>
    <t>Junsheng Wang:Yangzhou University;Tiantian Gong:Yangzhou University;Yeyun Wu:Jiangxi University of Technology;Liyan Zhang:Nanjing University of Aeronautics and Astronautics</t>
  </si>
  <si>
    <t>js_wang@yzu.edu.cn</t>
  </si>
  <si>
    <t>10.1145/3774904.3792500</t>
  </si>
  <si>
    <t>Shengkun Zhu:School of Computer Science, Wuhan University;Jinshan Zeng:School of Management, Xi’an Jiaotong University;Yiming Wang:School of Computer Science, Wuhan University;Sheng Wang:School of Computer Science, Wuhan University;Yuan Sun:La Trobe Business School, La Trobe University;Shangfeng Chen:School of Computer Science, Wuhan University;Yuan Yao:Department of Mathematics, Hong Kong University of Science and Technology;Qiang Yang:The Hong Kong Polytechnic University</t>
  </si>
  <si>
    <t>whuzsk66@whu.edu.cn</t>
  </si>
  <si>
    <t>10.1145/3774904.3792501</t>
  </si>
  <si>
    <t>Kun Liang:College of Intelligence and Computing, Tianjin University,College of Artificial Intelligence, Tianjin University of Science and Technology;Jiake Ge:College of Intelligence and Computing, Tianjin University;Xin Wang:College of Intelligence and Computing, Tianjin University;Yiying Zhang:College of Artificial Intelligence, Tianjin University of Science and Technology</t>
  </si>
  <si>
    <t>10.1145/3774904.3792502</t>
  </si>
  <si>
    <t>Zihui Chen:School of Cyberspace, Hangzhou Dianzi University;Yuling Wang:School of Cyberspace, Hangzhou Dianzi University;Pengfei Jiao:School of Cyberspace, Hangzhou Dianzi University;Kai Wu:Hangzhou Dianzi University;Xiao Wang:Beihang University;Xiang Ao:Institute of Computing Technology, Chinese Academy of Sciences;Dalin Zhang:Hangzhou Dianzi University</t>
  </si>
  <si>
    <t>wangyl0612@hdu.edu.cn</t>
  </si>
  <si>
    <t>10.1145/3774904.3792503</t>
  </si>
  <si>
    <t>Xinyu Li:Fudan University;Kexi Chen:Fudan University;Ying Zheng:Fudan University;Zhiyi Yao:Fudan University;Yi Xie:Fudan University;Jihan Dai:Fudan University;Lei Bai:Shanghai AI Laboratory;Jin Zhao:Fudan University;Jiajie Shen:Fudan University;Yunqi Cai:Fudan University;Hong Lu:Fudan University;Xin Wang:Shanghai Key Laboratory of Intelligent Information Processing, Fudan University</t>
  </si>
  <si>
    <t>xinw@fudan.edu.cn</t>
  </si>
  <si>
    <t>10.1145/3774904.3792504</t>
  </si>
  <si>
    <t>Hengrui Cui:National Key Laboratory of Big Data and Decision, National University of Defense Technology;Yang Fang:National University of Defense Technology;Yuehang Cao:National Key Laboratory of Big Data and Decision, National University of Defense Technology;Xiang Zhao:National Key Laboratory of Big Data and Decision, National University of Defense Technology</t>
  </si>
  <si>
    <t>hengruicui@nudt.edu.cn</t>
  </si>
  <si>
    <t>10.1145/3774904.3792505</t>
  </si>
  <si>
    <t>Dongyu Zhang:Dalian University Of Technology;Wanqiu Liao:Dalian University Of Technology;Weichen Hu:Dalian University Of Technology;Hongfei Lin:Dalian University Of Technology</t>
  </si>
  <si>
    <t>10.1145/3774904.3792506</t>
  </si>
  <si>
    <t>Chaowei Zhang:Yangzhou University;Xiansheng Luo:Yangzhou University;Zewei Zhang:Auburn University;Yi Zhu:Yangzhou University;Jipeng Qiang:Yangzhou University;Longwei Wang:University of South Dakota</t>
  </si>
  <si>
    <t>longwei.wang@usd.edu</t>
  </si>
  <si>
    <t>10.1145/3774904.3792507</t>
  </si>
  <si>
    <t>Chenxu Du:State Key Lab of AI Safety, Institute of Computing Technology, Chinese Academy of Sciences,Southwest Jiaotong University;Yang Liu:Institute of Computing Technology, Chinese Academy of Sciences;Xingtong Yu:The Chinese University of Hong Kong;Zhuoer Xu:independent researcher;Yang Liu:School of Vehicle and Mobility, Tsinghua University;Tianrui Li:Southwest Jiaotong University</t>
  </si>
  <si>
    <t>liuyang2023@ict.ac.cn</t>
  </si>
  <si>
    <t>10.1145/3774904.3792508</t>
  </si>
  <si>
    <t>Mingchen Li:University of North Texas;Wajdi Aljedaani:International Center for Artificial Intelligence Research and Ethics;Yingjie Liu:Southern Methodist University;Navyasri Meka:University of North Texas;Xuan Lu:The University of Arizona;Xinyue Ye:The University of Alabama;Junhua Ding:University of North Texas;Yunhe Feng:University of North Texas</t>
  </si>
  <si>
    <t>MingchenLi@my.unt.edu</t>
  </si>
  <si>
    <t>10.1145/3774904.3792509</t>
  </si>
  <si>
    <t>Yujie Jin:School of Computer Science and Technology, Soochow University;Wenxin Zhang:School of Computer Science and Technology, Soochow University;Jingjing Wang:School of Computer Science and Technology, Soochow University;Guodong Zhou:School of Computer Science and Technology, Soochow University</t>
  </si>
  <si>
    <t>djingwang@suda.edu.cn</t>
  </si>
  <si>
    <t>10.1145/3774904.3792510</t>
  </si>
  <si>
    <t>Chuangui Cao:School of Computer Science and Technology/School of Artificial Intelligence, School of Computer Science and Technology / School of Artificial Intelligence, China University of Mining and Technology;Shifei Ding:School of Computer Science and Technology / School of Artificial Intelligence, China University of Mining and Technology,Mine Digitization Engineering Research Center of the Ministry of Education;Jian Zhang:School of Computer Science and Technology / School of Artificial Intelligence, China University of Mining and Technology,Mine Digitization Engineering Research Center of the Ministry of Education;Lili Guo:School of Computer Science and Technology / School of Artificial Intelligence, China University of Mining and Technology,Mine Digitization Engineering Research Center of the Ministry of Education;Xuan Li:School of Computer Science and Technology/School of Artificial Intelligence, School of Computer Science and Technology / School of Artificial Intelligence, China University of Mining and Technology,Mine Digitization Engineering Research Center of the Ministry of Education</t>
  </si>
  <si>
    <t>dingsf@cumt.edu.cn</t>
  </si>
  <si>
    <t>10.1145/3774904.3792511</t>
  </si>
  <si>
    <t>Haihua Xu:SKL-IOTSC, Department of CIS, University of Macau;Qi Hao:SKL-IOTSC, Department of CIS, University of Macau;He Zhang:Information Science and Technology, Northeast Normal University;Jianpeng Zhao:SKL-IOTSC, Department of CIS, University of Macau;Ziyue Qiao:School of Computing and Information Technology, Great Bay University;Lu Jiang:Information Science Technology, Dalian Maritime University;Pengfei Wang:Computer Network Information Center, Chinese Academy of Sciences;Yingjie Zhou:College of Computer Science, Sichuan University;Pengyang Wang:SKL-IOTSC, Department of CIS, University of Macau</t>
  </si>
  <si>
    <t>pywang@um.edu.mo</t>
  </si>
  <si>
    <t>10.1145/3774904.3792512</t>
  </si>
  <si>
    <t>Hao Yang:State Key Laboratory for Novel Software Technology, Nanjing University, Nanjing University;Zhiyu Yang:Erik Jonsson School of Engineering and Computer Science, University of Texas at Dallas;Xupeng Zhang:Isoftstone Information Technology (Group) Co., Ltd.;Wei Wei:College of Electronic and Information Engineering, Tongji University;Yunjie Zhang:School of Electronic Information, Central South University;Lin Yang:State Key Laboratory for Novel Software Technology, Nanjing University</t>
  </si>
  <si>
    <t>linyang@nju.edu.cn</t>
  </si>
  <si>
    <t>10.1145/3774904.3792513</t>
  </si>
  <si>
    <t>Rujia Li:Tsinghua University,State Key Laboratory of Cryptography and Digital Economy Security;Qin Wang:CSIRO Data61;Haochen Wang:The Hong Kong University of Science and Technology;Xueqian Lu:Independent Reseacher;Sisi Duan:Tsinghua University,State Key Laboratory of Cryptography and Digital Economy Security</t>
  </si>
  <si>
    <t>duansisi@tsinghua.edu.cn</t>
  </si>
  <si>
    <t>10.1145/3774904.3792514</t>
  </si>
  <si>
    <t>Yu Wang:Zhejiang University;Junshu Dai:Zhejiang University;Yuchen Ying:Zhejiang University;Hanyang Yuan:Zhejiang University;Zunlei Feng:Zhejiang University;Tongya Zheng:Hangzhou City University,Zhejiang University;Mingli Song:Zhejiang University</t>
  </si>
  <si>
    <t>doujiang_zheng@163.com</t>
  </si>
  <si>
    <t>10.1145/3774904.3792515</t>
  </si>
  <si>
    <t>Chuang Liu:Sangfor Technologies Inc.;Zelin Yao:Wuhan University;Xueqi Ma:The University of Melbourne;Mukun Chen:Wuhan University;Luzhi Wang:Dalian Maritime University;Jia Wu:Macquarie University;Wenbin Hu:Wuhan University,Wuhan University Shenzhen Research Institute</t>
  </si>
  <si>
    <t>hwb@whu.edu.cn</t>
  </si>
  <si>
    <t>10.1145/3774904.3792516</t>
  </si>
  <si>
    <t>Yifan Lu:Hangzhou Dianzi University,MBZUAI;Pengfei Jiao:School of Cyberspace, Hangzhou Dianzi University;Xuan Guo:College of Intelligence and Computing, Tianjin University;Ziyun Zou:MBZUAI;Yiwei Wang:University of California, Merced;Mengzhou Gao:School of Cyberspace, Hangzhou Dianzi University;Huaming Wu:Center for Applied Mathematics, Tianjin University;Imran Razzak:MBZUAI</t>
  </si>
  <si>
    <t>pjiao@hdu.edu.cn</t>
  </si>
  <si>
    <t>10.1145/3774904.3792517</t>
  </si>
  <si>
    <t>Kyungrok Choi:Computer Science and Engineering, Korea University;Woonghee Lee:Computer Science and Engineering, Korea University;Junbeom Hur:Computer Science and Engineering, Korea University</t>
  </si>
  <si>
    <t>jbhur@korea.ac.kr</t>
  </si>
  <si>
    <t>10.1145/3774904.3792518</t>
  </si>
  <si>
    <t>Pallabee Das:Paderborn University;Stefan Heindorf:Paderborn University</t>
  </si>
  <si>
    <t>heindorf@uni-paderborn.de</t>
  </si>
  <si>
    <t>10.1145/3774904.3792519</t>
  </si>
  <si>
    <t>Bingzhe Wang:Gaoling School of Artificial Intelligence, Renmin University of China;Tianyu Wang:Alibaba Group;Qi Qi:Gaoling School of Artificial Intelligence, Renmin University of China,Beijing Key Laboratory of Research on Large Models and Intelligent Governance;Xiaoxuan Deng:Alibaba Group;Zhilin Zhang:Alibaba Group;Chuan Yu:Alibaba Group</t>
  </si>
  <si>
    <t>qi.qi@ruc.edu.cn</t>
  </si>
  <si>
    <t>10.1145/3774904.3792520</t>
  </si>
  <si>
    <t>Yuan Fan:Zhejiang University;Xiaoyuan Liu:Zhejiang University,DBAPPSecurity Co., Ltd.;Bo Liu:DBAPPSecurity Co., Ltd.;Wubing Wang:DBAPPSecurity Co., Ltd.;Jia Sun:DBAPPSecurity Co., Ltd.;Wenzhi Chen:computer science and Technology, Zhejiang University;Huaikang Fang:DBAPPSecurity Co., Ltd.;Lifeng Tao:DBAPPSecurity Co., Ltd.;Fan Mo:Zhejiang University,DBAPPSecurity Co., Ltd.</t>
  </si>
  <si>
    <t>bo.liu@dbappsecurity.com.cn</t>
  </si>
  <si>
    <t>10.1145/3774904.3792521</t>
  </si>
  <si>
    <t>Wei Ju:Sichuan University;Siyu Yi:Sichuan University;Zhengyang Mao:Peking University;Yifang Qin:Peking University;Yifan Wang:University of International Business and Economics;Zhiping Xiao:University of Washington;Yiwei Fu:Peking University;Ziyue Qiao:Great Bay University;Ming Zhang:Peking University</t>
  </si>
  <si>
    <t>10.1145/3774904.3792522</t>
  </si>
  <si>
    <t>Zhe Zhan:Fudan University;Xiangshi Li:Fudan University;Tingting Wang:Dalian University of Technology;Shuo Yu:Dalian University of Technology;Henan Lei:Fudan University</t>
  </si>
  <si>
    <t>10.1145/3774904.3792523</t>
  </si>
  <si>
    <t>Liwei Jin:Wuhan University;Dan Luo:Lehigh University;Lixin Zou:Wuhan University;Chenliang Li:Wuhan University;Xiangyang Luo:State Key Lab of Mathematical Engineering and Advanced Computing;Xixun Lin:Institute of Information Engineering, Chinese Academy of Sciences;Liming Dong:National Defence University;Yifan Zhang:Wuhan University</t>
  </si>
  <si>
    <t>zoulixin@whu.edu.cn</t>
  </si>
  <si>
    <t>10.1145/3774904.3792524</t>
  </si>
  <si>
    <t>Fengran Mo:Université de Montréal;Zhan Su:Université de Montréal;Yuchen Hui:Université de Montréal;Jinghan Zhang:Clemson University;Jia Ao Sun:Université de Montréal;Zheyuan Liu:University of Notre Dame;Chao Zhang:Georgia Institute of Technology;Tetsuya Sakai:Waseda University;Jian-Yun Nie:Université de Montréal</t>
  </si>
  <si>
    <t>fengran.mo@umontreal.ca</t>
  </si>
  <si>
    <t>10.1145/3774904.3792525</t>
  </si>
  <si>
    <t>Mingxing Shao:School of Computer Science and Engineering, Northeastern University;Tiancheng Zhang:School of Computer Science and Engineering, Northeastern University;Yifang Yin:A*STAR, Institute for Infocomm Research;Wenhui Wu:School of Computer Science and Engineering, Northeastern University;Zikai Li:School of Computer Science and Engineering, Northeastern University;Minghe Yu:School of Computer Science and Engineering, Northeastern University;Fangling Leng:School of Computer Science and Engineering, Northeastern University;Ge Yu:School of Computer Science and Engineering, Northeastern University</t>
  </si>
  <si>
    <t>tczhang@mail.neu.edu.cn</t>
  </si>
  <si>
    <t>10.1145/3774904.3792526</t>
  </si>
  <si>
    <t>Guohui Ding:Shenyang Aerospace University;Jing Li:Shenyang Aerospace University;Yimin Xu:Shenyang Aerospace University;Rui Zhou:Department of Computing Technologies, Swinburne University of Technology</t>
  </si>
  <si>
    <t>rzhou@swin.edu.au</t>
  </si>
  <si>
    <t>10.1145/3774904.3792527</t>
  </si>
  <si>
    <t>Zhiyuan Fang:Zhuhai Key Laboratory of Trusted Large Language Models, Sun Yat-sen University;Xingfan Yu:Sun Yat-sen University;Yuegui Huang:Sun Yat-sen University;Zicong Hong:Hong Kong University of Science and Technology;Yufeng Lyu:Huawei Technologies Co. Ltd;Wuhui Chen:Sun Yat-sen University,Peng Cheng Laboratory;Yue Yu:Peng Cheng Laboratory;Fan Yu:Huawei Technologies Co. Ltd</t>
  </si>
  <si>
    <t>ziconghong@gmail.com</t>
  </si>
  <si>
    <t>10.1145/3774904.3792528</t>
  </si>
  <si>
    <t>Jinjin Guo:JD.com;Yexin Li:State Key Laboratory of General Artificial Intelligence, BIGAI;Zhichao Huang:JD.com;Jun Fang:JD.com;Zhiyuan Liu:JD.com;Chao Liu:JD.com;Pengzhang Liu:JD.com;Qixia Jiang:JD.com</t>
  </si>
  <si>
    <t>liyexin@bigai.ai</t>
  </si>
  <si>
    <t>10.1145/3774904.3792529</t>
  </si>
  <si>
    <t>Dongcheon Lee:Konkuk University;Ji-Yeon Park:Konkuk University;Hye-Yoon Baek:Konkuk University;Jimyeung Seo:Konkuk University;Seyeong Kim:Konkuk University;Byungkook Oh:Konkuk University</t>
  </si>
  <si>
    <t>bkoh@konkuk.ac.kr</t>
  </si>
  <si>
    <t>10.1145/3774904.3792530</t>
  </si>
  <si>
    <t>Jiahao Qi:Shanghai Jiao Tong University;Dian Ding:Shanghai Jiao Tong University;Jie Li:Shanghai Jiao Tong University;Jiannong Cao:Hong Kong Polytechnic University;Yi-Chao Chen:Shanghai Jiao Tong University;Guangtao Xue:Shanghai Jiao Tong University;Shengyun Liu:Shanghai Jiao Tong University</t>
  </si>
  <si>
    <t>dingdian94@sjtu.edu.cn</t>
  </si>
  <si>
    <t>10.1145/3774904.3792531</t>
  </si>
  <si>
    <t>Zhaoyu Fan:Zhejiang University;Kaihang Pan:Zhejiang University;Mingze Zhou:Zhejiang University;Bosheng Qin:Zhejiang University;Juncheng Li:Zhejiang University;Shengyu Zhang:Zhejiang University;Wenqiao Zhang:Zhejiang University;Siliang Tang:Zhejiang University;Fei Wu:Zhejiang University;Yueting Zhuang:Zhejiang University</t>
  </si>
  <si>
    <t>siliang@zju.edu.cn</t>
  </si>
  <si>
    <t>10.1145/3774904.3792532</t>
  </si>
  <si>
    <t>Runshuo Liu:Shandong University of Science and Technology;Chao Li:Shandong University of Science and Technology;Zhongying Zhao:Shandong University of Science and Technology;Hui Zhou:Shandong University of Science and Technology;Qingtian Zeng:Shandong University of Science and Technology</t>
  </si>
  <si>
    <t>lichao@sdust.edu.cn</t>
  </si>
  <si>
    <t>10.1145/3774904.3792533</t>
  </si>
  <si>
    <t>Tao Tang:Zhejiang University of Technology,Zhejiang Key Laboratory of Visual Information Intelligent Processing;Botao Liu:Zhejiang University of Technology,Zhejiang Key Laboratory of Visual Information Intelligent Processing;Ciyuan Peng:Federation University Australia;Ivan Lee:Adelaide University;Xiangjie Kong:Zhejiang University of Technology,Zhejiang Key Laboratory of Visual Information Intelligent Processing</t>
  </si>
  <si>
    <t>10.1145/3774904.3792534</t>
  </si>
  <si>
    <t>Tenglong Ren:School of Computer Software, School of Computer Software，Tianjin University;Lulu Yang:School of Computer Software, TSchool of Computer Software，ianjin University;Xiaowang Zhang:School of Computer Software, School of Computer Software，Tianjin University;Zhiyong Feng:School of Computer Software, School of Computer Software，Tianjin University</t>
  </si>
  <si>
    <t>xiaowangzhang@tju.edu.cn</t>
  </si>
  <si>
    <t>10.1145/3774904.3792535</t>
  </si>
  <si>
    <t>Liming Liu:Peking University;Zhidong Jia:Peking University;Li Jiang:Peking University;Wei Zhang:ByteDance;Lan Xie:ByteDance;Feng Qian:ByteDance;Leju Yan:ByteDance;Bing Yan:ByteDance;Qiang Ma:ByteDance;Zhou Sha:ByteDance;Wei Yang:ByteDance;Yixuan Ban:ByteDance;Xinggong Zhang:Peking University</t>
  </si>
  <si>
    <t>zhangxg@pku.edu.cn</t>
  </si>
  <si>
    <t>10.1145/3774904.3792536</t>
  </si>
  <si>
    <t>Zhaowei Liu:Yantai University;Chang Liu:Yantai University;Dong Yang:Georgia State University;Weiqing Yan:Yantai University;Yongchao Song:Yantai University;Anzuo Jiang:Yantai University</t>
  </si>
  <si>
    <t>azjiang403@ytu.edu.cn</t>
  </si>
  <si>
    <t>10.1145/3774904.3792537</t>
  </si>
  <si>
    <t>Shiyuan Li:Griffith University;Yixin Liu:Griffith University;Yu Zheng:Griffith University;Mei Li:Northwest A&amp;F University;Quoc Viet Hung Nguyen:Griffith University;Shirui Pan:Griffith University</t>
  </si>
  <si>
    <t>s.pan@griffith.edu.au</t>
  </si>
  <si>
    <t>10.1145/3774904.3792538</t>
  </si>
  <si>
    <t>Xinyan Shi:Nanjing University of Aeronautics and Astronautics;Renzhi Wang:Nanjing University of Aeronautics and Astronautics;Haodong Liu:Researcher;Piji Li:Nanjing University of Aeronautics and Astronautics</t>
  </si>
  <si>
    <t>lipiji.pz@gmail.com</t>
  </si>
  <si>
    <t>10.1145/3774904.3792539</t>
  </si>
  <si>
    <t>Boning Zhang:Zhejiang University;Haishuai Wang:Zhejiang University;Zehong Hu:Alibaba Group;Jiajun Wang:Alibaba Group;Hongyi Zhang:Alibaba Group;Jia Jia:Alibaba Group</t>
  </si>
  <si>
    <t>haishuai.wang@zju.edu.cn</t>
  </si>
  <si>
    <t>10.1145/3774904.3792540</t>
  </si>
  <si>
    <t>Liyao Li:Zhejiang University;Hao Chen:Zhejiang University;Jiaming Tian:Zhejiang University;Wentao Ye:Zhejiang University;Lirong Gao:Zhejiang University;Chao Ye:Zhejiang University;Ningtao Wang:Ant Group;Xing Fu:Ant Group;Yu Cheng:Ant Group;Haobo Wang:Zhejiang University;Gang Chen:Zhejiang University;Junbo Zhao:Zhejiang University</t>
  </si>
  <si>
    <t>ntwang25@gmail.com</t>
  </si>
  <si>
    <t>10.1145/3774904.3792541</t>
  </si>
  <si>
    <t>Yanbang Sun:Tianjin University;Quan Luo:QI-ANXIN Codesafe Team;Yuelin Wang:Tianjin University;Qian Chen:QI-ANXIN Codesafe Team;Benjin Liu:QI-ANXIN Codesafe Team;Ruiqi Chen:QI-ANXIN Codesafe Team;Qing Huang:Jiangxi Normal University;Xiaohong Li:Tianjin University;Junjie Wang:Tianjin University</t>
  </si>
  <si>
    <t>junjie.wang@tju.edu.cn</t>
  </si>
  <si>
    <t>10.1145/3774904.3792542</t>
  </si>
  <si>
    <t>Yuanhao Liu:East China Normal University;Zihan Zhou:East China Normal University;Kaiying Wu:East China Normal University;Shuo Liu:Tencent Inc;Yiyang Huang:East China Normal University;Jiajun Guo:East China Normal University;Aimin Zhou:East China Normal University,Shanghai Innovation Institute;Hong Qian:East China Normal University,Shanghai Innovation Institute</t>
  </si>
  <si>
    <t>hqian@cs.ecnu.edu.cn</t>
  </si>
  <si>
    <t>10.1145/3774904.3792543</t>
  </si>
  <si>
    <t>Jiasen Li:Institute of Information Engineering, Chinese Academy of Sciences; School of Cyber Security, University of Chinese Academy of Sciences; State Key Laboratory of Cyberspace Security Defense;Yanwei Liu:Institute of Information Engineering,Chinese Academy of Sciences; State Key Laboratory of Cyberspace Security Defense;Zhuoyi Shang:Institute of Information Engineering, Chinese Academy of Sciences; School of Cyber Security, University of Chinese Academy of Sciences; State Key Laboratory of Cyberspace Security Defense;Xiaoyan Gu:Institute of Information Engineering, Chinese Academy of Sciences; School of Cyber Security, University of Chinese Academy of Sciences; State Key Laboratory of Cyberspace Security Defense;Weiping Wang:Institute of Information Engineering,Chinese Academy of Sciences</t>
  </si>
  <si>
    <t>liuyanwei@iie.ac.cn</t>
  </si>
  <si>
    <t>10.1145/3774904.3792544</t>
  </si>
  <si>
    <t>Qichuan Liu:Xiamen University;Chentao Zhang:Xiamen University;Yuxuan Hu:Xiamen University;Chenfeng Zheng:Xiamen University;Qinggang Zhang:The Hong Kong Polytechnic University;Zhihong Zhang:Xiamen University</t>
  </si>
  <si>
    <t>zhihong@xmu.edu.cn</t>
  </si>
  <si>
    <t>10.1145/3774904.3792545</t>
  </si>
  <si>
    <t>Hankun Kang:School of Computer Science, Wuhan University;Xin Miao:School of Computer Science, Wuhan University;Jianhao Chen:School of Computer Science, Wuhan University,Zhongguancun Academy;Jintao Wen:School of Computer Science, Wuhan University;Mayi Xu:School of Computer Science, Wuhan University;Weiyu Zhang:Key Laboratory of Computing Power Network and Information Security, Ministry of Education, Shandong Computer Science Center (National Supercomputer Center in Jinan), Qilu University of Technology (Shandong Academy of Sciences),Shandong Provincial Key Laboratory of Computing Power Internet and Service Computing, Shandong Provincial Key Laboratory of Computing Power Internet and Service Computing, Shandong Fundamental Research Center for Computer Science;Wenpeng Lu:Key Laboratory of Computing Power Network and Information Security, Ministry of Education, Shandong Computer Science Center (National Supercomputer Center in Jinan), Qilu University of Technology (Shandong Academy of Sciences),Shandong Provincial Key Laboratory of Computing Power Internet and Service Computing, Shandong Provincial Key Laboratory of Computing Power Internet and Service Computing, Shandong Fundamental Research Center for Computer Science;Tieyun Qian:School of Computer Science, Wuhan University,Zhongguancun Academy</t>
  </si>
  <si>
    <t>qty@whu.edu.cn</t>
  </si>
  <si>
    <t>10.1145/3774904.3792546</t>
  </si>
  <si>
    <t>Pengyang Zhou:Zhejiang University;Zhihao Huang:Zhejiang University;Jiahe Xu:Zhejiang University;Wu Wen:Zhejiang University;Xiaolin Zheng:Zhejiang University;Chaochao Chen:Zhejiang University;Jianwei Yin:Zhejiang University</t>
  </si>
  <si>
    <t>zhoupy@zju.edu.cn</t>
  </si>
  <si>
    <t>10.1145/3774904.3792547</t>
  </si>
  <si>
    <t>Qizhi Chen:Institute of Intelligent Computing, University of Electronic and Science Technology of China;Chao Qi:Institute of Intelligent Computing, University of Electronic and Science Technology of China;Yihong Huang:Institute of Intelligent Computing, University of Electronic and Science Technology of China;Muquan Li:School of Information and Software Engineering, University of Electronic and Science Technology of China;Rongzheng Wang:Institute of Intelligent Computing, University of Electronic and Science Technology of China;Dongyang Zhang:Institute of Intelligent Computing, University of Electronic and Science Technology of China,Ubiquitous Intelligence and Trusted Services Key Laboratory of Sichuan Province;Ke Qin:University of Electronic and Science Technology of China,Ubiquitous Intelligence and Trusted Services Key Laboratory of Sichuan Province;Shuang Liang:Institute of Intelligent Computing, University of Electronic and Science Technology of China,Ubiquitous Intelligence and Trusted Services Key Laboratory of Sichuan Province</t>
  </si>
  <si>
    <t>10.1145/3774904.3792548</t>
  </si>
  <si>
    <t>Haixu Xiong:College of Computer Science and Artificial Intelligence, Fudan University,Shanghai Key Laboratory of Data Science;Li Sun:School of Computer Science, Beijing University of Posts and Telecommunications;Yun Xiong:College of Computer Science and Artificial Intelligence, Fudan Unviersity,Shanghai Key Laboratory of Data Science;Suyang Zhou:Software Engineering Institute, East China Normal University;Hongrun Ren:College of Computer Science and Artificial Intelligence, Fudan Unviersity,Shanghai Key Laboratory of Data Science;Yangyong Zhu:College of Computer Science and Artificial Intelligence, Fudan Unviersity,Shanghai Data Research Institute</t>
  </si>
  <si>
    <t>22110240113@m.fudan.edu.cn</t>
  </si>
  <si>
    <t>10.1145/3774904.3792549</t>
  </si>
  <si>
    <t>Hangyu Ye:Shanghai Jiao Tong University;Liyao Xiang:Shanghai Jiao Tong University,Shanghai Innovation Institute;Naixuan Huang:Shanghai Jiao Tong University;Dongyue Yu:Shanghai Jiao Tong University;Lijun Zhang:E-surfing Vision Technology Co., Ltd, China Telecom;Gang Wang:E-surfing Vision Technology Co., Ltd, China Telecom</t>
  </si>
  <si>
    <t>xiangliyao08@sjtu.edu.cn</t>
  </si>
  <si>
    <t>10.1145/3774904.3792550</t>
  </si>
  <si>
    <t>Chaofan Li:School of Computer Science, Shanghai Jiao Tong University;Lixing Chen:School of Computer Science, Shanghai Jiao Tong University;Junhua Tang:School of Computer Science, Shanghai Jiao Tong University;Yang Bai:Department of Automation, Shanghai Jiao Tong University;Yutong Zhang:School of Computer Science, Shanghai Jiao Tong University;Zhi Zheng:School of Computer Science, Shanghai Jiao Tong University;Pan Zhou:School of Cyber Science and Engineering, Huazhong University of Science and Technology;Zhe Qu:School of Computer Science and Engineering, Central South University</t>
  </si>
  <si>
    <t>junhuatang@sjtu.edu.cn</t>
  </si>
  <si>
    <t>10.1145/3774904.3792551</t>
  </si>
  <si>
    <t>Zhiheng Xi:Fudan University;Chenyang Liao:Fudan University;Guanyu Li:Fudan University;Zhihao Zhang:Fudan University;Wenxiang Chen:Fudan University;Binghai Wang:Fudan University;Senjie Jin:Fudan University;Yuhao Zhou:Fudan University;Jian Guan:Ant Group;Wei Wu:Ant Group;Tao Ji:Fudan University;Tao Gui:Fudan University;Qi Zhang:Fudan University;Xuanjing Huang:Fudan University</t>
  </si>
  <si>
    <t>qz@fudan.edu.cn</t>
  </si>
  <si>
    <t>10.1145/3774904.3792552</t>
  </si>
  <si>
    <t>Bo Yan:Beijing University of Posts and Telecommunications;Yurong Hao:Nanyang Technological University;Dingqi Liu:Beijing University of Posts and Telecommunications;Huabin Sun:Beijing University of Posts and Telecommunications;Pengpeng Qiao:Institute of Science Tokyo;Wei Yang Bryan Lim:Nanyang Technological University;Yang Cao:Institute of Science Tokyo;Chuan Shi:Beijing University of Posts and Telecommunications</t>
  </si>
  <si>
    <t>boyan@bupt.edu.cn</t>
  </si>
  <si>
    <t>10.1145/3774904.3792553</t>
  </si>
  <si>
    <t>Jiahao Liang:South China University of Technology;Yutian Xiao:Beijing University of Aeronautics and Astronautics;Haoran Yang:Central South University;Zhiwen Yu:South China University of Technology;Jia-Nan Liu:Dongguan University of Technology;Kaixiang Yang:South China University of Technology</t>
  </si>
  <si>
    <t>csjiahliang6@mail.scut.edu.cn</t>
  </si>
  <si>
    <t>10.1145/3774904.3792554</t>
  </si>
  <si>
    <t>Shifei Ding:School of Computer Science and Technology / School of Artificial Intelligence, China University of Mining and Technology,Mine Digitization Engineering Research Center of the Ministry of Education;Fangchen Li:School of Computer Science and Technology / School of Artificial Intelligence, China University of Mining and Technology;Lili Guo:School of Computer Science and Technology / School of Artificial Intelligence, China University of Mining and Technology,Mine Digitization Engineering Research Center of the Ministry of Education;Jian Zhang:School of Computer Science and Technology / School of Artificial Intelligence, China University of Mining and Technology,Mine Digitization Engineering Research Center of the Ministry of Education</t>
  </si>
  <si>
    <t>liliguo@cumt.edu.cn</t>
  </si>
  <si>
    <t>10.1145/3774904.3792555</t>
  </si>
  <si>
    <t>Renhong Huang:Zhejiang University;Ning Tang:Fudan University;Jiarong Xu:Fudan University;Yuxuan Cao:HKUST;Qingqian Tu:University of Nottingham;Sheng Guo:MyBank, AntGroup;Bo Zheng:MyBank, AntGroup;Huiyuan Liu:PowerChina Huadong Engineering Corporation Limited;Yang Yang:Zhejiang University</t>
  </si>
  <si>
    <t>jiarongxu@fudan.edu.cn</t>
  </si>
  <si>
    <t>10.1145/3774904.3792556</t>
  </si>
  <si>
    <t>Zhihong Pan:State Key Laboratory of Cognitive Intelligence, University of Science and Technology of China;Kai Zhang:State Key Laboratory of Cognitive Intelligence, University of Science and Technology of China;Yuze Zhao:State Key Laboratory of Cognitive Intelligence, University of Science and Technology of China;Yupeng Han:State Key Laboratory of Cognitive Intelligence, University of Science and Technology of China</t>
  </si>
  <si>
    <t>10.1145/3774904.3792557</t>
  </si>
  <si>
    <t>Shuofu Liu:School of Automation Engineering, University of Electronic Science and Technology of China;Quanjiang Guo:School of Computer Science and Engineering, University of Electronic Science and Technology of China;Xiao Liu:School of Computer Science and Engineering, University of Electronic Science and Technology of China;Ying Liu:China Nuclear Power Research and Design Institute</t>
  </si>
  <si>
    <t>guochance1999@163.com</t>
  </si>
  <si>
    <t>10.1145/3774904.3792558</t>
  </si>
  <si>
    <t>Sepehr Mousavi:Max Planck Institute for Software Systems;Abhisek Dash:Max Planck Institute for Software Systems;Savvas Zannettou:TU Delft;Krishna P. Gummadi:Max Planck Institute for Software Systems</t>
  </si>
  <si>
    <t>smousavi@mpi-sws.org</t>
  </si>
  <si>
    <t>10.1145/3774904.3792559</t>
  </si>
  <si>
    <t>Shifei Ding:School of Computer Science and Technology / School of Artificial Intelligence, China University of Mining and Technology,Mine Digitization Engineering Research Center of the Ministry of Education;Zhe Li:School of Computer Science and Technology / School of Artificial Intelligence, China University of Mining and Technology;Xiao Xu:School of Computer Science and Technology / School of Artificial Intelligence, China University of Mining and Technology,Mine Digitization Engineering Research Center of the Ministry of Education;Chao Li:School of Computer Science and Technology / School of Artificial Intelligence, China University of Mining and Technology</t>
  </si>
  <si>
    <t>xu_xiao@cumt.edu.cn</t>
  </si>
  <si>
    <t>10.1145/3774904.3792560</t>
  </si>
  <si>
    <t>Mingfei Zhang:Shandong University,State Key Laboratory of Cryptography and Digital Economy Security;Rujia Li:Tsinghua University,State Key Laboratory of Cryptography and Digital Economy Security;Xinyu Lei:Tsinghua University;Sisi Duan:Tsinghua University,State Key Laboratory of Cryptography and Digital Economy Security</t>
  </si>
  <si>
    <t>10.1145/3774904.3792561</t>
  </si>
  <si>
    <t>Marcin Waniek:Institute of Informatics, University of Warsaw</t>
  </si>
  <si>
    <t>mjwaniek@gmail.com</t>
  </si>
  <si>
    <t>10.1145/3774904.3792562</t>
  </si>
  <si>
    <t>Zhiding Liu:State Key Laboratory of Cognitive Intelligence, University of Science and Technology of China;Ben Chen:Kuaishou Technology;Cheng Mingyue:State Key Laboratory of Cognitive Intelligence, University of Science and Technology of China;Enhong Chen:State Key Laboratory of Cognitive Intelligence, University of Science and Technology of China;Li Li:State Key Laboratory of Cognitive Intelligence, University of Science and Technology of China;Chenyi Lei:Kuaishou Technology;Wenwu Ou:Kuaishou Technology;Han Li:Kuaishou Technology;Kun Gai:Kuaishou Technology</t>
  </si>
  <si>
    <t>zhiding@mail.ustc.edu.cn</t>
  </si>
  <si>
    <t>10.1145/3774904.3792563</t>
  </si>
  <si>
    <t>Michaël Soumm:Télécom Paris;Alexandre Fournier Montgieux:CEA LIST;Adrian Popescu:CEA LIST;Bertrand Delezoide:Amanda.com</t>
  </si>
  <si>
    <t>soumm.michael@gmail.com</t>
  </si>
  <si>
    <t>10.1145/3774904.3792564</t>
  </si>
  <si>
    <t>Wenying He:School of Artificial Intelligence, Hebei University of Technology;Feiyu Wang:School of Artificial Intelligence, Hebei University of Technology;Guangquan Xu:School of Cyber Security, Tianjin University;Yude Bai:School of Software, Tiangong University;Fei Guo:School of Computer Science and Engineering, Central South University</t>
  </si>
  <si>
    <t>hwying1234@hebut.edu.cn</t>
  </si>
  <si>
    <t>10.1145/3774904.3792565</t>
  </si>
  <si>
    <t>Byungmoon Heo:Department of Applied Artificial Intelligence, Sungkyunkwan University;Namjun Lee:Convergence Program for Social Innovation, Sungkyunkwan University;Seonah Kim:Department of Computer Science and Engineering, Sungkyunkwan University;Jaekwang Kim:Convergence Program for Social Innovation, Sungkyunkwan University</t>
  </si>
  <si>
    <t>linux@skku.edu</t>
  </si>
  <si>
    <t>10.1145/3774904.3792566</t>
  </si>
  <si>
    <t>Ana Alexandra Morim da Silva:Data Science Group (DICE), Heinz Nixdorf Institute, Paderborn University;Atul Bhopalsing Pundir:Data Science Group (DICE), Heinz Nixdorf Institute, Paderborn University;Michael Röder:Data Science Group (DICE), Heinz Nixdorf Institute, Paderborn University;Axel-Cyrille Ngonga Ngomo:Data Science Group (DICE), Heinz Nixdorf Institute, Paderborn University</t>
  </si>
  <si>
    <t>ana.silva@uni-paderborn.de</t>
  </si>
  <si>
    <t>10.1145/3774904.3792567</t>
  </si>
  <si>
    <t>Zhiming Lin:HelloBike;Canran Xiao:Shenzhen Campus of Sun Yat-sen University;Kai Zhao:University of Western Sydney</t>
  </si>
  <si>
    <t>xiaocr3@mail.sysu.edu.cn</t>
  </si>
  <si>
    <t>10.1145/3774904.3792568</t>
  </si>
  <si>
    <t>Huidong Wu:Chinese Academy of Sciences,City University of Hong Kong;Haojia Xiang:City University of Hong Kong;Jingtong Gao:City University of Hong Kong;Xiangyu Zhao:City University of Hong Kong;Dengsheng Wu:Shenzhen University,Beijing Dongbi Data Technology;Jianping Li:University of Chinese Academy of Sciences</t>
  </si>
  <si>
    <t>wds@szu.edu.cn</t>
  </si>
  <si>
    <t>10.1145/3774904.3792569</t>
  </si>
  <si>
    <t>Xianbing Zhao:Harbin Institute of Technology, Shenzhen,Jiangnan University;Shengzun Yang:Harbin Institute of Technology, Shenzhen;Buzhou Tang:Harbin Institute of Technology, Shenzhen,Pengcheng Laboratory</t>
  </si>
  <si>
    <t>tangbuzhou@hit.edu.cn</t>
  </si>
  <si>
    <t>10.1145/3774904.3792570</t>
  </si>
  <si>
    <t>Fengjun Pan:Nanyang Technological University;Xiaobao Wu:Shanghai Jiao Tong University;Tho Quan:Ho Chi Minh City University of Technology;Anh Tuan Luu:Nanyang Technological University,VinUniversity</t>
  </si>
  <si>
    <t>fengjun001@e.ntu.edu.sg</t>
  </si>
  <si>
    <t>10.1145/3774904.3792571</t>
  </si>
  <si>
    <t>Jie Li:Beijing University of Posts and Telecommunications;Zhen Cui:Beijing University of Posts and Telecommunications;Linmei Hu:Beijing Institute of Technology</t>
  </si>
  <si>
    <t>10.1145/3774904.3792572</t>
  </si>
  <si>
    <t>Jiajun Chen:Center for Data Science, Zhejiang University;Yue Wu:Ant Group;Kai Huang:Ant Group;Wenxi Zhao:School of Software Technology, Zhejiang University;Wu Yangyang:School of Software Technology, Zhejiang University;Xiaoye Miao:Center for Data Science, Zhejiang University;Mengying Zhu:School of Software Technology, Zhejiang University;Meng Xi:School of Software Technology, Zhejiang University;Guanjie Cheng:School of Software Technology, Zhejiang University</t>
  </si>
  <si>
    <t>zjuwuyy@zju.edu.cn</t>
  </si>
  <si>
    <t>10.1145/3774904.3792573</t>
  </si>
  <si>
    <t>Chunxu Zhang:College of Computer Science and Technology, Jilin University,Key Laboratory of Symbolic Computation and Knowledge Engineering of Ministry of Education, Jilin University;Weipeng Zhang:College of Computer Science and Technology, Jilin University,Key Laboratory of Symbolic Computation and Knowledge Engineering of Ministry of Education, Jilin University;Guodong Long:Australian Artificial Intelligence Institute, FEIT, University of Technology Sydney;Zhiheng Xue:College of Computer Science and Technology, Jilin University,Key Laboratory of Symbolic Computation and Knowledge Engineering of Ministry of Education, Jilin University;Riting Xia:College of Computer Science, Inner Mongolia University;Bo Yang:College of Computer Science and Technology, Jilin University,Key Laboratory of Symbolic Computation and Knowledge Engineering of Ministry of Education, Jilin University</t>
  </si>
  <si>
    <t>ybo@jlu.edu.cn</t>
  </si>
  <si>
    <t>10.1145/3774904.3792574</t>
  </si>
  <si>
    <t>Yilong Zang:The Hong Kong Polytechnic University;Hengyun Li:The Hong Kong Polytechnic University;Bruce X.B. Yu:Zhejiang University;Liangfei Qiu:University of Florida</t>
  </si>
  <si>
    <t>neilhengyun.li@polyu.edu.hk</t>
  </si>
  <si>
    <t>10.1145/3774904.3792575</t>
  </si>
  <si>
    <t>Chunxu Zhang:College of Computer Science and Technology, Jilin University,Key Laboratory of Symbolic Computation and Knowledge Engineering of Ministry of Education, Jilin University;Zhiheng Xue:College of Computer Science and Technology, Jilin University,Key Laboratory of Symbolic Computation and Knowledge Engineering of Ministry of Education, Jilin University;Guodong Long:Australian Artificial Intelligence Institute, FEIT, University of Technology Sydney;Weipeng Zhang:College of Computer Science and Technology, Jilin University,Key Laboratory of Symbolic Computation and Knowledge Engineering of Ministry of Education, Jilin University;Bo Yang:College of Computer Science and Technology, Jilin University,Key Laboratory of Symbolic Computation and Knowledge Engineering of Ministry of Education, Jilin University</t>
  </si>
  <si>
    <t>10.1145/3774904.3792576</t>
  </si>
  <si>
    <t>Ke Fei:University of Electronic Science and Technology of China;Jingjing Li:University of Electronic Science and Technology of China,Yangtze Delta Region Institute (Huzhou), University of Electronic Science and Technology of China;Zhekai Du:University of Electronic Science and Technology of China;Hongbo Chen:University of Electronic Science and Technology of China</t>
  </si>
  <si>
    <t>lijin117@yeah.net</t>
  </si>
  <si>
    <t>10.1145/3774904.3792577</t>
  </si>
  <si>
    <t>Zhaowei Liu:Yantai University;Sheng Liu:Yantai University;Weiqing Yan:Yantai University;Peng Song:Yantai University;Yongchao Song:Yantai University;Rufei Gao:Yantai Institute of Technology</t>
  </si>
  <si>
    <t>lzw@ytu.edu.cn</t>
  </si>
  <si>
    <t>10.1145/3774904.3792578</t>
  </si>
  <si>
    <t>Yuhua Zhao:Nankai University,Shenzhen Loop Area Institute;Zhixin Han:Nankai University;Xuan Li:Nankai University;Peiyu Xu:Nankai University;Hang Gao:Tianjin University of Science and Technology;Mengting Hu:Nankai University,Tianjin Key Laboratory of Software Experience and Human Computer Interaction;Tiegang Gao:Nankai University</t>
  </si>
  <si>
    <t>mthu@nankai.edu.cn</t>
  </si>
  <si>
    <t>10.1145/3774904.3792579</t>
  </si>
  <si>
    <t>Fengyuan Yu:Zhejiang University;Xiaohua Feng:Zhejiang University;Yuyuan Li:Hangzhou Dianzi University;Changwang Zhang:OPPO Research Institute;Jun Wang:OPPO Research Institute;Chaochao Chen:Zhejiang University</t>
  </si>
  <si>
    <t>zjuccc@zju.edu.cn</t>
  </si>
  <si>
    <t>10.1145/3774904.3792580</t>
  </si>
  <si>
    <t>Gian Marco Orlando:University of Naples Federico II;Jinyi Ye:University of Southern California;Valerio La Gatta:Northwestern University;Mahdi Saeedi:USC Information Sciences Institute;Vincenzo Moscato:University of Naples Federico II;Emilio Ferrara:University of Southern California;Luca Luceri:USC Information Sciences Institute</t>
  </si>
  <si>
    <t>gianmarco.orlando@unina.it</t>
  </si>
  <si>
    <t>10.1145/3774904.3792581</t>
  </si>
  <si>
    <t>Xingyu Tan:UNSW,Data61, CSIRO;Xiaoyang Wang:UNSW;Qing Liu:Data61, CSIRO;Xiwei Xu:Data61, CSIRO;Xin Yuan:Data61, CSIRO,UNSW;Liming Zhu:Data61, CSIRO;Wenjie Zhang:UNSW</t>
  </si>
  <si>
    <t>xiaoyang.wang1@unsw.edu.au</t>
  </si>
  <si>
    <t>10.1145/3774904.3792582</t>
  </si>
  <si>
    <t>Atul Kumar Singh:Fujitsu Research of India Pvt. Ltd. (FRIPL);Rahul Mishra:Fujitsu Research of India Pvt. Ltd. (FRIPL)</t>
  </si>
  <si>
    <t>atul.singh@fujitsu.com</t>
  </si>
  <si>
    <t>10.1145/3774904.3792583</t>
  </si>
  <si>
    <t>Shan Dai:Shenzhen Research Institute of Big Data;Yuyang Shen:The Chinese University of Hong Kong, Shenzhen;Yuyang Liang:The Chinese University of Hong Kong, Shenzhen;Chenhao Ma:The Chinese University of Hong Kong (Shenzhen);Anningzhe Gao:Shenzhen Research Institute of Big Data</t>
  </si>
  <si>
    <t>machenhao@cuhk.edu.cn</t>
  </si>
  <si>
    <t>10.1145/3774904.3792584</t>
  </si>
  <si>
    <t>Changwu Li:National Engineering Research Center for Big Data Technology and System, Service Computing Technology and System Lab, Cluster and Grid Computing Lab, School of Computer Science and Technology, Huazhong University of Science and Technology;Tongjun Shi:Futu Holdings Limited;Shuhao Zhang:National Engineering Research Center for Big Data Technology and System, Service Computing Technology and System Lab, Cluster and Grid Computing Lab, School of Computer Science and Technology, Huazhong University of Science and Technology;Binbin Chen:Singapore University of Technology and Design;Bingsheng He:National University of Singapore;Xiaofei Liao:National Engineering Research Center for Big Data Technology and System, Service Computing Technology and System Lab, Cluster and Grid Computing Lab, School of Computer Science and Technology, Huazhong University of Science and Technology;Hai Jin:National Engineering Research Center for Big Data Technology and System, Service Computing Technology and System Lab, Cluster and Grid Computing Lab, School of Computer Science and Technology, Huazhong University of Science and Technology</t>
  </si>
  <si>
    <t>tonyzhang19900609@gmail.com</t>
  </si>
  <si>
    <t>10.1145/3774904.3792585</t>
  </si>
  <si>
    <t>Jiamin Luo:School of Computer Science and Technology, Soochow University;Xuqian Gu:School of Computer Science and Technology, Soochow University;Jingjing Wang:School of Computer Science and Technology, Soochow University;Jiahong Lu:School of Computer Science and Technology, Soochow University</t>
  </si>
  <si>
    <t>10.1145/3774904.3792586</t>
  </si>
  <si>
    <t>Tianyin Liao:Nankai University;Ge Lan:Nankai University;Rui Chen:Nankai University;Ran Zhang:China CITIC Bank;Zhiming Chen:China CITIC Bank;Xiao Wang:Beihang University;Ziwei Zhang:Beihang University</t>
  </si>
  <si>
    <t>zwzhang@buaa.edu.cn</t>
  </si>
  <si>
    <t>10.1145/3774904.3792587</t>
  </si>
  <si>
    <t>Yifan Li:The Chinese University of Hong Kong;Jiahong Liu:The Chinese University of Hong Kong;Xinni Zhang:The Chinese University of Hong Kong;Hao Chen:The Chinese University of Hong Kong;Yankai Chen:McGill University;Wenhao Yu:The Chinese University of Hong Kong;Jianting Chen:Tongji University;Irwin King:The Chinese University of Hong Kong</t>
  </si>
  <si>
    <t>king@cse.cuhk.edu.hk</t>
  </si>
  <si>
    <t>10.1145/3774904.3792588</t>
  </si>
  <si>
    <t>Ruihan Hu:Key Laboratory of Trustworthy Distributed Computing and Service (MoE), Beijing University of Posts and Telecommunications;Yu-Ming Shang:Key Laboratory of Trustworthy Distributed Computing and Service (MoE), Beijing University of Posts and Telecommunications;Wei Luo:Key Laboratory of Trustworthy Distributed Computing and Service (MoE), Beijing University of Posts and Telecommunications;Ye Tao:China Unicom Research Institute;Xi Zhang:Key Laboratory of Trustworthy Distributed Computing and Service (MoE), Beijing University of Posts and Telecommunications</t>
  </si>
  <si>
    <t>zhangx@bupt.edu.cn</t>
  </si>
  <si>
    <t>10.1145/3774904.3792589</t>
  </si>
  <si>
    <t>Chuanyue Yu:Nankai University;Kuo Zhao:Nankai University;Yuhan Li:HKUST Guangzhou;Heng Chang:Huawei Technologies Ltd;Mingjian Feng:Nankai University;Xiangzhe Jiang:Nankai University;Yufei Sun:Nankai University;Jia Li:HKUST Guangzhou;Yuzhi Zhang:Nankai University;Qingyun Sun:Beihang University;Jianxin Li:Beihang University;Ziwei Zhang:Beihang University</t>
  </si>
  <si>
    <t>10.1145/3774904.3792590</t>
  </si>
  <si>
    <t>Bo Li:Department of Computing, The Hong Kong Polytechnic University;Ankang Sun:School of Computer Science and Technology, Shandong University;Shiji Xing:Department of Computing, The Hong Kong Polytechnic University</t>
  </si>
  <si>
    <t>ankang.sun@sdu.edu.cn</t>
  </si>
  <si>
    <t>10.1145/3774904.3792591</t>
  </si>
  <si>
    <t>Ke Ma:School of Artificial Intelligence and Automation, Huazhong University of Science and Technology,College of Design and Innovation, Tongji University;Cong Fu:School of Software and Engineering, Huazhong University of Science and Technology;Jianing Wang:School of Software and Engineering, Huazhong University of Science and Technology;Yifei Wang:School of Software and Engineering, Huazhong University of Science and Technology;Wenyuan Li:School of Software and Engineering, Huazhong University of Science and Technology;Xinggang Wang:School of Electronic Information and Communications, Huazhong University of Science and Technology;Meng Wang:College of Design and Innovation, Tongji University,Shanghai Institute for Intelligent Autonomous Systems, Tongji University;Tian Xia:School of Software and Engineering, Huazhong University of Science and Technology</t>
  </si>
  <si>
    <t>tianxia@hust.edu.cn</t>
  </si>
  <si>
    <t>10.1145/3774904.3792592</t>
  </si>
  <si>
    <t>Haeseung Jeon:Division of Artificial Intelligence &amp; Software, Ewha Womans University;Sujin Kim:Division of Artificial Intelligence &amp; Software, Ewha Womans University;Nate Mathews:Rochester Institute of Technology;Hosung Kang:Division of Artificial Intelligence &amp; Software, Ewha Womans University;Se Eun Oh:Division of Artificial Intelligence &amp; Software, Ewha Womans University</t>
  </si>
  <si>
    <t>seoh@ewha.ac.kr</t>
  </si>
  <si>
    <t>10.1145/3774904.3792593</t>
  </si>
  <si>
    <t>Haotian Wu:Nanyang Technological University;Yingpeng Du:Nanyang Technological University;Zhu Sun:Singapore University of Technology and Design;Jie Zhang:Nanyang Technological University;Puay Siew Tan:Singapore Institute of Manufacturing Technology, A*STAR</t>
  </si>
  <si>
    <t>dyp1993@pku.edu.cn</t>
  </si>
  <si>
    <t>10.1145/3774904.3792594</t>
  </si>
  <si>
    <t>Yangyang Xu:Institute of Advanced Technology, University of Science and Technology of China;Jinpeng Hu:Hefei University of Technology;Peipei Song:University of Science and Technology of China;Zhangling Duan:Institute of Artificial Intelligence, Hefei Comprehensive National Science Center;Xun Yang:University of Science and Technology of China</t>
  </si>
  <si>
    <t>xyang21@ustc.edu.cn</t>
  </si>
  <si>
    <t>10.1145/3774904.3792595</t>
  </si>
  <si>
    <t>Bhaskar Ray Chaudhury:University of Illinois at Urbana-Champaign;Jugal Garg:University of Illinois at Urbana-Champaign;Aniket Murhekar:Northwestern University;Jiaxin Song:University of Illinois at Urbana-Champaign</t>
  </si>
  <si>
    <t>jugal@illinois.edu</t>
  </si>
  <si>
    <t>10.1145/3774904.3792596</t>
  </si>
  <si>
    <t>Jinwoo Jung:Department of Artificial Intelligence, Hanyang University;Misuk Kim:Department of Artificial Intelligence, Hanyang University,Department of Data Science, Hanyang University</t>
  </si>
  <si>
    <t>misukkim@hanyang.ac.kr</t>
  </si>
  <si>
    <t>10.1145/3774904.3792597</t>
  </si>
  <si>
    <t>Yutao Wu:Deakin University;Xiao Liu:Deakin Universtiy;Yunhao Feng:Fudan University;Jiale Ding:Fudan University;Xingjun Ma:Fudan University</t>
  </si>
  <si>
    <t>wuy7117@gmail.com</t>
  </si>
  <si>
    <t>10.1145/3774904.3792598</t>
  </si>
  <si>
    <t>Xiaosong Yuan:Jilin University;Xiaofeng Zhang:Shanghai Jiaotong University;Di Zhao:Dongbei University of Finance and Economics;Yijia Zhang:National University of Defense Technology;Ying Wang:Jilin University</t>
  </si>
  <si>
    <t>wangying2010@jlu.edu.cn</t>
  </si>
  <si>
    <t>10.1145/3774904.3792599</t>
  </si>
  <si>
    <t>Kuicai Dong:Huawei Technologies Co., Ltd.;Shurui Huang:Huawei Technologies Co., Ltd.;Fangda Ye:Huawei Technologies Co., Ltd.;Wei Han:Huawei Technologies Co., Ltd.;Zhi Zhang:Huawei Technologies Co., Ltd.;Dexun Li:Huawei Technologies Co., Ltd.;Wenjun Li:Huawei Technologies Co., Ltd.;Qu Yang:Huawei Technologies Co., Ltd.;Gang Wang:Huawei Technologies Co., Ltd.;Yichao Wang:Huawei Technologies Co., Ltd.;Chen Zhang:Huawei Technologies Co., Ltd.;Yong Liu:Huawei Technologies Co., Ltd.</t>
  </si>
  <si>
    <t>kuicai001@e.ntu.edu.sg</t>
  </si>
  <si>
    <t>10.1145/3774904.3792600</t>
  </si>
  <si>
    <t>Feng Zhao:Natural Language Processing and Knowledge Graph Lab, School of Computer Science and Technology, Huazhong University of Science and Technology;Kangzheng Liu:Natural Language Processing and Knowledge Graph Lab, School of Computer Science and Technology, Huazhong University of Science and Technology;Teng Peng:Natural Language Processing and Knowledge Graph Lab, School of Computer Science and Technology, Huazhong University of Science and Technology;Yu Yang:Centre for Learning, Teaching and Technology, The Education University of Hong Kong;Guandong Xu:Centre for Learning, Teaching and Technology, The Education University of Hong Kong</t>
  </si>
  <si>
    <t>zhaof@hust.edu.cn</t>
  </si>
  <si>
    <t>10.1145/3774904.3792601</t>
  </si>
  <si>
    <t>Jianjin Zhao:Beijing University of Posts and Telecommunications;Dongqi Han:Beijing University of Posts and Telecommunications,State Key Laboratory of Internet Architecture, Tsinghua University;Chao Ma:Beijing University of Posts and Telecommunications;Qi Li:Beijing University of Posts and Telecommunications;Zhiwei Cui:Beijing University of Posts and Telecommunications;Hongliang Zhu:Beijing University of Posts and Telecommunications;Hua Zhang:Beijing University of Posts and Telecommunications;Mingshu He:Beijing University of Posts and Telecommunications;Yijun Lu:Waseda University;Jiong Dong:Xuchang University;Yuyin Ma:Xinjiang University;Meng Shen:Beijing Institute of Technology</t>
  </si>
  <si>
    <t>liqi2001@bupt.edu.cn</t>
  </si>
  <si>
    <t>10.1145/3774904.3792602</t>
  </si>
  <si>
    <t>Shengjia Zhang:State Key Laboratory of Blockchain and Data Security, Zhejiang University; College of Computer Science and Technology, Zhejiang University, Zhejiang University;Weiqin Yang:State Key Laboratory of Blockchain and Data Security, Zhejiang University; College of Computer Science and Technology, Zhejiang University, Zhejiang University;Jiawei Chen:State Key Laboratory of Blockchain and Data Security, Zhejiang University; College of Computer Science and Technology, Zhejiang University; Hangzhou High-Tech Zone (Binjiang) Institute of Blockchain and Data Security, Zhejiang University;Peng Wu:School of Mathematics and Statistics, Beijing Technology and Business University, Beijing Technology and Business University;Yuegang Sun:Intelligence Indeed;Gang Wang:Bangsheng Technology Co,Ltd.;Qihao Shi:Hangzhou City University;Can Wang:State Key Laboratory of Blockchain and Data Security, Zhejiang University; Hangzhou High-Tech Zone (Binjiang) Institute of Blockchain and Data Security, Zhejiang University</t>
  </si>
  <si>
    <t>10.1145/3774904.3792603</t>
  </si>
  <si>
    <t>Zhibo Wu:Xiaohongshu;Yunfan Wu:Xiaohongshu;Yang Chang:Xiaohongshu;Ping Yang:Xiaohongshu;Yao Hu:Xiaohongshu</t>
  </si>
  <si>
    <t>zbwu1617@gmail.com</t>
  </si>
  <si>
    <t>10.1145/3774904.3792604</t>
  </si>
  <si>
    <t>Zhihao Chen:Fujian Normal University;Zirui Gong:Griffith University;Jianting Ning:Fujian Normal University;Yanjun Zhang:Griffith University;Leo Yu Zhang:Griffith University</t>
  </si>
  <si>
    <t>jtning88@gmail.com</t>
  </si>
  <si>
    <t>10.1145/3774904.3792605</t>
  </si>
  <si>
    <t>Xuanning Hu:College of Computer Science and Technology, Jilin University,Key Laboratory of Symbolic Computation and Knowledge Engineering of Ministry of Education, Jilin University;Anchen Li:Department of Computer Science, Aalto University;Qianli Xing:College of Computer Science and Technology, Jilin University,Key Laboratory of Symbolic Computation and Knowledge Engineering of Ministry of Education, Jilin University;Jinglong Ji:College of Artificial Intelligence, Jilin University,Key Laboratory of Symbolic Computation and Knowledge Engineering of Ministry of Education, Jilin University;Hao Tuo:College of Computer Science and Technology, Jilin University,Key Laboratory of Symbolic Computation and Knowledge Engineering of Ministry of Education, Jilin University;Bo Yang:College of Computer Science and Technology, Jilin University,Key Laboratory of Symbolic Computation and Knowledge Engineering of Ministry of Education, Jilin University</t>
  </si>
  <si>
    <t>10.1145/3774904.3792606</t>
  </si>
  <si>
    <t>Sahar Tahmasebi:Department of Computer Science - Visual Analytics group, TIB – Leibniz Information Centre for Science and Technology;Eric Müller-Budack:TIB – Leibniz Information Centre for Science and Technology;Ralph Ewerth:University of Marburg &amp; hessian.AI - Hessian Center for Artificial Intelligence,TIB – Leibniz Information Centre for Science and Technology</t>
  </si>
  <si>
    <t>sahar.tahmasebi@tib.eu</t>
  </si>
  <si>
    <t>10.1145/3774904.3792607</t>
  </si>
  <si>
    <t>Bohao Wang:State Key Laboratory of Blockchain and Data Security, Zhejiang University. College of Computer Science and Technology, Zhejiang University., Zhejiang University;Jiawei Chen:State Key Laboratory of Blockchain and Data Security, Zhejiang University. College of Computer Science and Technology, Zhejiang University. Hangzhou High-Tech Zone (Binjiang) Institute of Blockchain and Data Security., Zhejiang University;Feng Liu:OPPO Research Institute;Changwang Zhang:OPPO Research Institute;Jun Wang:OPPO Research Institute;Canghong Jin:Hangzhou City University;Chun Chen:State Key Laboratory of Blockchain and Data Security, Zhejiang University. College of Computer Science and Technology, Zhejiang University., Zhejiang University;Can Wang:State Key Laboratory of Blockchain and Data Security, Zhejiang University. Hangzhou High-Tech Zone (Binjiang) Institute of Blockchain and Data Security., Zhejiang University</t>
  </si>
  <si>
    <t>10.1145/3774904.3792608</t>
  </si>
  <si>
    <t>Shingo Higashiguchi:SANKEN, The University of Osaka;Koki Kawabata:SANKEN, The University of Osaka;Yasuko Matsubara:SANKEN, The University of Osaka;Yasushi Sakurai:SANKEN, The University of Osaka</t>
  </si>
  <si>
    <t>shingo88@sanken.osaka-u.ac.jp</t>
  </si>
  <si>
    <t>10.1145/3774904.3792609</t>
  </si>
  <si>
    <t>Meng Cao:College of Information Science and Technology and Artificial Intelligence, Nanjing Forestry University,State Key Lab. for Novel Software Technology, Nanjing University;Mingcai Chen:Nanjing University of Posts and Telecommunications,State Key Lab. for Novel Software Technology, Nanjing University;Shuangjie Li:Department of Computer Science and Technology, Nanjing University;Hualei Yu:School of Computer and Artificial Intelligence, Nanjing University of Finance and Economics;Shuai Feng:College of Artificial Intelligence, Nanjing Agricultural University;Demin Gao:College of Information Science and Technology and Artificial Intelligence, Nanjing Forestry University</t>
  </si>
  <si>
    <t>dmgao@njfu.edu.cn</t>
  </si>
  <si>
    <t>10.1145/3774904.3792610</t>
  </si>
  <si>
    <t>Xiaokun Zhang:City University of Hong Kong,the Key Laboratory of Social Computing and Cognitive Intelligence (Dalian University of Technology), Ministry of Education.;Bowei He:City University of Hong Kong;Jiamin Chen:City University of Hong Kong;Ziqiang Cui:City University of Hong Kong;Chen Ma:City University of Hong Kong</t>
  </si>
  <si>
    <t>chenma@cityu.edu.hk</t>
  </si>
  <si>
    <t>10.1145/3774904.3792611</t>
  </si>
  <si>
    <t>Xiangjun Zai:University of New South Wales;Xingyu Tan:University of New South Wales;Xiaoyang Wang:University of New South Wales;Qing Liu:Data61, CSIRO;Xiwei Xu:Data61, CSIRO;Wenjie Zhang:University of New South Wales</t>
  </si>
  <si>
    <t>xingyu.tan@unsw.edu.au</t>
  </si>
  <si>
    <t>10.1145/3774904.3792612</t>
  </si>
  <si>
    <t>Kesha Ou:Gaoling School of Artificial Intelligence, Renmin University of China,Beijing Key Laboratory of Research on Large Models and Intelligent Governance;Zhen Tian:ByteDance;Wayne Xin Zhao:Gaoling School of Artificial Intelligence, Renmin University of China,Beijing Key Laboratory of Research on Large Models and Intelligent Governance;Hongyu Lu:Wechat, WeChat, Tencent;Ji-Rong Wen:Gaoling School of Artificial Intelligence, Renmin University of China,Beijing Key Laboratory of Research on Large Models and Intelligent Governance</t>
  </si>
  <si>
    <t>keishaou@gmail.com</t>
  </si>
  <si>
    <t>10.1145/3774904.3792613</t>
  </si>
  <si>
    <t>Kai Zhang:Xiamen University of Technology;Yuxuan Xu:Xiamen University of Technology;Wenxiang Lin:Xiamen University of Technology;Chaoqun Hong:Xiamen University of Technology;Pei-Wei Tsai:Computing Technologies, Swinburne University of Technology;Xin Yuan:CSIRO’s Data61,University of New South Wales;Minhui Xue:CSIRO’s Data61,Adelaide University</t>
  </si>
  <si>
    <t>cqhong@xmut.edu.cn</t>
  </si>
  <si>
    <t>10.1145/3774904.3792614</t>
  </si>
  <si>
    <t>Qinxin Li:Institute of Computing Technology, Chinese Academy of Sciences,University of Chinese Academy of Sciences;Zhaohua Wang:Computer Network Information Center, Chinese Academy of Sciences;Wenhao Wu:Institute of Computing Technology, Chinese Academy of Sciences,University of Chinese Academy of Sciences;Zihan Li:Institute of Computing Technology, Chinese Academy of Sciences,University of Chinese Academy of Sciences;Yiming Xia:Institute of Computing Technology, Chinese Academy of Sciences,University of Chinese Academy of Sciences;Chuan Gao:Institute of Computing Technology, Chinese Academy of Sciences,University of Chinese Academy of Sciences;Zhenyu Li:Institute of Computing Technology, Chinese Academy of Sciences,Purple Mountain Laboratories</t>
  </si>
  <si>
    <t>wangzh@cnic.cn</t>
  </si>
  <si>
    <t>10.1145/3774904.3792615</t>
  </si>
  <si>
    <t>Yunhao Xiao:Huazhong Agricultural University;Ying Wang:Huazhong Agricultural University;Michael Bewong:Charles Sturt University;Selasi Kwashie:Charles Sturt University;Xiaoxia Li:Huazhong Agricultural University;Zaiwen Feng:Huazhong Agricultural University</t>
  </si>
  <si>
    <t>Yunhao_Xiao@webmail.hzau.edu.cn</t>
  </si>
  <si>
    <t>10.1145/3774904.3792616</t>
  </si>
  <si>
    <t>Yinan Zhang:Nanyang Technological University;Zhixi Chen:Nanyang Technological University;Jiazheng Jing:Nanyang Technological University;Zhiqi Shen:Nanyang Technological University</t>
  </si>
  <si>
    <t>yinan.zhang@ntu.edu.sg</t>
  </si>
  <si>
    <t>10.1145/3774904.3792617</t>
  </si>
  <si>
    <t>Miaomiao Cai:National University of Singapore;Zhijie Zhang:Hefei University of Technology;Junfeng Fang:National University of Singapore;Zhiyong Cheng:Hefei University of Technology;Xiang Wang:University of Science and Technology of China;Meng Wang:Hefei University of Technology</t>
  </si>
  <si>
    <t>cmm.hfut@gmail.com</t>
  </si>
  <si>
    <t>10.1145/3774904.3792618</t>
  </si>
  <si>
    <t>Fan Zhang:School of Computer Science and Technology, Shandong Technology and Business University;Shiming Fan:School of Computer Science and Technology, Shandong Technology and Business University;Hua Wang:School of Computer and Artificial Intelligence, Ludong University</t>
  </si>
  <si>
    <t>hwa229@163.com</t>
  </si>
  <si>
    <t>10.1145/3774904.3792619</t>
  </si>
  <si>
    <t>Daixin Song:Nanjing University of Posts and Telecommunications;Hui Cai:Nanjing University of Posts and Telecommunications,The State Key Laboratory of Tibetan Intelligence, Nanjing University of Posts and Telecommunications;Haojie Zhang:Nanjing University of Posts and Telecommunications;Biyun Sheng:Nanjing University of Posts and Telecommunications;Jian Zhou:Nanjing University of Posts and Telecommunications;Mang Ye:Wuhan University;Fu Xiao:Nanjing University of Posts and Telecommunications</t>
  </si>
  <si>
    <t>carolinecai@njupt.edu.cn</t>
  </si>
  <si>
    <t>10.1145/3774904.3792620</t>
  </si>
  <si>
    <t>Asmaa El Fraihi:Institut Polytechnique de Paris, Institut National de Recherche en Informatique et en Automatique;Ines Abdelaziz:Institut Polytechnique de Paris, Institut National de Recherche en Informatique et en Automatique;Oana Goga:Institut Polytechnique de Paris, Institut National de Recherche en Informatique et en Automatique</t>
  </si>
  <si>
    <t>asmaa.el-fraihi@inria.fr</t>
  </si>
  <si>
    <t>10.1145/3774904.3792621</t>
  </si>
  <si>
    <t>Boquan Li:College of Computer Science and Technology, Harbin Engineering University;Chenzhe Lou:Institute of Information Engineering, Chinese Academy of Sciences;Zhe Ren:College of Computer Science and Technology, Harbin Engineering University;Peixin Zhang:School of Computing and Information Systems, Singapore Management University;Zirui Fu:College of Computer Science and Technology, Harbin Engineering University;Jun Sun:School of Computing and Information Systems, Singapore Management University;Yaowen Zheng:Institute of Information Engineering, Chinese Academy of Sciences</t>
  </si>
  <si>
    <t>pxzhang@smu.edu.sg</t>
  </si>
  <si>
    <t>10.1145/3774904.3792622</t>
  </si>
  <si>
    <t>Shaodi Xie:Huazhong University of Science and Technology;Wei Yuan:Huazhong University of Science and Technology;Haoyu Jiang:Huazhong University of Science and Technology;Zhu Gong:Huazhong University of Science and Technology;Haoran Wang:Huazhong University of Science and Technology;Heng Li:The Hong Kong Polytechnic University;Tiejun Wu:NSFOCUS Technologies Group Co., Ltd.</t>
  </si>
  <si>
    <t>heng-phd.li@polyu.edu.hk</t>
  </si>
  <si>
    <t>10.1145/3774904.3792623</t>
  </si>
  <si>
    <t>MohammadTaghi Hajiaghayi:University of Maryland;Gary Peng:University of Maryland;Suho Shin:University of Maryland</t>
  </si>
  <si>
    <t>gpeng1@terpmail.umd.edu</t>
  </si>
  <si>
    <t>10.1145/3774904.3792624</t>
  </si>
  <si>
    <t>Simon Schwarz:Saarland Informatics Campus, Max Planck Institute for Informatics;Florian Bauckholt:CISPA Helmholtz Center for Information Security;Leon Trampert:CISPA Helmholtz Center for Information Security</t>
  </si>
  <si>
    <t>sschwarz@mpi-inf.mpg.de</t>
  </si>
  <si>
    <t>10.1145/3774904.3792625</t>
  </si>
  <si>
    <t>Nicolas Steinacker-Olsztyn:Saarland University;Devashish Gosain:IIT Bombay;Ha Dao:Max Planck Institute for Informatics</t>
  </si>
  <si>
    <t>hadao@mpi-inf.mpg.de</t>
  </si>
  <si>
    <t>10.1145/3774904.3792626</t>
  </si>
  <si>
    <t>Canran Xiao:Shenzhen Campus of Sun Yat-sen University;Liwei Hou:Hunan University</t>
  </si>
  <si>
    <t>10.1145/3774904.3792627</t>
  </si>
  <si>
    <t>Jiangfeng Zeng:School of Information Management, Central China Normal University;Cheng Xiong:School of Computer and Artificial Intelligence, Wuhan University of Technology;Xiao Ma:School of Information Engineering, Zhongnan University of Economics and Law;Jialin Qin:School of Mathematics and Statistics, Central China Normal University</t>
  </si>
  <si>
    <t>jfzeng@ccnu.edu.cn</t>
  </si>
  <si>
    <t>10.1145/3774904.3792628</t>
  </si>
  <si>
    <t>Zhiyong Cheng:Hefei University of Technology;Yike Jin:Hefei University of Technology;Zhijie Zhang:Hefei University of Technology;Huilin Chen:Hefei University of Technology;Zhangling Duan:Hefei Comprehensive National Science Center;Meng Wang:Hefei University of Technology</t>
  </si>
  <si>
    <t>jyk06801@gmail.com</t>
  </si>
  <si>
    <t>10.1145/3774904.3792629</t>
  </si>
  <si>
    <t>Jiaxin Jiang:Nanjing University of Posts and Telecommunications;Xutong Zhang:Nanjing University of Posts and Telecommunications;Jiahao Li:Nanjing University of Posts and Telecommunications;Leqi Zhao:Zhejiang University;Zhengxin Guo:Nanjing University of Posts and Telecommunications;Kaiyan Cui:Nanjing University of Posts and Telecommunications;Ming Gao:Nanjing University of Posts and Telecommunications;Jinsong Han:Zhejiang University;Fu Xiao:Nanjing University of Posts and Telecommunications</t>
  </si>
  <si>
    <t>xiaof@njupt.edu.cn</t>
  </si>
  <si>
    <t>10.1145/3774904.3792630</t>
  </si>
  <si>
    <t>Mingjun Zhou:National Key Laboratory of Big Data and Decision, National University of Defense Technology;Weixin Zeng:National Key Laboratory of Big Data and Decision, National University of Defense Technology;Xiang Zhao:National Key Laboratory of Big Data and Decision, National University of Defense Technology</t>
  </si>
  <si>
    <t>zhoumingjun24@nudt.edu.cn</t>
  </si>
  <si>
    <t>10.1145/3774904.3792631</t>
  </si>
  <si>
    <t>Wei Sun:School of Science and Engineering, The Chinese University of Hong Kong, Shenzhen,Shenzhen Future Network of Intelligence Institute;Ting Wang:School of Science and Engineering, The Chinese University of Hong Kong, Shenzhen,Shenzhen Future Network of Intelligence Institute;Xinran Tian:Shenzhen Future Network of Intelligence Institute;Wanshun Lan:China Mobile Communications Group Guangdong Co., Ltd.;Xuhan Feng:China Mobile Communications Group Guangdong Co., Ltd.;Haoyue Li:China Mobile Communications Group Guangdong Co., Ltd.;Fangxin Wang:School of Science and Engineering, The Chinese University of Hong Kong, Shenzhen,Shenzhen Future Network of Intelligence Institute</t>
  </si>
  <si>
    <t>wangfangxin@cuhk.edu.cn</t>
  </si>
  <si>
    <t>10.1145/3774904.3792632</t>
  </si>
  <si>
    <t>Minjie Cheng:Gaoling School of Artificial Intelligence, Renmin University of China;Bokai Yan:Gaoling School of Artificial Intelligence, Renmin University of China;Dixin Luo:School of Computer Science and Technology, Beijing Institute of Technology;Hongteng Xu:Gaoling School of Artificial Intelligence, Renmin University of China</t>
  </si>
  <si>
    <t>hongtengxu@ruc.edu.cn</t>
  </si>
  <si>
    <t>10.1145/3774904.3792633</t>
  </si>
  <si>
    <t>Juntao Yang:Hefei University of Technology;Dayuan Cao:Hefei University of Technology;Kui Yu:Hefei University of Technology;Xiang Wang:National University of Defense Technology;Jing Yang:Hefei University of Technology;Lin Liu:School of Computer Science and Information Technology, Adelaide University;Jiuyong Li:School of Computer Science and Information Technology, Adelaide University</t>
  </si>
  <si>
    <t>yukui@hfut.edu.cn</t>
  </si>
  <si>
    <t>10.1145/3774904.3792634</t>
  </si>
  <si>
    <t>Tiantian Huang:Xidian University;Yue Li:Xidian University;Wei Shao:data61, CSIRO,UNSW;Ziqi Xu:RMIT University;Qipeng Song:Xidian University;Hui Li:Xidian University</t>
  </si>
  <si>
    <t>liyue@xidian.edu.cn</t>
  </si>
  <si>
    <t>10.1145/3774904.3792635</t>
  </si>
  <si>
    <t>Yichen Luo:Centre for Blockchain Technologies, UCL,FinTech Academy, University of Hong Kong;Yebo Feng:Nanyang Technological University;Jiahua Xu:Centre for Blockchain Technologies, UCL,DLT Science Foundation;Yang Liu:Nanyang Technological University</t>
  </si>
  <si>
    <t>yebo.feng@ntu.edu.sg</t>
  </si>
  <si>
    <t>10.1145/3774904.3792636</t>
  </si>
  <si>
    <t>Jia Gu:State Key Laboratory of AI Safety, Institute of Computing Technology, Chinese Academy of Sciences,University of Chinese Academy of Sciences;Liang Pang:State Key Laboratory of AI Safety, Institute of Computing Technology, Chinese Academy of Sciences,University of Chinese Academy of Sciences;Huawei Shen:State Key Laboratory of AI Safety, Institute of Computing Technology, Chinese Academy of Sciences,University of Chinese Academy of Sciences;Xueqi Cheng:State Key Laboratory of AI Safety, Institute of Computing Technology, Chinese Academy of Sciences,University of Chinese Academy of Sciences</t>
  </si>
  <si>
    <t>pangliang@ict.ac.cn</t>
  </si>
  <si>
    <t>10.1145/3774904.3792637</t>
  </si>
  <si>
    <t>Xu Zhang:Shanghai Key Laboratory of Data Science, College of Computer Science and Artificial Intelligence, Fudan University;Peng Wang:Shanghai Key Laboratory of Data Science, College of Computer Science and Artificial Intelligence, Fudan University;Yichen Li:Department of Electrical and Computer Engineering, University of British Columbia (UBC);Wei Wang:Shanghai Key Laboratory of Data Science, College of Computer Science and Artificial Intelligence, Fudan University</t>
  </si>
  <si>
    <t>pengwang5@fudan.edu.cn</t>
  </si>
  <si>
    <t>10.1145/3774904.3792638</t>
  </si>
  <si>
    <t>Han Zhang:Fudan University;Chen Zhao:Fudan University;Shasha Wang:Shanghai Artificial Intelligence Laboratory;Gang Chen:Fudan University;Chenghong Zhang:Fudan University</t>
  </si>
  <si>
    <t>chengang050970@foxmail.com</t>
  </si>
  <si>
    <t>10.1145/3774904.3792639</t>
  </si>
  <si>
    <t>Xu Zhang:Shanghai Key Laboratory of Data Science, College of Computer Science and Artificial Intelligence, Fudan University;Qitong Wang:Harvard University;Peng Wang:Shanghai Key Laboratory of Data Science, College of Computer Science and Artificial Intelligence, Fudan University;Wei Wang:Shanghai Key Laboratory of Data Science, College of Computer Science and Artificial Intelligence, Fudan University</t>
  </si>
  <si>
    <t>10.1145/3774904.3792640</t>
  </si>
  <si>
    <t>Nengjun Zhu:Shanghai University;Yixun Lu:Shanghai University;Qi Zhang:Tongji University</t>
  </si>
  <si>
    <t>zhu_nj@shu.edu.cn</t>
  </si>
  <si>
    <t>10.1145/3774904.3792641</t>
  </si>
  <si>
    <t>Zhangtao Cheng:University of Electronic Science and Technology of China;Bozhu Zheng:University of Electronic Science and Technology of China;Ting Zhong:University of Electronic Science and Technology of China;Fan Zhou:University of Electronic Science and Technology of China,Key Laboratory of Intelligent Digital Media Technology of Sichuan Province</t>
  </si>
  <si>
    <t>fan.zhou@uestc.edu.cn</t>
  </si>
  <si>
    <t>10.1145/3774904.3792642</t>
  </si>
  <si>
    <t>Parthiv Chatterjee:PhD Computer Science, Dhirubhai Ambani University;Dhara Jhaveri:Adani University;Sourish Dasgupta:Dhirubhai Ambani University;Tanmoy Chakraborty:Indian Institute of Technology - Delhi</t>
  </si>
  <si>
    <t>sourish_dasgupta@daiict.ac.in</t>
  </si>
  <si>
    <t>10.1145/3774904.3792643</t>
  </si>
  <si>
    <t>Yuk Hang Tsui:Hong Kong University of Science and Technology;Ze Wu:Hong Kong University of Science and Technology;Ahmad Alhilal:Aalto University;Matti Siekkinen:Aalto University;Pan Hui:Hong Kong University of Science and Technology (Guangzhou)</t>
  </si>
  <si>
    <t>yhtsui@connect.ust.hk</t>
  </si>
  <si>
    <t>10.1145/3774904.3792644</t>
  </si>
  <si>
    <t>Zhaofeng Li:National University of Singapore;Chen Xu:Renmin University of China;Xinyu Lin:National University of Singapore;Wenjie Wang:University of Science and Technology of China;Xiaokui Xiao:National University of Singapore</t>
  </si>
  <si>
    <t>zhaofengli65@gmail.com</t>
  </si>
  <si>
    <t>10.1145/3774904.3792645</t>
  </si>
  <si>
    <t>Dun Tan:School of Computer Science, Shanghai Jiao Tong University;Lixing Chen:School of Computer Science, Shanghai Jiao Tong University;Bo Zhang:China Electric Power Research Institute;Hongfu Liu:School of Computer Science, Shanghai Jiao Tong University;Hao Peng:School of Computer Science and Technology, Zhejiang Normal University;Shenghong Li:Shanghai Jiao Tong University;Yang Bai:Shanghai Jiao Tong University;Pan Zhou:School of Cyber Science and Engineering, Huazhong University of Science and Technology</t>
  </si>
  <si>
    <t>shli@sjtu.edu.cn</t>
  </si>
  <si>
    <t>10.1145/3774904.3792646</t>
  </si>
  <si>
    <t>Zhiyuan Ning:ACSS Lab, Northwest University;Zhanyong Tang:ACSS Lab, Northwest University;Juan He:PINE Lab, Northwest University;Weizhi Meng:Lancaster University;Yuntian Chen:PINE Lab, Northwest University;Jie Zhang:Xi'an University of Posts and Telecommunications;Zheng Wang:University of Leeds</t>
  </si>
  <si>
    <t>zytang@nwu.edu.cn</t>
  </si>
  <si>
    <t>10.1145/3774904.3792647</t>
  </si>
  <si>
    <t>Lingyan Zhang:School of Computer Science and Engineering, Central South University;Wanyu Ling:School of Computer Science and Engineering, Central South University;Shuwen Daizhou:School of Computer Science and Engineering, Central South University;Li Kuang:School of Computer Science and Engineering, Central South University;Kehua Guo:School of Computer Science and Engineering, Central South University,Furong Laboratory</t>
  </si>
  <si>
    <t>wanyuling@csu.edu.cn</t>
  </si>
  <si>
    <t>10.1145/3774904.3792648</t>
  </si>
  <si>
    <t>Nikos Theologis:University of Ioannina,Archimedes/Athena Research Center;Evaggelia Pitoura:University of Ioannina,Archimedes/Athena Research Center;Evimaria Terzi:Boston University;Panayiotis Tsaparas:University of Ioannina,Archimedes/Athena Research Center</t>
  </si>
  <si>
    <t>n.theologis@athenarc.gr</t>
  </si>
  <si>
    <t>10.1145/3774904.3792649</t>
  </si>
  <si>
    <t>Yan Zhang:Department of Computer Science and Technology, Tsinghua University,Zhongguancun Laboratory;Yihong Song:Peking University;Manzhou Li:Peking University;Qiushi Li:School of Software, Beihang University;Qi Li:Institute for Network Sciences and Cyberspace, Tsinghua University,State Key Laboratory of Internet Architecture, Tsinghua University;Ju Ren:Department of Computer Science and Technology, Tsinghua University,State Key Laboratory of Internet Architecture, Tsinghua University</t>
  </si>
  <si>
    <t>liqiushi@buaa.edu.cn</t>
  </si>
  <si>
    <t>10.1145/3774904.3792650</t>
  </si>
  <si>
    <t>Dana Afazeli:Sharif University of Technology;Mohamad Latifian:University of Edinburgh;Masoud Seddighin:Tehran Institute for Advanced Studies</t>
  </si>
  <si>
    <t>mohamad.latifian@ed.ac.uk</t>
  </si>
  <si>
    <t>10.1145/3774904.3792651</t>
  </si>
  <si>
    <t>Chunxu Zhang:Jilin University,Hong Kong Polytechnic University;Shanqiang Huang:Jilin University;Zijian Zhang:Jilin University,The Chinese University of Hong Kong;Jiahong Liu:The Chinese University of Hong Kong;Linsong Yu:Jilin University;Ruiqi Wan:Jilin University;Bo Yang:Jilin University;Irwin King:The Chinese University of Hong Kong</t>
  </si>
  <si>
    <t>zhangzj2114@mails.jlu.edu.cn</t>
  </si>
  <si>
    <t>10.1145/3774904.3792652</t>
  </si>
  <si>
    <t>Haoshuang Liu:Tianjin University;Zihan Feng:Tianjin University;Yajun Yang:Tianjin University;Xin Wang:Tianjin University;Hong Gao:Zhejiang Normal University;Qinghua Hu:Tianjin University</t>
  </si>
  <si>
    <t>10.1145/3774904.3792653</t>
  </si>
  <si>
    <t>Jamshid Mozafari:University of Innsbruck;Hamed Zamani:University of Massachusetts Amherst;Guido Zuccon:The University of Queensland;Adam Jatowt:University of Innsbruck</t>
  </si>
  <si>
    <t>jamshid.mozafari@uibk.ac.at</t>
  </si>
  <si>
    <t>10.1145/3774904.3792654</t>
  </si>
  <si>
    <t>Zirui Chen:Tianjin University, College of Intelligence and Computing;Xin Wang:Tianjin University, School of Artificial Intelligence,Tianjin University, College of Intelligence and Computing;Zhao Li:Tianjin University, College of Intelligence and Computing;Wenbin Guo:Tianjin University, College of Intelligence and Computing;Dongxiao He:Tianjin University, College of Intelligence and Computing;Yanbing Li:Xinjiang University, School of Computer Science and Technology;Wushour Silamu:Xinjiang University, School of Computer Science and Technology</t>
  </si>
  <si>
    <t>zrchen@tju.edu.cn</t>
  </si>
  <si>
    <t>10.1145/3774904.3792655</t>
  </si>
  <si>
    <t>Yuecen Wei:School of Software, Beihang University;Zhiyu Zhuang:School of Computer Science and Engineering, Beihang University;Yisen Gao:Computer Science and Engineering, The Hongkong University of Science and Technology;Xingcheng Fu:Key Lab of Education Blockchain and Intelligent Technology, Guangxi Normal University;Qingyun Sun:School of Computer Science and Engineering, Beihang University;Ziwei Zhang:School of Computer Science and Engineering, Beihang University;Tianyu Wo:School of Software, Beihang University;Chunming Hu:School of Software, Beihang University</t>
  </si>
  <si>
    <t>fuxc@gxnu.edu.cn</t>
  </si>
  <si>
    <t>10.1145/3774904.3792656</t>
  </si>
  <si>
    <t>Jialin Chen:Department of Computer Science, Yale University;Haolan Zuo:Department of Computer Science, Yale University;Haoyu Wang:Department of Electrical and Computer Engineering, Georgia Institute of Technology;Siqi Miao:Department of Electrical and Computer Engineering, Georgia Institute of Technology;Pan Li:Department of Electrical and Computer Engineering, Georgia Institute of Technology;Rex Ying:Department of Computer Science, Yale University</t>
  </si>
  <si>
    <t>jialin.chen@yale.edu</t>
  </si>
  <si>
    <t>10.1145/3774904.3792657</t>
  </si>
  <si>
    <t>Wonbin Kweon:University of Illinois Urbana-Champaign;Runchu Tian:University of Illinois Urbana-Champaign;Seongku Kang:Korea University;Pengcheng Jiang:University of Illinois Urbana-Champaign;Zhiyong Lu:National Institutes of Health;Jiawei Han:University of Illinois Urbana-Champaign;Hwanjo Yu:Pohang University of Science and Technology</t>
  </si>
  <si>
    <t>wonbin@illinois.edu</t>
  </si>
  <si>
    <t>10.1145/3774904.3792658</t>
  </si>
  <si>
    <t>Xuanyu Su:University of Ottawa;Diana Inkpen:University of Ottawa;Nathalie Japkowicz:American University</t>
  </si>
  <si>
    <t>xsu072@uottawa.ca</t>
  </si>
  <si>
    <t>10.1145/3774904.3792659</t>
  </si>
  <si>
    <t>Jintao Wen:School of Computer Science, Wuhan University;Yunfeng Ning:School of Computer Science, Wuhan University;Hankun Kang:School of Computer Science, Wuhan University;Xin Miao:School of Computer Science, Wuhan University;Tieyun Qian:School of Computer Science, Wuhan University,Zhongguancun Academy</t>
  </si>
  <si>
    <t>10.1145/3774904.3792660</t>
  </si>
  <si>
    <t>Athicha Srivirote:Northeastern University;Muhammad Abu Bakar Aziz:Northeastern University;Jeffrey Gleason:Northeastern University;Desheng Hu:Department of Informatics, University of Zurich;Christo Wilson:Northeastern University</t>
  </si>
  <si>
    <t>srivirote.a@northeastern.edu</t>
  </si>
  <si>
    <t>10.1145/3774904.3792661</t>
  </si>
  <si>
    <t>Ethan Che:Meta;Hakan Ceylan:Amazon;James McInerney:Netflix;Nathan Kallus:Netflix,Cornell University</t>
  </si>
  <si>
    <t>eche@meta.com</t>
  </si>
  <si>
    <t>10.1145/3774904.3792662</t>
  </si>
  <si>
    <t>Zhuo Chen:State Key Laboratory of AI Safety, Institute of Computing Technology, Chinese Academy of Sciences,University of Chinese Academy of Sciences;Fei Wang:State Key Laboratory of AI Safety, Institute of Computing Technology, Chinese Academy of Sciences,University of Chinese Academy of Sciences;Zixuan Li:State Key Laboratory of AI Safety, Institute of Computing Technology, Chinese Academy of Sciences,University of Chinese Academy of Sciences;Zhao Zhang:State Key Laboratory of AI Safety, Institute of Computing Technology, Chinese Academy of Sciences,University of Chinese Academy of Sciences;Weiwei Ding:State Key Laboratory of AI Safety, Institute of Computing Technology, Chinese Academy of Sciences,University of Chinese Academy of Sciences;Chuanguang Yang:State Key Laboratory of AI Safety, Institute of Computing Technology, Chinese Academy of Sciences,University of Chinese Academy of Sciences;Yongjun Xu:State Key Laboratory of AI Safety, Institute of Computing Technology, Chinese Academy of Sciences,University of Chinese Academy of Sciences;Xiaolong Jin:State Key Laboratory of AI Safety, Institute of Computing Technology, Chinese Academy of Sciences,University of Chinese Academy of Sciences</t>
  </si>
  <si>
    <t>wangfei@ict.ac.cn</t>
  </si>
  <si>
    <t>10.1145/3774904.3792663</t>
  </si>
  <si>
    <t>Chengyang Zhou:the Key Laboratory of Symbolic Computation and Knowledge Engineering of Ministry of Education, Jilin University;Zijian Zhang:the Key Laboratory of Symbolic Computation and Knowledge Engineering of Ministry of Education, Jilin University;Chunxu Zhang:the Key Laboratory of Symbolic Computation and Knowledge Engineering of Ministry of Education, Jilin University;Hao Miao:The Hong Kong Polytechnic University;Yulin Zhang:Jilin University;Kedi Lyu:Jilin University;Juncheng Hu:Jilin University</t>
  </si>
  <si>
    <t>10.1145/3774904.3792664</t>
  </si>
  <si>
    <t>Buddhika Nettasinghe:University of Iowa;Nazanin Alipourfard:University of Southern California;Vikram Krishnamurthy:Cornell University;Kristina Lerman:University of Southern California</t>
  </si>
  <si>
    <t>buddhika-nettasinghe@uiowa.edu</t>
  </si>
  <si>
    <t>10.1145/3774904.3792665</t>
  </si>
  <si>
    <t>Buddhika Nettasinghe:University of Iowa;Kang Zhao:University of Iowa</t>
  </si>
  <si>
    <t>10.1145/3774904.3792666</t>
  </si>
  <si>
    <t>Ashfaq Ali Shafin:Florida International University;Md Nahid Siddique:Florida International University;Bogdan Carbunar:Florida International University</t>
  </si>
  <si>
    <t>shafinashfaqali21@gmail.com</t>
  </si>
  <si>
    <t>10.1145/3774904.3792667</t>
  </si>
  <si>
    <t>Qianyu Wang:University of International Business and Economics,Beijing Advanced Innovation Center for Future Blockchain and Privacy Computing;Weiyou Tian:HSBC Business School, Peking University;Rong Wang:Chizhou University,Anhui Education Big Data Intelligent Perception and Application Engineering Research Center;Wei-Tek Tsai:Arizona State University;Tianyu Shi:University of Toronto;Zhuang Liu:Dongbei University of Finance and Economics;Tianze Xia:Huazhong University of Science and Technology</t>
  </si>
  <si>
    <t>qianyu.w@uibe.edu.cn</t>
  </si>
  <si>
    <t>10.1145/3774904.3792668</t>
  </si>
  <si>
    <t>Jiahao Zhang:School of Software Engineering, Huazhong University of Science and Technology;Xiaobing Pei:School of Software Engineering, Huazhong University of Science and Technology;Zhaokun Zhong:School of Software Engineering, Huazhong University of Science and Technology;Wenqiang Hao:School of Software Engineering, Huazhong University of Science and Technology;Zhenghao Tang:School of Software Engineering, Huazhong University of Science and Technology</t>
  </si>
  <si>
    <t>xiaobingp@hust.edu.cn</t>
  </si>
  <si>
    <t>10.1145/3774904.3792669</t>
  </si>
  <si>
    <t>Chengshuai Zhao:School of Computing and Augmented Intelligence, Arizona State University;Shu Wan:School of Computing and Augmented Intelligence, Arizona State University;Paras Sheth:School of Computing and Augmented Intelligence, Arizona State University;Karan Patwa:School of Computing and Augmented Intelligence, Arizona State University;K. Selçuk Candan:School of Computing and Augmented Intelligence, Arizona State University;Huan Liu:School of Computing and Augmented Intelligence, Arizona State University</t>
  </si>
  <si>
    <t>czhao93@asu.edu</t>
  </si>
  <si>
    <t>10.1145/3774904.3792670</t>
  </si>
  <si>
    <t>Md Aminul Islam:University of Illinois Chicago;Elena Zheleva:University of Illinois Chicago;Ren Wang:Illinois Institute of Technology</t>
  </si>
  <si>
    <t>rwang74@illinoistech.edu</t>
  </si>
  <si>
    <t>10.1145/3774904.3792671</t>
  </si>
  <si>
    <t>Abhisek Dash:Max Planck Institute for Software Systems;Soumi Das:Max Planck Institute for Software Systems;Elisabeth Kirsten:Ruhr University Bochum;Qinyuan Wu:Max Planck Institute for Software Systems;Sai Keerthana Karnam:Indian Institute of Technology Kharagpur;Krishna P. Gummadi:Max Planck Institute for Software Systems;Thorsten Holz:Max Planck Institute for Security and Privacy;Muhammad Bilal Zafar:Ruhr University Bochum;Savvas Zannettou:Delft University of Technology</t>
  </si>
  <si>
    <t>adash@mpi-sws.org</t>
  </si>
  <si>
    <t>10.1145/3774904.3792672</t>
  </si>
  <si>
    <t>Mohammad Reza Badri:EPFL;Hossein Esfandiari:Google Research;Samira Hossein Ghorban:Institute for Research in Fundamental Sciences;Alireza Rezaeimoghadam:Sharif University of Technology</t>
  </si>
  <si>
    <t>esfandiari@google.com</t>
  </si>
  <si>
    <t>10.1145/3774904.3792673</t>
  </si>
  <si>
    <t>Qirui Hao:University of Electronic Science and Technology;Kewei Cheng:Amazon;Tongze Zhang:University of Electronic Science and Technology;Hongyuan Liu:University of Electronic Science and Technology;Junming Shao:University of Electronic Science and Technology;Carl Yang:Emory University</t>
  </si>
  <si>
    <t>10.1145/3774904.3792674</t>
  </si>
  <si>
    <t>Sahil Mishra:Indian Institute of Technology Delhi;Srinitish Srinivasan:Indian Institute of Technology Delhi;Srikanta Bedathur:Indian Institute of Technology Delhi;Tanmoy Chakraborty:Indian Institute of Technology Delhi</t>
  </si>
  <si>
    <t>sahilmishra32@gmail.com</t>
  </si>
  <si>
    <t>10.1145/3774904.3792675</t>
  </si>
  <si>
    <t>Kaicheng Zhang:School of Mathematics and Maxwell Institute, University of Edinburgh;David N. Reynolds:Institute of Applied Mathematics and Mechanics, University of Warsaw;Piero Deidda:Scuola Normale Superiore,Gran Sasso Science Institute;Francesco Tudisco:School of Mathematics and Maxwell Institute, University of Edinburgh,Miniml.AI</t>
  </si>
  <si>
    <t>f.tudisco@ed.ac.uk</t>
  </si>
  <si>
    <t>10.1145/3774904.3792676</t>
  </si>
  <si>
    <t>Haoyue Bai:Arizona State University;Haoyu Wang:NEC Laboratories America, Inc.;Shengyu Chen:NEC Laboratories America, Inc.;Zhengzhang Chen:NEC Laboratories America, Inc.;Lu-An Tang:NEC Laboratories America, Inc.;Wei Cheng:NEC Laboratories America, Inc.;Yanjie Fu:Arizona State University;Haifeng Chen:NEC Laboratories America, Inc.</t>
  </si>
  <si>
    <t>haoyu@nec-labs.com</t>
  </si>
  <si>
    <t>10.1145/3774904.3792677</t>
  </si>
  <si>
    <t>Athanasios Efthymiou:University of Amsterdam;Stevan Rudinac:University of Amsterdam;Monika Kackovic:University of Amsterdam;Nachoem Wijnberg:University of Amsterdam;Marcel Worring:University of Amsterdam</t>
  </si>
  <si>
    <t>a.efthymiou@uva.nl</t>
  </si>
  <si>
    <t>10.1145/3774904.3792678</t>
  </si>
  <si>
    <t>Garrett Seo:Rutgers University;Xintong Wang:Rutgers University;David C. Parkes:Harvard University</t>
  </si>
  <si>
    <t>xintong.wang@rutgers.edu</t>
  </si>
  <si>
    <t>10.1145/3774904.3792679</t>
  </si>
  <si>
    <t>David Liu:Cornell University;Erik Weis:Northeastern University;Moritz Laber:Northeastern University;Tina Eliassi-Rad:Northeastern University;Brennan Klein:Northeastern University</t>
  </si>
  <si>
    <t>davidliu@cornell.edu</t>
  </si>
  <si>
    <t>10.1145/3774904.3792680</t>
  </si>
  <si>
    <t>Lihui Liu:Wayne State University;Jiayuan Ding:Hippocratic AI;Subhabrata Mukherjee:Hippocratic AI;Carl Yang:Emory University</t>
  </si>
  <si>
    <t>hw6926@wayne.edu</t>
  </si>
  <si>
    <t>10.1145/3774904.3792681</t>
  </si>
  <si>
    <t>Lin Tian:University of Technology Sydney;Marian-Andrei Rizoiu:University of Technology Sydney</t>
  </si>
  <si>
    <t>lin.tian-3@uts.edu.au</t>
  </si>
  <si>
    <t>10.1145/3774904.3792682</t>
  </si>
  <si>
    <t>Yuze Liu:Swinburne University of Technology;Yunhan Wang:Tongji University;Tiehua Zhang:Tongji University;Zhishu Shen:Wuhan University of Technology;Cheng Peng:INFLY TECH (Shanghai) Co., Ltd.;Libing Wu:Wuhan University;Feng Xia:RMIT University;Jiong Jin:Swinburne Uinversity of Technology</t>
  </si>
  <si>
    <t>10.1145/3774904.3792683</t>
  </si>
  <si>
    <t>Chengliang Liu:The Hong Kong Polytechnic University;Liangbo Ning:The Hong Kong Polytechnic University;Yujuan Ding:The Hong Kong Polytechnic University;Wenqi Fan:The Hong Kong Polytechnic University</t>
  </si>
  <si>
    <t>dingyujuan385@gmail.com</t>
  </si>
  <si>
    <t>10.1145/3774904.3792684</t>
  </si>
  <si>
    <t>Haoyu Han:Michigan State University;Kai Guo:Michigan State University;Harry Shomer:University of Texas at Arlington;Yu Wang:University of Oregon;Yucheng Chu:Michigan State University;Hang Li:Michigan State University;Li Ma:Michigan State University;Jiliang Tang:Michigan State University</t>
  </si>
  <si>
    <t>10.1145/3774904.3792685</t>
  </si>
  <si>
    <t>Haoxuan Zhang:University of North Texas;Ruochi Li:North Carolina State University;Zhenni Liang:University of North Texas;Sattari Mehri:University of North Texas;Phat Vo:University of North Texas;Collin Qu:Bellevue High School;Ting Xiao:University of North Texas;Junhua Ding:University of North Texas;Yang Zhang:University of North Texas;Haihua Chen:University of North Texas</t>
  </si>
  <si>
    <t>yang.zhang@unt.edu</t>
  </si>
  <si>
    <t>10.1145/3774904.3792686</t>
  </si>
  <si>
    <t>Hung Vinh Tran:The University of Queensland;Tong Chen:The University of Queensland;Hechuan Wen:The University of Queensland;Quoc Viet Hung Nguyen:Griffith University;Bin Cui:Peking University;Hongzhi Yin:The University of Queensland</t>
  </si>
  <si>
    <t>db.hongzhi@gmail.com</t>
  </si>
  <si>
    <t>10.1145/3774904.3792687</t>
  </si>
  <si>
    <t>Elisa Luo:UC San Diego;Tom Ritter:Mozilla;Stefan Savage:UC San Diego;Geoffrey M. Voelker:UC San Diego</t>
  </si>
  <si>
    <t>e4luo@ucsd.edu</t>
  </si>
  <si>
    <t>10.1145/3774904.3792688</t>
  </si>
  <si>
    <t>Shiyi Yang:University of New South Wales,CSIRO Data61;Zhibo Hu:University of New South Wales,CSIRO Data61;Xinshu Li:RMIT University,Macquarie University;Chen Wang:CSIRO Data61,University of New South Wales;Tong Yu:Adobe Research;Xiwei Xu:CSIRO Data61,University of New South Wales;Liming Zhu:CSIRO Data61,University of New South Wales;Lina Yao:University of New South Wales</t>
  </si>
  <si>
    <t>shiyi.yang1@unsw.edu.au</t>
  </si>
  <si>
    <t>10.1145/3774904.3792689</t>
  </si>
  <si>
    <t>Cibo Yu:Zhejiang University;Tingting Zhu:Zhejiang University;Tingyang Chen:Zhejiang University;Yinghui Wu:Case Western Reserve University;Arijit Khan:Bowling Green State University;Xiangyu Ke:Zhejiang University</t>
  </si>
  <si>
    <t>xiangyu.ke@zju.edu.cn</t>
  </si>
  <si>
    <t>10.1145/3774904.3792690</t>
  </si>
  <si>
    <t>Min Gao:Fudan University,Tsinghua University;Wen Wen:Fudan University;Haoran Du:Fudan University;Qiang Duan:The Pennsylvania State University;Yu Xiao:Aalto University;Yupeng Li:Hong Kong Baptist University;Xin Wang:Fudan University;Pan Hui:Hong Kong University of Science and Technology (Guangzhou),Hong Kong University of Science and Technology;Yang Chen:Fudan University</t>
  </si>
  <si>
    <t>10.1145/3774904.3792691</t>
  </si>
  <si>
    <t>Lei Li:Gaoling School of Artificial Intelligence, Renmin University of China;Xiao Zhou:Gaoling School of Artificial Intelligence, Renmin University of China;Yingying Zhang:Tencent Jarvis Lab;Xian Wu:Tencent Jarvis Lab</t>
  </si>
  <si>
    <t>xiaozhou@ruc.edu.cn</t>
  </si>
  <si>
    <t>10.1145/3774904.3792692</t>
  </si>
  <si>
    <t>Linyu Li:School of Computer Science, Peking University;Zhi Jin:School of Computer Science, Peking University;Yuanpeng He:School of Computer Science, Peking University;Dongming Jin:School of Computer Science, Peking University;Yichi Zhang:School of Computer Science, Zhejiang University;Haoran Duan:School of Cyber Science and Engineering, Wuhan University;Xuan Zhang:Yunnan University;Zhengwei Tao:School of Computer Science, Peking University;Tashi Nyima:Tibet University</t>
  </si>
  <si>
    <t>zhijin@pku.edu.cn</t>
  </si>
  <si>
    <t>10.1145/3774904.3792693</t>
  </si>
  <si>
    <t>Helia Hashemi:Microsoft;Victor Rühle:Microsoft;Saravan Rajmohan:Microsoft</t>
  </si>
  <si>
    <t>heliahashemi@microsoft.com</t>
  </si>
  <si>
    <t>10.1145/3774904.3792694</t>
  </si>
  <si>
    <t>Hu Chen:DISSec, College of Computer Science, Nankai University;Yu Zhu:DISSec, College of Computer Science, Nankai University;Wei Shen:DISSec, College of Computer Science, Nankai University</t>
  </si>
  <si>
    <t>chenhu@mail.nankai.edu.cn</t>
  </si>
  <si>
    <t>10.1145/3774904.3792695</t>
  </si>
  <si>
    <t>Revanth Gangi Reddy:University of Illinois Urbana-Champaign;Tanay Dixit:University of Illinois Urbana-Champaign;Jiaxin Qin:University of Illinois Urbana-Champaign;Cheng Qian:University of Illinois Urbana-Champaign;Daniel Lee:University of Illinois Urbana-Champaign;Jiawei Han:University of Illinois Urbana-Champaign;Kevin Small:Amazon;Xing Fan:Amazon;Ruhi Sarikaya:Amazon;Heng Ji:University of Illinois Urbana-Champaign</t>
  </si>
  <si>
    <t>g.revanthreddy111@gmail.com</t>
  </si>
  <si>
    <t>10.1145/3774904.3792696</t>
  </si>
  <si>
    <t>Zhiqiang Wang:School of Computer and Information Technology, Shanxi University;Jiaxin Zhang:School of Computer and Information Technology, Shanxi University;Chenchao Zhang:School of Computer and Information Technology, Shanxi University;Shiying Cheng:School of Computer and Information Technology, Shanxi University;Jianqing Liang:School of Computer and Information Technology, Shanxi University;Peng Song:School of Economics and Management, Shanxi University</t>
  </si>
  <si>
    <t>wangzq@sxu.edu.cn</t>
  </si>
  <si>
    <t>10.1145/3774904.3792697</t>
  </si>
  <si>
    <t>Patrick Gerard:Information Sciences Institute, University of Southern California;Luca Luceri:Information Sciences Institute, University Southern California;Leonardo Blas:Thomas Lord Department of Computer Science, University of Southern California;Emilio Ferrara:Thomas Lord Department of Computer Science, University of Southern California</t>
  </si>
  <si>
    <t>pgerard@isi.edu</t>
  </si>
  <si>
    <t>10.1145/3774904.3792698</t>
  </si>
  <si>
    <t>Yunze Wei:Tsinghua University;Xingang Shi:Tsinghua University,Zhongguancun Laboratory;Han Zhang:Tsinghua University,Zhongguancun Laboratory;Tianyu Zhang:Tsinghua University,Zhongguancun Laboratory;Yahui Li:Tsinghua University;Xia Yin:Tsinghua University,Zhongguancun Laboratory</t>
  </si>
  <si>
    <t>weiyz23@mails.tsinghua.edu.cn</t>
  </si>
  <si>
    <t>10.1145/3774904.3792699</t>
  </si>
  <si>
    <t>Shibo Cui:BNRist, Tsinghua University;Mingxuan Liu:Zhongguancun Laboratory;Baojun Liu:BNRist, Tsinghua University;Haixin Duan:Tsinghua University;Ruixuan Li:Tsinghua University;Chaoyi Lu:Zhongguancun Laboratory;Jin Zhang:Tsinghua University;Zhicheng Wang:Qi An Xin Technology Group Inc.;Jinghua Bai:Qi An Xin Technology Group Inc.</t>
  </si>
  <si>
    <t>csb24@mails.tsinghua.edu.cn</t>
  </si>
  <si>
    <t>10.1145/3774904.3792700</t>
  </si>
  <si>
    <t>Yunhao Liu:Shanghai Key Laboratory of Data Science, College of Computer Science and Artificial Intelligence, Fudan University;Zian Jia:Shanghai Key Laboratory of Data Science, College of Computer Science and Artificial Intelligence, Fudan University;Xinyu Gao:Shanghai Key Laboratory of Data Science, College of Computer Science and Artificial Intelligence, Fudan University;Kanjun Xu:Shanghai Key Laboratory of Data Science, College of Computer Science and Artificial Intelligence, Fudan University;Yun Xiong:Shanghai Key Laboratory of Data Science, College of Computer Science and Artificial Intelligence, Fudan University</t>
  </si>
  <si>
    <t>24210240237@m.fudan.edu.cn</t>
  </si>
  <si>
    <t>10.1145/3774904.3792701</t>
  </si>
  <si>
    <t>Pingping Liu:Jilin University;Jiamiao Liu:Jilin University;Zijian Zhang:Jilin University;Hao Miao:The Hong Kong Polytechnic University;Qi Jiang:Jilin University;Qingliang Li:Changchun Normal University;Qiuzhan Zhou:Jilin University;Irwin King:The Chinese University of Hong Kong</t>
  </si>
  <si>
    <t>10.1145/3774904.3792702</t>
  </si>
  <si>
    <t>Mingfei Lu:University of Technology Sydney;Mengjia Wu:University of Technology Sydney;Jiawei Xu:University of Texas at Austin;Weikai Li:University of California, Los Angeles;Feng Liu:The University of Melbourne;Ying Ding:University of Texas at Austin;Yizhou Sun:University of California, Los Angeles;Jie Lu:University of Technology Sydney;Yi Zhang:University of Technology Sydney</t>
  </si>
  <si>
    <t>Yi.Zhang@uts.edu.au</t>
  </si>
  <si>
    <t>10.1145/3774904.3792703</t>
  </si>
  <si>
    <t>Yuhan Zhao:Hong Kong Baptist University;Weixin Chen:Hong Kong Baptist University;Li Chen:Hong Kong Baptist University;Weike Pan:Shenzhen University</t>
  </si>
  <si>
    <t>csyhzhao@comp.hkbu.edu.hk</t>
  </si>
  <si>
    <t>10.1145/3774904.3792704</t>
  </si>
  <si>
    <t>Dongyuan Li:The University of Tokyo;Ying Zhang:RIKEN;Yaozu Wu:The University of Tokyo;Renhe Jiang:The University of Tokyo</t>
  </si>
  <si>
    <t>jiangrh@csis.u-tokyo.ac.jp</t>
  </si>
  <si>
    <t>10.1145/3774904.3792705</t>
  </si>
  <si>
    <t>Li Changxing:Jiangnan University;Donglin Zhang:Jiangnan University;Zhikai Hu:Hong Kong Baptist University;Xiao-Jun Wu:Jiangnan University;Josef Kittler:University of Surrey</t>
  </si>
  <si>
    <t>dlinzzhang@gmail.com</t>
  </si>
  <si>
    <t>10.1145/3774904.3792706</t>
  </si>
  <si>
    <t>Fanrui Zhang:University of Science and Technology of China;Qiang Zhang:University of Science and Technology of China;Jianwen Sun:Nankai University;Chuanhao Li:Shanghai AI Laboratory;Jiaxin Ai:Wuhan University;Yukang Feng:Nankai University;Zizhen Li:Nankai University;Kaipeng Zhang:Shanghai AI Laboratory;Jiawei Liu:University of Science and Technology of China;Zheng-Jun Zha:University of Science and Technology of China</t>
  </si>
  <si>
    <t>zfr888@mail.ustc.edu.cn</t>
  </si>
  <si>
    <t>10.1145/3774904.3792707</t>
  </si>
  <si>
    <t>Yang Qiu:Huazhong University of Science and Technology;Yixiong Zou:Huazhong University of Science and Technology;Jun Wang:iWudao.tech</t>
  </si>
  <si>
    <t>yixiongz@hust.edu.cn</t>
  </si>
  <si>
    <t>10.1145/3774904.3792708</t>
  </si>
  <si>
    <t>Ying He:Tianjin University of Technology;Desheng Cai:Tianjin University of Technology;Shengsheng Qian:Institute of Automation, Chinese Academy of Sciences;Quan Fang:School of Artificial Intelligence, Beijing University of Posts and Telecommunications;Yinwei Wei:Shandong University;Changsheng Xu:Institute of Automation, Chinese Academy of Sciences</t>
  </si>
  <si>
    <t>caidsml@gmail.com</t>
  </si>
  <si>
    <t>10.1145/3774904.3792709</t>
  </si>
  <si>
    <t>Tianming Zhang:Zhejiang University of Technology,Zhejiang Key Laboratory of Visual Information Intelligent Processing;Renbo Zhang:Zhejiang University;Zhengyi Yang:The University of New South Wales;Yunjun Gao:Zhejiang University;Bin Cao:Zhejiang University of Technology;Jing Fan:Zhejiang University of Technology</t>
  </si>
  <si>
    <t>tmzhang@zjut.edu.cn</t>
  </si>
  <si>
    <t>10.1145/3774904.3792710</t>
  </si>
  <si>
    <t>Wen-Sheng Lien:National Yang Ming Chiao Tung University;Yu-Kai Chan:National Yang Ming Chiao Tung University;Hao-Lung Hsiao:National Yang Ming Chiao Tung University;Bo-Kai Ruan:National Yang Ming Chiao Tung University;Meng-Fen Chiang:National Yang Ming Chiao Tung University;Chien-An Chen:E.SUN Bank;Yi-Ren Yeh:National Kaohsiung Normal University;Hong-Han Shuai:National Yang Ming Chiao Tung University</t>
  </si>
  <si>
    <t>hhshuai@nycu.edu.tw</t>
  </si>
  <si>
    <t>10.1145/3774904.3792711</t>
  </si>
  <si>
    <t>Xu Fan:Shanghai Jiao Tong University;Zhang Yijun:Shanghai Jiao Tong University;Zhang Sibo:Shanghai Jiao Tong University;Ding Jiaxin:Shanghai Jiao Tong University;Fu Luoyi:Shanghai Jiao Tong University;Wang Xinbing:Shanghai Jiao Tong University</t>
  </si>
  <si>
    <t>jiaxinding@sjtu.edu.cn</t>
  </si>
  <si>
    <t>10.1145/3774904.3792712</t>
  </si>
  <si>
    <t>Zhiwei Hu:Shenzhen Research Institute of Big Data, The Chinese University of Hong Kong, Shenzhen;Liang Zhang:Shenzhen Campus of Sun Yat-sen University;Guangxu Zhu:Shenzhen Research Institute of Big Data, The Chinese University of Hong Kong, Shenzhen</t>
  </si>
  <si>
    <t>gxzhu@sribd.cn</t>
  </si>
  <si>
    <t>10.1145/3774904.3792713</t>
  </si>
  <si>
    <t>Pinlong Zhao:School of Cyberspace, Hangzhou Dianzi University;Mengyang Li:Tianjin Normal University;Pengfei Jiao:School of Cyberspace, Hangzhou Dianzi University;Huijun Tang:School of Cyberspace, Hangzhou Dianzi University;Ou Wu:HIAS, University of Chinese Academy of Sciences</t>
  </si>
  <si>
    <t>wuou@ucas.ac.cn</t>
  </si>
  <si>
    <t>10.1145/3774904.3792714</t>
  </si>
  <si>
    <t>Junyu Luo:Peking University;Zixuan Ouyang:Peking University;Xiao Luo:University of Wisconsin–Madison;Hourun Li:Peking University;Zhiping Xiao:University of Washington;Yifan Wang:University of International Business and Economics;Ming Zhang:Peking University</t>
  </si>
  <si>
    <t>luo.junyu@outlook.com</t>
  </si>
  <si>
    <t>10.1145/3774904.3792715</t>
  </si>
  <si>
    <t>Endong Liu:University of Birmingham;Mark Ryan:University of Birmingham;Liyi Zhou:The University of Sydney;Pascal Berrang:University of Birmingham</t>
  </si>
  <si>
    <t>exl309@student.bham.ac.uk</t>
  </si>
  <si>
    <t>10.1145/3774904.3792716</t>
  </si>
  <si>
    <t>Jiahao Liu:Wuhan University of Technology;Lin Li:Wuhan University of Technology;Zhiyuan Li:Wuhan University of Technology;Kaixi Hu:Wuhan Textile University;Kaize Shi:University of Southern Queensland;Jingling Yuan:Hubei Key Laboratory of Transportation Internet of Things, Wuhan University of Technology</t>
  </si>
  <si>
    <t>cathylilin@whut.edu.cn</t>
  </si>
  <si>
    <t>10.1145/3774904.3792717</t>
  </si>
  <si>
    <t>Sirui Chen:State Key Laboratory of Blockchain and Data Security, Zhejiang University. College of Computer Science and Technology, Zhejiang University., Zhejiang University;Jiawei Chen:State Key Laboratory of Blockchain and Data Security, Zhejiang University. College of Computer Science and Technology, Zhejiang University. Hangzhou High-Tech Zone (Binjiang) Institute of Blockchain and Data Security., Zhejiang University;Canghong Jin:Hangzhou City University;Sheng Zhou:Zhejiang University;Jingbang Chen:CUHK-Shenzhen &amp; SLAI;Wujie Sun:Zhejiang University;Can Wang:State Key Laboratory of Blockchain and Data Security, Zhejiang University. Hangzhou High-Tech Zone (Binjiang) Institute of Blockchain and Data Security., Zhejiang University</t>
  </si>
  <si>
    <t>10.1145/3774904.3792718</t>
  </si>
  <si>
    <t>Sahil Tripathi:Jamia Hamdard;Gautam Siddharth Kashyap:Macquarie University;Mehwish Nasim:The University of Western Australia;Jian Yang:Macquarie University;Jiechao Gao:Stanford University;Usman Naseem:Macquarie University</t>
  </si>
  <si>
    <t>usman.naseem@mq.edu.au</t>
  </si>
  <si>
    <t>10.1145/3774904.3792719</t>
  </si>
  <si>
    <t>Shundong Yang:Zhengzhou University;Jing Yang:Zhengzhou University;Xiaowen Jiang:Zhengzhou University;Xiaofen Wang:Zhengzhou University;Laurence T. Yang:Zhengzhou University,Huazhong University of Science and Technology;Yuan Gao:Zhengzhou University;Xinfa Jiang:Hainan University;Jie Chen:Zhengzhou University;Chaojun Zhang:Hainan University</t>
  </si>
  <si>
    <t>yangjinghust123@gmail.com</t>
  </si>
  <si>
    <t>10.1145/3774904.3792720</t>
  </si>
  <si>
    <t>Haoyang Zhong:Nanyang Technological University;Yifei Sun:Zhejiang University;Antong Zhang:Zhejiang University;Chunping Wang:Finvolution Group;Lei Chen:Finvolution Group;Yang Yang:Zhejiang University</t>
  </si>
  <si>
    <t>yifeisun@zju.edu.cn</t>
  </si>
  <si>
    <t>10.1145/3774904.3792721</t>
  </si>
  <si>
    <t>Zhi Zeng:Xi'an Jiaotong University;Yifei Yang:Xi'an Jiaotong University;Jiaying Wu:National University of Singapore;Xulang Zhang:Nanyang Technology University;Xiangzheng Kong:Xi'an Jiaotong University;Herun Wan:Xi'an Jiaotong University;Zihan Ma:Xi'an Jiaotong University;Minnan Luo:Xi'an Jiaotong University</t>
  </si>
  <si>
    <t>zhizeng@stu.xjtu.edu.cn</t>
  </si>
  <si>
    <t>10.1145/3774904.3792722</t>
  </si>
  <si>
    <t>Shihe Zhou:Xingjian College, Tsinghua University;Ruikun Li:Shenzhen International Graduate School, Tsinghua University;Huandong Wang:Department of Electronic Engineering BNRist, Tsinghua University;Yong Li:Department of Electronic Engineering BNRist, Tsinghua University</t>
  </si>
  <si>
    <t>wanghuandong@tsinghua.edu.cn</t>
  </si>
  <si>
    <t>10.1145/3774904.3792723</t>
  </si>
  <si>
    <t>Chi Wang:Chongqing University;Min Gao:Chongqing University,Key Laboratory of Dependable Service Computing in Cyber Physical Society (Chongqing University), Ministry of Education of China;Zongwei Wang:Chongqing University;Junwei Yin:Chongqing University;Kai Shu:Emory University;Chenghua Lin:University of Manchester</t>
  </si>
  <si>
    <t>10.1145/3774904.3792724</t>
  </si>
  <si>
    <t>Sunghwan Kim:Department of Artificial Intelligence, Yonsei University;Ryang Heo:Department of Artificial Intelligence, Yonsei University;Yongsik Seo:Department of Artificial Intelligence, Yonsei University,ParamitaAI;Jinyoung Yeo:Department of Artificial Intelligence, Yonsei University;Dongha Lee:Department of Artificial Intelligence, Yonsei University,ParamitaAI</t>
  </si>
  <si>
    <t>donalee@yonsei.ac.kr</t>
  </si>
  <si>
    <t>10.1145/3774904.3792725</t>
  </si>
  <si>
    <t>Lingkai Zu:ShanghaiTech University;Xiyue Peng:ShanghaiTech University;Xin Liu:ShanghaiTech University</t>
  </si>
  <si>
    <t>liuxin7@shanghaitech.edu.cn</t>
  </si>
  <si>
    <t>10.1145/3774904.3792726</t>
  </si>
  <si>
    <t>Kaiwen Wei:Chongqing University;Xiao Liu:Chongqing University;Jie Zhang:Independent Researcher;Zijian Wang:Chongqing University;Ruida Liu:Chongqing University;Yuming Yang:Chongqing University;Xin Xiao:Chongqing University;Xiao Sun:Chongqing University;Haoyang Zeng:Chongqing University;Changzai Pan:Independent Researcher;Yidan Zhang:University of the Chinese Academy of Sciences;Jiang Zhong:Chongqing University;Peijin Wang:University of the Chinese Academy of Sciences;Yingchao Feng:University of the Chinese Academy of Sciences</t>
  </si>
  <si>
    <t>weikaiwen@cqu.edu.cn</t>
  </si>
  <si>
    <t>10.1145/3774904.3792727</t>
  </si>
  <si>
    <t>Fake Lin:University of Science and Technology of China;Binbin Hu:Ant Group, Ant Group;Zhi Zheng:University of Science and Technology of China;Xi Zhu:Rutgers University;Ziqi Liu:Ant Group;Zhiqiang Zhang:Ant Group;Jun Zhou:Ant Group;Tong Xu:University of Science and Technology of China</t>
  </si>
  <si>
    <t>fklin@mail.ustc.edu.cn</t>
  </si>
  <si>
    <t>10.1145/3774904.3792728</t>
  </si>
  <si>
    <t>Seongchan Park:KAIST;Jaehong Kim:KAIST;Hyeonseung Kim:KAIST;Heejin Bin:KAIST;Sue Moon:KAIST;Wonjae Lee:KAIST</t>
  </si>
  <si>
    <t>wnjlee@kaist.ac.kr</t>
  </si>
  <si>
    <t>10.1145/3774904.3792729</t>
  </si>
  <si>
    <t>Qin Zhang:South China University of Technology;Jiaying Liu:Dalian University of Technology;Qian Tao:South China University of Technology;Zhiwei Guo:Chongqing Technology and Business University;Qiyue Zhong:South China University of Technology;Yifan Zhang:South China University of Technology;Ziyan Huang:South China University of Technology</t>
  </si>
  <si>
    <t>taoqian@scut.edu.cn</t>
  </si>
  <si>
    <t>10.1145/3774904.3792730</t>
  </si>
  <si>
    <t>Kaehyun Um:Computer Science, Yonsei University;Kyuhwan Yeom:Computer Science, Yonsei University;Haerim Yang:Artificial Intelligence, Yonsei University;Minyoung Choi:Computer Science, Yonsei University;Hyeongjun Yang:Computer Science, Yonsei University;Kyong-Ho Lee:Computer Science, Yonsei University</t>
  </si>
  <si>
    <t>khlee89@yonsei.ac.kr</t>
  </si>
  <si>
    <t>10.1145/3774904.3792731</t>
  </si>
  <si>
    <t>Seungha Hong:Pohang University of Science and Technology;Sukang Chae:Pohang University of Science and Technology;Suyeon Kim:Kyungpook National University;Sanghwan Jang:Pohang University of Science and Technology;Hwanjo Yu:Pohang University of Science and Technology</t>
  </si>
  <si>
    <t>shhong97@postech.ac.kr</t>
  </si>
  <si>
    <t>10.1145/3774904.3792732</t>
  </si>
  <si>
    <t>Shuo Yu:State Key Laboratory of Cognitive Intelligence, University of Science and Technology of China;Mingyue Cheng:State Key Laboratory of Cognitive Intelligence, University of Science and Technology of China;Daoyu Wang:State Key Laboratory of Cognitive Intelligence, University of Science and Technology of China;Qi Liu:State Key Laboratory of Cognitive Intelligence, University of Science and Technology of China;Zirui Liu:State Key Laboratory of Cognitive Intelligence, University of Science and Technology of China;Ze Guo:State Key Laboratory of Cognitive Intelligence, University of Science and Technology of China;Xiaoyu Tao:State Key Laboratory of Cognitive Intelligence, University of Science and Technology of China</t>
  </si>
  <si>
    <t>10.1145/3774904.3792733</t>
  </si>
  <si>
    <t>Jiarui Zhang:Institute of Information Engineering, Chinese Academy of Sciences,School of Cyber Security, University of Chinese Academy of Sciences;Yifan Deng:Institute of Information Engineering, Chinese Academy of Sciences,School of Cyber Security, University of Chinese Academy of Sciences;Qihao Wang:Institute of Information Engineering, Chinese Academy of Sciences,School of Cyber Security, University of Chinese Academy of Sciences</t>
  </si>
  <si>
    <t>zhangjiarui@iie.ac.cn</t>
  </si>
  <si>
    <t>10.1145/3774904.3792734</t>
  </si>
  <si>
    <t>Xinyi Gao:The University of Queensland;Jingxi Zhang:The University of Queensland;Lijian Chen:The University of Queensland;Tong Chen:The University of Queensland;Lizhen Cui:Shandong University;Hongzhi Yin:The University of Queensland</t>
  </si>
  <si>
    <t>h.yin1@uq.edu.au</t>
  </si>
  <si>
    <t>10.1145/3774904.3792735</t>
  </si>
  <si>
    <t>Chaejin Lim:Department of Electrical and Computer Engineering, Sungkyunkwan University;Kiho Lee:Electronics and Telecommunications Research Institute (ETRI);Beomjin Jin:Department of Electrical and Computer Engineering, Sungkyunkwan University,Purdue University;Heewon Baek:Department of Electrical and Computer Engineering, Sungkyunkwan University;Hyoungshick Kim:Department of Electrical and Computer Engineering, Sungkyunkwan University</t>
  </si>
  <si>
    <t>hyoung@skku.edu</t>
  </si>
  <si>
    <t>10.1145/3774904.3792736</t>
  </si>
  <si>
    <t>Jiaming Zhang:Zhejiang University;Yuyuan Li:Hangzhou Dianzi University;Xiaohua Feng:Zhejiang University;Li Zhang:Zhejiang University;Longfei Li:Ant Group;Jun Zhou:Ant Group;Chaochao Chen:Zhejiang University</t>
  </si>
  <si>
    <t>10.1145/3774904.3792737</t>
  </si>
  <si>
    <t>Dohee Kim:Sungkyunkwan University;Hui Zhao:Sungkyunkwan University;Doowon Kim:University of Tennessee, Knoxville;Sungjae Hwang:Sungkyunkwan University</t>
  </si>
  <si>
    <t>sungjaeh@skku.edu</t>
  </si>
  <si>
    <t>10.1145/3774904.3792738</t>
  </si>
  <si>
    <t>Yanyu Chen:The Chinese University of Hong Kong;Jiyue Jiang:The Chinese University of Hong Kong;Jiahong Liu:The Chinese University of Hong Kong;Yifei Zhang:The Chinese University of Hong Kong;Xiao Guo:The Chinese University of Hong Kong;Irwin King:The Chinese University of Hong Kong</t>
  </si>
  <si>
    <t>1155241043@link.cuhk.edu.hk</t>
  </si>
  <si>
    <t>10.1145/3774904.3792739</t>
  </si>
  <si>
    <t>Dongwon Shin:Korea Advanced Institute of Science and Technology;Sooel Son:Korea Advanced Institute of Science and Technology</t>
  </si>
  <si>
    <t>10.1145/3774904.3792740</t>
  </si>
  <si>
    <t>Ana-Andreea Stoica:MPI for Intelligent Systems, Tuebingen and the Tuebingen AI Center;Celestine Mendler-Dünner:ELLIS Institute, MPI for Intelligent Systems, Tuebingen and the Tuebingen AI Center;Moritz Hardt:MPI for Intelligent Systems, Tuebingen and the Tuebingen AI Center</t>
  </si>
  <si>
    <t>10.1145/3774904.3792741</t>
  </si>
  <si>
    <t>Pankaj:Birla Institute of Technology and Science, Pilani;Dhruv Kumar:Indraprastha Institute of Information Technology Delhi;Vinayak Abrol:Indraprastha Institute of Information Technology Delhi;Vikram Goyal:Indraprastha Institute of Information Technology Delhi</t>
  </si>
  <si>
    <t>pankaji@iiitd.ac.in</t>
  </si>
  <si>
    <t>10.1145/3774904.3792742</t>
  </si>
  <si>
    <t>Daiyunke Zhang:Beihang University;Ting Deng:Beihang University;Tianchen Zhu:Beihang University;Shuai Ma:Beihang University;Daqing Li:Beihang University,Civil Aviation University of China;Mingtian Peng:TravelSky Technology Limited;Feng Tian:TravelSky Technology Limited</t>
  </si>
  <si>
    <t>zhutc@act.buaa.edu.cn</t>
  </si>
  <si>
    <t>10.1145/3774904.3792743</t>
  </si>
  <si>
    <t>Dezhong Yao:Huazhong University of Science and Technology;Tongtong Liu:Huazhong University of Science and Technology;Yuexin Shi:Huazhong University of Science and Technology;Zhiqiang Xu:Mohamed bin Zayed University of Artificial Intelligence</t>
  </si>
  <si>
    <t>dyao@hust.edu.cn</t>
  </si>
  <si>
    <t>10.1145/3774904.3792744</t>
  </si>
  <si>
    <t>Aarav Varshney:College of Computing and Data Science, Nanyang Technological University;Prashant Agrawal:Max Planck Institute for Security and Privacy;Mahabir Prasad Jhanwar:Department of Computer Science and Centre for Digitalisation, AI and Society, Ashoka University</t>
  </si>
  <si>
    <t>aarav.varshney@ntu.edu.sg</t>
  </si>
  <si>
    <t>10.1145/3774904.3792745</t>
  </si>
  <si>
    <t>Ruiyi Yang:University of New South Wales;Hao Xue:The Hong Kong University of Science and Technology (Guangzhou);Imran Razzak:MBZUAI;Flora D. Salim:University of New South Wales</t>
  </si>
  <si>
    <t>ruiyi.yang@student.unsw.edu.au</t>
  </si>
  <si>
    <t>10.1145/3774904.3792788</t>
  </si>
  <si>
    <t>10.1145/3774904.3792789</t>
  </si>
  <si>
    <t>10.1145/3774904.3792790</t>
  </si>
  <si>
    <t>mliu@ir.hit.edu.cn</t>
  </si>
  <si>
    <t>10.1145/3774904.3792791</t>
  </si>
  <si>
    <t>detao.ldt@alibaba-inc.com</t>
  </si>
  <si>
    <t>10.1145/3774904.3792792</t>
  </si>
  <si>
    <t>yuliang.yyl@alibaba-inc.com</t>
  </si>
  <si>
    <t>10.1145/3774904.3792793</t>
  </si>
  <si>
    <t>jianshu.l@antgroup.com</t>
  </si>
  <si>
    <t>10.1145/3774904.3792794</t>
  </si>
  <si>
    <t>fantastique0910@gmail.com</t>
  </si>
  <si>
    <t>10.1145/3774904.3792795</t>
  </si>
  <si>
    <t>xinyu.wang5@mail.mcgill.ca</t>
  </si>
  <si>
    <t>10.1145/3774904.3792796</t>
  </si>
  <si>
    <t>maria.ljubicic@infobip.com</t>
  </si>
  <si>
    <t>10.1145/3774904.3792797</t>
  </si>
  <si>
    <t>10.1145/3774904.3792798</t>
  </si>
  <si>
    <t>baiting@bupt.edu.cn</t>
  </si>
  <si>
    <t>10.1145/3774904.3792799</t>
  </si>
  <si>
    <t>enxian@alibaba-inc.com</t>
  </si>
  <si>
    <t>10.1145/3774904.3792800</t>
  </si>
  <si>
    <t>sundaychenhao@gmail.com</t>
  </si>
  <si>
    <t>10.1145/3774904.3792801</t>
  </si>
  <si>
    <t>10.1145/3774904.3792802</t>
  </si>
  <si>
    <t>xinyang@google.com</t>
  </si>
  <si>
    <t>10.1145/3774904.3792803</t>
  </si>
  <si>
    <t>diego@wikimedia.org</t>
  </si>
  <si>
    <t>10.1145/3774904.3792804</t>
  </si>
  <si>
    <t>10.1145/3774904.3792805</t>
  </si>
  <si>
    <t>10.1145/3774904.3792806</t>
  </si>
  <si>
    <t>guyan.zt@alibaba-inc.com</t>
  </si>
  <si>
    <t>10.1145/3774904.3792807</t>
  </si>
  <si>
    <t>mmduan@dase.ecnu.edu.cn</t>
  </si>
  <si>
    <t>10.1145/3774904.3792808</t>
  </si>
  <si>
    <t>laiweijiang22@otcaix.iscas.ac.cn</t>
  </si>
  <si>
    <t>10.1145/3774904.3792809</t>
  </si>
  <si>
    <t>maojiaxin@gmail.com</t>
  </si>
  <si>
    <t>10.1145/3774904.3792810</t>
  </si>
  <si>
    <t>sunyijia@kuaishou.com</t>
  </si>
  <si>
    <t>10.1145/3774904.3792811</t>
  </si>
  <si>
    <t>yangjiaqi.yjq@bytedance.com</t>
  </si>
  <si>
    <t>10.1145/3774904.3792812</t>
  </si>
  <si>
    <t>weichao.wc@alibaba-inc.com</t>
  </si>
  <si>
    <t>10.1145/3774904.3792813</t>
  </si>
  <si>
    <t>xing.tang@hotmail.com</t>
  </si>
  <si>
    <t>10.1145/3774904.3792814</t>
  </si>
  <si>
    <t>felipe.marineli@uniroma3.it</t>
  </si>
  <si>
    <t>10.1145/3774904.3792815</t>
  </si>
  <si>
    <t>chuxu@stu.pku.edu.cn</t>
  </si>
  <si>
    <t>10.1145/3774904.3792816</t>
  </si>
  <si>
    <t>jianye.hao@tju.edu.cn</t>
  </si>
  <si>
    <t>10.1145/3774904.3792817</t>
  </si>
  <si>
    <t>10.1145/3774904.3792818</t>
  </si>
  <si>
    <t>cliubh@connect.ust.hk</t>
  </si>
  <si>
    <t>10.1145/3774904.3792819</t>
  </si>
  <si>
    <t>10.1145/3774904.3792820</t>
  </si>
  <si>
    <t>jsxu@amazon.com</t>
  </si>
  <si>
    <t>10.1145/3774904.3792821</t>
  </si>
  <si>
    <t>jimin.huang@thefin.ai</t>
  </si>
  <si>
    <t>10.1145/3774904.3792822</t>
  </si>
  <si>
    <t>di-prof.jiang@polyu.edu.hk</t>
  </si>
  <si>
    <t>10.1145/3774904.3792823</t>
  </si>
  <si>
    <t>anaikawadi@pinterest.com</t>
  </si>
  <si>
    <t>10.1145/3774904.3792824</t>
  </si>
  <si>
    <t>jaewonyang@pinterest.com</t>
  </si>
  <si>
    <t>10.1145/3774904.3792825</t>
  </si>
  <si>
    <t>wk@bytedance.com</t>
  </si>
  <si>
    <t>10.1145/3774904.3792826</t>
  </si>
  <si>
    <t>linlixu@ustc.edu.cn</t>
  </si>
  <si>
    <t>10.1145/3774904.3792827</t>
  </si>
  <si>
    <t>narumimaria@sjtu.edu.cn</t>
  </si>
  <si>
    <t>10.1145/3774904.3792828</t>
  </si>
  <si>
    <t>10.1145/3774904.3792829</t>
  </si>
  <si>
    <t>pengzhu@tongji.edu.cn</t>
  </si>
  <si>
    <t>10.1145/3774904.3792830</t>
  </si>
  <si>
    <t>mengzhu.jyn@alibaba-inc.com</t>
  </si>
  <si>
    <t>10.1145/3774904.3792831</t>
  </si>
  <si>
    <t>hxiong2@stanford.edu</t>
  </si>
  <si>
    <t>10.1145/3774904.3792832</t>
  </si>
  <si>
    <t>zhangmengmei@bestpay.com.cn</t>
  </si>
  <si>
    <t>10.1145/3774904.3792833</t>
  </si>
  <si>
    <t>shuai.xsh@alibaba-inc.com</t>
  </si>
  <si>
    <t>10.1145/3774904.3792834</t>
  </si>
  <si>
    <t>pengz@zju.edu.cn</t>
  </si>
  <si>
    <t>10.1145/3774904.3792835</t>
  </si>
  <si>
    <t>omermadmon@campus.technion.ac.il</t>
  </si>
  <si>
    <t>10.1145/3774904.3792836</t>
  </si>
  <si>
    <t>daichenglei@kuaishou.com</t>
  </si>
  <si>
    <t>10.1145/3774904.3792837</t>
  </si>
  <si>
    <t>zqfang@zju.edu.cn</t>
  </si>
  <si>
    <t>10.1145/3774904.3792838</t>
  </si>
  <si>
    <t>axsun@ntu.edu.sg</t>
  </si>
  <si>
    <t>10.1145/3774904.3792839</t>
  </si>
  <si>
    <t>mabkcao@connect.hkust-gz.edu.cn</t>
  </si>
  <si>
    <t>10.1145/3774904.3792840</t>
  </si>
  <si>
    <t>songyiping@nudt.edu.cn</t>
  </si>
  <si>
    <t>10.1145/3774904.3792841</t>
  </si>
  <si>
    <t>weichangshuai@gmail.com</t>
  </si>
  <si>
    <t>10.1145/3774904.3792842</t>
  </si>
  <si>
    <t>wangdongyue@jd.com</t>
  </si>
  <si>
    <t>10.1145/3774904.3792843</t>
  </si>
  <si>
    <t>wulk@tju.edu.cn</t>
  </si>
  <si>
    <t>10.1145/3774904.3792844</t>
  </si>
  <si>
    <t>wang_chao@alumni.sjtu.edu.cn</t>
  </si>
  <si>
    <t>10.1145/3774904.3792845</t>
  </si>
  <si>
    <t>Junwei Yin:Meituan;Senjie Kou:Meituan;Changhao Li:Meituan;Shuli Wang:Meituan;Yinqiu Huang:Meituan;Xue Wei:Meituan;Yinhua Zhu:Meituan;Haitao Wang:Meituan;Xingxing Wang:Meituan</t>
  </si>
  <si>
    <t>shuliw1996@gmail.com</t>
  </si>
  <si>
    <t>10.1145/3774904.3792846</t>
  </si>
  <si>
    <t>Tianyu Zhan:Zhejiang University;Kairui Fu:Zhejiang University;Zheqi Lv:Zhejiang University;Shengyu Zhang:Zhejiang University</t>
  </si>
  <si>
    <t>yuzt@zju.edu.cn</t>
  </si>
  <si>
    <t>10.1145/3774904.3792847</t>
  </si>
  <si>
    <t>Siwei Qiang:MYBank, Ant Group;Pengyu Li:MYBank, Ant Group;Zhe Yu:MYBank, Ant Group;Mengyao Sun:Beijing Jiaotong University;Jun Chen:MYBank, Ant Group;Bo Zheng:MYBank, Ant Group</t>
  </si>
  <si>
    <t>boyue.qsw@mybank.cn</t>
  </si>
  <si>
    <t>10.1145/3774904.3792848</t>
  </si>
  <si>
    <t>Yuval Saadaty:Department of Computer Science, Bar Ilan University;Elad Yom-Tov:Department of Computer Science, Bar Ilan University</t>
  </si>
  <si>
    <t>elad@ieee.org</t>
  </si>
  <si>
    <t>10.1145/3774904.3792849</t>
  </si>
  <si>
    <t>Lingling Zhang:Toronto Metropolitan University;Morteza Zihayat:Toronto Metropolitan University;Ebrahim Bagheri:University of Toronto</t>
  </si>
  <si>
    <t>mzihayat@torontomu.ca</t>
  </si>
  <si>
    <t>10.1145/3774904.3792850</t>
  </si>
  <si>
    <t>Changlin Qiu:Alibaba Group;Bang Lin:Alibaba Group;Tao Zhang:Alibaba Group;Chengfu Huo:Alibaba Group</t>
  </si>
  <si>
    <t>qiuchanglin.qcl@taobao.com</t>
  </si>
  <si>
    <t>10.1145/3774904.3792851</t>
  </si>
  <si>
    <t>Zhongchao Yi:University of Science and Technology of China;Kai Feng:Kuaishou Technology;Xiaojian Ma:Kuaishou Technology;Yalong Wang:Kuaishou Technology;Yongqi Liu:Kuaishou Technology;Han Li:Kuaishou Technology;Zhengyang Zhou:University of Science and Technology of China,Suzhou Institute for Advanced Research, University of Science and Technology of China;Yang Wang:University of Science and Technology of China,Suzhou Institute for Advanced Research, University of Science and Technology of China</t>
  </si>
  <si>
    <t>10.1145/3774904.3792852</t>
  </si>
  <si>
    <t>Shu Zhou:Nanjing University;Yufei Song:Nanjing University;Jinman Leng:Nanjing University;Xin Wang:Baidu Inc.;Tao Fan:Nanjing University of Finance &amp; Economics;Hao Wang:Nanjing University</t>
  </si>
  <si>
    <t>shuzhou@smail.nju.edu.cn</t>
  </si>
  <si>
    <t>10.1145/3774904.3792853</t>
  </si>
  <si>
    <t>Haoze Guo:University of Wisconsin - Madison;Ziqi Wei:University of Wisconsin - Madison</t>
  </si>
  <si>
    <t>hguo246@wisc.edu</t>
  </si>
  <si>
    <t>10.1145/3774904.3792854</t>
  </si>
  <si>
    <t>Shu Zhou:School of Information Management, Nanjing University;Yufei Song:School of Information Management, Nanjing University;Jinman Leng:School of Information Management, Nanjing University;Xin Wang:Baidu Inc.;Tao Fan:Nanjing University of Finance &amp; Economics;Hao Wang:School of Information Management, Nanjing University</t>
  </si>
  <si>
    <t>10.1145/3774904.3792855</t>
  </si>
  <si>
    <t>Kehong Liu:Department of Computer Science, Hong Kong Baptist University;Yang Liu:Department of Computer Science, Hong Kong Baptist University;Jiming Liu:Department of Computer Science, Hong Kong Baptist University</t>
  </si>
  <si>
    <t>csygliu@comp.hkbu.edu.hk</t>
  </si>
  <si>
    <t>10.1145/3774904.3792856</t>
  </si>
  <si>
    <t>Xiaochen Wang:The Pennsylvania State University;Zongyu Wu:The Pennsylvania State University;Yuan Zhong:The Pennsylvania State University;Xiang Zhang:The Pennsylvania State University;Suhang Wang:The Pennsylvania State University;Fenglong Ma:The Pennsylvania State University</t>
  </si>
  <si>
    <t>xmw5190@psu.edu</t>
  </si>
  <si>
    <t>10.1145/3774904.3792857</t>
  </si>
  <si>
    <t>Wooyoung Kim:Department of Industrial Engineering, Yonsei University;Haemin Jung:Department of Industrial and Management Engineering, Korea National University of Transportation;Byeongjin Kim:Department of Industrial Engineering, Yonsei University;Suhyeon Kwon:Department of Intelligent Data and Optimization, Yonsei University;Wooju Kim:Department of Industrial Engineering, Yonsei University</t>
  </si>
  <si>
    <t>wkim@yonsei.ac.kr</t>
  </si>
  <si>
    <t>10.1145/3774904.3792858</t>
  </si>
  <si>
    <t>Jiuqiang Li:Southwest Jiaotong University;Hongjun Wang:Southwest Jiaotong University</t>
  </si>
  <si>
    <t>jiuqiangli@outlook.com</t>
  </si>
  <si>
    <t>Withdrawn</t>
  </si>
  <si>
    <t>10.1145/3774904.3792859</t>
  </si>
  <si>
    <t>Hyunuk Shin:Chungbuk National University;Hojin Kim:Chungbuk National University;Chanyoung Lee:Chungbuk National University;Yeon-Chang Lee:Ulsan National Institute of Science and Technology;David Yoon Suk Kang:Chungbuk National University</t>
  </si>
  <si>
    <t>dyskang@cbnu.ac.kr</t>
  </si>
  <si>
    <t>10.1145/3774904.3792860</t>
  </si>
  <si>
    <t>Yubeen Lee:Sungkyunkwan Universtiy;Shinyu Park:Sungkyunkwan University;Jiwon Park:Sungkyunkwan Universtiy;Eunil Park:Sungkyunkwan Universtiy</t>
  </si>
  <si>
    <t>eunilpark@skku.edu</t>
  </si>
  <si>
    <t>10.1145/3774904.3792861</t>
  </si>
  <si>
    <t>Haochen You:William and Mary,Columbia University;Baojing Liu:Hebei Institute of Communications</t>
  </si>
  <si>
    <t>hy2854@columbia.edu</t>
  </si>
  <si>
    <t>10.1145/3774904.3792862</t>
  </si>
  <si>
    <t>Songtao Fang:Alibaba Group;Zihao Xu:Alibaba Group;Shaowei Wei:Alibaba Group;Jin Zhang:Alibaba Group;Zhuojun Wang:Alibaba Group</t>
  </si>
  <si>
    <t>fangsongtao.fst@taobao.com</t>
  </si>
  <si>
    <t>10.1145/3774904.3792863</t>
  </si>
  <si>
    <t>Long Chen:Simon Fraser University;Hao Fang:Simon Fraser University;Yi Ching Chou:Simon Fraser University;Haoyuan Zhao:Simon Fraser University;Xiaoyi Fan:Jiangxing Intelligence Inc.;Zhe Chen:Fudan University;Hengzhi Wang:Shenzhen University;Jiangchuan Liu:Simon Fraser University</t>
  </si>
  <si>
    <t>xiaoyi.fan@ieee.org</t>
  </si>
  <si>
    <t>10.1145/3774904.3792864</t>
  </si>
  <si>
    <t>Sunyoung Kim:Arizona State University;Hokeun Kim:Arizona State University</t>
  </si>
  <si>
    <t>hokeun@asu.edu</t>
  </si>
  <si>
    <t>10.1145/3774904.3792865</t>
  </si>
  <si>
    <t>Moyu Zhang:Alibab Group;Yujun Jin:Alibaba Group;Yun Chen:Alibaba Group;Jinxin Hu:Alibaba Group;Yu Zhang:Alibaba Group;Xiaoyi Zeng:Alibaba Group</t>
  </si>
  <si>
    <t>zhangmoyu@bupt.cn</t>
  </si>
  <si>
    <t>10.1145/3774904.3792866</t>
  </si>
  <si>
    <t>Biho Kim:Kakao Corp.</t>
  </si>
  <si>
    <t>louie.kim@kakaocorp.com</t>
  </si>
  <si>
    <t>10.1145/3774904.3792867</t>
  </si>
  <si>
    <t>Qiangqiang Liu:Binance;Runfa Jiang:Binance;Qian Huang:Binance;Frank Fan:Binance;Kunpeng Ren:National University of Singapore;Wei Cai:University of Washington</t>
  </si>
  <si>
    <t>codi.l@binance.com</t>
  </si>
  <si>
    <t>10.1145/3774904.3792868</t>
  </si>
  <si>
    <t>Marc Damie:University of Twente,Inria;Edwige Cyffers:Institute of Science and Technology Austria</t>
  </si>
  <si>
    <t>marc@damie.eu</t>
  </si>
  <si>
    <t>10.1145/3774904.3792869</t>
  </si>
  <si>
    <t>Tong Cheng:Nanyang Technological University;Xueyan Tang:Nanyang Technological University</t>
  </si>
  <si>
    <t>asxytang@ntu.edu.sg</t>
  </si>
  <si>
    <t>10.1145/3774904.3792870</t>
  </si>
  <si>
    <t>Xiaohai Wang:School of Software, Yunnan University;Yu Liang:School of Software, Yunnan University;Wei Zhou:School of Engineering, Yunnan University;Sixing Wu:School of Software, Yunnan University</t>
  </si>
  <si>
    <t>wusixing@ynu.edu.cn</t>
  </si>
  <si>
    <t>10.1145/3774904.3792871</t>
  </si>
  <si>
    <t>Qinyao Li:Kuaishou Technology;Xiaoyang Zheng:Kuaishou Technology;Qihang Zhao:Kuaishou Technology;Ke Xu:City University of Hong Kong;Zhongbo Sun:Kuaishou Technology;Chao Wang:Kuaishou Technology;Chenyi Lei:Kuaishou Technology;Han Li:Kuaishou Technology;Wenwu Ou:Independent</t>
  </si>
  <si>
    <t>kkangwing@gmail.com</t>
  </si>
  <si>
    <t>10.1145/3774904.3792872</t>
  </si>
  <si>
    <t>Shijun Li:The University of Texas at Austin;Yu Wang:Capital One AI Foundations;Jin Wang:Netflix;Ying Li:Netflix;Joydeep Ghosh:The University of Texas at Austin;Anne Cocos:Netflix</t>
  </si>
  <si>
    <t>shijunli@utexas.edu</t>
  </si>
  <si>
    <t>10.1145/3774904.3792873</t>
  </si>
  <si>
    <t>Zhili Nicholas Liang:University of Melbourne;Soyeon Caren Han:School of computing and information systems, University of Melbourne;Qizhou Wang:University of Melbourne;Christopher Leckie:University of Melbourne</t>
  </si>
  <si>
    <t>caren.han@unimelb.edu.au</t>
  </si>
  <si>
    <t>10.1145/3774904.3792874</t>
  </si>
  <si>
    <t>Rahul Vaze:School of Technology and Computer Science, Tata Institute of Fundamental Research Mumbai;Abhishek Sinha:School of Technology and Computer Science, Tata Institute of Fundamental Research Mumbai</t>
  </si>
  <si>
    <t>rahul.vaze@gmail.com</t>
  </si>
  <si>
    <t>10.1145/3774904.3792875</t>
  </si>
  <si>
    <t>Junwei Xu:Shenzhen Key Laboratory of Ubiquitous Data Enabling, Shenzhen International Graduate School, Tsinghua University;Zhibo Xiao:Taobao &amp; Tmall Group of Alibaba;Chuxin Chen:Taobao &amp; Tmall Group of Alibaba;Chengyu Lai:Taobao &amp; Tmall Group of Alibaba;Qijie Shen:Taobao &amp; Tmall Group of Alibaba;Jiuning Lin:Taobao &amp; Tmall Group of Alibaba;Dimin Wang:Taobao &amp; Tmall Group of Alibaba;Jialin Zhu:Taobao &amp; Tmall Group of Alibaba;Xiao-Ping Zhang:Shenzhen Key Laboratory of Ubiquitous Data Enabling, Shenzhen International Graduate School, Tsinghua University</t>
  </si>
  <si>
    <t>xjw23@mails.tsinghua.edu.cn</t>
  </si>
  <si>
    <t>10.1145/3774904.3792876</t>
  </si>
  <si>
    <t>Tianyu Zhang:University of Science and Technology of China;Junfeng Fang:National University of Singapore;Houcheng Jiang:University of Science and Technology of China;Xingyu Zhu:University of Science and Technology of China;Xiang Wang:University of Science and Technology of China;Xiangnan He:MoE Key Lab of BIPC, University of Science and Technology of China</t>
  </si>
  <si>
    <t>fangjf@nus.edu.sg</t>
  </si>
  <si>
    <t>10.1145/3774904.3792877</t>
  </si>
  <si>
    <t>Christina Kanetou:Institute of Computer Science, Foundation for Research and Technology - Hellas (FORTH),Computer Science Department, University of Crete;Yannis Tzitzikas:Institute of Computer Science, Foundation for Research and Technology - Hellas (FORTH),Computer Science Department, University of Crete</t>
  </si>
  <si>
    <t>tzitzik@ics.forth.gr</t>
  </si>
  <si>
    <t>10.1145/3774904.3792878</t>
  </si>
  <si>
    <t>Tilen Hliš:Faculty of Electrical Engineering and Computer Science, University of Maribor;Urška Butolen:Faculty of Mechanical Engineering, University of Maribor;Iztok Fister:Faculty of Electrical Engineering and Computer Science, University of Maribor;Iztok Fister:Faculty of Electrical Engineering and Computer Science, University of Maribor</t>
  </si>
  <si>
    <t>iztok.fister1@um.si</t>
  </si>
  <si>
    <t>10.1145/3774904.3792879</t>
  </si>
  <si>
    <t>Tan Yue:Wangxuan Institute of Computer Technology, Peking University;Qiong Wu:Wangxuan Institute of Computer Technology, Peking University;Dongyan Zhao:Wangxuan Institute of Computer Technology, Peking University,National Engineering Research Center of New Electronic Publishing Technologies</t>
  </si>
  <si>
    <t>zhaody@pku.edu.cn</t>
  </si>
  <si>
    <t>10.1145/3774904.3792880</t>
  </si>
  <si>
    <t>Yaqiao Zhu:Department of Computer Science, University of Exeter;Hongkai Wen:Department of Computer Science, University of Warwick;Mark Birkin:School of Geography, University of Leeds;Man Luo:Department of Computer Science, University of Exeter</t>
  </si>
  <si>
    <t>10.1145/3774904.3792881</t>
  </si>
  <si>
    <t>Seongjune Han:Department of Mathematics, Texas A&amp;M University;Nate Veldt:Department of Computer Science and Engineering, Texas A&amp;M University</t>
  </si>
  <si>
    <t>shan@tamu.edu</t>
  </si>
  <si>
    <t>10.1145/3774904.3792882</t>
  </si>
  <si>
    <t>Zheng Gong:Thrust of Artificial Intelligence, Hong Kong University of Science and Technology (Guangzhou);Shuheng Shen:Tiansuan Lab, Ant group;Changhua Meng:Tiansuan Lab, Ant group;Ying Sun:Thrust of Artificial Intelligence, Hong Kong University of Science and Technology (Guangzhou)</t>
  </si>
  <si>
    <t>yings@hkust-gz.edu.cn</t>
  </si>
  <si>
    <t>10.1145/3774904.3792883</t>
  </si>
  <si>
    <t>Yin Lou:Ant Group</t>
  </si>
  <si>
    <t>yin.lou@antgroup.com</t>
  </si>
  <si>
    <t>10.1145/3774904.3792884</t>
  </si>
  <si>
    <t>Guofang Ma:Zhejiang Gongshang University;Pengxiang Zhan:Fuzhou University;Haoze Huang:Fuzhou University;Yanchao Tan:Fuzhou University</t>
  </si>
  <si>
    <t>yctan@fzu.edu.cn</t>
  </si>
  <si>
    <t>10.1145/3774904.3792885</t>
  </si>
  <si>
    <t>Dae Kyoo Kim:Sungkyunkwan University;Sang Kyu Moon:Sungkyunkwan University;Eunil Park:Sungkyunkwan Universtiy</t>
  </si>
  <si>
    <t>10.1145/3774904.3792886</t>
  </si>
  <si>
    <t>Harry Proshian:Steklov Institute of Mathematics;Nikita Severin:Independent Researcher;Sergey Nikolenko:ISP RAS,Steklov Institute of Mathematics;Ivan Kireev:Sber AI Lab;Andrey Savchenko:Sber AI Lab,HSE University;Ivan Sergeev:Sber;Maria Postnova:Sber;Ilya Makarov:AIRI,ISP RAS</t>
  </si>
  <si>
    <t>nseverin@hse.ru</t>
  </si>
  <si>
    <t>10.1145/3774904.3792887</t>
  </si>
  <si>
    <t>Abdullah Al Sefat:Technical University of Munich;Amir Hossein Kargaran:Ludwig Maximilian University of Munich,Munich Center for Machine Learning;François Yvon:Sorbonne Université,CNRS;Hinrich Schütze:Ludwig Maximilian University of Munich,Munich Center for Machine Learning</t>
  </si>
  <si>
    <t>in.sefat@tum.de</t>
  </si>
  <si>
    <t>10.1145/3774904.3792888</t>
  </si>
  <si>
    <t>Seyed Mohammad Hosseini:Toronto Metropolitan University;Radin Hamidi Rad:Mila – Quebec AI Institute;Morteza Zihayat:Toronto Metropolitan University;Ebrahim Bagheri:University of Toronto</t>
  </si>
  <si>
    <t>m1hosseini@torontomu.ca</t>
  </si>
  <si>
    <t>10.1145/3774904.3792889</t>
  </si>
  <si>
    <t>Feifan Song:State Key Laboratory of Multimedia Information Processing, School of Computer Science, Peking University;Bofei Gao:State Key Laboratory of Multimedia Information Processing, School of Computer Science, Peking University;Yifan Song:State Key Laboratory of Multimedia Information Processing, School of Computer Science, Peking University;Yi Liu:State Key Laboratory of Multimedia Information Processing, School of Computer Science, Peking University;Weimin Xiong:State Key Laboratory of Multimedia Information Processing, School of Computer Science, Peking University;Yuyang Song:University of Southampton;Tianyu Liu:Peking University;Guoyin Wang:Alibaba Group;Houfeng Wang:State Key Laboratory of Multimedia Information Processing, School of Computer Science, Peking University</t>
  </si>
  <si>
    <t>songff@stu.pku.edu.cn</t>
  </si>
  <si>
    <t>10.1145/3774904.3792890</t>
  </si>
  <si>
    <t>Danyang Zong:State Key Laboratory of AI Safety, Institute of Computing Technology, Chinese Academy of Sciences,Zhengzhou University, Henan Institute of Advanced Technology;Kaike Zhang:State Key Laboratory of AI Safety, Institute of Computing Technology, Chinese Academy of Sciences;Qi Cao:State Key Laboratory of AI Safety, Institute of Computing Technology, Chinese Academy of Sciences;Du Su:State Key Laboratory of AI Safety, Institute of Computing Technology, Chinese Academy of Sciences;Fei Sun:State Key Laboratory of AI Safety, Institute of Computing Technology, Chinese Academy of Sciences</t>
  </si>
  <si>
    <t>sunfei@ict.ac.cn</t>
  </si>
  <si>
    <t>10.1145/3774904.3792891</t>
  </si>
  <si>
    <t>Yonghao Si:Sun Yat-sen University,Hong Kong University of Science and Technology (Guang Zhou);Xingyuan Zeng:Sun Yat-sen University;Zhao Chen:Hong Kong University of Science and Technology (Guang Zhou);Libin Zheng:Sun Yat-sen University;Caleb Chen Cao:Hong Kong University of Science and Technology;Chen Lei:Hong Kong University of Science and Technology;Jian Yin:Sun Yat-sen University</t>
  </si>
  <si>
    <t>10.1145/3774904.3792892</t>
  </si>
  <si>
    <t>Dingxian Wang:Upwork,University of Technology Sydney;Jiacheng Dong:University of Technology Sydney;Jiaqi Deng:University of Technology Sydney;Jing Long:University of Technology Sydney;Ted Liu:Upwork;George Barelas:Upwork;Arya Taylor:Upwork;Spyros Kapnissis:Upwork;Frank Yang:Upwork;Andrew Rabinovich:Upwork;Guandong Xu:The Education University of Hong Kong</t>
  </si>
  <si>
    <t>Jing.Long@uts.edu.au</t>
  </si>
  <si>
    <t>10.1145/3774904.3792893</t>
  </si>
  <si>
    <t>Aaron Steiner:Data and Web Science Group, University of Mannheim;Ralph Peeters:Data and Web Science Group, University of Mannheim;Christian Bizer:Data and Web Science Group, University of Mannheim</t>
  </si>
  <si>
    <t>aaron.steiner@uni-mannheim.de</t>
  </si>
  <si>
    <t>10.1145/3774904.3792894</t>
  </si>
  <si>
    <t>Ting Li:Sun Yat-sen University;Xingyi Mao:Sun Yat-sen University;Yipeng Yu:Alibaba Inc.;Liang Yao:Sun Yat-sen University</t>
  </si>
  <si>
    <t>yaoliang3@mail.sysu.edu.cn</t>
  </si>
  <si>
    <t>10.1145/3774904.3792895</t>
  </si>
  <si>
    <t>Kyungho Kim:KAIST;Geon Lee:KAIST;Juyeon Kim:KAIST;Dongwon Choi:KAIST;Shinhwan Kang:KAIST;Kijung Shin:KAIST</t>
  </si>
  <si>
    <t>10.1145/3774904.3792896</t>
  </si>
  <si>
    <t>Yurim Jang:Department of Artificial Intelligence, Sungkyunkwan University;Jaeung Lee:Department of Computer Science and Engineering, Sungkyunkwan University;Dohyun Kim:Department of Computer Science and Engineering, Sungkyunkwan University;Jaemin Jo:Department of Computer Science and Engineering, Sungkyunkwan University;Simon S Woo:Department of Computer Science and Engineering, Sungkyunkwan University</t>
  </si>
  <si>
    <t>swoo@g.skku.edu</t>
  </si>
  <si>
    <t>10.1145/3774904.3792897</t>
  </si>
  <si>
    <t>Kai Cheng:China Three Gorges University;Zhengyu Zhang:East China Normal University;Tong Wu:Zhejiang Gongshang University;Huan Zhou:Northwestern Polytechnical University;Xinggang Fan:Zhejiang University of Technology</t>
  </si>
  <si>
    <t>zhouhuan117@gmail.com</t>
  </si>
  <si>
    <t>10.1145/3774904.3792898</t>
  </si>
  <si>
    <t>Jong-Chan Park:Gyeongsang National University;Myeongjun Kim:Gyeongsang National University;So-Hee Lim:Gyeongsang National University;Sang-Min Choi:Gyeongsang National University;Gun-Woo Kim:Gyeongsang National University</t>
  </si>
  <si>
    <t>gunwoo.kim@gnu.ac.kr</t>
  </si>
  <si>
    <t>10.1145/3774904.3792899</t>
  </si>
  <si>
    <t>Haoyuan Li:The University of Auckland;Mengxiao Zhang:University of Auckland Business School;Maoyuan Li:The University of Auckland;Jianzheng Li:The University of Auckland;Zijian Zhang:Beijing Institute of Technology;Junyi Yang:The University of Auckland;Shuangyan Deng:The University of Auckland;Jiamou Liu:The University of Auckland</t>
  </si>
  <si>
    <t>hli962@aucklanduni.ac.nz</t>
  </si>
  <si>
    <t>10.1145/3774904.3792900</t>
  </si>
  <si>
    <t>Yanan Cao:Walmart Global Tech;Farnaz Fallahi:Walmart Global Tech;Murali Mohana Krishna Dandu:Walmart Global Tech;Lalitesh Morishetti:Walmart Global Tech;Kai Zhao:Walmart Global Tech;Luyi Ma:Walmart Global Tech;Sinduja Subramaniam:Walmart Global Tech;Jianpeng Xu:Walmart Global Tech;Evren Korpeoglu:Walmart Global Tech;Kaushiki Nag:Walmart Global Tech;Sushant Kumar:Walmart Global Tech;Kannan Achan:Walmart Global Tech</t>
  </si>
  <si>
    <t>yanan.cao@walmart.com</t>
  </si>
  <si>
    <t>10.1145/3774904.3792901</t>
  </si>
  <si>
    <t>Zhang Ran:LIGHTSPEED;Kun Ouyang:LIGHTSPEED;Tiancheng Ma:National University of Singapore;Yida Yang:Nanyang Technological University;Dong Fang:LIGHTSPEED</t>
  </si>
  <si>
    <t>rzhang008@e.ntu.edu.sg</t>
  </si>
  <si>
    <t>10.1145/3774904.3792902</t>
  </si>
  <si>
    <t>Qihang Zhao:Kuaishou Technology;Zhongbo Sun:Kuaishou Technology;Xiaoyang Zheng:Kuaishou Technology;Xian Guo:Kuaishou Technology;Siyuan Wang:Kuaishou Technology;Zihan Liang:Kuaishou Technology;Mingcan Peng:Kuaishou Technology;Ben Chen:Alibaba International Digital Commerce Group, Kuaishou Technology;Chenyi Lei:Kuaishou Technology</t>
  </si>
  <si>
    <t>chenben03@kuaishou.com</t>
  </si>
  <si>
    <t>10.1145/3774904.3792903</t>
  </si>
  <si>
    <t>Yicheng Huang:Harbin Institute of Technology, Shenzhen;Xinyu Xiao:Harbin Institute of Technology, Shenzhen;Jian Zhang:Peking University;Shuhan Qi:Harbin Institute of Technology, Shenzhen;Yulin Wu:Harbin Institute of Technology, Shenzhen;Xuan Wang:Harbin Institute of Technology, Shenzhen</t>
  </si>
  <si>
    <t>shuhanqi@cs.hitsz.edu.cn</t>
  </si>
  <si>
    <t>10.1145/3774904.3792904</t>
  </si>
  <si>
    <t>Haoze Wu:TikTok, Inc.;Chenghui Yu:TikTok, Inc.;Bingfeng Deng:TikTok, Inc.;Daniel Chen:TikTok, Inc.</t>
  </si>
  <si>
    <t>dengbingfeng@tiktok.com</t>
  </si>
  <si>
    <t>10.1145/3774904.3792905</t>
  </si>
  <si>
    <t>Haoxuan Li:University of Electronic Science and Technology of China;He Chang:Communication University of China;Yunshan Ma:Singapore Management University;Yi Bin:Tongji University;Yang Yang:University of Electronic Science and Technology of China;See-Kiong Ng:National University of Singapore;Tat-Seng Chua:National University of Singapore</t>
  </si>
  <si>
    <t>ysma@smu.edu.sg</t>
  </si>
  <si>
    <t>10.1145/3774904.3792906</t>
  </si>
  <si>
    <t>Shuhan Cui:The University of Tokyo;Ruimin Chu:AI inside Inc.;Hanrui Wang:National Institute of Informatics;Patrick H. Chen:Binghamton University;Ching-Chun Chang:National Institute of Informatics;Isao Echizen:National Institute of Informatics</t>
  </si>
  <si>
    <t>syokan@g.ecc.u-tokyo.ac.jp</t>
  </si>
  <si>
    <t>10.1145/3774904.3792907</t>
  </si>
  <si>
    <t>Yifan Shao:The Chinese University of Hong Kong;Peilin Zhou:DSA Thrust, Information Hub, HKUST(GZ);Shoujin Wang:University of Technology Sydney;Weizhi Zhang:University of Illinois Chicago;Sunghun Kim:Hong Kong University of Science and Technology;Xu Cai:Jilin University</t>
  </si>
  <si>
    <t>yifashao209@gmail.com</t>
  </si>
  <si>
    <t>10.1145/3774904.3792908</t>
  </si>
  <si>
    <t>Deepak Kanneganti:School of Electrical Engineering, Computing and Mathematical Sciences, Curtin University;Sajib Mistry:School of Electrical Engineering, Computing and Mathematical Sciences, Curtin University;Sheik Mohammad Mostakim Fattah:School of Electrical Engineering, Computing and Mathematical Sciences, Curtin University;Joshua Boland:School of Electrical Engineering, Computing and Mathematical Sciences, Curtin University;Aneesh Krishna:School of Electrical Engineering, Computing and Mathematical Sciences, Curtin University</t>
  </si>
  <si>
    <t>s.kanneganti@curtin.edu.au</t>
  </si>
  <si>
    <t>10.1145/3774904.3792909</t>
  </si>
  <si>
    <t>Selahattin Akkas:Intelligent Systems Engineering, Indiana University Bloomington;Ariful Azad:Computer Science and Engineering, Texas A&amp;M University</t>
  </si>
  <si>
    <t>ariful@tamu.edu</t>
  </si>
  <si>
    <t>10.1145/3774904.3792910</t>
  </si>
  <si>
    <t>Yingying Wen:Bytedance;Yingzhi Chu:Zhejiang University;Zhongyu Wang:Bytedance;Zhecheng Lin:Bytedance;Fan Jiang:Bytedance;Wu Xiang:Bytedance;Rui Shi:Bytedance</t>
  </si>
  <si>
    <t>wingwingtwo@hotmail.com</t>
  </si>
  <si>
    <t>10.1145/3774904.3792911</t>
  </si>
  <si>
    <t>Chang Li:Computer Network Information Center, Chinese Academy of Sciences;Yawei Liu:Computer Network Information Center, Chinese Academy of Sciences;Chun Long:Computer Network Information Center, Chinese Academy of Sciences;Jing Zhao:Computer Network Information Center, Chinese Academy of Sciences;Guanyao Du:Computer Network Information Center, Chinese Academy of Sciences</t>
  </si>
  <si>
    <t>anquanip@cnic.cn</t>
  </si>
  <si>
    <t>10.1145/3774904.3792912</t>
  </si>
  <si>
    <t>Zheng Gao:University of New South Wales;Xiaoyu Li:University of New South Wales;Zhicheng Bao:University of New South Wales;Xiaoyan Feng:Griffith University;Jiaojiao Jiang:University of New South Wales</t>
  </si>
  <si>
    <t>zheng.gao1@unsw.edu.au</t>
  </si>
  <si>
    <t>10.1145/3774904.3792913</t>
  </si>
  <si>
    <t>10.1145/3774904.3792914</t>
  </si>
  <si>
    <t>Vojtech Vancura:Recombee,Faculty of Mathematics and Physics, Charles University;Martin Spišák:TopK,Faculty of Mathematics and Physics, Charles University;Rodrigo Alves:Czech Technical University in Prague;Ladislav Peska:Faculty of Mathematics and Physics, Charles University</t>
  </si>
  <si>
    <t>ladislav.peska@matfyz.cuni.cz</t>
  </si>
  <si>
    <t>10.1145/3774904.3792915</t>
  </si>
  <si>
    <t>Sunho Kim:Computer Science and Engineering, Korea University;Susik Yoon:Computer Science and Engineering, Korea University</t>
  </si>
  <si>
    <t>susik@korea.ac.kr</t>
  </si>
  <si>
    <t>10.1145/3774904.3792916</t>
  </si>
  <si>
    <t>Tsung-Hsiang Chou:National Chung Hsing University,Smart Sustainable New Agriculture Research Center (SMARTer);Chen-Jui Yu:National Chung Hsing University,Smart Sustainable New Agriculture Research Center (SMARTer);Shui-Hsiang Hsu:National Chung Hsing University,Smart Sustainable New Agriculture Research Center (SMARTer);Yao-Chung Fan:National Chung Hsing University,Smart Sustainable New Agriculture Research Center (SMARTer)</t>
  </si>
  <si>
    <t>yfan@nchu.edu.tw</t>
  </si>
  <si>
    <t>10.1145/3774904.3792917</t>
  </si>
  <si>
    <t>Yichen Song:zhejiang university;Jianfeng Zhou:Bytedance;Renhao Cao:Bytedance;Jian-Ya Ding:Bytedance</t>
  </si>
  <si>
    <t>syc_1203@zju.edu.cn</t>
  </si>
  <si>
    <t>10.1145/3774904.3792918</t>
  </si>
  <si>
    <t>Xihan Xiong:Imperial College London;Junliang Luo:McGill University</t>
  </si>
  <si>
    <t>xihan.xiong20@imperial.ac.uk</t>
  </si>
  <si>
    <t>10.1145/3774904.3792919</t>
  </si>
  <si>
    <t>Chaewon Kang:Sungkyunkwan University;Youjin Lee:Sungkyunkwan University;Jinyoung Han:Sungkyunkwan University</t>
  </si>
  <si>
    <t>jinyounghan@skku.edu</t>
  </si>
  <si>
    <t>10.1145/3774904.3792920</t>
  </si>
  <si>
    <t>Alejandro Ariza-Casabona:University of Barcelona, CLiC-UBICS;Maria Salamó:University of Barcelona, CLiC-UBICS;Ludovico Boratto:University of Cagliari</t>
  </si>
  <si>
    <t>ludovico.boratto@acm.org</t>
  </si>
  <si>
    <t>10.1145/3774904.3792921</t>
  </si>
  <si>
    <t>Youn Jun Seong:Sungkyunkwan University, Department of Artificial Intelligence Convergence;Ha Young Oh:Sungkyunkwan University, Department of Artificial Intelligence Convergence</t>
  </si>
  <si>
    <t>hyoh79@skku.edu</t>
  </si>
  <si>
    <t>10.1145/3774904.3792922</t>
  </si>
  <si>
    <t>Wanjie Tao:Mashang Consumer Finance Co., Ltd;Qun Dai:Nanjing University of Aeronautics and Astronautics;Yantong Lv:Mashang Consumer Finance Co., Ltd;Quan Lu:Mashang Consumer Finance Co., Ltd;Ning Jiang:Mashang Consumer Finance Co., Ltd;Zulong Chen:Alibaba Group</t>
  </si>
  <si>
    <t>daiqun@nuaa.edu.cn</t>
  </si>
  <si>
    <t>10.1145/3774904.3792923</t>
  </si>
  <si>
    <t>Aditya Tanna:Lexsi Labs;Pratinav Seth:Lexsi Labs;Mohamed Bouadi:Lexsi Labs;Vinay Kumar Sankarapu:Lexsi Labs</t>
  </si>
  <si>
    <t>pratinav.seth@lexsi.ai</t>
  </si>
  <si>
    <t>10.1145/3774904.3792924</t>
  </si>
  <si>
    <t>Jiaqing Ma:Artificial Intelligence Institute, Shanghai University;Xiaodong Yue:Artificial Intelligence Institute, Shanghai University;Yufei Chen:School of Computer Science and Technology, Tongii University;Jie Shi:School of Computer Engineering and Science, Shanghai University;Zhipeng Wei:School of Computer Engineering and Science, Shanghai University;Zeyu Jia:Shanghai Yingtai Purun Medical Device Co., Ltd.</t>
  </si>
  <si>
    <t>yswantfly@shu.edu.cn</t>
  </si>
  <si>
    <t>10.1145/3774904.3792925</t>
  </si>
  <si>
    <t>Gerard C. Yeo:National University of Singapore;Svetlana Churina:National University of Singapore;Kokil Jaidka:National University of Singapore</t>
  </si>
  <si>
    <t>e0545159@u.nus.edu</t>
  </si>
  <si>
    <t>10.1145/3774904.3792926</t>
  </si>
  <si>
    <t>Tao Tang:Artificial Intelligence Institute, Shanghai University;Xiaodong Yue:Artificial Intelligence Institute, Shanghai University;Yufei Chen:School of Computer Science and Technology, Tongji University;Jie Shi:School of Computer Engineering and Science, Shanghai University;Shijie Ding:School of Computer Engineering and Science, Shanghai University</t>
  </si>
  <si>
    <t>10.1145/3774904.3792927</t>
  </si>
  <si>
    <t>Elena Artemenko:Social &amp; Cognitive Informatics Lab., HSE University;Olessia Koltsova:Social &amp; Cognitive Informatics Lab., HSE University;Maksim Terpilovskii:Social &amp; Cognitive Informatics Lab., HSE University;Natalia Khazova:Social &amp; Cognitive Informatics Lab., HSE University</t>
  </si>
  <si>
    <t>nekrasovaed@gmail.com</t>
  </si>
  <si>
    <t>10.1145/3774904.3792928</t>
  </si>
  <si>
    <t>Daria Korovaitceva:HSE University;Marina Sheshukova:HSE University;Evgeny Frolov:Personalization Technologies,HSE University;Sergey Samsonov:HSE University</t>
  </si>
  <si>
    <t>svsamsonov@hse.ru</t>
  </si>
  <si>
    <t>10.1145/3774904.3792929</t>
  </si>
  <si>
    <t>Joseph Kwarteng:The Open University;Aisling Third:The Open University;Alexander Mikroyannidis:The Open University;David Tarrant:The Open Data Institute;John Domingue:The Open University</t>
  </si>
  <si>
    <t>joseph.kwarteng@open.ac.uk</t>
  </si>
  <si>
    <t>10.1145/3774904.3792930</t>
  </si>
  <si>
    <t>Hang Lv:Fuzhou University;Kaisong Zhang:Fuzhou University;Yanchao Tan:Fuzhou University;Xing Chen:Fuzhou University</t>
  </si>
  <si>
    <t>10.1145/3774904.3792931</t>
  </si>
  <si>
    <t>Yu Xia:University of California, San Diego;Sungchul Kim:Adobe Research;Tong Yu:Adobe Research;Ryan A. Rossi:Adobe Research;Julian McAuley:University of California, San Diego</t>
  </si>
  <si>
    <t>yux078@ucsd.edu</t>
  </si>
  <si>
    <t>10.1145/3774904.3792932</t>
  </si>
  <si>
    <t>Alexandra Yakovleva:Aalto University;Henrik Pärssinen:Aalto University;Harri Valpola:System 2 AI;Juho Kannala:Aalto University,University of Oulu;Alexander Ilin:System 2 AI</t>
  </si>
  <si>
    <t>alexandra.yakovleva@aalto.fi</t>
  </si>
  <si>
    <t>10.1145/3774904.3792933</t>
  </si>
  <si>
    <t>Aleksandr Poslavsky:VK AI;Alexander D'yakonov:VK AI;Yuriy Dorn:AI Center \&amp; IAI MSU, Lomonosov Moscow State University;Andrey Zimovnov:VK AI</t>
  </si>
  <si>
    <t>dornyv@my.msu.ru</t>
  </si>
  <si>
    <t>10.1145/3774904.3792934</t>
  </si>
  <si>
    <t>Genet Asefa Gesese:FIZ Karlsruhe,Karlsruhe Institute of Technology;Zongxiong Chen:Fraunhofer FOKUS;Shufan Jiang:IRIT, UT, CNRS, Toulouse INP,Université de Toulouse Jean Jaurès;Mary Ann Tan:FIZ Karlsruhe;Zhaotai Liu:FIZ Karlsruhe;Sonja Schimmler:Fraunhofer FOKUS,Technische Universität Berlin;Harald Sack:FIZ Karlsruhe,Karlsruhe Institute of Technology</t>
  </si>
  <si>
    <t>deb_liban@yahoo.com</t>
  </si>
  <si>
    <t>10.1145/3774904.3792935</t>
  </si>
  <si>
    <t>Huiling Wu:Fudan University;Ao Zhang:Taobao &amp; Tmall Group of Alibaba;Junwei Xu:SIGS, Tsinghua University;Boya Du:Taobao &amp; Tmall Group of Alibaba;Jialin Zhu:Taobao &amp; Tmall Group of Alibaba;Yuning Jiang:Taobao &amp; Tmall Group of Alibaba;Dakai Zhai:Taobao &amp; Tmall Group of Alibaba</t>
  </si>
  <si>
    <t>24210690115@m.fudan.edu.cn</t>
  </si>
  <si>
    <t>10.1145/3774904.3792936</t>
  </si>
  <si>
    <t>Zhiyuan Liu:School of Computer Engineering and Science, Shanghai University;Xiaodong Yue:Artificial Intelligence Institute, Shanghai University;Yufei Chen:School of Computer Science and Technology, Tongii University;Shijie Ding:School of Computer Engineering and Science, Shanghai University;Jie Shi:School of Computer Engineering and Science, Shanghai University</t>
  </si>
  <si>
    <t>10.1145/3774904.3792937</t>
  </si>
  <si>
    <t>Mohamed Bouadi:Lexsi Labs;Pratinav Seth:Lexsi Labs;Aditya Tanna:Lexsi Labs;Vinay Kumar Sankarapu:Lexsi Labs</t>
  </si>
  <si>
    <t>10.1145/3774904.3792938</t>
  </si>
  <si>
    <t>Olesya Razuvayevskaya:The University of Sheffield;Kalina Bontcheva:The University of Sheffield</t>
  </si>
  <si>
    <t>o.razuvayevskaya@sheffield.ac.uk</t>
  </si>
  <si>
    <t>10.1145/3774904.3792939</t>
  </si>
  <si>
    <t>Hanqi Jin:Taobao &amp; Tmall Group of Alibaba;Gaoming Yang:Taobao &amp; Tmall Group of Alibaba;Zhangming Chan:Taobao &amp; Tmall Group of Alibaba;Yapeng Yuan:Taobao &amp; Tmall Group of Alibaba;Longbin Li:Taobao &amp; Tmall Group of Alibaba;Fei Sun:University of Chinese Academy of Sciences;Yeqiu Yang:Taobao &amp; Tmall Group of Alibaba;Jian Wu:Taobao &amp; Tmall Group of Alibaba;Yuning Jiang:Taobao &amp; Tmall Group of Alibaba;Bo Zheng:Taobao &amp; Tmall Group of Alibaba</t>
  </si>
  <si>
    <t>jinhanqi.jhq@alibaba-inc.com</t>
  </si>
  <si>
    <t>10.1145/3774904.3792940</t>
  </si>
  <si>
    <t>Wenjie Li:Shenzhen International Graduate School, Tsinghua University;Shu-Tao Xia:Tsinghua University;Jiangke Fan:Meituan;Teng Zhang:Meituan;Xingxing Wang:Meituan</t>
  </si>
  <si>
    <t>liwj20@mails.tsinghua.edu.cn</t>
  </si>
  <si>
    <t>10.1145/3774904.3792941</t>
  </si>
  <si>
    <t>Luis Galárraga:Inria,University of Rennes;Julianne Guerbette:University of Rennes,CNRS;Isseïnie Sinouvassane:University of Rennes,CNRS;Paul Viallard:Inria,University of Rennes</t>
  </si>
  <si>
    <t>10.1145/3774904.3792942</t>
  </si>
  <si>
    <t>MohammadHossein Bateni:Google;Lin Chen:Google;Hossein Esfandiari:Research, Google;Sasan Tavakkol:Google</t>
  </si>
  <si>
    <t>linche@google.com</t>
  </si>
  <si>
    <t>10.1145/3774904.3792943</t>
  </si>
  <si>
    <t>Amine Allouah:MyCustomAI;Omar Besbes:Columbia Business School;Josué D. Figueroa:MyCustomAI;Yash Kanoria:Columbia Business School;Akshit Kumar:Yale University</t>
  </si>
  <si>
    <t>akshit.kumar@yale.edu</t>
  </si>
  <si>
    <t>10.1145/3774904.3792944</t>
  </si>
  <si>
    <t>Connor Douglas:New York University;Utkucan Balci:Binghamton University;Joseph Aylett-Bullock:United Nations</t>
  </si>
  <si>
    <t>cpd8405@nyu.edu</t>
  </si>
  <si>
    <t>10.1145/3774904.3792945</t>
  </si>
  <si>
    <t>Miguel Marques:INESC TEC,University of Beira Interior;Ana Luísa Fernandes:INESC TEC,Universidade do Porto;Ana Filipa Pacheco:INESC TEC,Universidade do Porto;Rute Rebouças:INESC TEC,Universidade do Porto;Inês Cantante:INESC TEC,Universidade do Porto;José Isidro:INESC TEC,Universidade do Porto;Luís Filipe Cunha:INESC TEC,Universidade do Porto;Alípio Jorge:INESC TEC,Universidade do Porto;Nuno Guimarães:INESC TEC,Universidade do Porto;Sérgio Nunes:INESC TEC,Universidade do Porto;António Leal:University of Macau,Universidade do Porto;Purificação Silvano:INESC TEC,Universidade do Porto;Ricardo Campos:INESC TEC,University of Beira Interior</t>
  </si>
  <si>
    <t>nuno.r.guimaraes@inesctec.pt</t>
  </si>
  <si>
    <t>10.1145/3774904.3792946</t>
  </si>
  <si>
    <t>Yuxin Liu:University of California, Riverside;Stephen Chan:American University of Sharjah;Jeffrey Chu:Renmin University of China;Yuanyuan Zhang:University of Manchester;Chenguang Yang:University of California, Riverside;Zihao Wang:The University of Tennessee at Chattanooga;Yulia R. Gel:Virginia Tech;Yuzhou Chen:University of California, Riverside</t>
  </si>
  <si>
    <t>yuzhou.chen@ucr.edu</t>
  </si>
  <si>
    <t>10.1145/3774904.3792947</t>
  </si>
  <si>
    <t>Bhavtosh Rath:Target Corporation;Harshith Narasimhamurthy:Target Corporation;Bob Eisinger:Target Corporation;Cole Stiegler:Target Corporation;Adnan Awow:Target Corporation;Amit Pande:Target Corporation</t>
  </si>
  <si>
    <t>bhavtosh.rath@target.com</t>
  </si>
  <si>
    <t>10.1145/3774904.3792948</t>
  </si>
  <si>
    <t>Victor Livernoche:McGill University,Mila;Andreea Musulan:Université de Montréal,Mila;Zachary Yang:McGill University,Mila;Jean-François Godbout:Université de Montréal,Mila;Reihaneh Rabbany:McGill University,Mila</t>
  </si>
  <si>
    <t>victor.livernoche@mail.mcgill.ca</t>
  </si>
  <si>
    <t>10.1145/3774904.3792949</t>
  </si>
  <si>
    <t>Xiao Li:School of Computer Science, University College Dublin;Changhong Jin:School of Computer Science, University College Dublin;Yingjie Niu:School of Computer Science, University College Dublin;Jingyi Wang:College of Computer Science, Beijing University of Technology;Ruihai Dong:School of Computer Science, University College Dublin</t>
  </si>
  <si>
    <t>xiao.li@ucdconnect.ie</t>
  </si>
  <si>
    <t>10.1145/3774904.3792950</t>
  </si>
  <si>
    <t>Zijing Hui:Meta Platforms;Wenhan Lyu:Meta Platforms;Shusen Wang:Meta Platforms;Li Chen:Meta Platforms;Chu Wang:Meta Platforms</t>
  </si>
  <si>
    <t>zijihui@meta.com</t>
  </si>
  <si>
    <t>10.1145/3774904.3792951</t>
  </si>
  <si>
    <t>Ashwin Vinod:The University of Texas at Austin;Katrin Erk:University of Massachusetts Amherst</t>
  </si>
  <si>
    <t>ashwinnair2323@gmail.com</t>
  </si>
  <si>
    <t>10.1145/3774904.3792952</t>
  </si>
  <si>
    <t>Yang Cao:Great Bay University,Tsinghua University;Bicheng Yu:Great Bay University,Shenzhen University;Sikun Yang:Great Bay University,Dongguan Key Laboratory for AI and Dynamical Systems;Ming Liu:Deakin University;Yujiu Yang:Tsinghua University</t>
  </si>
  <si>
    <t>sikunyang@gbu.edu.cn</t>
  </si>
  <si>
    <t>10.1145/3774904.3792953</t>
  </si>
  <si>
    <t>Thameem Abbas Ibrahim Bathusha:Red Hat LLC.;Aanya Sharma:Red Hat LLC.;Andy Huynh:Boston University;Rehan Samaratunga:Boston University;Ashish Kamra:Red Hat LLC.</t>
  </si>
  <si>
    <t>thibrahi@redhat.com</t>
  </si>
  <si>
    <t>10.1145/3774904.3792954</t>
  </si>
  <si>
    <t>Imran Ahsan:Department of Smart Cities, Chung-Ang University, South Korea;Jinsung Kim:Department of Computer Science and Engineering, Chung-Ang University, South Korea;Mucheol Kim:Department of Computer Science and Engineering, Chung-Ang University, South Korea</t>
  </si>
  <si>
    <t>kimm@cau.ac.kr</t>
  </si>
  <si>
    <t>10.1145/3774904.3792955</t>
  </si>
  <si>
    <t>Hongyeon Yu:NAVER Corp.;Dongchan Kim:NAVER Corp.;Young-Bum Kim:NAVER Corp.</t>
  </si>
  <si>
    <t>hongyeon.yu@gmail.com</t>
  </si>
  <si>
    <t>10.1145/3774904.3792956</t>
  </si>
  <si>
    <t>Dayu Guo:Guangdong Provincial/Zhuhai Key Laboratory IRADS and Department of Computer Science, Beijing Normal-Hong Kong Baptist University;Zhiwen Luo:Concordia Institute for Information Systems Engineering, Concordia University;Nizar Bouguila:Concordia Institute for Information Systems Engineering, Concordia University;Wentao Fan:Guangdong Provincial/Zhuhai Key Laboratory IRADS and Department of Computer Science, Beijing Normal-Hong Kong Baptist University</t>
  </si>
  <si>
    <t>wentaofan@bnbu.edu.cn</t>
  </si>
  <si>
    <t>10.1145/3774904.3792957</t>
  </si>
  <si>
    <t>Sakrapee Paisalnan:Electrical Engineering, Silpakorn University;Yashar Moshfeghi:Computer and Information Sciences, University of Strathclyde</t>
  </si>
  <si>
    <t>paisalnan_s@su.ac.th</t>
  </si>
  <si>
    <t>10.1145/3774904.3792958</t>
  </si>
  <si>
    <t>Yining Lin:eBay Inc.;Yuming Shen:eBay Inc.;Yipeng Zhang:eBay Inc.;Canran Xu:eBay Inc.</t>
  </si>
  <si>
    <t>canxu@ebay.com</t>
  </si>
  <si>
    <t>10.1145/3774904.3792959</t>
  </si>
  <si>
    <t>Owais Makroo:IIT Kharagpur,Amazon Inc.;Nikhil Pattisapu:Amazon Inc.;Karan Gupta:Amazon Inc.;Ankit Gandhi:Amazon Inc.;Vijay Huddar:Amazon Inc.;Atul Saroop:Amazon Inc</t>
  </si>
  <si>
    <t>makroo.owais@gmail.com</t>
  </si>
  <si>
    <t>10.1145/3774904.3792960</t>
  </si>
  <si>
    <t>Runsong Jia:University of Technology Sydney;Mengjia Wu:University of Technology Sydney;Ying Ding:University of Texas at Austin;Jie Lu:University of Technology Sydney;Yi Zhang:University of Technology Sydney</t>
  </si>
  <si>
    <t>10.1145/3774904.3792961</t>
  </si>
  <si>
    <t>Qinyi Liu:Centre for the Science of Learning &amp; Technology (SLATE), University of Bergen;Mohammad Khalil:Centre for the Science of Learning &amp; Technology (SLATE), University of Bergen;Naman Goel:Department of Computer Science, University of Oxford,Alan Turing Institute</t>
  </si>
  <si>
    <t>qinyi.liu@uib.no</t>
  </si>
  <si>
    <t>10.1145/3774904.3792962</t>
  </si>
  <si>
    <t>Shui-Hsiang Hsu:Computer Science and Engineering, National Chung Hsing University,Smart Sustainable New Agriculture Research Center (SMARTer);Tsung-Hsiang Chou:Computer Science and Engineering, National Chung Hsing University,Smart Sustainable New Agriculture Research Center (SMARTer);Chen-Jui Yu:Computer Science and Engineering, National Chung Hsing University,Smart Sustainable New Agriculture Research Center (SMARTer);Yao-Chung Fan:Computer Science and Engineering, National Chung Hsing University,Smart Sustainable New Agriculture Research Center (SMARTer)</t>
  </si>
  <si>
    <t>g113056055@smail.nchu.edu.tw</t>
  </si>
  <si>
    <t>10.1145/3774904.3792963</t>
  </si>
  <si>
    <t>Jie Zhang:College of Computer and Data Science, College of Computer and Data Science, Fuzhou University;Wanzi Shao:College of Computer and Data Science, College of Computer and Data Science, Fuzhou University;Tan Yanchao:College of Computer and Data Science, College of Computer and Data Science, Fuzhou University</t>
  </si>
  <si>
    <t>ee6r1c7@gmail.com</t>
  </si>
  <si>
    <t>10.1145/3774904.3792964</t>
  </si>
  <si>
    <t>Cai Yang:National University of Singapore;Kokil Jaidka:National University of Singapore;Yphtach Lelkes:University of Pennsylvania;Subhayan Mukerjee:National University of Singapore</t>
  </si>
  <si>
    <t>kokil.j@gmail.com</t>
  </si>
  <si>
    <t>10.1145/3774904.3792965</t>
  </si>
  <si>
    <t>Yunhui Liu:State Key Laboratory for Novel Software Technology, Nanjing University,Ant Group;Tieke He:State Key Laboratory for Novel Software Technology, Nanjing University;Yongchao Liu:Ant Group;Can Yi:Ant Group;Hong Jin:Ant Group;Chuntao Hong:Ant Group</t>
  </si>
  <si>
    <t>10.1145/3774904.3792966</t>
  </si>
  <si>
    <t>Adriano Meligrana:Sapienza University of Rome;Adriano Fazzone:Intesa Sanpaolo Innovation Center</t>
  </si>
  <si>
    <t>adriano.meligrana@diag.uniroma1.it</t>
  </si>
  <si>
    <t>10.1145/3774904.3792967</t>
  </si>
  <si>
    <t>Zi-Kang Wang:Nanjing University;Lei Gong:Huawei Technologies (China);Shu-Ting Shi:Huawei Technologies (China);Lan-Zhe Guo:Nanjing University;Mu-Yu Zhang:Huawei Technologies (China)</t>
  </si>
  <si>
    <t>zhangmuyu@huawei.com</t>
  </si>
  <si>
    <t>10.1145/3774904.3792968</t>
  </si>
  <si>
    <t>dcsheb@nus.edu.sg</t>
  </si>
  <si>
    <t>10.1145/3774904.3792969</t>
  </si>
  <si>
    <t>27100022@lums.edu.pk</t>
  </si>
  <si>
    <t>10.1145/3774904.3792970</t>
  </si>
  <si>
    <t>10.1145/3774904.3792971</t>
  </si>
  <si>
    <t>shijianli@zju.edu.cn</t>
  </si>
  <si>
    <t>10.1145/3774904.3792972</t>
  </si>
  <si>
    <t>lewu@hfut.edu.cn</t>
  </si>
  <si>
    <t>10.1145/3774904.3792973</t>
  </si>
  <si>
    <t>2331930@tongji.edu.cn</t>
  </si>
  <si>
    <t>10.1145/3774904.3792974</t>
  </si>
  <si>
    <t>fgr@tyust.edu.cn</t>
  </si>
  <si>
    <t>10.1145/3774904.3792975</t>
  </si>
  <si>
    <t>shaopymark@gmail.com</t>
  </si>
  <si>
    <t>10.1145/3774904.3792976</t>
  </si>
  <si>
    <t>10.1145/3774904.3792977</t>
  </si>
  <si>
    <t>y.gao@zju.edu.cn</t>
  </si>
  <si>
    <t>10.1145/3774904.3792978</t>
  </si>
  <si>
    <t>saikeerthana00@gmail.com</t>
  </si>
  <si>
    <t>10.1145/3774904.3792979</t>
  </si>
  <si>
    <t>10.1145/3774904.3792980</t>
  </si>
  <si>
    <t>10.1145/3774904.3792981</t>
  </si>
  <si>
    <t>yijun@ruri.waseda.jp</t>
  </si>
  <si>
    <t>10.1145/3774904.3792982</t>
  </si>
  <si>
    <t>10.1145/3774904.3792983</t>
  </si>
  <si>
    <t>kaifang@zafu.edu.cn</t>
  </si>
  <si>
    <t>10.1145/3774904.3792984</t>
  </si>
  <si>
    <t>michelle.bobek@uni-giessen.de</t>
  </si>
  <si>
    <t>10.1145/3774904.3792985</t>
  </si>
  <si>
    <t>Yinglun Zhang:Kansas State University;Sonia Moavenzadeh:University of Maine;Jarrar Amjad:Kansas State University;Onur Apul:Pennsylvania State University;Adrita Barua:Kansas State University;Fatih Evrendilek:University of Maine;Torsten Hahmann:University of Maine;Ganga Hettiarachchi:Kansas State University;Pascal Hitzler:Kansas State University;David Kedrowski:University of Maine;Vasu Kilaru:Environmental Protection Agency (EPA);Prayas Lashkari:Roux Institute at Northeastern University;Katrina Schweikert:University of Maine;Antony Williams:Environmental Protection Agency (EPA);Hande McGinty:Kansas State University</t>
  </si>
  <si>
    <t>yinglun@ksu.edu</t>
  </si>
  <si>
    <t>handekucukmcginty@gmail.com</t>
  </si>
  <si>
    <t>10.1145/3774904.3792986</t>
  </si>
  <si>
    <t>zhaolei@hnu.edu.cn</t>
  </si>
  <si>
    <t>10.1145/3774904.3792987</t>
  </si>
  <si>
    <t>yuwei.chuai@uni.lu</t>
  </si>
  <si>
    <t>10.1145/3774904.3792988</t>
  </si>
  <si>
    <t>prottay71@gmail.com</t>
  </si>
  <si>
    <t>10.1145/3774904.3792989</t>
  </si>
  <si>
    <t>10.1145/3774904.3792990</t>
  </si>
  <si>
    <t>10.1145/3774904.3792991</t>
  </si>
  <si>
    <t>nguyen@l3s.de</t>
  </si>
  <si>
    <t>10.1145/3774904.3792992</t>
  </si>
  <si>
    <t>sjtomorrow@163.com</t>
  </si>
  <si>
    <t>10.1145/3774904.3792993</t>
  </si>
  <si>
    <t>ivanypli@gmail.com</t>
  </si>
  <si>
    <t>10.1145/3774904.3792994</t>
  </si>
  <si>
    <t>10.1145/3774904.3792995</t>
  </si>
  <si>
    <t>Zhixiang.Lu@liverpool.ac.uk</t>
  </si>
  <si>
    <t>10.1145/3774904.3792996</t>
  </si>
  <si>
    <t>yangsc25@mails.tsinghua.edu.cn</t>
  </si>
  <si>
    <t>10.1145/3774904.3792997</t>
  </si>
  <si>
    <t>danae@athenarc.gr</t>
  </si>
  <si>
    <t>10.1145/3774904.3792998</t>
  </si>
  <si>
    <t>10.1145/3774904.3792999</t>
  </si>
  <si>
    <t>gtyson@ust.hk</t>
  </si>
  <si>
    <t>10.1145/3774904.3793000</t>
  </si>
  <si>
    <t>dhdu@sei.ecnu.edu.cn</t>
  </si>
  <si>
    <t>10.1145/3774904.3793001</t>
  </si>
  <si>
    <t>zhaoziming@zju.edu.cn</t>
  </si>
  <si>
    <t>10.1145/3774904.3793002</t>
  </si>
  <si>
    <t>xiaoyang.zhang@connect.polyu.hk</t>
  </si>
  <si>
    <t>10.1145/3774904.3793003</t>
  </si>
  <si>
    <t>10.1145/3774904.3793004</t>
  </si>
  <si>
    <t>10.1145/3774904.3793005</t>
  </si>
  <si>
    <t>haytham.fayek@ieee.org</t>
  </si>
  <si>
    <t>10.1145/3774904.3793006</t>
  </si>
  <si>
    <t>m.mansoury@tudelft.nl</t>
  </si>
  <si>
    <t>10.1145/3774904.3793007</t>
  </si>
  <si>
    <t>10.1145/3774904.3793008</t>
  </si>
  <si>
    <t>wenwsh@mail.sysu.edu.cn</t>
  </si>
  <si>
    <t>10.1145/3774904.3793009</t>
  </si>
  <si>
    <t>jcliu@sfu.ca</t>
  </si>
  <si>
    <t>10.1145/3774904.3793010</t>
  </si>
  <si>
    <t>10.1145/3774904.3793011</t>
  </si>
  <si>
    <t>ywangnx@connect.ust.hk</t>
  </si>
  <si>
    <t>10.1145/3774904.3793012</t>
  </si>
  <si>
    <t>MorinWang@foxmail.com</t>
  </si>
  <si>
    <t>10.1145/3774904.3793013</t>
  </si>
  <si>
    <t>ehomewang@ieee.org</t>
  </si>
  <si>
    <t>10.1145/3774904.3793014</t>
  </si>
  <si>
    <t>chengzudong@ln.edu.hk</t>
  </si>
  <si>
    <t>10.1145/3774904.3793015</t>
  </si>
  <si>
    <t>zg323@cam.ac.uk</t>
  </si>
  <si>
    <t>10.1145/3774904.3793016</t>
  </si>
  <si>
    <t>haoshufeng@tyut.edu.cn</t>
  </si>
  <si>
    <t>10.1145/3774904.3793017</t>
  </si>
  <si>
    <t>10.1145/3774904.3793018</t>
  </si>
  <si>
    <t>mane.1@iitj.ac.in</t>
  </si>
  <si>
    <t>10.1145/3774904.3793019</t>
  </si>
  <si>
    <t>10.1145/3774904.3793020</t>
  </si>
  <si>
    <t>liyong07@tsinghua.edu.cn</t>
  </si>
  <si>
    <t>10.1145/3774904.3793021</t>
  </si>
  <si>
    <t>huaming.chen@sydney.edu.au</t>
  </si>
  <si>
    <t>10.1145/3774904.3793022</t>
  </si>
  <si>
    <t>yucheng.zhou@connect.um.edu.mo</t>
  </si>
  <si>
    <t>10.1145/3774904.3793023</t>
  </si>
  <si>
    <t>ZelingXu@ieee.org</t>
  </si>
  <si>
    <t>10.1145/3774904.3793024</t>
  </si>
  <si>
    <t>linhongyu7@jd.com</t>
  </si>
  <si>
    <t>10.1145/3774904.3793025</t>
  </si>
  <si>
    <t>haolun.wu@mail.mcgill.ca</t>
  </si>
  <si>
    <t>10.1145/3774904.3793026</t>
  </si>
  <si>
    <t>mbiswas@hbku.edu.qa</t>
  </si>
  <si>
    <t>10.1145/3774904.3793027</t>
  </si>
  <si>
    <t>10.1145/3774904.3793028</t>
  </si>
  <si>
    <t>liping.huang.sg@gmail.com</t>
  </si>
  <si>
    <t>10.1145/3774904.3793029</t>
  </si>
  <si>
    <t>zhang1028kun@gmail.com</t>
  </si>
  <si>
    <t>10.1145/3774904.3793030</t>
  </si>
  <si>
    <t>yc27431@um.edu.mo</t>
  </si>
  <si>
    <t>10.1145/3774904.3793031</t>
  </si>
  <si>
    <t>adityak21@iiserb.ac.in</t>
  </si>
  <si>
    <t>10.1145/3774904.3793032</t>
  </si>
  <si>
    <t>Z.Fu@exeter.ac.uk</t>
  </si>
  <si>
    <t>10.1145/3774904.3793033</t>
  </si>
  <si>
    <t>10.1145/3774904.3793034</t>
  </si>
  <si>
    <t>sbekele@anl.gov</t>
  </si>
  <si>
    <t>bvideau@anl.gov</t>
  </si>
  <si>
    <t>10.1145/3774904.3793035</t>
  </si>
  <si>
    <t>zhangyunke1837@163.com</t>
  </si>
  <si>
    <t>10.1145/3774904.3793036</t>
  </si>
  <si>
    <t>10.1145/3774904.3793037</t>
  </si>
  <si>
    <t>10.1145/3774904.3793038</t>
  </si>
  <si>
    <t>fenglixu@tsinghua.edu.cn</t>
  </si>
  <si>
    <t>10.1145/3774904.3793039</t>
  </si>
  <si>
    <t>10.1145/3774904.3793040</t>
  </si>
  <si>
    <t>ihsan.qazi@lums.edu.pk</t>
  </si>
  <si>
    <t>10.1145/3774904.3793041</t>
  </si>
  <si>
    <t>10.1145/3774904.3793042</t>
  </si>
  <si>
    <t>liu.han.dut@gmail.com</t>
  </si>
  <si>
    <t>10.1145/3774904.3793043</t>
  </si>
  <si>
    <t>marco.postiglione@northwestern.edu</t>
  </si>
  <si>
    <t>10.1145/3774904.3793044</t>
  </si>
  <si>
    <t>f.xia@ieee.org</t>
  </si>
  <si>
    <t>10.1145/3774904.3793045</t>
  </si>
  <si>
    <t>xy_he@usst.edu.cn</t>
  </si>
  <si>
    <t>10.1145/3774904.3793046</t>
  </si>
  <si>
    <t>han_wang@sutd.edu.sg</t>
  </si>
  <si>
    <t>10.1145/3774904.3793047</t>
  </si>
  <si>
    <t>ccccccj03@connect.hku.hk</t>
  </si>
  <si>
    <t>10.1145/3774904.3793048</t>
  </si>
  <si>
    <t>jiaxingshen@LN.edu.hk</t>
  </si>
  <si>
    <t>10.1145/3774904.3793049</t>
  </si>
  <si>
    <t>cuilz@szu.edu.cn</t>
  </si>
  <si>
    <t>10.1145/3774904.3793050</t>
  </si>
  <si>
    <t>penghao5@jd.com</t>
  </si>
  <si>
    <t>10.1145/3774904.3793051</t>
  </si>
  <si>
    <t>10.1145/3774904.3793052</t>
  </si>
  <si>
    <t>Shoujin.Wang@uts.edu.au</t>
  </si>
  <si>
    <t>10.1145/3774904.3793053</t>
  </si>
  <si>
    <t>qianpjiang@jiangnan.edu.cn</t>
  </si>
  <si>
    <t>10.1145/3774904.3793054</t>
  </si>
  <si>
    <t>10.1145/3774904.3793055</t>
  </si>
  <si>
    <t>pyan8493@uni.sydney.edu.au</t>
  </si>
  <si>
    <t>10.1145/3774904.3793056</t>
  </si>
  <si>
    <t>10.1145/3774904.3793057</t>
  </si>
  <si>
    <t>diyicheng1@stu.jiangnan.edu.cn</t>
  </si>
  <si>
    <t>10.1145/3774904.3793058</t>
  </si>
  <si>
    <t>10.1145/3774904.3793059</t>
  </si>
  <si>
    <t>10.1145/3774904.3793060</t>
  </si>
  <si>
    <t>breeze.chen@unsw.edu.au</t>
  </si>
  <si>
    <t>10.1145/3774904.3793061</t>
  </si>
  <si>
    <t>10.1145/3774904.3793062</t>
  </si>
  <si>
    <t>kunli.hfut@gmail.com</t>
  </si>
  <si>
    <t>10.1145/3774904.3793805</t>
  </si>
  <si>
    <t>Florian Lecourt:LIRMM, University Montpellier II;Madalina Croitoru:LIRMM, Univ. Montpellier II;Konstantin Todorov:LIRMM, Univ. Montpellier II</t>
  </si>
  <si>
    <t>florian.lecourt@lirmm.fr</t>
  </si>
  <si>
    <t>10.1145/3774904.3795890</t>
  </si>
  <si>
    <t>Pascale Fung</t>
  </si>
  <si>
    <t>pascale@ee.ust.hk</t>
  </si>
  <si>
    <t>10.1145/3774904.3795891</t>
  </si>
  <si>
    <t>Alistair Moffat</t>
  </si>
  <si>
    <t>ammoffat@unimelb.edu.au</t>
  </si>
  <si>
    <t>Manuscript ID</t>
  </si>
  <si>
    <t>Title of WWW Companion'26 Submission</t>
  </si>
  <si>
    <t>Full tilte</t>
  </si>
  <si>
    <t>Contact Author</t>
  </si>
  <si>
    <t>OA Status</t>
  </si>
  <si>
    <t>Livestreaming</t>
  </si>
  <si>
    <t>Auxiliary Materials</t>
  </si>
  <si>
    <t>Progress Check - View Meanings</t>
  </si>
  <si>
    <t>10.1145/3774905.3793103</t>
  </si>
  <si>
    <t>Wenxiao Zhang, Yu Liu, Qiang Sun, Yihao Ding, Sirui Li, Yanbing Liu, Jin Hong, Wei Liu</t>
  </si>
  <si>
    <t>wenxiao.zhang@research.uwa.edu.au</t>
  </si>
  <si>
    <t>ACM Open</t>
  </si>
  <si>
    <t>Yes</t>
  </si>
  <si>
    <t>No</t>
  </si>
  <si>
    <t>Finished</t>
  </si>
  <si>
    <t>10.1145/3774905.3793104</t>
  </si>
  <si>
    <t>Zhiyi Mou, Zeheng Qian, Tianfang Xiao, Wangze Ni, Weijie Sun, Lei Chen, Zhan Qin, Peng Cheng, Kui Ren</t>
  </si>
  <si>
    <t>niwangze@zju.edu.cn</t>
  </si>
  <si>
    <t>14578819
(Paid in full)</t>
  </si>
  <si>
    <t>10.1145/3774905.3793105</t>
  </si>
  <si>
    <t>Li Liu, Omar Alonso, Giorgio Ballardin</t>
  </si>
  <si>
    <t>oralonso@gmail.com</t>
  </si>
  <si>
    <t>10.1145/3774905.3793106</t>
  </si>
  <si>
    <t>Enhao Huang, Tongtong Pan, Shuhuai Zhang, Qishu Jin, Liheng Zheng, Kaichun Hu, Yiming Li, Zhan Qin, Kui Ren</t>
  </si>
  <si>
    <t>10.1145/3774905.3793107</t>
  </si>
  <si>
    <t>Guo Chen, Haowei Tang, Yan Wei, Yuming Wang, Haoyang Zhang, Yikang Hou, Maolin Zheng, Junjie Huang</t>
  </si>
  <si>
    <t>junjiehuang@swu.edu.cn</t>
  </si>
  <si>
    <t>30% Membership Discount
14565525
(Paid in full)</t>
  </si>
  <si>
    <t>10.1145/3774905.3793108</t>
  </si>
  <si>
    <t>Binhao Wang, Jianglin Huang, Xiao Hu, Shan Jiang, Maolin Wang, Ching-Ho Yang, Jian Jiang, Junhao Ye, Yaozu Cen, Rui Zeng, Yingtong Zhou, Yingjie Luo, Guanjie Wu, Wangzhong Xu, Feiyu Zhou, Xiangyu Zhao</t>
  </si>
  <si>
    <t>morin.wang@my.cityu.edu.hk</t>
  </si>
  <si>
    <t>10.1145/3774905.3793109</t>
  </si>
  <si>
    <t>Jiawei Zhou, Ruicheng Zhu, Mengshi Chen, Jianwei Wang, Kai Wang</t>
  </si>
  <si>
    <t>jianwei.wang1@unsw.edu.au</t>
  </si>
  <si>
    <t>10.1145/3774905.3793110</t>
  </si>
  <si>
    <t>Mengze Hong, Di Jiang, Weiwei Zhao, Yawen Li, Yihang Wang, Xinyuan Luo, Yanjie Sun, Chen Zhang</t>
  </si>
  <si>
    <t>10.1145/3774905.3793111</t>
  </si>
  <si>
    <t>Fangyong Pan, Xi Chen, Weiqi Xu, Yifeng Xu, Haofen Wang</t>
  </si>
  <si>
    <t>x_chen21@m.fudan.edu.cn</t>
  </si>
  <si>
    <t>14557764
(Paid in full)</t>
  </si>
  <si>
    <t>10.1145/3774905.3793112</t>
  </si>
  <si>
    <t>Ziqi Ding, Shangzhi Xu, Wei Song, Yuekang Li</t>
  </si>
  <si>
    <t>wei.song1@unsw.edu.au</t>
  </si>
  <si>
    <t>10.1145/3774905.3793113</t>
  </si>
  <si>
    <t>Cheng-Ru Chou, Shou-Po Tsai, Jing-Zhe Huang, Hsu-Han Tu, Pei-Xuan Li, Hsun-Ping Hsieh</t>
  </si>
  <si>
    <t>hphsieh@mail.ncku.edu.tw</t>
  </si>
  <si>
    <t>14559873
(Paid in full)</t>
  </si>
  <si>
    <t>10.1145/3774905.3793114</t>
  </si>
  <si>
    <t>Min-Huan Tsai, Cheng-Ru Chou, Chia Chen Tsai, Yu-Yin Wang, Pei-Xuan Li, Hsun-Ping Hsieh, Tzu-Chang Lee</t>
  </si>
  <si>
    <t>14567324
(Paid in full)</t>
  </si>
  <si>
    <t>10.1145/3774905.3793115</t>
  </si>
  <si>
    <t>Yutian Xu, Yanhao Wang, Hui Li, Shengjie Xia, Shengtian Min</t>
  </si>
  <si>
    <t>cse.huili@gzu.edu.cn</t>
  </si>
  <si>
    <t>30% Membership Discount
14574355
(Paid in full)</t>
  </si>
  <si>
    <t>10.1145/3774905.3793116</t>
  </si>
  <si>
    <t>Prahaladh Chandrahasan, Jiahe Jin, Zhihan Zhang, Tevin Wang, Andy Tang, Lucy Mo, Morteza Ziyadi, Leonardo F.R. Ribeiro, Zimeng Qiu, Markus Dreyer, Akari Asai, Chenyan Xiong</t>
  </si>
  <si>
    <t>prahalac@andrew.cmu.edu</t>
  </si>
  <si>
    <t>10.1145/3774905.3793117</t>
  </si>
  <si>
    <t>Yihao Ding, Qiang Sun, Puzhen Wu, Sirui Li, Siwen Luo, Wei Liu</t>
  </si>
  <si>
    <t>Yihao.Ding@uwa.edu.au</t>
  </si>
  <si>
    <t>10.1145/3774905.3793118</t>
  </si>
  <si>
    <t>Zijie Meng, Zheyong Xie, Zheyu Ye, Chonggang Lu, Zuozhu Liu, Zihan Niu, Yao Hu, Shaosheng Cao</t>
  </si>
  <si>
    <t>shelsoncao@gmail.com</t>
  </si>
  <si>
    <t>14576110
(Paid in full)</t>
  </si>
  <si>
    <t>10.1145/3774905.3793119</t>
  </si>
  <si>
    <t>Mengze Hong, Di Jiang, Chen Zhang, Zichang Guo, Yawen Li, Jun Chen, Shaobo Cui, Zhiyang Su</t>
  </si>
  <si>
    <t>10.1145/3774905.3793120</t>
  </si>
  <si>
    <t>Gerard Pons, Besim Bilalli, Anna Queralt</t>
  </si>
  <si>
    <t>gerard.pons.recasens@upc.edu</t>
  </si>
  <si>
    <t>10.1145/3774905.3793121</t>
  </si>
  <si>
    <t>Vikranth Udandarao, Muthuraj Vairamuthu, Noel Tiju, Harsh Mistry, Armaan Singh, Dhruv Kumar</t>
  </si>
  <si>
    <t>vikranth22570@iiitd.ac.in</t>
  </si>
  <si>
    <t>10.1145/3774905.3793122</t>
  </si>
  <si>
    <t>Junyi Hou, Andre Lin Huikai, Nuo Chen, Yiwei Gong, Bingsheng He</t>
  </si>
  <si>
    <t>e0945797@u.nus.edu</t>
  </si>
  <si>
    <t>10.1145/3774905.3793123</t>
  </si>
  <si>
    <t>Zixin Wang, Junliang Yu, Tong Chen, Yadan Luo, Shazia Sadiq</t>
  </si>
  <si>
    <t>shazia@eecs.uq.edu.au</t>
  </si>
  <si>
    <t>10.1145/3774905.3793124</t>
  </si>
  <si>
    <t>Charles Courchaine, Ricky Sethi, Hefei Qiu</t>
  </si>
  <si>
    <t>rickys@sethi.org</t>
  </si>
  <si>
    <t>10.1145/3774905.3793125</t>
  </si>
  <si>
    <t>Ting Bai, Jiazheng Kang, Jiayang Fan, Hengzhi Lan, Yutian Zhong</t>
  </si>
  <si>
    <t>14562987
(Paid in full)</t>
  </si>
  <si>
    <t>10.1145/3774905.3793126</t>
  </si>
  <si>
    <t>Shuo Miao, Haitao Li, Yueyue Wu, Qingyao Ai, Yiqun Liu</t>
  </si>
  <si>
    <t>wuyueyue@mail.tsinghua.edu.cn</t>
  </si>
  <si>
    <t>10.1145/3774905.3793127</t>
  </si>
  <si>
    <t>Songyuan Sui, Zhanqi Deng, Yamin Zhuang, Serena Liu, Leisheng Yu, Alfredo Costilla Reyes, Xia Hu</t>
  </si>
  <si>
    <t>ss275@rice.edu</t>
  </si>
  <si>
    <t>10.1145/3774905.3793128</t>
  </si>
  <si>
    <t>Sajad Ebrahimi, Soroush Sadeghian, Ali Ghorbanpour, Negar Arabzadeh, Sara Salamat, Seyed Mohammad Hosseini, Hai Son Le, Mahdi Bashari, Ebrahim Bagheri</t>
  </si>
  <si>
    <t>ngr.arabzadeh@gmail.com</t>
  </si>
  <si>
    <t>10.1145/3774905.3793129</t>
  </si>
  <si>
    <t>Kausik Lakkaraju, Siva Likitha Valluru, Biplav Srivastava, Marco Valtorta</t>
  </si>
  <si>
    <t>kausik@email.sc.edu</t>
  </si>
  <si>
    <t>10.1145/3774905.3793130</t>
  </si>
  <si>
    <t>Han Bao, Yue Huang, Xiangliang Zhang, Yanfang Ye</t>
  </si>
  <si>
    <t>hbao@nd.edu</t>
  </si>
  <si>
    <t>10.1145/3774905.3793131</t>
  </si>
  <si>
    <t>Marouane Benbrahim, Xin Fang, Zhiqian Chen</t>
  </si>
  <si>
    <t>mb4194@msstate.edu</t>
  </si>
  <si>
    <t>10.1145/3774905.3793132</t>
  </si>
  <si>
    <t>Muhammad Sohaib Ayub, Umair ul Hassan, Imdad Ullah Khan, Edward Curry</t>
  </si>
  <si>
    <t>muhammadsohaib.ayub@universityofgalway.ie</t>
  </si>
  <si>
    <t>10.1145/3774905.3793133</t>
  </si>
  <si>
    <t>Wenjun Feng, Rui Li, Zheng Zhang, Zhenya Huang, Qi Liu</t>
  </si>
  <si>
    <t>14578932
(Paid in full)</t>
  </si>
  <si>
    <t>10.1145/3774905.3793134</t>
  </si>
  <si>
    <t>Ruizhi Yu, Keyang Zhong, Peng Liu, Qi Wu, Haoran Zhang, Yanhao Zhang, Chen Chen, Haonan Lu</t>
  </si>
  <si>
    <t>arlen.liu@oppo.com</t>
  </si>
  <si>
    <t>10.1145/3774905.3793135</t>
  </si>
  <si>
    <t>Amin Bigdeli, Radin Hamidi Rad, Mert Incesu, Negar Arabzadeh, Charles Clarke, Ebrahim Bagheri</t>
  </si>
  <si>
    <t>aminbigdeli97@gmail.com</t>
  </si>
  <si>
    <t>10.1145/3774905.3793136</t>
  </si>
  <si>
    <t>Hasan Günes, Milos Jovanovik, Katja Hose</t>
  </si>
  <si>
    <t>milos.jovanovik@tuwien.ac.at</t>
  </si>
  <si>
    <t>10.1145/3774905.3793137</t>
  </si>
  <si>
    <t>Aditya Tanna, Pratinav Seth, Mohamed Bouadi, Vinay Sankarapu</t>
  </si>
  <si>
    <t>14557795
(Paid in full)</t>
  </si>
  <si>
    <t>10.1145/3774905.3793138</t>
  </si>
  <si>
    <t>Siming Yuan, Yuchen Liu, Qinan Zheng, Wangze Ni, Shimin Di, Lei Chen, Kui Ren</t>
  </si>
  <si>
    <t>14580438
(Paid in full)</t>
  </si>
  <si>
    <t>10.1145/3774905.3793139</t>
  </si>
  <si>
    <t>Jiqian Yang, Sujie Yan, Zhi Li, Mingyu Liu, Yousheng Wang, Wei He</t>
  </si>
  <si>
    <t>zhilizl@sz.tsinghua.edu.cn</t>
  </si>
  <si>
    <t>10.1145/3774905.3793140</t>
  </si>
  <si>
    <t>Saber Zerhoudi, Michael Dinzinger, Michael Granitzer, Jelena Mitrovic</t>
  </si>
  <si>
    <t>szerhoudi@acm.org</t>
  </si>
  <si>
    <t>10.1145/3774905.3793141</t>
  </si>
  <si>
    <t>Kiana Bagheri-Lotfabad, Amin Beheshti, Milad Mosharraf, Min Li, Pooyan Asgari, Guanfeng Liu</t>
  </si>
  <si>
    <t>kiana.bagherilotfabad@students.mq.edu.au</t>
  </si>
  <si>
    <t>10.1145/3774905.3793142</t>
  </si>
  <si>
    <t>Xiaoyu Ma, Zhengqing Yuan, Zheyuan Zhang, Kaiwen Shi, Lichao Sun, Yanfang Ye</t>
  </si>
  <si>
    <t>e1583274@u.nus.edu</t>
  </si>
  <si>
    <t>10.1145/3774905.3793911</t>
  </si>
  <si>
    <t>Bhawna Piryani, Avishek Anand, Adam Jatowt</t>
  </si>
  <si>
    <t>bhawna.piryani@gmail.com</t>
  </si>
  <si>
    <t>10.1145/3774905.3793912</t>
  </si>
  <si>
    <t>Xin Wang, Zirui Pan, Yuwei Zhou, Wenwu Zhu</t>
  </si>
  <si>
    <t>xin_wang@tsinghua.edu.cn</t>
  </si>
  <si>
    <t>10.1145/3774905.3793913</t>
  </si>
  <si>
    <t>Chen Xu, Clara Rus, Yuanna Liu, Marleen de Jonge, Jun Xu, Maarten de Rijke</t>
  </si>
  <si>
    <t>M.deRijke@uva.nl</t>
  </si>
  <si>
    <t>10.1145/3774905.3793914</t>
  </si>
  <si>
    <t>Shweta Garg, Behrooz Omidvar-Tehrani, Shengyu Fu, Gauthier Guinet, Baishakhi Ray</t>
  </si>
  <si>
    <t>shwetagarg2006@gmail.com</t>
  </si>
  <si>
    <t>10.1145/3774905.3793915</t>
  </si>
  <si>
    <t>Zijian Zhang, Hao Miao, Yuxuan Liang, Yan Zhao, Irwin King</t>
  </si>
  <si>
    <t>10.1145/3774905.3793916</t>
  </si>
  <si>
    <t>Dongping Liu, Aoyu Zhang, Luyao Zhang</t>
  </si>
  <si>
    <t>lz183@duke.edu</t>
  </si>
  <si>
    <t>10.1145/3774905.3793917</t>
  </si>
  <si>
    <t>Chuan Meng, Fengran Mo, Mohammad Aliannejadi, Jeff Dalton, Jian-Yun Nie</t>
  </si>
  <si>
    <t>chuan.meng@ed.ac.uk</t>
  </si>
  <si>
    <t>10.1145/3774905.3793919</t>
  </si>
  <si>
    <t>Djallel Bouneffouf, Raphael Feraud</t>
  </si>
  <si>
    <t>Djallel.Bouneffouf@ibm.com</t>
  </si>
  <si>
    <t>10.1145/3774905.3793920</t>
  </si>
  <si>
    <t>Qiang Sun, Yihao Ding, Sirui Li, Wei Liu</t>
  </si>
  <si>
    <t>wei.liu@uwa.edu.au</t>
  </si>
  <si>
    <t>10.1145/3774905.3793921</t>
  </si>
  <si>
    <t>Ramesh Raskar, Pradyumna Chari</t>
  </si>
  <si>
    <t>pchari@media.mit.edu</t>
  </si>
  <si>
    <t>10.1145/3774905.3793922</t>
  </si>
  <si>
    <t>Peng Cui, Xingxuan Zhang, Han-Jia Ye, Jintai Chen, Shuyang Li</t>
  </si>
  <si>
    <t>xingxuanzhang@hotmail.com</t>
  </si>
  <si>
    <t>10.1145/3774905.3793923</t>
  </si>
  <si>
    <t>Xiang Ao, Yang Liu, Guansong Pang, Yuanhao Ding, Hezhe Qiao, Dawei Cheng, Qing He</t>
  </si>
  <si>
    <t>10.1145/3774905.3793924</t>
  </si>
  <si>
    <t>Manali Sharma, Ayush Garg</t>
  </si>
  <si>
    <t>manali.chd@gmail.com</t>
  </si>
  <si>
    <t>10.1145/3774905.3794642</t>
  </si>
  <si>
    <t>Konstantin Todorov, Stefan Dietze, Dimitar Dimitrov, Pavlos Fafalios</t>
  </si>
  <si>
    <t>fafalios@ics.forth.gr</t>
  </si>
  <si>
    <t>10.1145/3774905.3794644</t>
  </si>
  <si>
    <t>wk04</t>
  </si>
  <si>
    <t>Georgios Kaoukis, Ioannis-Aris Koufopoulos, Eleni Psaroudaki, Danae Pla Karidi, Evaggelia Pitoura, George Papastefanatos, Panayiotis Tsaparas</t>
  </si>
  <si>
    <t>10.1145/3774905.3794645</t>
  </si>
  <si>
    <t>Yiyi Chen, Sukhumarn Archasantisuk, Johannes Bjerva</t>
  </si>
  <si>
    <t>yiyic@cs.aau.dk</t>
  </si>
  <si>
    <t>10.1145/3774905.3794646</t>
  </si>
  <si>
    <t>Carmela Comito, Annalisa Socievole, Ester Zumpano</t>
  </si>
  <si>
    <t>carmela.comito@icar.cnr.it</t>
  </si>
  <si>
    <t>10.1145/3774905.3794648</t>
  </si>
  <si>
    <t>wk09</t>
  </si>
  <si>
    <t>Gianluca Bonifazi, Stefano Cirillo, Eliana Pastor, Luca Virgili</t>
  </si>
  <si>
    <t>scirillo@unisa.it</t>
  </si>
  <si>
    <t>10.1145/3774905.3794651</t>
  </si>
  <si>
    <t>Srestha Sadhu, Deepanwita Mallick, Mariana Curado Malta, Amrita Namtirtha, Animesh Dutta, Nilabza Som</t>
  </si>
  <si>
    <t>mariana.c.malta@inesctec.pt</t>
  </si>
  <si>
    <t>10.1145/3774905.3794652</t>
  </si>
  <si>
    <t>Shilpa Verma, Rishit Sharma</t>
  </si>
  <si>
    <t>rishitsharma.bt22ece@pec.edu.in</t>
  </si>
  <si>
    <t>14576138
(Paid in full)</t>
  </si>
  <si>
    <t>shilpa@pec.edu.in</t>
  </si>
  <si>
    <t>10.1145/3774905.3794653</t>
  </si>
  <si>
    <t>Joel Barmettler, Abraham Bernstein, Luca Rossetto</t>
  </si>
  <si>
    <t>luca.rossetto@dcu.ie</t>
  </si>
  <si>
    <t>10.1145/3774905.3794655</t>
  </si>
  <si>
    <t>Emanuele Cavalleri, Miad Alavinezhad, Marco Mesiti, Dario Malchiodi</t>
  </si>
  <si>
    <t>emanuele.cavalleri@unimi.it</t>
  </si>
  <si>
    <t>10.1145/3774905.3794656</t>
  </si>
  <si>
    <t>Haihua Xie, Miao He</t>
  </si>
  <si>
    <t>xiehaihua@mail.tsinghua.edu.cn</t>
  </si>
  <si>
    <t>10.1145/3774905.3794657</t>
  </si>
  <si>
    <t>Valentin Noël, Elimane Yassine Seidou</t>
  </si>
  <si>
    <t>valentin.noel@devoteam.com</t>
  </si>
  <si>
    <t>14582058
(Paid in full)</t>
  </si>
  <si>
    <t>10.1145/3774905.3794658</t>
  </si>
  <si>
    <t>Yuling Shi, Maolin Sun, Zijun Liu, Mo Yang, Yixiong Fang, Tianran Sun, Xiaodong Gu</t>
  </si>
  <si>
    <t>yixiongf@cs.cmu.edu</t>
  </si>
  <si>
    <t>10.1145/3774905.3794659</t>
  </si>
  <si>
    <t>wk10</t>
  </si>
  <si>
    <t>Kaike Zhang, Jiakai Tang, Du Su, Shuchang Liu, Julian McAuley, Lina Yao, Qi Cao, Yue Feng, Fei Sun</t>
  </si>
  <si>
    <t>ofey.sunfei@gmail.com</t>
  </si>
  <si>
    <t>10.1145/3774905.3794660</t>
  </si>
  <si>
    <t>Weixin Chen, Li Chen, Yuhan Zhao</t>
  </si>
  <si>
    <t>cswxchen@comp.hkbu.edu.hk</t>
  </si>
  <si>
    <t>10.1145/3774905.3794661</t>
  </si>
  <si>
    <t>Fei Liu, Xinyu Lin, Hanchao Yu, Mingyuan Wu, Jianyu Wang, Qiang Zhang, Zhuokai Zhao, Yinglong Xia, Yao Zhang, Weiwei Li, Mingze Gao, Qifan Wang, Lizhu Zhang, Benyu Zhang, Xiangjun Fan</t>
  </si>
  <si>
    <t>maxfan@meta.com</t>
  </si>
  <si>
    <t>10.1145/3774905.3794662</t>
  </si>
  <si>
    <t>Boyang Xia, Ruilin Bao, Hanjun Jiang, Jun Wang, Wenwu Ou</t>
  </si>
  <si>
    <t>xiaboyang.tech@gmail.com</t>
  </si>
  <si>
    <t>14583742
(Paid in full)</t>
  </si>
  <si>
    <t>10.1145/3774905.3794664</t>
  </si>
  <si>
    <t>Yuanhao Liu, Qi Cao, Huawei Shen, Xueqi Cheng</t>
  </si>
  <si>
    <t>caoqi@ict.ac.cn</t>
  </si>
  <si>
    <t>10.1145/3774905.3794665</t>
  </si>
  <si>
    <t>Hongxu Wang, Yingpeng Du, Zhu Sun, Lu Zhang, Tiantian He, Yew-Soon Ong</t>
  </si>
  <si>
    <t>ASYSOng@ntu.edu.sg</t>
  </si>
  <si>
    <t>10.1145/3774905.3794666</t>
  </si>
  <si>
    <t>Mithun Rameshbabu, Kamalakar Karlapalem</t>
  </si>
  <si>
    <t>kamal@iiit.ac.in</t>
  </si>
  <si>
    <t>50% Discount (Geo)
14576070
(Paid in full)</t>
  </si>
  <si>
    <t>10.1145/3774905.3794667</t>
  </si>
  <si>
    <t>Shrinivass Arunachalam Balasubramanian</t>
  </si>
  <si>
    <t>shrinivassab@acm.org</t>
  </si>
  <si>
    <t>30% Membership Discount
14576081
(Paid in full)</t>
  </si>
  <si>
    <t>10.1145/3774905.3794668</t>
  </si>
  <si>
    <t>Weixuan Sun, Yang Fang, Jiuyang Tang, Hao Xu, Bin Ge</t>
  </si>
  <si>
    <t>fangyang12@nudt.edu.cn</t>
  </si>
  <si>
    <t>14580520
(Paid in full)</t>
  </si>
  <si>
    <t>10.1145/3774905.3794669</t>
  </si>
  <si>
    <t>Zheng Ren, Yi Wu, Jianan Lu, Acar Ary, Yiqu Liu, Li Wei, Lukasz Heldt</t>
  </si>
  <si>
    <t>heldt@google.com</t>
  </si>
  <si>
    <t>10.1145/3774905.3794670</t>
  </si>
  <si>
    <t>wk18</t>
  </si>
  <si>
    <t>Lei Wang, Md Zakir Hossain, Tom Gedeon, Zicheng Pan, Syed Islam, Rafiqul Islam, Yasmeen George, Shreya Ghosh</t>
  </si>
  <si>
    <t>l.wang4@griffith.edu.au</t>
  </si>
  <si>
    <t>10.1145/3774905.3794671</t>
  </si>
  <si>
    <t>Syuan-Hao Li, Yi-Jui Huang, Lei Wang, Yongsheng Gao</t>
  </si>
  <si>
    <t>syuan-hao.li@griffithuni.edu.au</t>
  </si>
  <si>
    <t>14575973
(Paid in full)</t>
  </si>
  <si>
    <t>10.1145/3774905.3794672</t>
  </si>
  <si>
    <t>Quazi Mamun, Md Rafiqul Islam</t>
  </si>
  <si>
    <t>qmamun@csu.edu.au</t>
  </si>
  <si>
    <t>10.1145/3774905.3794673</t>
  </si>
  <si>
    <t>Edwin Kwadwo Tenagyei, Lei Wang, Yongsheng Gao</t>
  </si>
  <si>
    <t>10.1145/3774905.3794674</t>
  </si>
  <si>
    <t>Peilin Zheng, Xiucheng Wang, Wenshuo Chen, Ruijin Sun, Lei Wang, Yutao Yue, Nan Cheng</t>
  </si>
  <si>
    <t>dr.nan.cheng@ieee.org</t>
  </si>
  <si>
    <t>14588978
(Paid in full)</t>
  </si>
  <si>
    <t>10.1145/3774905.3794675</t>
  </si>
  <si>
    <t>shrinivassab@gmail.com</t>
  </si>
  <si>
    <t>30% Membership Discount
14576076
(Paid in full)</t>
  </si>
  <si>
    <t>10.1145/3774905.3794677</t>
  </si>
  <si>
    <t>Arpit Sharma, Lei Wang, Yongsheng Gao</t>
  </si>
  <si>
    <t>10.1145/3774905.3794678</t>
  </si>
  <si>
    <t>Md Mehedi Hasan, Maumita Bhattacharya, Md Rafiqul Islam</t>
  </si>
  <si>
    <t>mhasan@csu.edu.au</t>
  </si>
  <si>
    <t>10.1145/3774905.3794679</t>
  </si>
  <si>
    <t>Jannatul Ferdous, Rafiqul Islam, Md Zahidul Islam</t>
  </si>
  <si>
    <t>jferdous@csu.edu.au</t>
  </si>
  <si>
    <t>10.1145/3774905.3794680</t>
  </si>
  <si>
    <t>Md Sarwar Kamal, Sonia Farhana Nimmy, Ripon Chakrabortty, Md Zakir Hossain, Md Rafiqul Islam</t>
  </si>
  <si>
    <t>md_sarwar.kamal@unsw.edu.au</t>
  </si>
  <si>
    <t>10.1145/3774905.3794681</t>
  </si>
  <si>
    <t>Haosen Li, Wenshuo Chen, shaofeng liang, Lei Wang, Haozhe Jia, Yutao Yue</t>
  </si>
  <si>
    <t>yutaoyue@hkust-gz.edu.cn</t>
  </si>
  <si>
    <t>14589015
(Paid in full)</t>
  </si>
  <si>
    <t>10.1145/3774905.3794682</t>
  </si>
  <si>
    <t>Wenshuo Chen, Haozhe Jia, Kuimou Yu, Songning Lai, Lei Wang, Yutao Yue</t>
  </si>
  <si>
    <t>14588975
(Paid in full)</t>
  </si>
  <si>
    <t>10.1145/3774905.3794683</t>
  </si>
  <si>
    <t>Lucy Lu, Ming Lu</t>
  </si>
  <si>
    <t>llu@astate.edu</t>
  </si>
  <si>
    <t>10.1145/3774905.3794684</t>
  </si>
  <si>
    <t>Zhicheng Zhang, Lei Wang, Yongsheng Gao, Yu Zhang</t>
  </si>
  <si>
    <t>10.1145/3774905.3794685</t>
  </si>
  <si>
    <t>Kazi Kamal, Rafiqul Islam, Azizur Rahman</t>
  </si>
  <si>
    <t>kkamal@csu.edu.au</t>
  </si>
  <si>
    <t>10.1145/3774905.3794686</t>
  </si>
  <si>
    <t>wk20</t>
  </si>
  <si>
    <t>Muadh Al Kalbani, Ehsan Toreini</t>
  </si>
  <si>
    <t>e.toreini@samsung.com</t>
  </si>
  <si>
    <t>10.1145/3774905.3794687</t>
  </si>
  <si>
    <t>Xin Peng, Gerald Penn</t>
  </si>
  <si>
    <t>gpenn@cs.toronto.edu</t>
  </si>
  <si>
    <t>10.1145/3774905.3794688</t>
  </si>
  <si>
    <t>Sreeja Apparaju, Yichuan Niu, Xixi Qi</t>
  </si>
  <si>
    <t>sapparaju@snapchat.com</t>
  </si>
  <si>
    <t>14577532
(Paid in full)</t>
  </si>
  <si>
    <t>10.1145/3774905.3794689</t>
  </si>
  <si>
    <t>Vedansh Mehta, Sajad Shirali-Shahreza, Gerald Penn</t>
  </si>
  <si>
    <t>OFAC Block</t>
  </si>
  <si>
    <t>10.1145/3774905.3794690</t>
  </si>
  <si>
    <t>Ewelina Bartuzi-Trokielewicz, Alicja Martinek</t>
  </si>
  <si>
    <t>ewelina.bartuzi@nask.pl</t>
  </si>
  <si>
    <t>14579360
(Paid in full)</t>
  </si>
  <si>
    <t>10.1145/3774905.3794691</t>
  </si>
  <si>
    <t>Rohan Garg, Yongjin Xiao, Dianxia Yang, Mandar Rahurkar</t>
  </si>
  <si>
    <t>rohanvgarg@gmail.com</t>
  </si>
  <si>
    <t>10.1145/3774905.3794693</t>
  </si>
  <si>
    <t>wk23</t>
  </si>
  <si>
    <t>Shiho Kim, Ho Suk, Roberto Di Pietro, Davor Svetinovic, Kyunghi Chang, Madhusudan Singh, Rakesh Shrestha</t>
  </si>
  <si>
    <t>sukho93@yonsei.ac.kr</t>
  </si>
  <si>
    <t>10.1145/3774905.3794694</t>
  </si>
  <si>
    <t>Soumyadeep Das, Madhusudan Singh</t>
  </si>
  <si>
    <t>madhusudan.singh@ieee.org</t>
  </si>
  <si>
    <t>10.1145/3774905.3794695</t>
  </si>
  <si>
    <t>Dohyun Kim, Junghwan Choi, Shiho Kim</t>
  </si>
  <si>
    <t>kimdh5032@yonsei.ac.kr</t>
  </si>
  <si>
    <t>10.1145/3774905.3794696</t>
  </si>
  <si>
    <t>Euimin Lee, Hyeonseong Jung, Yunah Choi, Junyong Lee, Jeihee Cho, Seokhyeon Son, Shiho Kim</t>
  </si>
  <si>
    <t>euimin97@yonsei.ac.kr</t>
  </si>
  <si>
    <t>10.1145/3774905.3794697</t>
  </si>
  <si>
    <t>Kichang Lee, Sungmin Lee, Jaeho Jin, JeongGil Ko</t>
  </si>
  <si>
    <t>kichang.lee@yonsei.ac.kr</t>
  </si>
  <si>
    <t>10.1145/3774905.3794698</t>
  </si>
  <si>
    <t>Jihoon Oh, Junyong Lee, Jeihee Cho, Hyeonseong Jung, Eumin Lee, Yunah Choi, Shiho Kim</t>
  </si>
  <si>
    <t>jjunilee@yonsei.ac.kr</t>
  </si>
  <si>
    <t>10.1145/3774905.3794699</t>
  </si>
  <si>
    <t>Junyong Lee, Jeihee Cho, Hyeonseong Jung, Euimin Lee, Yunah Choi, Seokhyeon Son, Shiho Kim</t>
  </si>
  <si>
    <t>jeiheec@gmail.com</t>
  </si>
  <si>
    <t>10.1145/3774905.3794700</t>
  </si>
  <si>
    <t>Guilhem Repetto, Nojan Sheybani, Gabrielle De Micheli, Farinaz Koushanfar</t>
  </si>
  <si>
    <t>nsheyban@ucsd.edu</t>
  </si>
  <si>
    <t>10.1145/3774905.3794701</t>
  </si>
  <si>
    <t>Ayush Nainwal, Atharva Kamble, Nitin Awathare</t>
  </si>
  <si>
    <t>nitina@iitj.ac.in</t>
  </si>
  <si>
    <t>10.1145/3774905.3794702</t>
  </si>
  <si>
    <t>Marco Vela-Koentarjo, Madhusudan Singh</t>
  </si>
  <si>
    <t>mrv5269@psu.edu</t>
  </si>
  <si>
    <t>10.1145/3774905.3794703</t>
  </si>
  <si>
    <t>Gyeongmin Han, Sungmin Lee, Joonhee Lee, Kichang Lee, JeongGil Ko</t>
  </si>
  <si>
    <t>sd061123@yonsei.ac.kr</t>
  </si>
  <si>
    <t>10.1145/3774905.3794704</t>
  </si>
  <si>
    <t>Giwoong Kim, Youjeong Son, Shiho Kim</t>
  </si>
  <si>
    <t>shiho@yonsei.ac.kr</t>
  </si>
  <si>
    <t>10.1145/3774905.3794705</t>
  </si>
  <si>
    <t>Minyong Eom, Danyung Kyung, Shiho Kim</t>
  </si>
  <si>
    <t>10.1145/3774905.3794706</t>
  </si>
  <si>
    <t>Cheolwoo Ryu, Danyung Kyung, Shiho Kim</t>
  </si>
  <si>
    <t>10.1145/3774905.3794707</t>
  </si>
  <si>
    <t>Syahirul Faiz, Huned Materwala, Davor Svetinovic</t>
  </si>
  <si>
    <t>davor.svetinovic@ku.ac.ae</t>
  </si>
  <si>
    <t>30% Membership Discount
14583445
(Paid in full)</t>
  </si>
  <si>
    <t>10.1145/3774905.3794708</t>
  </si>
  <si>
    <t>Sungmin Lee, Kichang Lee, Gyeongmin Han, Jeonggil Ko</t>
  </si>
  <si>
    <t>i.am.sungmin.lee@yonsei.ac.kr</t>
  </si>
  <si>
    <t>10.1145/3774905.3794709</t>
  </si>
  <si>
    <t>Joonhee Lee, Kichang Lee, Jeonggil Ko</t>
  </si>
  <si>
    <t>neo81389@yonsei.ac.kr</t>
  </si>
  <si>
    <t>10.1145/3774905.3795072</t>
  </si>
  <si>
    <t>htw1</t>
  </si>
  <si>
    <t>Oshani Seneviratne, Wendy Hall</t>
  </si>
  <si>
    <t>senevo@rpi.edu</t>
  </si>
  <si>
    <t>10.1145/3774905.3795074</t>
  </si>
  <si>
    <t>10.1145/3774905.3795075</t>
  </si>
  <si>
    <t>10.1145/3774905.3795076</t>
  </si>
  <si>
    <t>Axel Polleres, Frederik Bauer, Daniil Dobriy, Tobias Käfer, Lukas Kubelka, Andreas Harth, Thomas Wehr</t>
  </si>
  <si>
    <t>andreas.harth@fau.de</t>
  </si>
  <si>
    <t>10.1145/3774905.3795078</t>
  </si>
  <si>
    <t>wk15</t>
  </si>
  <si>
    <t>Danilo Dessì, Rima Dessì, Jeenu Joy, Hidir Aras, Francesco Osborne</t>
  </si>
  <si>
    <t>ddessi@sharjah.ac.ae</t>
  </si>
  <si>
    <t>10.1145/3774905.3795079</t>
  </si>
  <si>
    <t>Sandra Schaftner, Martin Gaedke</t>
  </si>
  <si>
    <t>sandra.schaftner@informatik.tu-chemnitz.de</t>
  </si>
  <si>
    <t>10.1145/3774905.3795080</t>
  </si>
  <si>
    <t>10.1145/3774905.3795082</t>
  </si>
  <si>
    <t>Jie Bian, Michael Welzl, Nikolay Arefyev</t>
  </si>
  <si>
    <t>jiebi@ifi.uio.no</t>
  </si>
  <si>
    <t>10.1145/3774905.3795084</t>
  </si>
  <si>
    <t>Henry Lim, Kwan Hui Lim</t>
  </si>
  <si>
    <t>henry_lim@mymail.sutd.edu.sg</t>
  </si>
  <si>
    <t>10.1145/3774905.3795085</t>
  </si>
  <si>
    <t>Yu-Han Shi, Yao-Chung Fan</t>
  </si>
  <si>
    <t>nico35726@gmail.com</t>
  </si>
  <si>
    <t>10.1145/3774905.3795086</t>
  </si>
  <si>
    <t>wk06</t>
  </si>
  <si>
    <t>Boualem Benatallah, Pradyumna Chari, Abul Ehtesham, Abderrahmane Maaradji, Luca Muscariello, Fatma Outay, Ramesh Raskar, Yacine Sam, Sabrina Senatore, Aditi Singh</t>
  </si>
  <si>
    <t>yacine.sam@univ-tours.fr</t>
  </si>
  <si>
    <t>10.1145/3774905.3795087</t>
  </si>
  <si>
    <t>Dasheng Bi, Yubin Hu, Mohammed Nasir</t>
  </si>
  <si>
    <t>harvey@altrina.com</t>
  </si>
  <si>
    <t>14578985
(Paid in full)</t>
  </si>
  <si>
    <t>10.1145/3774905.3795088</t>
  </si>
  <si>
    <t>Iacovos Ioannou, Ala Khalifeh</t>
  </si>
  <si>
    <t>ala.khalifeh@gju.edu.jo</t>
  </si>
  <si>
    <t>14581977
(Paid in full)</t>
  </si>
  <si>
    <t>10.1145/3774905.3795089</t>
  </si>
  <si>
    <t>Diogo Cortiz, Beatriz Rocha, Vagner Figueredo de Santana, Henrique S. Xavier, Jacqueline Custodio</t>
  </si>
  <si>
    <t>santana.vagner@gmail.com</t>
  </si>
  <si>
    <t>10.1145/3774905.3795090</t>
  </si>
  <si>
    <t>Djamel-Eddine Louhbaibat, Juba Agoun, Mohand-Saïd Hacid</t>
  </si>
  <si>
    <t>Juba.agoun@univ-lyon2.fr</t>
  </si>
  <si>
    <t>14582077
(Paid in full)</t>
  </si>
  <si>
    <t>djamel-eddine.louhbaibat@etu.univ-lyon1.fr</t>
  </si>
  <si>
    <t>10.1145/3774905.3795091</t>
  </si>
  <si>
    <t>Djallel Bouneffouf</t>
  </si>
  <si>
    <t>10.1145/3774905.3795092</t>
  </si>
  <si>
    <t>Shusaku Egami, Masahiro Hamasaki</t>
  </si>
  <si>
    <t>s-egami@aist.go.jp</t>
  </si>
  <si>
    <t>10.1145/3774905.3795093</t>
  </si>
  <si>
    <t>Mugeng Liu, Shuoqi Li, Qi Yang, Yun Ma</t>
  </si>
  <si>
    <t>lmg@pku.edu.cn</t>
  </si>
  <si>
    <t>30% Membership Discount
14580436
(Paid in full)</t>
  </si>
  <si>
    <t>10.1145/3774905.3795094</t>
  </si>
  <si>
    <t>Ivan Samoylenko, Elizaveta Pribytkova</t>
  </si>
  <si>
    <t>uvan63@gmail.com</t>
  </si>
  <si>
    <t>10.1145/3774905.3795439</t>
  </si>
  <si>
    <t>wk16</t>
  </si>
  <si>
    <t>Marc Spaniol, Omar Alonso, Ricardo Baeza-Yates</t>
  </si>
  <si>
    <t>10.1145/3774905.3795440</t>
  </si>
  <si>
    <t>Jiajia Nie, Zekun Yin, Haoliang Sun, Weipeng Jiang, Wei Han, Bo Bai</t>
  </si>
  <si>
    <t>zekun.yin@mail.sdu.edu.cn</t>
  </si>
  <si>
    <t>30% Membership Discount
14583253
(Paid in full)</t>
  </si>
  <si>
    <t>10.1145/3774905.3795441</t>
  </si>
  <si>
    <t>Chuangen Gao, Haoliang Sun, Zekun Yin, Weipeng Jiang, Wei Han, Bo Bai</t>
  </si>
  <si>
    <t>haolsun.cn@gmail.com</t>
  </si>
  <si>
    <t>14580435
(Paid in full)</t>
  </si>
  <si>
    <t>10.1145/3774905.3795442</t>
  </si>
  <si>
    <t>Carmela Comito, Annalisa Socievole</t>
  </si>
  <si>
    <t>annalisa.socievole@icar.cnr.it</t>
  </si>
  <si>
    <t>10.1145/3774905.3795443</t>
  </si>
  <si>
    <t>Florian Nettersheim, Stephan Arlt</t>
  </si>
  <si>
    <t>stephan.arlt@bsi.bund.de</t>
  </si>
  <si>
    <t>10.1145/3774905.3795444</t>
  </si>
  <si>
    <t>Hilal Taha, Jeongju Sohn, Michail Papadakis</t>
  </si>
  <si>
    <t>hilal.taha@uni.lu</t>
  </si>
  <si>
    <t>10.1145/3774905.3795446</t>
  </si>
  <si>
    <t>Alireza Shammasi, Amin Beheshti, Milad Mosharraf, Min Li, Pooyan Asgari, Yuankai Qi</t>
  </si>
  <si>
    <t>alireza.shammasi@hdr.mq.edu.au</t>
  </si>
  <si>
    <t>10.1145/3774905.3795447</t>
  </si>
  <si>
    <t>Karolina Sliwa, Ema Kahr, Mark Strembeck</t>
  </si>
  <si>
    <t>karolina.malgorzata.sliwa@wu.ac.at</t>
  </si>
  <si>
    <t>10.1145/3774905.3795448</t>
  </si>
  <si>
    <t>Philipp Christmann, Gerhard Weikum</t>
  </si>
  <si>
    <t>philipp.christmann@cispa.de</t>
  </si>
  <si>
    <t>10.1145/3774905.3795449</t>
  </si>
  <si>
    <t>Oshani Seneviratne, Fernando Spadea, Adrien Pavao, Aaron Green, Kristin Bennett</t>
  </si>
  <si>
    <t>10.1145/3774905.3795450</t>
  </si>
  <si>
    <t>Jun Li, Xiangmeng Wang, Ziyan Zhang, Qun Zhao, Hong Va Leong, Qing Li</t>
  </si>
  <si>
    <t>hialex.li@connect.polyu.hk</t>
  </si>
  <si>
    <t>10.1145/3774905.3795451</t>
  </si>
  <si>
    <t>Dirk Ahlers, Sagnik Bhattacharjee, Jiří Tencar</t>
  </si>
  <si>
    <t>dirk.ahlers@ntnu.no</t>
  </si>
  <si>
    <t>10.1145/3774905.3795452</t>
  </si>
  <si>
    <t>wk12</t>
  </si>
  <si>
    <t>Surendrabikram Thapa, Roy Ka-Wei Lee, Mehwish Nasim, Usman Naseem</t>
  </si>
  <si>
    <t>surendrabikram@vt.edu</t>
  </si>
  <si>
    <t>10.1145/3774905.3795453</t>
  </si>
  <si>
    <t>Laxmi Thapa, Aryaman Jain, Lakshmojee Koduru, Surabhi Adhikari, Junaid Rashid, Jungeun Kim, Surendrabikram Thapa, Usman Naseem</t>
  </si>
  <si>
    <t>10.1145/3774905.3795455</t>
  </si>
  <si>
    <t>Siam Shibly Antar, Syem Shibly Ador, Steven H. H. Ding, Benjamin C. M. Fung</t>
  </si>
  <si>
    <t>siam.antar@mcgill.ca</t>
  </si>
  <si>
    <t>10.1145/3774905.3795456</t>
  </si>
  <si>
    <t>Mohammadhossein Ahmadi, Saleh Afzoon, Kamyar Taeb, Parimehr Morassa Far, Amin Beheshti</t>
  </si>
  <si>
    <t>mohammadhossein.ahmadi@hdr.mq.edu.au</t>
  </si>
  <si>
    <t>10.1145/3774905.3795457</t>
  </si>
  <si>
    <t>Gianmarco Cafferata, Tiziano Demarco, Kyriaki Kalimeri, Yelena Mejova, Mariano Beiró</t>
  </si>
  <si>
    <t>mbeiro@udesa.edu.ar</t>
  </si>
  <si>
    <t>14580439
(Paid in full)</t>
  </si>
  <si>
    <t>10.1145/3774905.3795458</t>
  </si>
  <si>
    <t>Muhammad Haseeb, Ahmad Imam Amjad, Maaz Amjad, Victor S. Sheng</t>
  </si>
  <si>
    <t>maaz.amjad@ttu.edu</t>
  </si>
  <si>
    <t>10.1145/3774905.3795459</t>
  </si>
  <si>
    <t>Ali Anaissi, Junaid Akram, Xiaojie Lin, Morteza Saberi, Ali Braytee</t>
  </si>
  <si>
    <t>ali.braytee@uts.edu.au</t>
  </si>
  <si>
    <t>10.1145/3774905.3795460</t>
  </si>
  <si>
    <t>Jialu Yang, Taotao Cai, Kaize Shi</t>
  </si>
  <si>
    <t>kaize.shi@unisq.edu.au</t>
  </si>
  <si>
    <t>10.1145/3774905.3795461</t>
  </si>
  <si>
    <t>Qianqi Zhang, Zeling Xu, Caichun Cen, Yuntao Zou, Hongyan Liu, Yaohua Deng, Hao Wu, Zhiyong Liao, Zihui Lin, Dagang Li, Wei Wang</t>
  </si>
  <si>
    <t>dgli@must.edu.mo</t>
  </si>
  <si>
    <t>10.1145/3774905.3795462</t>
  </si>
  <si>
    <t>Siyuan Chen, Usman Naseem, Mehwish Nasim</t>
  </si>
  <si>
    <t>10.1145/3774905.3795463</t>
  </si>
  <si>
    <t>Md Rafiqul Islam, Bem Le Hunte, Alice Xiaodan Dong, Dan Ferreira, Feng Yu, Sami Azam, Weidong Huang</t>
  </si>
  <si>
    <t>MdRafiqul.islam@cdu.edu.au</t>
  </si>
  <si>
    <t>10.1145/3774905.3795464</t>
  </si>
  <si>
    <t>Niranjana Arun Menon, Md Rafiqul Islam, Mohamed Reda Bouadjenek, Shoaib Jameel, Eran Segal, Imran Razzak</t>
  </si>
  <si>
    <t>n.arun_menon@student.unsw.edu.au</t>
  </si>
  <si>
    <t>10.1145/3774905.3795465</t>
  </si>
  <si>
    <t>Mohamed Bayan Kmainasi, Mucahid Kutlu, Ali Ezzat Shahroor, Abul Hasnat, Firoj Alam</t>
  </si>
  <si>
    <t>mk2314890@qu.edu.qa</t>
  </si>
  <si>
    <t>10.1145/3774905.3795466</t>
  </si>
  <si>
    <t>Zixing Song, Irwin King</t>
  </si>
  <si>
    <t>zixing.song@bristol.ac.uk</t>
  </si>
  <si>
    <t>10.1145/3774905.3795467</t>
  </si>
  <si>
    <t>Sumeet Kumar, Aditya Bobde, Rakesh Mallipeddi</t>
  </si>
  <si>
    <t>sumeet_kumar@isb.edu</t>
  </si>
  <si>
    <t>50% Discount (Geo)
14582231
(Paid in full)</t>
  </si>
  <si>
    <t>10.1145/3774905.3795468</t>
  </si>
  <si>
    <t>wk02</t>
  </si>
  <si>
    <t>Esma Aïmeur, Rim Ben Salem, Dorsaf Sallami, Julita Vassileva, Nora Boulahia-Cuppens</t>
  </si>
  <si>
    <t>dorsaf.sallami@umontreal.ca</t>
  </si>
  <si>
    <t>10.1145/3774905.3795469</t>
  </si>
  <si>
    <t>Lidaw Fabrice Ledjaki, Yuan-Chen Chang, Mohamed Loutis, Esma Aïmeur</t>
  </si>
  <si>
    <t>lidaw.fabrice.ledjaki@umontreal.ca</t>
  </si>
  <si>
    <t>10.1145/3774905.3795470</t>
  </si>
  <si>
    <t>Jonathan Roy, Lina Rashdan, Fehmi Jaafar</t>
  </si>
  <si>
    <t>jonathan.roy@uqac.ca</t>
  </si>
  <si>
    <t>10.1145/3774905.3795471</t>
  </si>
  <si>
    <t>Alexander Loth, Martin Kappes, Marc-Oliver Pahl</t>
  </si>
  <si>
    <t>home@alexloth.com</t>
  </si>
  <si>
    <t>10.1145/3774905.3795474</t>
  </si>
  <si>
    <t>Michał Koźbiał, Mateusz Kowalczyk</t>
  </si>
  <si>
    <t>michal.kozbial@nask.pl</t>
  </si>
  <si>
    <t>14580431
(Paid in full)</t>
  </si>
  <si>
    <t>10.1145/3774905.3795475</t>
  </si>
  <si>
    <t>Jinman Zhao, Linbo Cao, Xueyan Zhang, Ken Shi, Yining Wang, Gerald Penn</t>
  </si>
  <si>
    <t>10.1145/3774905.3795476</t>
  </si>
  <si>
    <t>Christian Kengne</t>
  </si>
  <si>
    <t>christian.kengne@polymtl.ca</t>
  </si>
  <si>
    <t>10.1145/3774905.3795477</t>
  </si>
  <si>
    <t>Erika Elizabeth Taday Morocho, Lorenzo Cima, Tiziano Fagni, Marco Avvenuti, Stefano Cresci</t>
  </si>
  <si>
    <t>lorenzo.cima@iit.cnr.it</t>
  </si>
  <si>
    <t>10.1145/3774905.3795479</t>
  </si>
  <si>
    <t>wk14</t>
  </si>
  <si>
    <t>Fakhri Momeni, Arnim Bleier, Danilo Dessì, Muhammad Taimoor Khan</t>
  </si>
  <si>
    <t>taimoor.khan@gesis.org</t>
  </si>
  <si>
    <t>10.1145/3774905.3795480</t>
  </si>
  <si>
    <t>Muhammad Taimoor Khan, Fakhri Momeni, Arnim Bleier</t>
  </si>
  <si>
    <t>10.1145/3774905.3795481</t>
  </si>
  <si>
    <t>Henrique Xavier, Beatriz Rocha, Diogo Cortiz</t>
  </si>
  <si>
    <t>hsxavier@yahoo.com</t>
  </si>
  <si>
    <t>14580561
(Paid in full)</t>
  </si>
  <si>
    <t>10.1145/3774905.3795484</t>
  </si>
  <si>
    <t>10.1145/3774905.3795485</t>
  </si>
  <si>
    <t>Syed Mehtab Hussain Shah, Frank Hopfgartner, Arnim Bleier</t>
  </si>
  <si>
    <t>mehtab.shah@gesis.org</t>
  </si>
  <si>
    <t>14588877
(Paid in full)</t>
  </si>
  <si>
    <t>10.1145/3774905.3795597</t>
  </si>
  <si>
    <t>wk03</t>
  </si>
  <si>
    <t>Giorgio Maria Di Nunzio, Evangelos Kanoulas, Prasenjit Majumder</t>
  </si>
  <si>
    <t>giorgiomaria.dinunzio@unipd.it</t>
  </si>
  <si>
    <t>10.1145/3774905.3795598</t>
  </si>
  <si>
    <t>Giorgio Maria Di Nunzio</t>
  </si>
  <si>
    <t>10.1145/3774905.3795599</t>
  </si>
  <si>
    <t>Yuejie Li, Ke Yang, Tao Wang, Bolin Chen, Bowen Li, Chengjun Mao</t>
  </si>
  <si>
    <t>liyuejie.lyj@antgroup.com</t>
  </si>
  <si>
    <t>10.1145/3774905.3795600</t>
  </si>
  <si>
    <t>Sourav Dutta</t>
  </si>
  <si>
    <t>sourav.dutta2@huawei.com</t>
  </si>
  <si>
    <t>10.1145/3774905.3795601</t>
  </si>
  <si>
    <t>Carlo Arpini, Mirko Cesarini, Emmanuele Lotano</t>
  </si>
  <si>
    <t>mirko.cesarini@unimib.it</t>
  </si>
  <si>
    <t>10.1145/3774905.3795604</t>
  </si>
  <si>
    <t>wk01</t>
  </si>
  <si>
    <t>Cesar Sanin, Md Rafiqul Islam, Edward Szczerbicki</t>
  </si>
  <si>
    <t>csanin@icms.edu.au</t>
  </si>
  <si>
    <t>10.1145/3774905.3795605</t>
  </si>
  <si>
    <t>Kushal Pokhrel, Cesar Sanin, Md Kowsar Hossain Sakib, Edward Szczerbicki</t>
  </si>
  <si>
    <t>10.1145/3774905.3795606</t>
  </si>
  <si>
    <t>A B M Mehedi Hasan, Ljiljana Brankovic, Cesar Sanin, David Paul</t>
  </si>
  <si>
    <t>ahasan7@myune.edu.au</t>
  </si>
  <si>
    <t>10.1145/3774905.3795607</t>
  </si>
  <si>
    <t>David Hason Rudd, A B M Mehedi Hasan, Johan Sebastian Ramirez Vallejo, Md. Rafiqul Islam, Andrew Levula, Cesar Sanin</t>
  </si>
  <si>
    <t>david.hasonrudd@uts.edu.au</t>
  </si>
  <si>
    <t>10.1145/3774905.3795608</t>
  </si>
  <si>
    <t>Trien Tran, Fareed Ud Din, Ljiljana Brankovic, Cesar Sanin, Susan Hester</t>
  </si>
  <si>
    <t>cesar.sanin@une.edu.au</t>
  </si>
  <si>
    <t>10.1145/3774905.3795610</t>
  </si>
  <si>
    <t>Felix Breiteneder, Mohammad Belal, Muhammad Saad Saeed, Shahed Masoudian, Usman Naseem, Kulshrestha Juhi, Markus Schedl, Shah Nawaz</t>
  </si>
  <si>
    <t>10.1145/3774905.3795718</t>
  </si>
  <si>
    <t>wk11</t>
  </si>
  <si>
    <t>Keerthi Gopalakrishnan, Qi Xu, Aysenur Inan, Zhigang Hua, Luyi Ma, Prabhat Agarwal, Shuang Yang, Shradha Sehgal, Hao Wang, Kai Zhao, Yashar Deldjoo, Rong Jin, Kamilia Ahmadi, Luke Simon</t>
  </si>
  <si>
    <t>keerthigkn@gmail.com</t>
  </si>
  <si>
    <t>10.1145/3774905.3795719</t>
  </si>
  <si>
    <t>Ivan Malashin, Igor Masich, Vadim Tynchenko, Aleksei Borodulin, Andrei Gantimurov, Vladimir Nelyub, Dmitry Martysyuk, Sergei Kurashkin</t>
  </si>
  <si>
    <t>ivan.p.malashin@gmail.com</t>
  </si>
  <si>
    <t>10.1145/3774905.3795722</t>
  </si>
  <si>
    <t>He Lu, Yanting Wang, Haohua Du, Yue Liu, Hanqing Yu</t>
  </si>
  <si>
    <t>14580429
(Paid in full)</t>
  </si>
  <si>
    <t>10.1145/3774905.3795723</t>
  </si>
  <si>
    <t>Hao-Quan Liu, Yao-Chung Fan</t>
  </si>
  <si>
    <t>10.1145/3774905.3795724</t>
  </si>
  <si>
    <t>djallel.bouneffouf@ibm.com</t>
  </si>
  <si>
    <t>10.1145/3774905.3795725</t>
  </si>
  <si>
    <t>Luyi Ma, Xiaohan Li, Zezhong Fan, Kai Zhao, Jianpeng Xu, Jason Cho, Praveen Kanumala, Kaushiki Nag, Evren Korpeoglu, Sushant Kumar, Kannan Achan</t>
  </si>
  <si>
    <t>xiaohan.li@walmart.com</t>
  </si>
  <si>
    <t>14589078
(Paid in full)</t>
  </si>
  <si>
    <t>10.1145/3774905.3795726</t>
  </si>
  <si>
    <t>Rajarshee Dhar, Vivek Singh, Ambrose Taylor, M. Hanes, Yogesh Ramdoss</t>
  </si>
  <si>
    <t>rajadhar@cisco.com</t>
  </si>
  <si>
    <t>14582165
(Paid in full)</t>
  </si>
  <si>
    <t>10.1145/3774905.3795728</t>
  </si>
  <si>
    <t>Guilin Zhang, Kai Zhao, Jeffrey Friedman, Xu Chu</t>
  </si>
  <si>
    <t>guilin.zhang@gwmail.gwu.edu</t>
  </si>
  <si>
    <t>14580575
(Paid in full)</t>
  </si>
  <si>
    <t>10.1145/3774905.3795729</t>
  </si>
  <si>
    <t>14580550
(Paid in full)</t>
  </si>
  <si>
    <t>10.1145/3774905.3795730</t>
  </si>
  <si>
    <t>Yiming Che, Mansi Ranjit Mane, Keerthi Gopalakrishnan, Parisa Kaghazgaran, Murali Mohana Krishna Dandu, Archana Venkatachalapathy, Sinduja Subramaniam, Yokila Arora, Evren Korpeoglu, Sushant Kumar, Kannan Achan</t>
  </si>
  <si>
    <t>yiming.che@walmart.com</t>
  </si>
  <si>
    <t>14585778
(Paid in full)</t>
  </si>
  <si>
    <t>10.1145/3774905.3795732</t>
  </si>
  <si>
    <t>Liping Zhang, Tracy King</t>
  </si>
  <si>
    <t>lipingzhang8668@gmail.com</t>
  </si>
  <si>
    <t>10.1145/3774905.3795734</t>
  </si>
  <si>
    <t>Qiang Yi, Yangfan He, Jianhui Wang, Xinyuan Song, Kuan Lu, Shiyao Qian, Xinhang Yuan, Yi Xin, Yijin Wang, Jingqun Tang, Yuchen Li, Hongyang He, Zhen Tian, Tianxiang Xu, Keqin Li, Menghao Huo, Jiaqi Chen, Miao Zhang, Tianyu Shi, Jianyuan Ni</t>
  </si>
  <si>
    <t>xinyuan.song@emory.edu</t>
  </si>
  <si>
    <t>14614055
(Paid in full)</t>
  </si>
  <si>
    <t>10.1145/3774905.3795831</t>
  </si>
  <si>
    <t>wk17</t>
  </si>
  <si>
    <t>Haoang Chi, Qi Wang, Jiantong Jiang, Jiangchao Yao, Feng Liu, Bo Han</t>
  </si>
  <si>
    <t>haoangchi618@gmail.com</t>
  </si>
  <si>
    <t>10.1145/3774905.3795832</t>
  </si>
  <si>
    <t>10.1145/3774905.3795834</t>
  </si>
  <si>
    <t>10.1145/3774905.3795835</t>
  </si>
  <si>
    <t>Zengmao Wang, Ming Hu, Chaoyang Zhou, Shiying Sun, Qingping Zheng, Leifei Zhang, Yongchao Xu, Bo Du</t>
  </si>
  <si>
    <t>wangzengmao@whu.edu.cn</t>
  </si>
  <si>
    <t>14592953
(Paid in full)</t>
  </si>
  <si>
    <t>10.1145/3774905.3795838</t>
  </si>
  <si>
    <t>Joydeep Chandra, Aleksandr Algazinov, Satyam Kumar Navneet, Rim El Filali, Matt Laing, Andrew Hanna, Yong Zhang</t>
  </si>
  <si>
    <t>joydeepc2002@gmail.com</t>
  </si>
  <si>
    <t>10.1145/3774905.3795839</t>
  </si>
  <si>
    <t>Xu Chen, Zida Cheng, Shuai Xiao, Chen Ju, Xiaoming Liu, Jinsong Lan, Xiaoyong Zhu, Bo Zheng</t>
  </si>
  <si>
    <t>huaisong.cx@alibaba-inc.com</t>
  </si>
  <si>
    <t>14588895
(Paid in full)</t>
  </si>
  <si>
    <t>10.1145/3774905.3795840</t>
  </si>
  <si>
    <t>Yuqi Zhu, Jia Li, Hao Jiang, Shengze Li, Jieyuan Zhang, Ang Li</t>
  </si>
  <si>
    <t>zhuyuqi1997@126.com</t>
  </si>
  <si>
    <t>14594272
(Paid in full)</t>
  </si>
  <si>
    <t>10.1145/3774905.3795841</t>
  </si>
  <si>
    <t>wk19</t>
  </si>
  <si>
    <t>Fengmao Lv, Jingwei Sun, Guosheng Lin</t>
  </si>
  <si>
    <t>fengmaolv@126.com</t>
  </si>
  <si>
    <t>10.1145/3774905.3795842</t>
  </si>
  <si>
    <t>Luying Zhou, Guowu Yang</t>
  </si>
  <si>
    <t>abyxkojw@163.com</t>
  </si>
  <si>
    <t>14588919
(Paid in full)</t>
  </si>
  <si>
    <t>10.1145/3774905.3795843</t>
  </si>
  <si>
    <t>Tiansheng Fang, Guowu Yang</t>
  </si>
  <si>
    <t>fangtiansheng529@gmail.com</t>
  </si>
  <si>
    <t>14591414
(Paid in full)</t>
  </si>
  <si>
    <t>10.1145/3774905.3795844</t>
  </si>
  <si>
    <t>Liang Cao, Weide Liu, Yan Qin, Zhenghua Chen, Zhuo Chen, Bhushan Gopaluni</t>
  </si>
  <si>
    <t>weide001@e.ntu.edu.sg</t>
  </si>
  <si>
    <t>10.1145/3774905.3795845</t>
  </si>
  <si>
    <t>Yankai Yu, Zhuyang Xie, Xiaofan Li, Yan Yang, Bo Peng, Yu He</t>
  </si>
  <si>
    <t>zyxie@sicau.edu.cn</t>
  </si>
  <si>
    <t>14591429
(Paid in full)</t>
  </si>
  <si>
    <t>10.1145/3774905.3795847</t>
  </si>
  <si>
    <t>Shengxiang Luo, Haonan Luo, Wenjing Yang, Tianrui Li, Yang Bai</t>
  </si>
  <si>
    <t>lhn@swjtu.edu.cn</t>
  </si>
  <si>
    <t>30% Membership Discount
14595515
(Paid in full)</t>
  </si>
  <si>
    <t>10.1145/3774905.3795848</t>
  </si>
  <si>
    <t>Tianyu Zhang, Chenlu Ding, Junfeng Fang, Jiancan Wu, Xiang Wang</t>
  </si>
  <si>
    <t>10.1145/3774905.3795850</t>
  </si>
  <si>
    <t>Zijing Wang, Minghui Lu, Minbo Ma, Yanyong Huang</t>
  </si>
  <si>
    <t>minboma@mail.tsinghua.edu.cn</t>
  </si>
  <si>
    <t>10.1145/3774905.3795851</t>
  </si>
  <si>
    <t>Sergei Kurashkin, Ivan Malashin, Dmitry Martysyuk, Vladimir Nelyub, Igor Masich, Andrei Gantimurov, Aleksei Borodulin, Vadim Tynchenko</t>
  </si>
  <si>
    <t>skurashkin@emtc.ru</t>
  </si>
  <si>
    <t>10.1145/3774905.3795852</t>
  </si>
  <si>
    <t>wk21</t>
  </si>
  <si>
    <t>Leonidas Anthopoulos, Marijn Janssen, Vishanth Weerakkody</t>
  </si>
  <si>
    <t>lanthopo@uth.gr</t>
  </si>
  <si>
    <t>10.1145/3774905.3795853</t>
  </si>
  <si>
    <t>Alois Paulin</t>
  </si>
  <si>
    <t>alois@apaulin.com</t>
  </si>
  <si>
    <t>14588868
(Paid in full)</t>
  </si>
  <si>
    <t>10.1145/3774905.3795854</t>
  </si>
  <si>
    <t>Vitaly Krasikov, Ivan Malashin, Aleksei Borodulin, Andrei Gantimurov, Dmitry Martysyuk, Vladimir Nelyub, Igor Masich, Vadim Tynchneko</t>
  </si>
  <si>
    <t>krasikov@bmstu.ru</t>
  </si>
  <si>
    <t>10.1145/3774905.3795855</t>
  </si>
  <si>
    <t>Miguel Domingues, Marco Neto, Amanda Silva, Tomas Dias, Luis Rosa, Pedro Tomas, Carla Guerra, Vania Martins, Luis Cordeiro</t>
  </si>
  <si>
    <t>miguel.domingues@onesource.pt</t>
  </si>
  <si>
    <t>14590966
(Paid in full)</t>
  </si>
  <si>
    <t>10.1145/3774905.3795856</t>
  </si>
  <si>
    <t>Francesco Paolo Nerini, Claudio Borile, Antonio Ferrara, André Panisson</t>
  </si>
  <si>
    <t>fpaolo.nerini@gmail.com</t>
  </si>
  <si>
    <t>10.1145/3774905.3795857</t>
  </si>
  <si>
    <t>João Fernandes, José Guimarães, André S. de Carvalho, Luís Rosa, Arush Mendon, David Portugal, Carlos Viegas, Luís Cordeiro</t>
  </si>
  <si>
    <t>joao.fernandes@onesource.pt</t>
  </si>
  <si>
    <t>14588999
(Paid in full)</t>
  </si>
  <si>
    <t>10.1145/3774905.3795858</t>
  </si>
  <si>
    <t>Menglin Li, Kwan Hui Lim</t>
  </si>
  <si>
    <t>kwanhui@acm.org</t>
  </si>
  <si>
    <t>10.1145/3774905.3795859</t>
  </si>
  <si>
    <t>Leonidas Anthopoulos, Dimitris Apostolopoulos</t>
  </si>
  <si>
    <t>10.1145/3774905.3796129</t>
  </si>
  <si>
    <t>Yue Feng</t>
  </si>
  <si>
    <t>yueyuef@outlook.com</t>
  </si>
  <si>
    <t>10.1145/3774905.3796193</t>
  </si>
  <si>
    <t>Qian Liu, Zongxiong Chen, Sonja Schimmler, Manfred Hauswirth</t>
  </si>
  <si>
    <t>qian.liu@tu-berlin.de</t>
  </si>
  <si>
    <t>10.1145/3774905.3796194</t>
  </si>
  <si>
    <t>Gaurav Nagar, Yang Jin, Heesuk Son, Mohit Asudani, Shubham Gupta, Xing Zhang, Kestutis Patiejunas, Atul Goyal, Huan Guo, Jing Maggie Ma, Yijia Liu, Yi Meng, Bilal Fadlallah</t>
  </si>
  <si>
    <t>gxn@meta.com</t>
  </si>
  <si>
    <t>10.1145/3774905.3796217</t>
  </si>
  <si>
    <t>Ramesh Raskar</t>
  </si>
  <si>
    <t>raskar@media.mit.edu</t>
  </si>
  <si>
    <t>10.1145/3774905.3796481</t>
  </si>
  <si>
    <t>wk05</t>
  </si>
  <si>
    <t>Gautam Kishore Shahi, Thomas Mandl, Haiming Liu, Amit Kumar Jaiswal, Durgesh Nandini, Luis-Daniel Ibáñez, Junichi Suga, Dai Yamamoto, Rahul Mishra, Rajakrishnan P Rajkumar, Sagar Uprety, Bornali Phukon, Sujit Kumar</t>
  </si>
  <si>
    <t>gautam.shahi@uni-due.de</t>
  </si>
  <si>
    <t>10.1145/3774905.3796482</t>
  </si>
  <si>
    <t>Ewelina Bartuzi-Trokielewicz, Alicja Martinek, Mateusz Trokielewicz</t>
  </si>
  <si>
    <t>14589174
(Paid in full)</t>
  </si>
  <si>
    <t>10.1145/3774905.3796483</t>
  </si>
  <si>
    <t>Shuo Yang, Zijian Yu, Zhenzhe Ying, Yuqin Dai, Guoqing Wang, Jun Lan, Jinfeng Xu, Jinze Li, Edith Ngai</t>
  </si>
  <si>
    <t>shuoyang.ee@gmail.com</t>
  </si>
  <si>
    <t>10.1145/3774905.3796484</t>
  </si>
  <si>
    <t>Baktash Ansari, Elias Martin, Afra Mashhadi</t>
  </si>
  <si>
    <t>mashhadi@uw.edu</t>
  </si>
  <si>
    <t>10.1145/3774905.3796485</t>
  </si>
  <si>
    <t>Michał Koźbiał, Ewelina Bartuzi-Trokielewicz</t>
  </si>
  <si>
    <t>14588862
(Paid in full)</t>
  </si>
  <si>
    <t>10.1145/3774905.3796487</t>
  </si>
  <si>
    <t>Deepesh Gavit, Gaurav Kumar, Debajyoti Mazumder, Samiran Das, Jasabanta Patro</t>
  </si>
  <si>
    <t>gavit20@iiserb.ac.in</t>
  </si>
  <si>
    <t>10.1145/3774905.3796488</t>
  </si>
  <si>
    <t>Ashok Yadav, Vrijendra Singh</t>
  </si>
  <si>
    <t>rsi2021002@iiita.ac.in</t>
  </si>
  <si>
    <t>10.1145/3774905.3796489</t>
  </si>
  <si>
    <t>Piyush Ghasiya, Kazutoshi Sasahara</t>
  </si>
  <si>
    <t>piyushghasiya@gmail.com</t>
  </si>
  <si>
    <t>14589462
(Paid in full)</t>
  </si>
  <si>
    <t>10.1145/3774905.3796491</t>
  </si>
  <si>
    <t>Mihir Pandey, Shail Shankar, Suyash Mishra</t>
  </si>
  <si>
    <t>shailshankar.hss@iitbhu.ac.in</t>
  </si>
  <si>
    <t>10.1145/3774905.3796620</t>
  </si>
  <si>
    <t>wk08</t>
  </si>
  <si>
    <t>Irwin King, Guodong Long, Zenglin Xu, Han Yu, Xiaoli Tang, Liping Yi</t>
  </si>
  <si>
    <t>han.yu@ntu.edu.sg</t>
  </si>
  <si>
    <t>10.1145/3774905.3796623</t>
  </si>
  <si>
    <t>Zhaolong Su, Leheng Zhao, Xiaoying Wu, Ziyue Xu, Jindong Wang</t>
  </si>
  <si>
    <t>zsu05@wm.edu</t>
  </si>
  <si>
    <t>10.1145/3774905.3797243</t>
  </si>
  <si>
    <t>Ye Liu, Wuji Chen, Xu Chen, Mang Li</t>
  </si>
  <si>
    <t>mang.ll@lazada.com</t>
  </si>
  <si>
    <t>14599016
(Paid in full)</t>
  </si>
  <si>
    <t>10.1145/3774905.3797244</t>
  </si>
  <si>
    <t>Michael Zuo, Inwon Kang, Stacy Patterson, Oshani Seneviratne</t>
  </si>
  <si>
    <t>30% Membership Discount
14596887
(Paid in full)</t>
  </si>
  <si>
    <t>10.1145/3774905.3797438</t>
  </si>
  <si>
    <t>Farhana Ferdousi Liza</t>
  </si>
  <si>
    <t>F.Liza@uea.ac.uk</t>
  </si>
  <si>
    <t>Duplicate Inserts</t>
  </si>
  <si>
    <t>10.1145/3774905.3797440</t>
  </si>
  <si>
    <t>mihirpandey.rs.hss22@itbhu.ac.in</t>
  </si>
  <si>
    <t>10.1145/3774905.3797441</t>
  </si>
  <si>
    <t>Nikhil Pathiyil, Jatin Garg, Talib Siddiqiu, Mustafa Saify, Amit Agarwal</t>
  </si>
  <si>
    <t>nikhil.pathiyil@capitalone.com</t>
  </si>
  <si>
    <t>(Payment pending)</t>
  </si>
  <si>
    <t>10.1145/3774905.3797442</t>
  </si>
  <si>
    <t>Punit Maheshwari, Mustafa Saify, Amit Agarwal</t>
  </si>
  <si>
    <t>punit.maheshwari@capitalone.com</t>
  </si>
  <si>
    <t>10.1145/3774905.3798091</t>
  </si>
  <si>
    <t>wk13</t>
  </si>
  <si>
    <t>Damien Graux, Sebastien Montella, Hajira Jabeen</t>
  </si>
  <si>
    <t>dgraux@ecovadis.com</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</si>
</sst>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d d mmmm yyyy"/>
  </numFmts>
  <fonts count="55">
    <font>
      <sz val="10.0"/>
      <color rgb="FF000000"/>
      <name val="Arial"/>
      <scheme val="minor"/>
    </font>
    <font>
      <b/>
      <sz val="11.0"/>
      <color theme="1"/>
      <name val="Montserrat"/>
    </font>
    <font>
      <b/>
      <color rgb="FFFF0000"/>
      <name val="Montserrat"/>
    </font>
    <font>
      <b/>
      <color theme="1"/>
      <name val="Montserrat"/>
    </font>
    <font>
      <color theme="1"/>
      <name val="Arial"/>
    </font>
    <font>
      <b/>
      <color rgb="FFFFFFFF"/>
      <name val="Montserrat"/>
    </font>
    <font>
      <b/>
      <color rgb="FF1A1B1F"/>
      <name val="Montserrat"/>
    </font>
    <font>
      <b/>
      <color theme="1"/>
      <name val="Open Sans"/>
    </font>
    <font>
      <color theme="1"/>
      <name val="Open Sans"/>
    </font>
    <font>
      <u/>
      <color rgb="FF0000FF"/>
      <name val="Open Sans"/>
    </font>
    <font>
      <b/>
      <color theme="1"/>
      <name val="Arial"/>
    </font>
    <font>
      <i/>
      <color theme="1"/>
      <name val="Open Sans"/>
    </font>
    <font>
      <b/>
      <i/>
      <color theme="1"/>
      <name val="Open Sans"/>
    </font>
    <font>
      <i/>
      <color theme="1"/>
      <name val="Arial"/>
    </font>
    <font>
      <color theme="1"/>
      <name val="Arial"/>
      <scheme val="minor"/>
    </font>
    <font>
      <i/>
      <color theme="1"/>
      <name val="Arial"/>
      <scheme val="minor"/>
    </font>
    <font>
      <color rgb="FF000000"/>
      <name val="Arial"/>
    </font>
    <font>
      <sz val="11.0"/>
      <color rgb="FF444746"/>
      <name val="Google Sans"/>
    </font>
    <font>
      <sz val="12.0"/>
      <color theme="1"/>
      <name val="Calibri"/>
    </font>
    <font>
      <sz val="12.0"/>
      <color rgb="FF000000"/>
      <name val="Calibri"/>
    </font>
    <font>
      <sz val="11.0"/>
      <color rgb="FF212121"/>
      <name val="Arial"/>
    </font>
    <font>
      <sz val="11.0"/>
      <color theme="1"/>
      <name val="Arial"/>
    </font>
    <font>
      <u/>
      <color rgb="FF1155CC"/>
      <name val="Arial"/>
    </font>
    <font>
      <color rgb="FF434343"/>
      <name val="Roboto"/>
    </font>
    <font>
      <color rgb="FF434343"/>
      <name val="Arial"/>
    </font>
    <font>
      <color theme="1"/>
      <name val="Aptos"/>
    </font>
    <font>
      <sz val="11.0"/>
      <color rgb="FF212121"/>
      <name val="Times New Roman"/>
    </font>
    <font>
      <u/>
      <color rgb="FF0000FF"/>
    </font>
    <font>
      <b/>
      <color theme="1"/>
      <name val="Arial"/>
      <scheme val="minor"/>
    </font>
    <font>
      <sz val="11.0"/>
      <color theme="1"/>
      <name val="Calibri"/>
    </font>
    <font>
      <u/>
      <color rgb="FF0000FF"/>
    </font>
    <font>
      <u/>
      <color rgb="FF0000FF"/>
    </font>
    <font>
      <u/>
      <color rgb="FF0000FF"/>
      <name val="Arial"/>
    </font>
    <font>
      <u/>
      <color rgb="FF0000FF"/>
      <name val="Arial"/>
    </font>
    <font>
      <u/>
      <color rgb="FF0000FF"/>
      <name val="Arial"/>
    </font>
    <font>
      <color rgb="FF1D1D1D"/>
      <name val="&quot;Helvetica Neue&quot;"/>
    </font>
    <font>
      <strike/>
      <sz val="11.0"/>
      <color theme="1"/>
      <name val="Calibri"/>
    </font>
    <font>
      <sz val="12.0"/>
      <color rgb="FF000000"/>
      <name val="Aptos"/>
    </font>
    <font>
      <b/>
      <sz val="11.0"/>
      <color theme="1"/>
      <name val="Calibri"/>
    </font>
    <font>
      <b/>
      <color rgb="FF333333"/>
      <name val="Arial"/>
    </font>
    <font>
      <color rgb="FF333333"/>
      <name val="Arial"/>
    </font>
    <font>
      <sz val="15.0"/>
      <color rgb="FF333333"/>
      <name val="Arial"/>
    </font>
    <font>
      <sz val="12.0"/>
      <color rgb="FF333333"/>
      <name val="Arial"/>
    </font>
    <font>
      <u/>
      <sz val="12.0"/>
      <color rgb="FF333333"/>
      <name val="Arial"/>
    </font>
    <font>
      <u/>
      <sz val="12.0"/>
      <color rgb="FF333333"/>
      <name val="Arial"/>
    </font>
    <font>
      <u/>
      <sz val="12.0"/>
      <color rgb="FF333333"/>
      <name val="Arial"/>
    </font>
    <font>
      <b/>
      <sz val="11.0"/>
      <color rgb="FF1F1F1F"/>
      <name val="Arial"/>
    </font>
    <font>
      <sz val="11.0"/>
      <color rgb="FF1F1F1F"/>
      <name val="Arial"/>
    </font>
    <font>
      <sz val="12.0"/>
      <color rgb="FF000000"/>
      <name val="Arial"/>
    </font>
    <font>
      <sz val="20.0"/>
      <color rgb="FF000000"/>
      <name val="Arial"/>
    </font>
    <font>
      <color rgb="FF000000"/>
      <name val="Verdana"/>
    </font>
    <font>
      <b/>
      <color rgb="FF000000"/>
      <name val="Verdana"/>
    </font>
    <font>
      <sz val="11.0"/>
      <color rgb="FF1D1D1D"/>
      <name val="&quot;Yahoo Product Sans VF&quot;"/>
    </font>
    <font>
      <strike/>
      <color rgb="FF000000"/>
      <name val="Verdana"/>
    </font>
    <font>
      <strike/>
      <color theme="1"/>
      <name val="Arial"/>
      <scheme val="minor"/>
    </font>
  </fonts>
  <fills count="20">
    <fill>
      <patternFill patternType="none"/>
    </fill>
    <fill>
      <patternFill patternType="lightGray"/>
    </fill>
    <fill>
      <patternFill patternType="solid">
        <fgColor rgb="FFFFFFFF"/>
        <bgColor rgb="FFFFFFFF"/>
      </patternFill>
    </fill>
    <fill>
      <patternFill patternType="solid">
        <fgColor rgb="FF465D92"/>
        <bgColor rgb="FF465D92"/>
      </patternFill>
    </fill>
    <fill>
      <patternFill patternType="solid">
        <fgColor rgb="FFDCE1F8"/>
        <bgColor rgb="FFDCE1F8"/>
      </patternFill>
    </fill>
    <fill>
      <patternFill patternType="solid">
        <fgColor rgb="FFF9F8FF"/>
        <bgColor rgb="FFF9F8FF"/>
      </patternFill>
    </fill>
    <fill>
      <patternFill patternType="solid">
        <fgColor rgb="FFE6E7ED"/>
        <bgColor rgb="FFE6E7ED"/>
      </patternFill>
    </fill>
    <fill>
      <patternFill patternType="solid">
        <fgColor rgb="FFE5F3E9"/>
        <bgColor rgb="FFE5F3E9"/>
      </patternFill>
    </fill>
    <fill>
      <patternFill patternType="solid">
        <fgColor rgb="FFD9E1F8"/>
        <bgColor rgb="FFD9E1F8"/>
      </patternFill>
    </fill>
    <fill>
      <patternFill patternType="solid">
        <fgColor rgb="FFF8D7FC"/>
        <bgColor rgb="FFF8D7FC"/>
      </patternFill>
    </fill>
    <fill>
      <patternFill patternType="solid">
        <fgColor rgb="FFF8F9FA"/>
        <bgColor rgb="FFF8F9FA"/>
      </patternFill>
    </fill>
    <fill>
      <patternFill patternType="solid">
        <fgColor rgb="FFF6F8F9"/>
        <bgColor rgb="FFF6F8F9"/>
      </patternFill>
    </fill>
    <fill>
      <patternFill patternType="solid">
        <fgColor rgb="FFFFFF00"/>
        <bgColor rgb="FFFFFF00"/>
      </patternFill>
    </fill>
    <fill>
      <patternFill patternType="solid">
        <fgColor rgb="FFCCCCCC"/>
        <bgColor rgb="FFCCCCCC"/>
      </patternFill>
    </fill>
    <fill>
      <patternFill patternType="solid">
        <fgColor rgb="FFEFEFEF"/>
        <bgColor rgb="FFEFEFEF"/>
      </patternFill>
    </fill>
    <fill>
      <patternFill patternType="solid">
        <fgColor rgb="FFD9D9D9"/>
        <bgColor rgb="FFD9D9D9"/>
      </patternFill>
    </fill>
    <fill>
      <patternFill patternType="solid">
        <fgColor rgb="FFF4CCCC"/>
        <bgColor rgb="FFF4CCCC"/>
      </patternFill>
    </fill>
    <fill>
      <patternFill patternType="solid">
        <fgColor rgb="FFD9EAD3"/>
        <bgColor rgb="FFD9EAD3"/>
      </patternFill>
    </fill>
    <fill>
      <patternFill patternType="solid">
        <fgColor rgb="FFFFD966"/>
        <bgColor rgb="FFFFD966"/>
      </patternFill>
    </fill>
    <fill>
      <patternFill patternType="solid">
        <fgColor rgb="FF9FC5E8"/>
        <bgColor rgb="FF9FC5E8"/>
      </patternFill>
    </fill>
  </fills>
  <borders count="18">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DDDDDD"/>
      </left>
      <right style="thin">
        <color rgb="FFDDDDDD"/>
      </right>
      <top style="thin">
        <color rgb="FFDDDDDD"/>
      </top>
      <bottom style="thin">
        <color rgb="FFEEEEEE"/>
      </bottom>
    </border>
    <border>
      <left style="thin">
        <color rgb="FFDDDDDD"/>
      </left>
      <right style="thin">
        <color rgb="FFDDDDDD"/>
      </right>
      <top style="thin">
        <color rgb="FFDDDDDD"/>
      </top>
    </border>
  </borders>
  <cellStyleXfs count="1">
    <xf borderId="0" fillId="0" fontId="0" numFmtId="0" applyAlignment="1" applyFont="1"/>
  </cellStyleXfs>
  <cellXfs count="313">
    <xf borderId="0" fillId="0" fontId="0" numFmtId="0" xfId="0" applyAlignment="1" applyFont="1">
      <alignment readingOrder="0" shrinkToFit="0" vertical="bottom" wrapText="0"/>
    </xf>
    <xf borderId="0" fillId="2" fontId="1" numFmtId="164" xfId="0" applyAlignment="1" applyFill="1" applyFont="1" applyNumberFormat="1">
      <alignment vertical="top"/>
    </xf>
    <xf borderId="0" fillId="2" fontId="2" numFmtId="0" xfId="0" applyAlignment="1" applyFont="1">
      <alignment horizontal="left" readingOrder="0" vertical="top"/>
    </xf>
    <xf borderId="0" fillId="2" fontId="3" numFmtId="0" xfId="0" applyAlignment="1" applyFont="1">
      <alignment vertical="top"/>
    </xf>
    <xf borderId="0" fillId="0" fontId="4" numFmtId="0" xfId="0" applyAlignment="1" applyFont="1">
      <alignment readingOrder="0" vertical="top"/>
    </xf>
    <xf borderId="0" fillId="0" fontId="4" numFmtId="0" xfId="0" applyAlignment="1" applyFont="1">
      <alignment vertical="top"/>
    </xf>
    <xf borderId="0" fillId="3" fontId="5" numFmtId="0" xfId="0" applyFill="1" applyFont="1"/>
    <xf borderId="0" fillId="3" fontId="5" numFmtId="0" xfId="0" applyAlignment="1" applyFont="1">
      <alignment horizontal="left" readingOrder="0" vertical="top"/>
    </xf>
    <xf borderId="0" fillId="3" fontId="5" numFmtId="0" xfId="0" applyAlignment="1" applyFont="1">
      <alignment readingOrder="0" vertical="top"/>
    </xf>
    <xf borderId="0" fillId="3" fontId="5" numFmtId="0" xfId="0" applyAlignment="1" applyFont="1">
      <alignment readingOrder="0" shrinkToFit="0" vertical="top" wrapText="1"/>
    </xf>
    <xf borderId="0" fillId="4" fontId="6" numFmtId="164" xfId="0" applyAlignment="1" applyFill="1" applyFont="1" applyNumberFormat="1">
      <alignment horizontal="right" vertical="top"/>
    </xf>
    <xf borderId="0" fillId="4" fontId="6" numFmtId="0" xfId="0" applyAlignment="1" applyFont="1">
      <alignment horizontal="left" vertical="top"/>
    </xf>
    <xf borderId="0" fillId="4" fontId="6" numFmtId="0" xfId="0" applyAlignment="1" applyFont="1">
      <alignment horizontal="center" vertical="top"/>
    </xf>
    <xf borderId="0" fillId="4" fontId="6" numFmtId="0" xfId="0" applyAlignment="1" applyFont="1">
      <alignment horizontal="center" shrinkToFit="0" vertical="top" wrapText="1"/>
    </xf>
    <xf borderId="0" fillId="4" fontId="6" numFmtId="0" xfId="0" applyAlignment="1" applyFont="1">
      <alignment vertical="top"/>
    </xf>
    <xf borderId="0" fillId="4" fontId="6" numFmtId="0" xfId="0" applyAlignment="1" applyFont="1">
      <alignment readingOrder="0" vertical="top"/>
    </xf>
    <xf borderId="0" fillId="5" fontId="7" numFmtId="164" xfId="0" applyAlignment="1" applyFill="1" applyFont="1" applyNumberFormat="1">
      <alignment vertical="top"/>
    </xf>
    <xf borderId="0" fillId="5" fontId="8" numFmtId="0" xfId="0" applyAlignment="1" applyFont="1">
      <alignment horizontal="left" vertical="top"/>
    </xf>
    <xf borderId="0" fillId="5" fontId="8" numFmtId="0" xfId="0" applyAlignment="1" applyFont="1">
      <alignment horizontal="center" vertical="top"/>
    </xf>
    <xf borderId="0" fillId="5" fontId="8" numFmtId="0" xfId="0" applyAlignment="1" applyFont="1">
      <alignment horizontal="center" shrinkToFit="0" vertical="top" wrapText="1"/>
    </xf>
    <xf borderId="0" fillId="5" fontId="8" numFmtId="0" xfId="0" applyAlignment="1" applyFont="1">
      <alignment shrinkToFit="0" vertical="top" wrapText="1"/>
    </xf>
    <xf borderId="0" fillId="5" fontId="8" numFmtId="0" xfId="0" applyAlignment="1" applyFont="1">
      <alignment readingOrder="0" vertical="top"/>
    </xf>
    <xf borderId="0" fillId="5" fontId="8" numFmtId="0" xfId="0" applyAlignment="1" applyFont="1">
      <alignment vertical="top"/>
    </xf>
    <xf borderId="0" fillId="2" fontId="7" numFmtId="164" xfId="0" applyAlignment="1" applyFont="1" applyNumberFormat="1">
      <alignment horizontal="left" vertical="top"/>
    </xf>
    <xf borderId="0" fillId="2" fontId="8" numFmtId="0" xfId="0" applyAlignment="1" applyFont="1">
      <alignment horizontal="left" shrinkToFit="0" vertical="top" wrapText="1"/>
    </xf>
    <xf borderId="0" fillId="2" fontId="8" numFmtId="0" xfId="0" applyAlignment="1" applyFont="1">
      <alignment horizontal="left" vertical="top"/>
    </xf>
    <xf borderId="0" fillId="2" fontId="9" numFmtId="0" xfId="0" applyAlignment="1" applyFont="1">
      <alignment horizontal="left" readingOrder="0" vertical="top"/>
    </xf>
    <xf borderId="0" fillId="0" fontId="4" numFmtId="0" xfId="0" applyAlignment="1" applyFont="1">
      <alignment horizontal="left" vertical="top"/>
    </xf>
    <xf borderId="0" fillId="5" fontId="7" numFmtId="164" xfId="0" applyAlignment="1" applyFont="1" applyNumberFormat="1">
      <alignment horizontal="left" vertical="top"/>
    </xf>
    <xf borderId="0" fillId="5" fontId="8" numFmtId="0" xfId="0" applyAlignment="1" applyFont="1">
      <alignment horizontal="left" shrinkToFit="0" vertical="top" wrapText="1"/>
    </xf>
    <xf borderId="0" fillId="5" fontId="8" numFmtId="0" xfId="0" applyAlignment="1" applyFont="1">
      <alignment horizontal="left" vertical="top"/>
    </xf>
    <xf borderId="0" fillId="5" fontId="8" numFmtId="0" xfId="0" applyAlignment="1" applyFont="1">
      <alignment horizontal="left" readingOrder="0" vertical="top"/>
    </xf>
    <xf borderId="0" fillId="6" fontId="7" numFmtId="0" xfId="0" applyAlignment="1" applyFill="1" applyFont="1">
      <alignment readingOrder="0" vertical="top"/>
    </xf>
    <xf borderId="0" fillId="6" fontId="8" numFmtId="0" xfId="0" applyAlignment="1" applyFont="1">
      <alignment horizontal="left" readingOrder="0" vertical="top"/>
    </xf>
    <xf borderId="0" fillId="6" fontId="8" numFmtId="0" xfId="0" applyAlignment="1" applyFont="1">
      <alignment vertical="top"/>
    </xf>
    <xf borderId="0" fillId="5" fontId="7" numFmtId="0" xfId="0" applyAlignment="1" applyFont="1">
      <alignment readingOrder="0" vertical="top"/>
    </xf>
    <xf borderId="0" fillId="5" fontId="8" numFmtId="0" xfId="0" applyAlignment="1" applyFont="1">
      <alignment horizontal="left" readingOrder="0" vertical="top"/>
    </xf>
    <xf borderId="0" fillId="2" fontId="7" numFmtId="164" xfId="0" applyAlignment="1" applyFont="1" applyNumberFormat="1">
      <alignment vertical="top"/>
    </xf>
    <xf borderId="0" fillId="2" fontId="8" numFmtId="0" xfId="0" applyAlignment="1" applyFont="1">
      <alignment vertical="top"/>
    </xf>
    <xf borderId="0" fillId="4" fontId="6" numFmtId="0" xfId="0" applyAlignment="1" applyFont="1">
      <alignment horizontal="left" vertical="top"/>
    </xf>
    <xf borderId="0" fillId="4" fontId="6" numFmtId="0" xfId="0" applyAlignment="1" applyFont="1">
      <alignment shrinkToFit="0" vertical="top" wrapText="1"/>
    </xf>
    <xf borderId="0" fillId="5" fontId="8" numFmtId="0" xfId="0" applyAlignment="1" applyFont="1">
      <alignment horizontal="center" readingOrder="0" vertical="top"/>
    </xf>
    <xf borderId="0" fillId="5" fontId="8" numFmtId="0" xfId="0" applyAlignment="1" applyFont="1">
      <alignment readingOrder="0" shrinkToFit="0" vertical="top" wrapText="1"/>
    </xf>
    <xf borderId="0" fillId="2" fontId="8" numFmtId="0" xfId="0" applyAlignment="1" applyFont="1">
      <alignment horizontal="left" shrinkToFit="0" vertical="top" wrapText="1"/>
    </xf>
    <xf borderId="0" fillId="5" fontId="8" numFmtId="0" xfId="0" applyAlignment="1" applyFont="1">
      <alignment horizontal="left" shrinkToFit="0" vertical="top" wrapText="1"/>
    </xf>
    <xf borderId="0" fillId="2" fontId="7" numFmtId="0" xfId="0" applyAlignment="1" applyFont="1">
      <alignment vertical="top"/>
    </xf>
    <xf borderId="0" fillId="0" fontId="10" numFmtId="0" xfId="0" applyAlignment="1" applyFont="1">
      <alignment vertical="top"/>
    </xf>
    <xf borderId="0" fillId="5" fontId="7" numFmtId="164" xfId="0" applyAlignment="1" applyFont="1" applyNumberFormat="1">
      <alignment horizontal="right" vertical="top"/>
    </xf>
    <xf borderId="0" fillId="5" fontId="7" numFmtId="0" xfId="0" applyAlignment="1" applyFont="1">
      <alignment horizontal="left" vertical="top"/>
    </xf>
    <xf borderId="0" fillId="5" fontId="7" numFmtId="0" xfId="0" applyAlignment="1" applyFont="1">
      <alignment vertical="top"/>
    </xf>
    <xf borderId="0" fillId="5" fontId="7" numFmtId="0" xfId="0" applyAlignment="1" applyFont="1">
      <alignment shrinkToFit="0" vertical="top" wrapText="1"/>
    </xf>
    <xf borderId="0" fillId="7" fontId="7" numFmtId="0" xfId="0" applyAlignment="1" applyFill="1" applyFont="1">
      <alignment readingOrder="0" vertical="top"/>
    </xf>
    <xf borderId="0" fillId="7" fontId="7" numFmtId="10" xfId="0" applyAlignment="1" applyFont="1" applyNumberFormat="1">
      <alignment horizontal="left" vertical="top"/>
    </xf>
    <xf borderId="0" fillId="7" fontId="8" numFmtId="0" xfId="0" applyAlignment="1" applyFont="1">
      <alignment vertical="top"/>
    </xf>
    <xf borderId="0" fillId="7" fontId="11" numFmtId="0" xfId="0" applyAlignment="1" applyFont="1">
      <alignment horizontal="left" readingOrder="0" vertical="top"/>
    </xf>
    <xf borderId="0" fillId="7" fontId="7" numFmtId="10" xfId="0" applyAlignment="1" applyFont="1" applyNumberFormat="1">
      <alignment horizontal="center" vertical="top"/>
    </xf>
    <xf borderId="0" fillId="8" fontId="7" numFmtId="0" xfId="0" applyAlignment="1" applyFill="1" applyFont="1">
      <alignment readingOrder="0" vertical="top"/>
    </xf>
    <xf borderId="0" fillId="8" fontId="7" numFmtId="0" xfId="0" applyAlignment="1" applyFont="1">
      <alignment horizontal="left" readingOrder="0" vertical="top"/>
    </xf>
    <xf borderId="0" fillId="8" fontId="8" numFmtId="0" xfId="0" applyAlignment="1" applyFont="1">
      <alignment vertical="top"/>
    </xf>
    <xf borderId="0" fillId="8" fontId="11" numFmtId="0" xfId="0" applyAlignment="1" applyFont="1">
      <alignment horizontal="left" readingOrder="0" vertical="top"/>
    </xf>
    <xf borderId="1" fillId="5" fontId="8" numFmtId="0" xfId="0" applyAlignment="1" applyBorder="1" applyFont="1">
      <alignment horizontal="left" vertical="top"/>
    </xf>
    <xf borderId="1" fillId="5" fontId="8" numFmtId="0" xfId="0" applyAlignment="1" applyBorder="1" applyFont="1">
      <alignment readingOrder="0" vertical="top"/>
    </xf>
    <xf borderId="1" fillId="5" fontId="8" numFmtId="0" xfId="0" applyAlignment="1" applyBorder="1" applyFont="1">
      <alignment vertical="top"/>
    </xf>
    <xf borderId="1" fillId="5" fontId="8" numFmtId="0" xfId="0" applyAlignment="1" applyBorder="1" applyFont="1">
      <alignment shrinkToFit="0" vertical="top" wrapText="1"/>
    </xf>
    <xf borderId="1" fillId="5" fontId="8" numFmtId="0" xfId="0" applyAlignment="1" applyBorder="1" applyFont="1">
      <alignment vertical="top"/>
    </xf>
    <xf borderId="0" fillId="5" fontId="8" numFmtId="0" xfId="0" applyAlignment="1" applyFont="1">
      <alignment horizontal="right" vertical="top"/>
    </xf>
    <xf borderId="0" fillId="0" fontId="4" numFmtId="0" xfId="0" applyAlignment="1" applyFont="1">
      <alignment horizontal="right" vertical="top"/>
    </xf>
    <xf borderId="0" fillId="2" fontId="12" numFmtId="0" xfId="0" applyAlignment="1" applyFont="1">
      <alignment vertical="top"/>
    </xf>
    <xf borderId="0" fillId="2" fontId="11" numFmtId="0" xfId="0" applyAlignment="1" applyFont="1">
      <alignment horizontal="left" readingOrder="0" shrinkToFit="0" vertical="top" wrapText="1"/>
    </xf>
    <xf borderId="0" fillId="2" fontId="11" numFmtId="0" xfId="0" applyAlignment="1" applyFont="1">
      <alignment readingOrder="0" shrinkToFit="0" vertical="top" wrapText="1"/>
    </xf>
    <xf borderId="0" fillId="2" fontId="11" numFmtId="0" xfId="0" applyAlignment="1" applyFont="1">
      <alignment shrinkToFit="0" vertical="top" wrapText="1"/>
    </xf>
    <xf borderId="0" fillId="2" fontId="11" numFmtId="0" xfId="0" applyAlignment="1" applyFont="1">
      <alignment horizontal="right" vertical="top"/>
    </xf>
    <xf borderId="0" fillId="0" fontId="13" numFmtId="0" xfId="0" applyAlignment="1" applyFont="1">
      <alignment horizontal="right" vertical="top"/>
    </xf>
    <xf borderId="0" fillId="0" fontId="13" numFmtId="0" xfId="0" applyAlignment="1" applyFont="1">
      <alignment vertical="top"/>
    </xf>
    <xf borderId="0" fillId="5" fontId="12" numFmtId="0" xfId="0" applyAlignment="1" applyFont="1">
      <alignment vertical="top"/>
    </xf>
    <xf borderId="0" fillId="5" fontId="11" numFmtId="0" xfId="0" applyAlignment="1" applyFont="1">
      <alignment horizontal="left" shrinkToFit="0" vertical="top" wrapText="1"/>
    </xf>
    <xf borderId="0" fillId="5" fontId="11" numFmtId="0" xfId="0" applyAlignment="1" applyFont="1">
      <alignment shrinkToFit="0" vertical="top" wrapText="1"/>
    </xf>
    <xf borderId="0" fillId="5" fontId="11" numFmtId="0" xfId="0" applyAlignment="1" applyFont="1">
      <alignment horizontal="right" vertical="top"/>
    </xf>
    <xf borderId="0" fillId="2" fontId="8" numFmtId="0" xfId="0" applyAlignment="1" applyFont="1">
      <alignment shrinkToFit="0" vertical="top" wrapText="1"/>
    </xf>
    <xf borderId="0" fillId="2" fontId="8" numFmtId="0" xfId="0" applyAlignment="1" applyFont="1">
      <alignment horizontal="right" vertical="top"/>
    </xf>
    <xf borderId="0" fillId="9" fontId="7" numFmtId="0" xfId="0" applyAlignment="1" applyFill="1" applyFont="1">
      <alignment readingOrder="0" vertical="top"/>
    </xf>
    <xf borderId="0" fillId="9" fontId="7" numFmtId="0" xfId="0" applyAlignment="1" applyFont="1">
      <alignment horizontal="left" readingOrder="0" vertical="top"/>
    </xf>
    <xf borderId="0" fillId="9" fontId="8" numFmtId="0" xfId="0" applyAlignment="1" applyFont="1">
      <alignment vertical="top"/>
    </xf>
    <xf borderId="0" fillId="2" fontId="8" numFmtId="0" xfId="0" applyAlignment="1" applyFont="1">
      <alignment horizontal="left" readingOrder="0" vertical="top"/>
    </xf>
    <xf borderId="1" fillId="2" fontId="8" numFmtId="0" xfId="0" applyAlignment="1" applyBorder="1" applyFont="1">
      <alignment horizontal="left" readingOrder="0" vertical="top"/>
    </xf>
    <xf borderId="0" fillId="8" fontId="8" numFmtId="0" xfId="0" applyAlignment="1" applyFont="1">
      <alignment horizontal="left" readingOrder="0" vertical="top"/>
    </xf>
    <xf borderId="0" fillId="6" fontId="8" numFmtId="0" xfId="0" applyAlignment="1" applyFont="1">
      <alignment horizontal="right" vertical="top"/>
    </xf>
    <xf borderId="1" fillId="5" fontId="8" numFmtId="0" xfId="0" applyAlignment="1" applyBorder="1" applyFont="1">
      <alignment shrinkToFit="0" vertical="top" wrapText="1"/>
    </xf>
    <xf borderId="0" fillId="2" fontId="11" numFmtId="0" xfId="0" applyAlignment="1" applyFont="1">
      <alignment vertical="top"/>
    </xf>
    <xf borderId="0" fillId="5" fontId="11" numFmtId="0" xfId="0" applyAlignment="1" applyFont="1">
      <alignment horizontal="left" vertical="top"/>
    </xf>
    <xf borderId="0" fillId="5" fontId="11" numFmtId="0" xfId="0" applyAlignment="1" applyFont="1">
      <alignment vertical="top"/>
    </xf>
    <xf borderId="1" fillId="2" fontId="8" numFmtId="0" xfId="0" applyAlignment="1" applyBorder="1" applyFont="1">
      <alignment horizontal="left" vertical="top"/>
    </xf>
    <xf borderId="1" fillId="2" fontId="8" numFmtId="0" xfId="0" applyAlignment="1" applyBorder="1" applyFont="1">
      <alignment readingOrder="0" vertical="top"/>
    </xf>
    <xf borderId="0" fillId="2" fontId="8" numFmtId="0" xfId="0" applyAlignment="1" applyFont="1">
      <alignment readingOrder="0" vertical="top"/>
    </xf>
    <xf borderId="0" fillId="4" fontId="6" numFmtId="0" xfId="0" applyAlignment="1" applyFont="1">
      <alignment vertical="top"/>
    </xf>
    <xf borderId="0" fillId="4" fontId="6" numFmtId="0" xfId="0" applyAlignment="1" applyFont="1">
      <alignment shrinkToFit="0" vertical="top" wrapText="1"/>
    </xf>
    <xf borderId="0" fillId="8" fontId="7" numFmtId="0" xfId="0" applyAlignment="1" applyFont="1">
      <alignment vertical="top"/>
    </xf>
    <xf borderId="0" fillId="8" fontId="8" numFmtId="0" xfId="0" applyAlignment="1" applyFont="1">
      <alignment horizontal="left" readingOrder="0" vertical="top"/>
    </xf>
    <xf borderId="0" fillId="6" fontId="7" numFmtId="0" xfId="0" applyAlignment="1" applyFont="1">
      <alignment vertical="top"/>
    </xf>
    <xf borderId="1" fillId="2" fontId="8" numFmtId="0" xfId="0" applyAlignment="1" applyBorder="1" applyFont="1">
      <alignment vertical="top"/>
    </xf>
    <xf borderId="1" fillId="2" fontId="8" numFmtId="0" xfId="0" applyAlignment="1" applyBorder="1" applyFont="1">
      <alignment shrinkToFit="0" vertical="top" wrapText="1"/>
    </xf>
    <xf borderId="0" fillId="5" fontId="11" numFmtId="0" xfId="0" applyAlignment="1" applyFont="1">
      <alignment horizontal="left" readingOrder="0" shrinkToFit="0" vertical="top" wrapText="1"/>
    </xf>
    <xf borderId="0" fillId="5" fontId="11" numFmtId="0" xfId="0" applyAlignment="1" applyFont="1">
      <alignment readingOrder="0" shrinkToFit="0" vertical="top" wrapText="1"/>
    </xf>
    <xf borderId="0" fillId="5" fontId="11" numFmtId="0" xfId="0" applyAlignment="1" applyFont="1">
      <alignment readingOrder="0" vertical="top"/>
    </xf>
    <xf borderId="0" fillId="5" fontId="11" numFmtId="0" xfId="0" applyAlignment="1" applyFont="1">
      <alignment vertical="top"/>
    </xf>
    <xf borderId="0" fillId="2" fontId="11" numFmtId="0" xfId="0" applyAlignment="1" applyFont="1">
      <alignment horizontal="left" vertical="top"/>
    </xf>
    <xf borderId="0" fillId="2" fontId="11" numFmtId="0" xfId="0" applyAlignment="1" applyFont="1">
      <alignment vertical="top"/>
    </xf>
    <xf borderId="0" fillId="9" fontId="8" numFmtId="0" xfId="0" applyAlignment="1" applyFont="1">
      <alignment horizontal="right" vertical="top"/>
    </xf>
    <xf borderId="1" fillId="5" fontId="8" numFmtId="0" xfId="0" applyAlignment="1" applyBorder="1" applyFont="1">
      <alignment horizontal="left" readingOrder="0" vertical="top"/>
    </xf>
    <xf borderId="0" fillId="5" fontId="8" numFmtId="0" xfId="0" applyAlignment="1" applyFont="1">
      <alignment horizontal="left" readingOrder="0" vertical="top"/>
    </xf>
    <xf borderId="0" fillId="8" fontId="6" numFmtId="164" xfId="0" applyAlignment="1" applyFont="1" applyNumberFormat="1">
      <alignment horizontal="left" vertical="top"/>
    </xf>
    <xf borderId="0" fillId="8" fontId="12" numFmtId="0" xfId="0" applyAlignment="1" applyFont="1">
      <alignment horizontal="left" readingOrder="0" vertical="top"/>
    </xf>
    <xf borderId="0" fillId="2" fontId="11" numFmtId="0" xfId="0" applyAlignment="1" applyFont="1">
      <alignment readingOrder="0" vertical="top"/>
    </xf>
    <xf borderId="0" fillId="5" fontId="11" numFmtId="0" xfId="0" applyAlignment="1" applyFont="1">
      <alignment horizontal="left" readingOrder="0" vertical="top"/>
    </xf>
    <xf borderId="2" fillId="2" fontId="8" numFmtId="0" xfId="0" applyAlignment="1" applyBorder="1" applyFont="1">
      <alignment vertical="top"/>
    </xf>
    <xf borderId="3" fillId="2" fontId="8" numFmtId="0" xfId="0" applyAlignment="1" applyBorder="1" applyFont="1">
      <alignment vertical="top"/>
    </xf>
    <xf borderId="4" fillId="2" fontId="8" numFmtId="0" xfId="0" applyAlignment="1" applyBorder="1" applyFont="1">
      <alignment vertical="top"/>
    </xf>
    <xf borderId="0" fillId="2" fontId="8" numFmtId="0" xfId="0" applyAlignment="1" applyFont="1">
      <alignment readingOrder="0" vertical="top"/>
    </xf>
    <xf borderId="0" fillId="2" fontId="8" numFmtId="0" xfId="0" applyAlignment="1" applyFont="1">
      <alignment horizontal="left" vertical="top"/>
    </xf>
    <xf borderId="0" fillId="2" fontId="8" numFmtId="0" xfId="0" applyAlignment="1" applyFont="1">
      <alignment vertical="top"/>
    </xf>
    <xf borderId="0" fillId="8" fontId="6" numFmtId="164" xfId="0" applyAlignment="1" applyFont="1" applyNumberFormat="1">
      <alignment horizontal="right" vertical="top"/>
    </xf>
    <xf borderId="0" fillId="8" fontId="6" numFmtId="0" xfId="0" applyAlignment="1" applyFont="1">
      <alignment horizontal="left" vertical="top"/>
    </xf>
    <xf borderId="0" fillId="8" fontId="6" numFmtId="0" xfId="0" applyAlignment="1" applyFont="1">
      <alignment vertical="top"/>
    </xf>
    <xf borderId="0" fillId="8" fontId="6" numFmtId="0" xfId="0" applyAlignment="1" applyFont="1">
      <alignment shrinkToFit="0" vertical="top" wrapText="1"/>
    </xf>
    <xf borderId="0" fillId="2" fontId="7" numFmtId="0" xfId="0" applyAlignment="1" applyFont="1">
      <alignment readingOrder="0" vertical="top"/>
    </xf>
    <xf borderId="1" fillId="2" fontId="8" numFmtId="0" xfId="0" applyAlignment="1" applyBorder="1" applyFont="1">
      <alignment shrinkToFit="0" vertical="top" wrapText="1"/>
    </xf>
    <xf borderId="0" fillId="2" fontId="11" numFmtId="0" xfId="0" applyAlignment="1" applyFont="1">
      <alignment horizontal="left" readingOrder="0" vertical="top"/>
    </xf>
    <xf borderId="0" fillId="2" fontId="7" numFmtId="0" xfId="0" applyAlignment="1" applyFont="1">
      <alignment horizontal="center" readingOrder="0" vertical="top"/>
    </xf>
    <xf borderId="0" fillId="0" fontId="14" numFmtId="0" xfId="0" applyAlignment="1" applyFont="1">
      <alignment vertical="top"/>
    </xf>
    <xf borderId="0" fillId="0" fontId="15" numFmtId="0" xfId="0" applyAlignment="1" applyFont="1">
      <alignment vertical="top"/>
    </xf>
    <xf borderId="0" fillId="7" fontId="7" numFmtId="0" xfId="0" applyAlignment="1" applyFont="1">
      <alignment horizontal="left" vertical="top"/>
    </xf>
    <xf borderId="0" fillId="2" fontId="7" numFmtId="0" xfId="0" applyAlignment="1" applyFont="1">
      <alignment horizontal="left" vertical="top"/>
    </xf>
    <xf borderId="0" fillId="2" fontId="15" numFmtId="0" xfId="0" applyAlignment="1" applyFont="1">
      <alignment horizontal="left" vertical="top"/>
    </xf>
    <xf borderId="0" fillId="5" fontId="15" numFmtId="0" xfId="0" applyAlignment="1" applyFont="1">
      <alignment horizontal="left" vertical="top"/>
    </xf>
    <xf borderId="0" fillId="0" fontId="14" numFmtId="0" xfId="0" applyAlignment="1" applyFont="1">
      <alignment horizontal="left" vertical="top"/>
    </xf>
    <xf borderId="0" fillId="0" fontId="4" numFmtId="0" xfId="0" applyAlignment="1" applyFont="1">
      <alignment readingOrder="0" vertical="bottom"/>
    </xf>
    <xf borderId="0" fillId="10" fontId="16" numFmtId="0" xfId="0" applyAlignment="1" applyFill="1" applyFont="1">
      <alignment horizontal="left" readingOrder="0" shrinkToFit="0" wrapText="0"/>
    </xf>
    <xf borderId="0" fillId="0" fontId="17" numFmtId="0" xfId="0" applyAlignment="1" applyFont="1">
      <alignment readingOrder="0" vertical="bottom"/>
    </xf>
    <xf borderId="0" fillId="10" fontId="4" numFmtId="0" xfId="0" applyAlignment="1" applyFont="1">
      <alignment vertical="bottom"/>
    </xf>
    <xf borderId="0" fillId="10" fontId="4" numFmtId="0" xfId="0" applyAlignment="1" applyFont="1">
      <alignment vertical="bottom"/>
    </xf>
    <xf borderId="0" fillId="0" fontId="17" numFmtId="0" xfId="0" applyAlignment="1" applyFont="1">
      <alignment vertical="bottom"/>
    </xf>
    <xf borderId="0" fillId="0" fontId="7" numFmtId="0" xfId="0" applyAlignment="1" applyFont="1">
      <alignment horizontal="left" readingOrder="0" vertical="top"/>
    </xf>
    <xf borderId="0" fillId="0" fontId="8" numFmtId="0" xfId="0" applyAlignment="1" applyFont="1">
      <alignment horizontal="left" readingOrder="0" vertical="top"/>
    </xf>
    <xf borderId="0" fillId="0" fontId="14" numFmtId="0" xfId="0" applyAlignment="1" applyFont="1">
      <alignment readingOrder="0"/>
    </xf>
    <xf borderId="0" fillId="0" fontId="18" numFmtId="0" xfId="0" applyAlignment="1" applyFont="1">
      <alignment readingOrder="0"/>
    </xf>
    <xf borderId="0" fillId="2" fontId="8" numFmtId="0" xfId="0" applyAlignment="1" applyFont="1">
      <alignment readingOrder="0" vertical="top"/>
    </xf>
    <xf borderId="1" fillId="2" fontId="8" numFmtId="0" xfId="0" applyAlignment="1" applyBorder="1" applyFont="1">
      <alignment readingOrder="0" vertical="top"/>
    </xf>
    <xf borderId="0" fillId="0" fontId="4" numFmtId="0" xfId="0" applyAlignment="1" applyFont="1">
      <alignment vertical="bottom"/>
    </xf>
    <xf borderId="0" fillId="2" fontId="19" numFmtId="0" xfId="0" applyAlignment="1" applyFont="1">
      <alignment readingOrder="0"/>
    </xf>
    <xf borderId="0" fillId="2" fontId="17" numFmtId="0" xfId="0" applyAlignment="1" applyFont="1">
      <alignment vertical="bottom"/>
    </xf>
    <xf borderId="0" fillId="0" fontId="4" numFmtId="0" xfId="0" applyAlignment="1" applyFont="1">
      <alignment shrinkToFit="0" vertical="bottom" wrapText="1"/>
    </xf>
    <xf borderId="0" fillId="2" fontId="4" numFmtId="0" xfId="0" applyAlignment="1" applyFont="1">
      <alignment shrinkToFit="0" vertical="bottom" wrapText="1"/>
    </xf>
    <xf borderId="0" fillId="2" fontId="20" numFmtId="0" xfId="0" applyAlignment="1" applyFont="1">
      <alignment vertical="bottom"/>
    </xf>
    <xf borderId="0" fillId="2" fontId="20" numFmtId="10" xfId="0" applyAlignment="1" applyFont="1" applyNumberFormat="1">
      <alignment vertical="bottom"/>
    </xf>
    <xf borderId="0" fillId="2" fontId="21" numFmtId="0" xfId="0" applyAlignment="1" applyFont="1">
      <alignment vertical="bottom"/>
    </xf>
    <xf borderId="0" fillId="0" fontId="22" numFmtId="0" xfId="0" applyAlignment="1" applyFont="1">
      <alignment vertical="bottom"/>
    </xf>
    <xf borderId="0" fillId="2" fontId="4" numFmtId="0" xfId="0" applyAlignment="1" applyFont="1">
      <alignment vertical="bottom"/>
    </xf>
    <xf borderId="0" fillId="11" fontId="23" numFmtId="0" xfId="0" applyAlignment="1" applyFill="1" applyFont="1">
      <alignment shrinkToFit="0" vertical="bottom" wrapText="0"/>
    </xf>
    <xf borderId="0" fillId="11" fontId="24" numFmtId="0" xfId="0" applyAlignment="1" applyFont="1">
      <alignment vertical="bottom"/>
    </xf>
    <xf borderId="0" fillId="2" fontId="23" numFmtId="0" xfId="0" applyAlignment="1" applyFont="1">
      <alignment shrinkToFit="0" vertical="bottom" wrapText="0"/>
    </xf>
    <xf borderId="0" fillId="2" fontId="24" numFmtId="0" xfId="0" applyAlignment="1" applyFont="1">
      <alignment vertical="bottom"/>
    </xf>
    <xf borderId="0" fillId="2" fontId="25" numFmtId="0" xfId="0" applyAlignment="1" applyFont="1">
      <alignment vertical="bottom"/>
    </xf>
    <xf borderId="0" fillId="2" fontId="26" numFmtId="0" xfId="0" applyAlignment="1" applyFont="1">
      <alignment vertical="bottom"/>
    </xf>
    <xf borderId="0" fillId="2" fontId="4" numFmtId="0" xfId="0" applyAlignment="1" applyFont="1">
      <alignment vertical="bottom"/>
    </xf>
    <xf borderId="0" fillId="2" fontId="4" numFmtId="0" xfId="0" applyAlignment="1" applyFont="1">
      <alignment shrinkToFit="0" vertical="bottom" wrapText="1"/>
    </xf>
    <xf borderId="0" fillId="11" fontId="4" numFmtId="0" xfId="0" applyAlignment="1" applyFont="1">
      <alignment shrinkToFit="0" vertical="bottom" wrapText="1"/>
    </xf>
    <xf borderId="0" fillId="11" fontId="4" numFmtId="0" xfId="0" applyAlignment="1" applyFont="1">
      <alignment vertical="bottom"/>
    </xf>
    <xf borderId="0" fillId="0" fontId="25" numFmtId="0" xfId="0" applyAlignment="1" applyFont="1">
      <alignment vertical="bottom"/>
    </xf>
    <xf borderId="0" fillId="2" fontId="4" numFmtId="0" xfId="0" applyAlignment="1" applyFont="1">
      <alignment readingOrder="0" vertical="bottom"/>
    </xf>
    <xf borderId="0" fillId="0" fontId="14" numFmtId="0" xfId="0" applyFont="1"/>
    <xf borderId="0" fillId="0" fontId="27" numFmtId="0" xfId="0" applyFont="1"/>
    <xf borderId="0" fillId="0" fontId="28" numFmtId="0" xfId="0" applyAlignment="1" applyFont="1">
      <alignment readingOrder="0"/>
    </xf>
    <xf borderId="0" fillId="0" fontId="28" numFmtId="0" xfId="0" applyFont="1"/>
    <xf borderId="0" fillId="0" fontId="14" numFmtId="0" xfId="0" applyAlignment="1" applyFont="1">
      <alignment readingOrder="0"/>
    </xf>
    <xf borderId="0" fillId="0" fontId="4" numFmtId="0" xfId="0" applyAlignment="1" applyFont="1">
      <alignment horizontal="right" vertical="bottom"/>
    </xf>
    <xf borderId="0" fillId="12" fontId="14" numFmtId="0" xfId="0" applyAlignment="1" applyFill="1" applyFont="1">
      <alignment readingOrder="0"/>
    </xf>
    <xf borderId="0" fillId="0" fontId="4" numFmtId="0" xfId="0" applyAlignment="1" applyFont="1">
      <alignment horizontal="right" readingOrder="0" vertical="bottom"/>
    </xf>
    <xf borderId="5" fillId="13" fontId="14" numFmtId="0" xfId="0" applyBorder="1" applyFill="1" applyFont="1"/>
    <xf borderId="6" fillId="13" fontId="28" numFmtId="0" xfId="0" applyAlignment="1" applyBorder="1" applyFont="1">
      <alignment readingOrder="0"/>
    </xf>
    <xf borderId="7" fillId="13" fontId="28" numFmtId="0" xfId="0" applyAlignment="1" applyBorder="1" applyFont="1">
      <alignment readingOrder="0"/>
    </xf>
    <xf borderId="8" fillId="14" fontId="28" numFmtId="0" xfId="0" applyAlignment="1" applyBorder="1" applyFill="1" applyFont="1">
      <alignment readingOrder="0"/>
    </xf>
    <xf borderId="9" fillId="0" fontId="14" numFmtId="0" xfId="0" applyAlignment="1" applyBorder="1" applyFont="1">
      <alignment readingOrder="0"/>
    </xf>
    <xf borderId="9" fillId="0" fontId="14" numFmtId="0" xfId="0" applyBorder="1" applyFont="1"/>
    <xf borderId="10" fillId="14" fontId="28" numFmtId="0" xfId="0" applyAlignment="1" applyBorder="1" applyFont="1">
      <alignment readingOrder="0"/>
    </xf>
    <xf borderId="11" fillId="0" fontId="14" numFmtId="0" xfId="0" applyBorder="1" applyFont="1"/>
    <xf borderId="12" fillId="0" fontId="14" numFmtId="0" xfId="0" applyBorder="1" applyFont="1"/>
    <xf borderId="13" fillId="0" fontId="14" numFmtId="0" xfId="0" applyBorder="1" applyFont="1"/>
    <xf borderId="9" fillId="0" fontId="4" numFmtId="0" xfId="0" applyAlignment="1" applyBorder="1" applyFont="1">
      <alignment horizontal="right" vertical="bottom"/>
    </xf>
    <xf borderId="14" fillId="0" fontId="14" numFmtId="0" xfId="0" applyBorder="1" applyFont="1"/>
    <xf borderId="0" fillId="0" fontId="14" numFmtId="0" xfId="0" applyAlignment="1" applyFont="1">
      <alignment readingOrder="0" vertical="bottom"/>
    </xf>
    <xf borderId="14" fillId="0" fontId="4" numFmtId="0" xfId="0" applyAlignment="1" applyBorder="1" applyFont="1">
      <alignment horizontal="right" vertical="bottom"/>
    </xf>
    <xf borderId="8" fillId="2" fontId="14" numFmtId="0" xfId="0" applyAlignment="1" applyBorder="1" applyFont="1">
      <alignment readingOrder="0"/>
    </xf>
    <xf borderId="15" fillId="0" fontId="14" numFmtId="0" xfId="0" applyBorder="1" applyFont="1"/>
    <xf borderId="8" fillId="0" fontId="28" numFmtId="0" xfId="0" applyAlignment="1" applyBorder="1" applyFont="1">
      <alignment readingOrder="0"/>
    </xf>
    <xf borderId="0" fillId="2" fontId="14" numFmtId="0" xfId="0" applyAlignment="1" applyFont="1">
      <alignment readingOrder="0"/>
    </xf>
    <xf borderId="6" fillId="0" fontId="4" numFmtId="0" xfId="0" applyAlignment="1" applyBorder="1" applyFont="1">
      <alignment vertical="bottom"/>
    </xf>
    <xf borderId="6" fillId="0" fontId="14" numFmtId="0" xfId="0" applyBorder="1" applyFont="1"/>
    <xf borderId="8" fillId="0" fontId="28" numFmtId="0" xfId="0" applyBorder="1" applyFont="1"/>
    <xf borderId="10" fillId="0" fontId="28" numFmtId="0" xfId="0" applyBorder="1" applyFont="1"/>
    <xf borderId="11" fillId="0" fontId="4" numFmtId="0" xfId="0" applyAlignment="1" applyBorder="1" applyFont="1">
      <alignment readingOrder="0" vertical="bottom"/>
    </xf>
    <xf borderId="13" fillId="13" fontId="28" numFmtId="0" xfId="0" applyAlignment="1" applyBorder="1" applyFont="1">
      <alignment readingOrder="0"/>
    </xf>
    <xf borderId="14" fillId="0" fontId="29" numFmtId="0" xfId="0" applyAlignment="1" applyBorder="1" applyFont="1">
      <alignment readingOrder="0" vertical="top"/>
    </xf>
    <xf borderId="15" fillId="0" fontId="29" numFmtId="0" xfId="0" applyAlignment="1" applyBorder="1" applyFont="1">
      <alignment readingOrder="0" vertical="top"/>
    </xf>
    <xf borderId="0" fillId="15" fontId="10" numFmtId="0" xfId="0" applyAlignment="1" applyFill="1" applyFont="1">
      <alignment readingOrder="0" vertical="bottom"/>
    </xf>
    <xf borderId="0" fillId="15" fontId="4" numFmtId="0" xfId="0" applyAlignment="1" applyFont="1">
      <alignment vertical="bottom"/>
    </xf>
    <xf borderId="0" fillId="0" fontId="10" numFmtId="0" xfId="0" applyAlignment="1" applyFont="1">
      <alignment vertical="bottom"/>
    </xf>
    <xf borderId="0" fillId="0" fontId="10" numFmtId="0" xfId="0" applyAlignment="1" applyFont="1">
      <alignment horizontal="right" vertical="bottom"/>
    </xf>
    <xf borderId="0" fillId="15" fontId="14" numFmtId="0" xfId="0" applyAlignment="1" applyFont="1">
      <alignment vertical="bottom"/>
    </xf>
    <xf borderId="0" fillId="0" fontId="19" numFmtId="0" xfId="0" applyAlignment="1" applyFont="1">
      <alignment readingOrder="0" shrinkToFit="0" vertical="bottom" wrapText="0"/>
    </xf>
    <xf borderId="0" fillId="0" fontId="14" numFmtId="0" xfId="0" applyAlignment="1" applyFont="1">
      <alignment vertical="bottom"/>
    </xf>
    <xf borderId="0" fillId="0" fontId="30" numFmtId="0" xfId="0" applyAlignment="1" applyFont="1">
      <alignment vertical="bottom"/>
    </xf>
    <xf borderId="0" fillId="0" fontId="14" numFmtId="0" xfId="0" applyAlignment="1" applyFont="1">
      <alignment readingOrder="0" vertical="bottom"/>
    </xf>
    <xf borderId="0" fillId="0" fontId="28" numFmtId="0" xfId="0" applyAlignment="1" applyFont="1">
      <alignment readingOrder="0" vertical="bottom"/>
    </xf>
    <xf borderId="0" fillId="12" fontId="19" numFmtId="0" xfId="0" applyAlignment="1" applyFont="1">
      <alignment readingOrder="0" shrinkToFit="0" vertical="bottom" wrapText="0"/>
    </xf>
    <xf borderId="0" fillId="12" fontId="14" numFmtId="0" xfId="0" applyAlignment="1" applyFont="1">
      <alignment readingOrder="0" vertical="bottom"/>
    </xf>
    <xf borderId="0" fillId="12" fontId="14" numFmtId="0" xfId="0" applyAlignment="1" applyFont="1">
      <alignment vertical="bottom"/>
    </xf>
    <xf borderId="0" fillId="12" fontId="31" numFmtId="0" xfId="0" applyAlignment="1" applyFont="1">
      <alignment vertical="bottom"/>
    </xf>
    <xf borderId="0" fillId="12" fontId="4" numFmtId="0" xfId="0" applyAlignment="1" applyFont="1">
      <alignment vertical="bottom"/>
    </xf>
    <xf borderId="0" fillId="15" fontId="4" numFmtId="0" xfId="0" applyAlignment="1" applyFont="1">
      <alignment horizontal="right" readingOrder="0" vertical="bottom"/>
    </xf>
    <xf borderId="0" fillId="0" fontId="10" numFmtId="0" xfId="0" applyAlignment="1" applyFont="1">
      <alignment vertical="bottom"/>
    </xf>
    <xf borderId="0" fillId="15" fontId="14" numFmtId="0" xfId="0" applyFont="1"/>
    <xf borderId="0" fillId="15" fontId="4" numFmtId="0" xfId="0" applyAlignment="1" applyFont="1">
      <alignment readingOrder="0" vertical="bottom"/>
    </xf>
    <xf borderId="0" fillId="12" fontId="4" numFmtId="0" xfId="0" applyAlignment="1" applyFont="1">
      <alignment readingOrder="0" vertical="bottom"/>
    </xf>
    <xf borderId="0" fillId="12" fontId="32" numFmtId="0" xfId="0" applyAlignment="1" applyFont="1">
      <alignment vertical="bottom"/>
    </xf>
    <xf borderId="0" fillId="15" fontId="10" numFmtId="0" xfId="0" applyAlignment="1" applyFont="1">
      <alignment horizontal="left" readingOrder="0" vertical="bottom"/>
    </xf>
    <xf borderId="0" fillId="0" fontId="29" numFmtId="0" xfId="0" applyAlignment="1" applyFont="1">
      <alignment readingOrder="0" vertical="bottom"/>
    </xf>
    <xf borderId="0" fillId="0" fontId="33" numFmtId="0" xfId="0" applyAlignment="1" applyFont="1">
      <alignment readingOrder="0" vertical="bottom"/>
    </xf>
    <xf borderId="0" fillId="0" fontId="4" numFmtId="0" xfId="0" applyAlignment="1" applyFont="1">
      <alignment readingOrder="0" vertical="bottom"/>
    </xf>
    <xf borderId="0" fillId="0" fontId="4" numFmtId="0" xfId="0" applyAlignment="1" applyFont="1">
      <alignment vertical="bottom"/>
    </xf>
    <xf borderId="0" fillId="0" fontId="10" numFmtId="0" xfId="0" applyAlignment="1" applyFont="1">
      <alignment readingOrder="0" vertical="bottom"/>
    </xf>
    <xf borderId="0" fillId="14" fontId="10" numFmtId="0" xfId="0" applyAlignment="1" applyFont="1">
      <alignment vertical="bottom"/>
    </xf>
    <xf borderId="0" fillId="14" fontId="4" numFmtId="0" xfId="0" applyAlignment="1" applyFont="1">
      <alignment vertical="bottom"/>
    </xf>
    <xf borderId="0" fillId="14" fontId="14" numFmtId="0" xfId="0" applyFont="1"/>
    <xf borderId="0" fillId="14" fontId="17" numFmtId="0" xfId="0" applyAlignment="1" applyFont="1">
      <alignment vertical="bottom"/>
    </xf>
    <xf borderId="0" fillId="14" fontId="4" numFmtId="0" xfId="0" applyAlignment="1" applyFont="1">
      <alignment horizontal="right" vertical="bottom"/>
    </xf>
    <xf borderId="0" fillId="0" fontId="34" numFmtId="0" xfId="0" applyAlignment="1" applyFont="1">
      <alignment vertical="bottom"/>
    </xf>
    <xf borderId="0" fillId="16" fontId="14" numFmtId="0" xfId="0" applyAlignment="1" applyFill="1" applyFont="1">
      <alignment readingOrder="0"/>
    </xf>
    <xf borderId="0" fillId="17" fontId="4" numFmtId="0" xfId="0" applyAlignment="1" applyFill="1" applyFont="1">
      <alignment vertical="bottom"/>
    </xf>
    <xf borderId="0" fillId="18" fontId="4" numFmtId="0" xfId="0" applyAlignment="1" applyFill="1" applyFont="1">
      <alignment vertical="bottom"/>
    </xf>
    <xf borderId="0" fillId="19" fontId="4" numFmtId="0" xfId="0" applyAlignment="1" applyFill="1" applyFont="1">
      <alignment vertical="bottom"/>
    </xf>
    <xf borderId="0" fillId="0" fontId="29" numFmtId="0" xfId="0" applyAlignment="1" applyFont="1">
      <alignment vertical="bottom"/>
    </xf>
    <xf borderId="0" fillId="12" fontId="14" numFmtId="0" xfId="0" applyFont="1"/>
    <xf borderId="0" fillId="0" fontId="10" numFmtId="0" xfId="0" applyAlignment="1" applyFont="1">
      <alignment horizontal="left" readingOrder="0" vertical="bottom"/>
    </xf>
    <xf borderId="0" fillId="0" fontId="4" numFmtId="0" xfId="0" applyAlignment="1" applyFont="1">
      <alignment horizontal="left" readingOrder="0" vertical="bottom"/>
    </xf>
    <xf borderId="0" fillId="2" fontId="35" numFmtId="0" xfId="0" applyAlignment="1" applyFont="1">
      <alignment readingOrder="0"/>
    </xf>
    <xf borderId="0" fillId="0" fontId="29" numFmtId="0" xfId="0" applyAlignment="1" applyFont="1">
      <alignment horizontal="center" vertical="top"/>
    </xf>
    <xf borderId="0" fillId="0" fontId="29" numFmtId="0" xfId="0" applyAlignment="1" applyFont="1">
      <alignment vertical="top"/>
    </xf>
    <xf borderId="0" fillId="0" fontId="4" numFmtId="0" xfId="0" applyAlignment="1" applyFont="1">
      <alignment horizontal="left" vertical="bottom"/>
    </xf>
    <xf borderId="0" fillId="0" fontId="36" numFmtId="0" xfId="0" applyAlignment="1" applyFont="1">
      <alignment vertical="top"/>
    </xf>
    <xf borderId="0" fillId="0" fontId="29" numFmtId="0" xfId="0" applyAlignment="1" applyFont="1">
      <alignment horizontal="left" vertical="top"/>
    </xf>
    <xf borderId="0" fillId="0" fontId="14" numFmtId="0" xfId="0" applyAlignment="1" applyFont="1">
      <alignment horizontal="left"/>
    </xf>
    <xf borderId="0" fillId="2" fontId="37" numFmtId="0" xfId="0" applyAlignment="1" applyFont="1">
      <alignment readingOrder="0" vertical="bottom"/>
    </xf>
    <xf borderId="0" fillId="2" fontId="37" numFmtId="0" xfId="0" applyAlignment="1" applyFont="1">
      <alignment vertical="bottom"/>
    </xf>
    <xf borderId="0" fillId="0" fontId="38" numFmtId="0" xfId="0" applyAlignment="1" applyFont="1">
      <alignment horizontal="center" readingOrder="0" vertical="top"/>
    </xf>
    <xf borderId="0" fillId="0" fontId="38" numFmtId="0" xfId="0" applyAlignment="1" applyFont="1">
      <alignment readingOrder="0" vertical="top"/>
    </xf>
    <xf borderId="0" fillId="0" fontId="29" numFmtId="0" xfId="0" applyAlignment="1" applyFont="1">
      <alignment readingOrder="0" shrinkToFit="0" vertical="bottom" wrapText="0"/>
    </xf>
    <xf borderId="0" fillId="0" fontId="29" numFmtId="0" xfId="0" applyAlignment="1" applyFont="1">
      <alignment shrinkToFit="0" vertical="bottom" wrapText="0"/>
    </xf>
    <xf borderId="0" fillId="0" fontId="29" numFmtId="0" xfId="0" applyAlignment="1" applyFont="1">
      <alignment vertical="bottom"/>
    </xf>
    <xf borderId="0" fillId="0" fontId="38" numFmtId="0" xfId="0" applyAlignment="1" applyFont="1">
      <alignment vertical="top"/>
    </xf>
    <xf borderId="0" fillId="2" fontId="39" numFmtId="0" xfId="0" applyAlignment="1" applyFont="1">
      <alignment shrinkToFit="0" vertical="bottom" wrapText="1"/>
    </xf>
    <xf borderId="0" fillId="2" fontId="39" numFmtId="0" xfId="0" applyAlignment="1" applyFont="1">
      <alignment shrinkToFit="0" vertical="bottom" wrapText="1"/>
    </xf>
    <xf borderId="0" fillId="0" fontId="10" numFmtId="0" xfId="0" applyAlignment="1" applyFont="1">
      <alignment shrinkToFit="0" vertical="bottom" wrapText="1"/>
    </xf>
    <xf borderId="0" fillId="0" fontId="4" numFmtId="0" xfId="0" applyAlignment="1" applyFont="1">
      <alignment shrinkToFit="0" vertical="bottom" wrapText="0"/>
    </xf>
    <xf borderId="0" fillId="2" fontId="40" numFmtId="0" xfId="0" applyAlignment="1" applyFont="1">
      <alignment shrinkToFit="0" vertical="bottom" wrapText="1"/>
    </xf>
    <xf borderId="0" fillId="2" fontId="40" numFmtId="0" xfId="0" applyAlignment="1" applyFont="1">
      <alignment horizontal="right" vertical="bottom"/>
    </xf>
    <xf borderId="0" fillId="0" fontId="4" numFmtId="0" xfId="0" applyAlignment="1" applyFont="1">
      <alignment shrinkToFit="0" vertical="bottom" wrapText="1"/>
    </xf>
    <xf borderId="0" fillId="15" fontId="10" numFmtId="0" xfId="0" applyAlignment="1" applyFont="1">
      <alignment horizontal="left" readingOrder="0" shrinkToFit="0" vertical="bottom" wrapText="0"/>
    </xf>
    <xf borderId="16" fillId="2" fontId="40" numFmtId="0" xfId="0" applyAlignment="1" applyBorder="1" applyFont="1">
      <alignment vertical="bottom"/>
    </xf>
    <xf borderId="16" fillId="2" fontId="40" numFmtId="0" xfId="0" applyAlignment="1" applyBorder="1" applyFont="1">
      <alignment readingOrder="0" vertical="bottom"/>
    </xf>
    <xf borderId="16" fillId="0" fontId="4" numFmtId="0" xfId="0" applyAlignment="1" applyBorder="1" applyFont="1">
      <alignment vertical="bottom"/>
    </xf>
    <xf borderId="0" fillId="0" fontId="41" numFmtId="0" xfId="0" applyAlignment="1" applyFont="1">
      <alignment readingOrder="0"/>
    </xf>
    <xf borderId="0" fillId="0" fontId="14" numFmtId="0" xfId="0" applyAlignment="1" applyFont="1">
      <alignment shrinkToFit="0" wrapText="0"/>
    </xf>
    <xf borderId="0" fillId="0" fontId="10" numFmtId="0" xfId="0" applyAlignment="1" applyFont="1">
      <alignment shrinkToFit="0" vertical="bottom" wrapText="1"/>
    </xf>
    <xf borderId="0" fillId="2" fontId="39" numFmtId="0" xfId="0" applyAlignment="1" applyFont="1">
      <alignment horizontal="right" vertical="bottom"/>
    </xf>
    <xf borderId="0" fillId="0" fontId="4" numFmtId="0" xfId="0" applyAlignment="1" applyFont="1">
      <alignment horizontal="right" shrinkToFit="0" vertical="bottom" wrapText="1"/>
    </xf>
    <xf borderId="0" fillId="0" fontId="4" numFmtId="0" xfId="0" applyAlignment="1" applyFont="1">
      <alignment readingOrder="0" shrinkToFit="0" vertical="bottom" wrapText="1"/>
    </xf>
    <xf borderId="0" fillId="2" fontId="39" numFmtId="0" xfId="0" applyAlignment="1" applyFont="1">
      <alignment vertical="bottom"/>
    </xf>
    <xf borderId="0" fillId="2" fontId="39" numFmtId="0" xfId="0" applyAlignment="1" applyFont="1">
      <alignment readingOrder="0" vertical="bottom"/>
    </xf>
    <xf borderId="16" fillId="2" fontId="42" numFmtId="0" xfId="0" applyAlignment="1" applyBorder="1" applyFont="1">
      <alignment readingOrder="0" vertical="bottom"/>
    </xf>
    <xf borderId="16" fillId="2" fontId="42" numFmtId="0" xfId="0" applyAlignment="1" applyBorder="1" applyFont="1">
      <alignment vertical="bottom"/>
    </xf>
    <xf borderId="0" fillId="0" fontId="43" numFmtId="0" xfId="0" applyAlignment="1" applyFont="1">
      <alignment readingOrder="0"/>
    </xf>
    <xf borderId="16" fillId="2" fontId="39" numFmtId="0" xfId="0" applyAlignment="1" applyBorder="1" applyFont="1">
      <alignment vertical="bottom"/>
    </xf>
    <xf borderId="16" fillId="2" fontId="44" numFmtId="0" xfId="0" applyAlignment="1" applyBorder="1" applyFont="1">
      <alignment vertical="bottom"/>
    </xf>
    <xf borderId="16" fillId="2" fontId="4" numFmtId="0" xfId="0" applyAlignment="1" applyBorder="1" applyFont="1">
      <alignment vertical="bottom"/>
    </xf>
    <xf borderId="16" fillId="2" fontId="39" numFmtId="0" xfId="0" applyAlignment="1" applyBorder="1" applyFont="1">
      <alignment readingOrder="0" vertical="bottom"/>
    </xf>
    <xf borderId="0" fillId="0" fontId="45" numFmtId="0" xfId="0" applyAlignment="1" applyFont="1">
      <alignment readingOrder="0"/>
    </xf>
    <xf borderId="17" fillId="2" fontId="40" numFmtId="0" xfId="0" applyAlignment="1" applyBorder="1" applyFont="1">
      <alignment vertical="bottom"/>
    </xf>
    <xf borderId="17" fillId="2" fontId="39" numFmtId="0" xfId="0" applyAlignment="1" applyBorder="1" applyFont="1">
      <alignment vertical="bottom"/>
    </xf>
    <xf borderId="17" fillId="2" fontId="42" numFmtId="0" xfId="0" applyAlignment="1" applyBorder="1" applyFont="1">
      <alignment vertical="bottom"/>
    </xf>
    <xf borderId="17" fillId="2" fontId="4" numFmtId="0" xfId="0" applyAlignment="1" applyBorder="1" applyFont="1">
      <alignment vertical="bottom"/>
    </xf>
    <xf borderId="0" fillId="2" fontId="40" numFmtId="0" xfId="0" applyAlignment="1" applyFont="1">
      <alignment vertical="bottom"/>
    </xf>
    <xf borderId="0" fillId="2" fontId="42" numFmtId="0" xfId="0" applyAlignment="1" applyFont="1">
      <alignment vertical="bottom"/>
    </xf>
    <xf borderId="0" fillId="0" fontId="46" numFmtId="0" xfId="0" applyAlignment="1" applyFont="1">
      <alignment horizontal="left" readingOrder="0" shrinkToFit="0" wrapText="1"/>
    </xf>
    <xf borderId="0" fillId="0" fontId="47" numFmtId="0" xfId="0" applyAlignment="1" applyFont="1">
      <alignment horizontal="left" readingOrder="0" shrinkToFit="0" wrapText="1"/>
    </xf>
    <xf borderId="0" fillId="0" fontId="48" numFmtId="0" xfId="0" applyAlignment="1" applyFont="1">
      <alignment horizontal="left" readingOrder="0"/>
    </xf>
    <xf borderId="0" fillId="0" fontId="49" numFmtId="0" xfId="0" applyAlignment="1" applyFont="1">
      <alignment horizontal="left" readingOrder="0"/>
    </xf>
    <xf borderId="0" fillId="0" fontId="49" numFmtId="0" xfId="0" applyAlignment="1" applyFont="1">
      <alignment horizontal="left"/>
    </xf>
    <xf borderId="0" fillId="0" fontId="48" numFmtId="0" xfId="0" applyAlignment="1" applyFont="1">
      <alignment horizontal="left"/>
    </xf>
    <xf borderId="0" fillId="0" fontId="10" numFmtId="0" xfId="0" applyAlignment="1" applyFont="1">
      <alignment readingOrder="0"/>
    </xf>
    <xf borderId="1" fillId="0" fontId="10" numFmtId="0" xfId="0" applyAlignment="1" applyBorder="1" applyFont="1">
      <alignment horizontal="center" shrinkToFit="0" wrapText="1"/>
    </xf>
    <xf borderId="0" fillId="0" fontId="10" numFmtId="0" xfId="0" applyAlignment="1" applyFont="1">
      <alignment horizontal="center" shrinkToFit="0" wrapText="1"/>
    </xf>
    <xf borderId="0" fillId="0" fontId="50" numFmtId="0" xfId="0" applyAlignment="1" applyFont="1">
      <alignment readingOrder="0"/>
    </xf>
    <xf borderId="0" fillId="0" fontId="14" numFmtId="0" xfId="0" applyAlignment="1" applyFont="1">
      <alignment horizontal="right" readingOrder="0"/>
    </xf>
    <xf borderId="0" fillId="0" fontId="14" numFmtId="0" xfId="0" applyAlignment="1" applyFont="1">
      <alignment readingOrder="0" shrinkToFit="0" wrapText="1"/>
    </xf>
    <xf borderId="0" fillId="0" fontId="38" numFmtId="0" xfId="0" applyAlignment="1" applyFont="1">
      <alignment vertical="bottom"/>
    </xf>
    <xf borderId="0" fillId="0" fontId="38" numFmtId="0" xfId="0" applyAlignment="1" applyFont="1">
      <alignment readingOrder="0" vertical="bottom"/>
    </xf>
    <xf borderId="0" fillId="12" fontId="29" numFmtId="0" xfId="0" applyAlignment="1" applyFont="1">
      <alignment vertical="bottom"/>
    </xf>
    <xf borderId="0" fillId="0" fontId="51" numFmtId="0" xfId="0" applyAlignment="1" applyFont="1">
      <alignment readingOrder="0"/>
    </xf>
    <xf borderId="0" fillId="2" fontId="52" numFmtId="0" xfId="0" applyAlignment="1" applyFont="1">
      <alignment readingOrder="0" shrinkToFit="0" wrapText="1"/>
    </xf>
    <xf borderId="0" fillId="0" fontId="53" numFmtId="0" xfId="0" applyAlignment="1" applyFont="1">
      <alignment readingOrder="0"/>
    </xf>
    <xf borderId="0" fillId="0" fontId="54" numFmtId="0" xfId="0" applyAlignment="1" applyFont="1">
      <alignment readingOrder="0"/>
    </xf>
    <xf borderId="0" fillId="0" fontId="54" numFmtId="0" xfId="0" applyFont="1"/>
    <xf quotePrefix="1" borderId="0" fillId="0" fontId="29" numFmtId="0" xfId="0" applyAlignment="1" applyFont="1">
      <alignment vertical="bottom"/>
    </xf>
  </cellXfs>
  <cellStyles count="1">
    <cellStyle xfId="0" name="Normal" builtinId="0"/>
  </cellStyles>
  <dxfs count="6">
    <dxf>
      <font/>
      <fill>
        <patternFill patternType="none"/>
      </fill>
      <border/>
    </dxf>
    <dxf>
      <font/>
      <fill>
        <patternFill patternType="solid">
          <fgColor rgb="FFF9F8FF"/>
          <bgColor rgb="FFF9F8FF"/>
        </patternFill>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B7E1CD"/>
          <bgColor rgb="FFB7E1CD"/>
        </patternFill>
      </fill>
      <border/>
    </dxf>
    <dxf>
      <font/>
      <fill>
        <patternFill patternType="solid">
          <fgColor rgb="FFF4C7C3"/>
          <bgColor rgb="FFF4C7C3"/>
        </patternFill>
      </fill>
      <border/>
    </dxf>
  </dxfs>
  <tableStyles count="6">
    <tableStyle count="2" pivot="0" name="Session Chairs-style">
      <tableStyleElement dxfId="1" type="firstRowStripe"/>
      <tableStyleElement dxfId="2" type="secondRowStripe"/>
    </tableStyle>
    <tableStyle count="2" pivot="0" name="Session Chairs-style 2">
      <tableStyleElement dxfId="3" type="firstRowStripe"/>
      <tableStyleElement dxfId="2" type="secondRowStripe"/>
    </tableStyle>
    <tableStyle count="2" pivot="0" name="Session Chairs-style 3">
      <tableStyleElement dxfId="2" type="firstRowStripe"/>
      <tableStyleElement dxfId="3" type="secondRowStripe"/>
    </tableStyle>
    <tableStyle count="2" pivot="0" name="Session Chairs-style 4">
      <tableStyleElement dxfId="2" type="firstRowStripe"/>
      <tableStyleElement dxfId="3" type="secondRowStripe"/>
    </tableStyle>
    <tableStyle count="2" pivot="0" name="Session Chairs-style 5">
      <tableStyleElement dxfId="3" type="firstRowStripe"/>
      <tableStyleElement dxfId="2" type="secondRowStripe"/>
    </tableStyle>
    <tableStyle count="2" pivot="0" name="Session Chairs-style 6">
      <tableStyleElement dxfId="3" type="firstRowStripe"/>
      <tableStyleElement dxfId="2" type="secondRowStrip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5" Type="http://schemas.openxmlformats.org/officeDocument/2006/relationships/worksheet" Target="worksheets/sheet2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Hady Lauw" id="{22d81c9c-d118-47d5-8467-397145aa74bc}" providerId="google-sheets"/>
  <x18tc:person displayName="Yoelle Maarek" id="{f4103f7a-2795-44ed-a9bd-7cc1699ac1a2}" providerId="google-sheets"/>
  <x18tc:person displayName="Hady Lauw" id="{1da8d2d3-1e88-4759-95ad-3ee1a564615d}" providerId="google-sheets"/>
  <x18tc:person displayName="Usman Naseem" id="{5afda0c2-d2c1-4a62-8464-9517fec19117}" providerId="google-sheets"/>
</x18tc:personList>
</file>

<file path=xl/tables/table1.xml><?xml version="1.0" encoding="utf-8"?>
<table xmlns="http://schemas.openxmlformats.org/spreadsheetml/2006/main" headerRowCount="0" ref="A5:M17" displayName="Table_1" name="Table_1" id="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Session Chairs-style" showColumnStripes="0" showFirstColumn="1" showLastColumn="1" showRowStripes="1"/>
</table>
</file>

<file path=xl/tables/table2.xml><?xml version="1.0" encoding="utf-8"?>
<table xmlns="http://schemas.openxmlformats.org/spreadsheetml/2006/main" headerRowCount="0" ref="C53:D53" displayName="Table_2" name="Table_2" id="2">
  <tableColumns count="2">
    <tableColumn name="Column1" id="1"/>
    <tableColumn name="Column2" id="2"/>
  </tableColumns>
  <tableStyleInfo name="Session Chairs-style 2" showColumnStripes="0" showFirstColumn="1" showLastColumn="1" showRowStripes="1"/>
</table>
</file>

<file path=xl/tables/table3.xml><?xml version="1.0" encoding="utf-8"?>
<table xmlns="http://schemas.openxmlformats.org/spreadsheetml/2006/main" headerRowCount="0" ref="C54:D57" displayName="Table_3" name="Table_3" id="3">
  <tableColumns count="2">
    <tableColumn name="Column1" id="1"/>
    <tableColumn name="Column2" id="2"/>
  </tableColumns>
  <tableStyleInfo name="Session Chairs-style 3" showColumnStripes="0" showFirstColumn="1" showLastColumn="1" showRowStripes="1"/>
</table>
</file>

<file path=xl/tables/table4.xml><?xml version="1.0" encoding="utf-8"?>
<table xmlns="http://schemas.openxmlformats.org/spreadsheetml/2006/main" headerRowCount="0" ref="C92:D94" displayName="Table_4" name="Table_4" id="4">
  <tableColumns count="2">
    <tableColumn name="Column1" id="1"/>
    <tableColumn name="Column2" id="2"/>
  </tableColumns>
  <tableStyleInfo name="Session Chairs-style 4" showColumnStripes="0" showFirstColumn="1" showLastColumn="1" showRowStripes="1"/>
</table>
</file>

<file path=xl/tables/table5.xml><?xml version="1.0" encoding="utf-8"?>
<table xmlns="http://schemas.openxmlformats.org/spreadsheetml/2006/main" headerRowCount="0" ref="C96:D96" displayName="Table_5" name="Table_5" id="5">
  <tableColumns count="2">
    <tableColumn name="Column1" id="1"/>
    <tableColumn name="Column2" id="2"/>
  </tableColumns>
  <tableStyleInfo name="Session Chairs-style 5" showColumnStripes="0" showFirstColumn="1" showLastColumn="1" showRowStripes="1"/>
</table>
</file>

<file path=xl/tables/table6.xml><?xml version="1.0" encoding="utf-8"?>
<table xmlns="http://schemas.openxmlformats.org/spreadsheetml/2006/main" headerRowCount="0" ref="C98:D98" displayName="Table_6" name="Table_6" id="6">
  <tableColumns count="2">
    <tableColumn name="Column1" id="1"/>
    <tableColumn name="Column2" id="2"/>
  </tableColumns>
  <tableStyleInfo name="Session Chairs-style 6"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57" dT="2026-05-19T17:41:19.00" personId="{f4103f7a-2795-44ed-a9bd-7cc1699ac1a2}" id="{8cd5ce47-d0da-44c7-93ea-e347b713c895}" done="0">
    <x18tc:text xml:space="preserve">4 papers only</x18tc:text>
  </x18tc:threadedComment>
  <x18tc:threadedComment ref="J57" dT="2026-05-20T08:34:38.00" personId="{f4103f7a-2795-44ed-a9bd-7cc1699ac1a2}" id="{63236025-ea58-46d9-87c9-13c02d00e89c}" done="0">
    <x18tc:text xml:space="preserve">session of 4 after tweb2 withdrawal</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F30" dT="2026-06-19T07:32:43.00" personId="{22d81c9c-d118-47d5-8467-397145aa74bc}" id="{3c31da14-726c-4363-ad18-453781adf875}" done="0">
    <x18tc:text xml:space="preserve">lin_benshuo@m.scnu.edu.cn</x18tc:text>
  </x18tc:threadedComment>
  <x18tc:threadedComment ref="F12" dT="2026-06-19T07:25:29.00" personId="{22d81c9c-d118-47d5-8467-397145aa74bc}" id="{87f0bae0-b00a-426c-849f-dc0be9a1112c}" done="0">
    <x18tc:text xml:space="preserve">mgwave87@gmail.com</x18tc:text>
  </x18tc:threadedComment>
  <x18tc:threadedComment ref="F49" dT="2026-06-19T07:39:21.00" personId="{22d81c9c-d118-47d5-8467-397145aa74bc}" id="{772a2224-2efe-4fa3-ab14-b931e6e1e920}" done="0">
    <x18tc:text xml:space="preserve">felipe.marineli@meltwater.com</x18tc:text>
  </x18tc:threadedComment>
  <x18tc:threadedComment ref="F13" dT="2026-06-19T07:26:29.00" personId="{22d81c9c-d118-47d5-8467-397145aa74bc}" id="{97e0c336-803b-4d63-9063-5d86901001b1}" done="0">
    <x18tc:text xml:space="preserve">winfred.tai@mail.utoronto.ca</x18tc:text>
  </x18tc:threadedComment>
  <x18tc:threadedComment ref="F48" dT="2026-06-19T07:39:08.00" personId="{22d81c9c-d118-47d5-8467-397145aa74bc}" id="{7ead9176-316a-41c2-8ef0-0ddd962a060c}" done="0">
    <x18tc:text xml:space="preserve">cuihang@cnic.cn</x18tc:text>
  </x18tc:threadedComment>
  <x18tc:threadedComment ref="F28" dT="2026-06-19T07:32:03.00" personId="{22d81c9c-d118-47d5-8467-397145aa74bc}" id="{0e18c97b-3df4-478c-8ca1-96555a35154f}" done="0">
    <x18tc:text xml:space="preserve">jiantingtang@mail.ustc.edu.cn</x18tc:text>
  </x18tc:threadedComment>
  <x18tc:threadedComment ref="F29" dT="2026-06-19T07:32:21.00" personId="{22d81c9c-d118-47d5-8467-397145aa74bc}" id="{50117437-3dc2-4aee-8204-9e6ed0067a42}" done="0">
    <x18tc:text xml:space="preserve">monster119120@gmail.com</x18tc:text>
  </x18tc:threadedComment>
  <x18tc:threadedComment ref="F26" dT="2026-06-19T07:31:06.00" personId="{22d81c9c-d118-47d5-8467-397145aa74bc}" id="{ff7eb5ea-6e78-4433-9dbe-c7b879e2be91}" done="0">
    <x18tc:text xml:space="preserve">an462@cornell.edu</x18tc:text>
  </x18tc:threadedComment>
  <x18tc:threadedComment ref="F35" dT="2026-06-19T07:34:34.00" personId="{22d81c9c-d118-47d5-8467-397145aa74bc}" id="{753734ef-5f4a-47aa-90dc-cdd314f5f81c}" done="0">
    <x18tc:text xml:space="preserve">zhufanwei@zju.edu.cn</x18tc:text>
  </x18tc:threadedComment>
  <x18tc:threadedComment ref="F27" dT="2026-06-19T07:31:39.00" personId="{22d81c9c-d118-47d5-8467-397145aa74bc}" id="{138c5287-7036-4939-b1cd-e126a8f9e93d}" done="0">
    <x18tc:text xml:space="preserve">kjz@bupt.edu.cn</x18tc:text>
  </x18tc:threadedComment>
  <x18tc:threadedComment ref="F36" dT="2026-06-19T07:35:02.00" personId="{22d81c9c-d118-47d5-8467-397145aa74bc}" id="{9b2dc91a-aa69-4c46-b7ce-00da2cb86bc9}" done="0">
    <x18tc:text xml:space="preserve">xhao390@connect.hkust-gz.edu.cn</x18tc:text>
  </x18tc:threadedComment>
  <x18tc:threadedComment ref="H5" dT="2026-06-19T07:49:28.00" personId="{22d81c9c-d118-47d5-8467-397145aa74bc}" id="{52609b31-9985-4fa1-b9fd-ae250d246756}" done="0">
    <x18tc:text xml:space="preserve">Elad Yom-Tov</x18tc:text>
  </x18tc:threadedComment>
  <x18tc:threadedComment ref="F34" dT="2026-06-19T07:34:15.00" personId="{22d81c9c-d118-47d5-8467-397145aa74bc}" id="{96a8eca8-5625-477a-9a6b-5141a3af2f69}" done="0">
    <x18tc:text xml:space="preserve">shiran.golan@booking.com</x18tc:text>
  </x18tc:threadedComment>
  <x18tc:threadedComment ref="F55" dT="2026-06-19T07:45:40.00" personId="{22d81c9c-d118-47d5-8467-397145aa74bc}" id="{22d859fe-875c-4d3f-83a7-1abc9aa4b960}" done="0">
    <x18tc:text xml:space="preserve">huangshanshan@kuaishou.com</x18tc:text>
  </x18tc:threadedComment>
  <x18tc:threadedComment ref="H3" dT="2026-06-19T07:49:17.00" personId="{22d81c9c-d118-47d5-8467-397145aa74bc}" id="{3ba86151-2025-43c4-a1bb-dc00899c7af0}" done="0">
    <x18tc:text xml:space="preserve">Roy Lee</x18tc:text>
  </x18tc:threadedComment>
  <x18tc:threadedComment ref="F64" dT="2026-06-19T07:45:13.00" personId="{22d81c9c-d118-47d5-8467-397145aa74bc}" id="{12f1cedb-c995-4503-ace3-1407c034aa67}" done="0">
    <x18tc:text xml:space="preserve">weijiejiang@pinterest.com</x18tc:text>
  </x18tc:threadedComment>
  <x18tc:threadedComment ref="H4" dT="2026-06-19T07:49:22.00" personId="{22d81c9c-d118-47d5-8467-397145aa74bc}" id="{a74c8ecc-d7e4-4ba3-b023-9b0620a6fab5}" done="0">
    <x18tc:text xml:space="preserve">Maolin Wang</x18tc:text>
  </x18tc:threadedComment>
  <x18tc:threadedComment ref="F15" dT="2026-06-19T07:27:20.00" personId="{22d81c9c-d118-47d5-8467-397145aa74bc}" id="{db1d7176-d4f9-4a4a-83a0-1759d28112dc}" done="0">
    <x18tc:text xml:space="preserve">bcaoad@connect.ust.hk</x18tc:text>
  </x18tc:threadedComment>
  <x18tc:threadedComment ref="F68" dT="2026-06-19T07:43:55.00" personId="{22d81c9c-d118-47d5-8467-397145aa74bc}" id="{c79e3a9a-0f1c-4033-ad6a-a7957bf115e2}" done="0">
    <x18tc:text xml:space="preserve">wenjingli@sjtu.edu.cn</x18tc:text>
  </x18tc:threadedComment>
  <x18tc:threadedComment ref="F45" dT="2026-06-19T07:38:13.00" personId="{22d81c9c-d118-47d5-8467-397145aa74bc}" id="{e3f0ba70-4cf1-4da9-91f3-71fd3653710a}" done="0">
    <x18tc:text xml:space="preserve">dengbingfeng@bytedance.com</x18tc:text>
  </x18tc:threadedComment>
  <x18tc:threadedComment ref="F59" dT="2026-06-19T07:44:43.00" personId="{22d81c9c-d118-47d5-8467-397145aa74bc}" id="{dbbd6259-fb4c-4b21-a28a-45be89a97895}" done="0">
    <x18tc:text xml:space="preserve">huangyuting@zju.edu.cn</x18tc:text>
  </x18tc:threadedComment>
  <x18tc:threadedComment ref="F14" dT="2026-06-19T07:27:07.00" personId="{22d81c9c-d118-47d5-8467-397145aa74bc}" id="{842321c4-70f7-473e-903c-1b5e01e7898a}" done="0">
    <x18tc:text xml:space="preserve">lfqian94@gmail.com</x18tc:text>
  </x18tc:threadedComment>
  <x18tc:threadedComment ref="F47" dT="2026-06-19T07:38:56.00" personId="{22d81c9c-d118-47d5-8467-397145aa74bc}" id="{55db9185-f86e-46e7-9564-fc3d9ade7f43}" done="0">
    <x18tc:text xml:space="preserve">fnyi@amazon.com</x18tc:text>
  </x18tc:threadedComment>
  <x18tc:threadedComment ref="F54" dT="2026-06-19T07:44:24.00" personId="{22d81c9c-d118-47d5-8467-397145aa74bc}" id="{ceba412a-23fd-4c05-9d30-40660c5bb727}" done="0">
    <x18tc:text xml:space="preserve">lz482627@alibaba-inc.com</x18tc:text>
  </x18tc:threadedComment>
  <x18tc:threadedComment ref="F46" dT="2026-06-19T07:38:35.00" personId="{22d81c9c-d118-47d5-8467-397145aa74bc}" id="{19a2d281-05f0-4a7d-a5a4-325c6201d031}" done="0">
    <x18tc:text xml:space="preserve">Emanuel.Lacic@infobip.com</x18tc:text>
  </x18tc:threadedComment>
  <x18tc:threadedComment ref="I7" dT="2026-06-25T01:06:46.00" personId="{22d81c9c-d118-47d5-8467-397145aa74bc}" id="{3ace568b-e084-494b-b320-8f94e4cdd8e1}" done="0">
    <x18tc:text xml:space="preserve">mengze.hong@connect.polyu.hk</x18tc:text>
  </x18tc:threadedComment>
  <x18tc:threadedComment ref="F41" dT="2026-06-19T07:36:56.00" personId="{22d81c9c-d118-47d5-8467-397145aa74bc}" id="{525d7b05-8e04-4333-a7b7-da770b536bd7}" done="0">
    <x18tc:text xml:space="preserve">jiyupeng02@meituan.com</x18tc:text>
  </x18tc:threadedComment>
  <x18tc:threadedComment ref="F63" dT="2026-06-19T07:43:33.00" personId="{22d81c9c-d118-47d5-8467-397145aa74bc}" id="{a8e1163c-f11e-47df-8643-9c9e68f3aded}" done="0">
    <x18tc:text xml:space="preserve">hkraghunandan@google.com</x18tc:text>
  </x18tc:threadedComment>
  <x18tc:threadedComment ref="F32" dT="2026-06-19T07:33:32.00" personId="{22d81c9c-d118-47d5-8467-397145aa74bc}" id="{33736a97-fdb6-4851-b095-ae1c403d92c4}" done="0">
    <x18tc:text xml:space="preserve">niziheng@stu.pku.edu.cn</x18tc:text>
  </x18tc:threadedComment>
  <x18tc:threadedComment ref="H7" dT="2026-06-25T01:06:33.00" personId="{22d81c9c-d118-47d5-8467-397145aa74bc}" id="{302c6ef4-7b4f-4b4c-9bc5-7beb49d37ed2}" done="0">
    <x18tc:text xml:space="preserve">Mengze Hong</x18tc:text>
  </x18tc:threadedComment>
  <x18tc:threadedComment ref="F40" dT="2026-06-19T07:36:38.00" personId="{22d81c9c-d118-47d5-8467-397145aa74bc}" id="{5c4c99bd-eb6d-47c1-8232-3418c4891c46}" done="0">
    <x18tc:text xml:space="preserve">qiubaopu.qbp@alibaba-inc.com</x18tc:text>
  </x18tc:threadedComment>
  <x18tc:threadedComment ref="F53" dT="2026-06-19T07:42:46.00" personId="{22d81c9c-d118-47d5-8467-397145aa74bc}" id="{4fef84ad-9c53-4d38-910e-f6b6bf57ae6c}" done="0">
    <x18tc:text xml:space="preserve">zhuoning.guo@gmail.com</x18tc:text>
  </x18tc:threadedComment>
  <x18tc:threadedComment ref="F53" dT="2026-06-19T07:43:55.00" personId="{f4103f7a-2795-44ed-a9bd-7cc1699ac1a2}" id="{167d5a2f-aee6-4f88-a0d0-49a2f44e1b8b}" parentId="{4fef84ad-9c53-4d38-910e-f6b6bf57ae6c}">
    <x18tc:text xml:space="preserve">Hady see the email I just sent you ?</x18tc:text>
  </x18tc:threadedComment>
  <x18tc:threadedComment ref="F33" dT="2026-06-19T07:33:51.00" personId="{22d81c9c-d118-47d5-8467-397145aa74bc}" id="{9ac1d4a9-90be-4bb1-8303-751640e8b442}" done="0">
    <x18tc:text xml:space="preserve">fwang205@connect.hkust-gz.edu.cn</x18tc:text>
  </x18tc:threadedComment>
  <x18tc:threadedComment ref="I8" dT="2026-06-25T01:07:03.00" personId="{22d81c9c-d118-47d5-8467-397145aa74bc}" id="{aabd6163-ae31-43bb-82bc-94f57651c6b5}" done="0">
    <x18tc:text xml:space="preserve">mgwave87@gmail.com</x18tc:text>
  </x18tc:threadedComment>
  <x18tc:threadedComment ref="F43" dT="2026-06-19T07:37:38.00" personId="{22d81c9c-d118-47d5-8467-397145aa74bc}" id="{e310b461-e2a1-4a8b-a0b6-d5441b88503a}" done="0">
    <x18tc:text xml:space="preserve">douyuejia@ruc.edu.cn</x18tc:text>
  </x18tc:threadedComment>
  <x18tc:threadedComment ref="H8" dT="2026-06-25T01:06:56.00" personId="{22d81c9c-d118-47d5-8467-397145aa74bc}" id="{1cd67302-1be9-4c8a-b7fc-5855930c2a14}" done="0">
    <x18tc:text xml:space="preserve">Mengmei Zhang</x18tc:text>
  </x18tc:threadedComment>
  <x18tc:threadedComment ref="F42" dT="2026-06-19T07:37:20.00" personId="{22d81c9c-d118-47d5-8467-397145aa74bc}" id="{5770dab9-df3e-4b6b-8f4f-99bb46a52a4f}" done="0">
    <x18tc:text xml:space="preserve">chenhuabin.chb@taobao.com</x18tc:text>
  </x18tc:threadedComment>
  <x18tc:threadedComment ref="F31" dT="2026-06-19T07:32:58.00" personId="{22d81c9c-d118-47d5-8467-397145aa74bc}" id="{02ef91a5-df82-47c4-ac9c-d7f2168b4d19}" done="0">
    <x18tc:text xml:space="preserve">jh.jj@antgroup.com</x18tc:text>
  </x18tc:threadedComment>
  <x18tc:threadedComment ref="F37" dT="2026-06-19T07:35:30.00" personId="{22d81c9c-d118-47d5-8467-397145aa74bc}" id="{ba90845e-c0dc-4e31-8113-ac99776399cc}" done="0">
    <x18tc:text xml:space="preserve">morin.wang@cityu.edu.hk</x18tc:text>
  </x18tc:threadedComment>
  <x18tc:threadedComment ref="F52" dT="2026-06-19T07:41:05.00" personId="{22d81c9c-d118-47d5-8467-397145aa74bc}" id="{cd1d24ca-43ae-4fca-8234-ca12b065e8d4}" done="0">
    <x18tc:text xml:space="preserve">fanyu@stu.ecnu.edu.cn</x18tc:text>
  </x18tc:threadedComment>
  <x18tc:threadedComment ref="I6" dT="2026-06-19T07:57:21.00" personId="{22d81c9c-d118-47d5-8467-397145aa74bc}" id="{97815dd1-2bc3-4f38-8250-a355a93313b0}" done="0">
    <x18tc:text xml:space="preserve">changh17@tsinghua.org.cn</x18tc:text>
  </x18tc:threadedComment>
  <x18tc:threadedComment ref="F51" dT="2026-06-19T07:40:15.00" personId="{22d81c9c-d118-47d5-8467-397145aa74bc}" id="{08d3b455-0f4c-4ff7-b358-cfd5daf73767}" done="0">
    <x18tc:text xml:space="preserve">baiaitolkyn@gmail.com</x18tc:text>
  </x18tc:threadedComment>
  <x18tc:threadedComment ref="I3" dT="2026-06-19T09:09:55.00" personId="{1da8d2d3-1e88-4759-95ad-3ee1a564615d}" id="{fdbc6c73-466c-4013-94aa-8005291ee1eb}" done="0">
    <x18tc:text xml:space="preserve">roy_lee@sutd.edu.sg</x18tc:text>
  </x18tc:threadedComment>
  <x18tc:threadedComment ref="F39" dT="2026-06-19T07:36:13.00" personId="{22d81c9c-d118-47d5-8467-397145aa74bc}" id="{8ea9202c-59c9-42d2-823c-12b8fb644684}" done="0">
    <x18tc:text xml:space="preserve">yangjh23@mails.tsinghua.edu.cn</x18tc:text>
  </x18tc:threadedComment>
  <x18tc:threadedComment ref="I5" dT="2026-06-19T07:57:16.00" personId="{22d81c9c-d118-47d5-8467-397145aa74bc}" id="{ee9ae904-841c-4f60-93a5-28d999857264}" done="0">
    <x18tc:text xml:space="preserve">elad.yom-tov@biu.ac.il</x18tc:text>
  </x18tc:threadedComment>
  <x18tc:threadedComment ref="F67" dT="2026-06-19T07:42:19.00" personId="{22d81c9c-d118-47d5-8467-397145aa74bc}" id="{3f59f178-3a31-4146-81ae-eb3eb1f2d434}" done="0">
    <x18tc:text xml:space="preserve">wenyisir@gmail.com</x18tc:text>
  </x18tc:threadedComment>
  <x18tc:threadedComment ref="H2" dT="2026-06-19T07:49:11.00" personId="{22d81c9c-d118-47d5-8467-397145aa74bc}" id="{a49d0b19-6878-46ad-9cb9-556b90bb2d1b}" done="1">
    <x18tc:text xml:space="preserve">Chris Bizer</x18tc:text>
  </x18tc:threadedComment>
  <x18tc:threadedComment ref="H2" dT="2026-06-22T15:43:22.00" personId="{22d81c9c-d118-47d5-8467-397145aa74bc}" id="{d018e2a2-54b0-4d2b-a3e9-bbca61b4c47a}" parentId="{a49d0b19-6878-46ad-9cb9-556b90bb2d1b}">
    <x18tc:text xml:space="preserve">Marked as resolved</x18tc:text>
  </x18tc:threadedComment>
  <x18tc:threadedComment ref="H2" dT="2026-06-22T15:43:24.00" personId="{22d81c9c-d118-47d5-8467-397145aa74bc}" id="{84120e9b-2c87-4939-8a68-f0b2404aa2a8}" parentId="{a49d0b19-6878-46ad-9cb9-556b90bb2d1b}">
    <x18tc:text xml:space="preserve">Re-opened</x18tc:text>
  </x18tc:threadedComment>
  <x18tc:threadedComment ref="F38" dT="2026-06-19T07:35:48.00" personId="{22d81c9c-d118-47d5-8467-397145aa74bc}" id="{17ec2ede-7ab2-4eff-bb80-6a526be3dbb3}" done="0">
    <x18tc:text xml:space="preserve">1310076814@qq.com</x18tc:text>
  </x18tc:threadedComment>
  <x18tc:threadedComment ref="F62" dT="2026-06-19T07:42:04.00" personId="{22d81c9c-d118-47d5-8467-397145aa74bc}" id="{33f64bc0-e587-42ab-820c-1b2fb75457d6}" done="0">
    <x18tc:text xml:space="preserve">tongpengfei@bytedance.com</x18tc:text>
  </x18tc:threadedComment>
  <x18tc:threadedComment ref="I2" dT="2026-06-19T07:57:04.00" personId="{22d81c9c-d118-47d5-8467-397145aa74bc}" id="{68f85ef1-fa5e-4e9b-b96a-08ce5bcd7d40}" done="0">
    <x18tc:text xml:space="preserve">christian.bizer@uni-mannheim.de</x18tc:text>
  </x18tc:threadedComment>
  <x18tc:threadedComment ref="F22" dT="2026-06-19T07:29:34.00" personId="{22d81c9c-d118-47d5-8467-397145aa74bc}" id="{ddf643c1-a8bd-437d-9e7a-3fb47083ffe7}" done="0">
    <x18tc:text xml:space="preserve">wangshaoqing.wsq@alibaba-inc.com</x18tc:text>
  </x18tc:threadedComment>
  <x18tc:threadedComment ref="I4" dT="2026-06-19T07:57:10.00" personId="{22d81c9c-d118-47d5-8467-397145aa74bc}" id="{edfe29cd-5a87-4ef3-b68f-422e946578b9}" done="0">
    <x18tc:text xml:space="preserve">Morin.wang@cityu.edu.hk</x18tc:text>
  </x18tc:threadedComment>
  <x18tc:threadedComment ref="F24" dT="2026-06-19T07:30:05.00" personId="{22d81c9c-d118-47d5-8467-397145aa74bc}" id="{8cdee5b1-4783-4b6a-b04a-dc312c42ca2d}" done="0">
    <x18tc:text xml:space="preserve">honnguyen@linkedin.com</x18tc:text>
  </x18tc:threadedComment>
  <x18tc:threadedComment ref="F50" dT="2026-06-19T07:39:52.00" personId="{22d81c9c-d118-47d5-8467-397145aa74bc}" id="{b9672474-9db4-4820-8765-4c49cc19fb40}" done="0">
    <x18tc:text xml:space="preserve">mengze.hong@connect.polyu.hk</x18tc:text>
  </x18tc:threadedComment>
  <x18tc:threadedComment ref="F20" dT="2026-06-19T07:28:36.00" personId="{22d81c9c-d118-47d5-8467-397145aa74bc}" id="{e0c9df03-d69d-49eb-876c-bbfee4f724cf}" done="0">
    <x18tc:text xml:space="preserve">zhaoqi.zhang@bytedance.com</x18tc:text>
  </x18tc:threadedComment>
  <x18tc:threadedComment ref="F61" dT="2026-06-19T07:47:02.00" personId="{22d81c9c-d118-47d5-8467-397145aa74bc}" id="{88689d0f-a366-4d6a-b7c0-5c031b8c4b7a}" done="0">
    <x18tc:text xml:space="preserve">pygongnlp@gmail.com</x18tc:text>
  </x18tc:threadedComment>
  <x18tc:threadedComment ref="F21" dT="2026-06-19T07:29:01.00" personId="{22d81c9c-d118-47d5-8467-397145aa74bc}" id="{b98e4964-155f-411d-8f0b-eecc3c5aabea}" done="0">
    <x18tc:text xml:space="preserve">hongtingfeng03@kuaishou.com</x18tc:text>
  </x18tc:threadedComment>
  <x18tc:threadedComment ref="F66" dT="2026-06-19T07:47:23.00" personId="{22d81c9c-d118-47d5-8467-397145aa74bc}" id="{9d5a2974-8ccd-48e0-b406-b0aeb466e9c5}" done="0">
    <x18tc:text xml:space="preserve">liuxiaofeng112@jd.com</x18tc:text>
  </x18tc:threadedComment>
  <x18tc:threadedComment ref="H9" dT="2026-06-25T01:05:44.00" personId="{22d81c9c-d118-47d5-8467-397145aa74bc}" id="{7aea4071-5655-473a-9796-0ea02bb1582c}" done="0">
    <x18tc:text xml:space="preserve">Xixuan Hao</x18tc:text>
  </x18tc:threadedComment>
  <x18tc:threadedComment ref="H6" dT="2026-06-19T07:49:33.00" personId="{22d81c9c-d118-47d5-8467-397145aa74bc}" id="{8e34a19f-788a-414c-8fd3-1f73ffccfd4a}" done="0">
    <x18tc:text xml:space="preserve">Heng Chang</x18tc:text>
  </x18tc:threadedComment>
  <x18tc:threadedComment ref="F18" dT="2026-06-19T07:28:00.00" personId="{22d81c9c-d118-47d5-8467-397145aa74bc}" id="{efe74092-ef3b-4024-85c0-14fe2279b4ca}" done="0">
    <x18tc:text xml:space="preserve">changh17@tsinghua.org.cn</x18tc:text>
  </x18tc:threadedComment>
  <x18tc:threadedComment ref="H2" dT="2026-06-25T01:05:22.00" personId="{22d81c9c-d118-47d5-8467-397145aa74bc}" id="{9d8b6499-c70f-4a79-ba95-8582d95e3eb1}" done="0">
    <x18tc:text xml:space="preserve">Christian Bizer</x18tc:text>
  </x18tc:threadedComment>
  <x18tc:threadedComment ref="F19" dT="2026-06-19T07:28:23.00" personId="{22d81c9c-d118-47d5-8467-397145aa74bc}" id="{1d6719b9-22c8-4d59-90c9-cfcbbe7bcbed}" done="0">
    <x18tc:text xml:space="preserve">yejing.wang@my.cityu.edu.hk</x18tc:text>
  </x18tc:threadedComment>
  <x18tc:threadedComment ref="F65" dT="2026-06-19T07:46:20.00" personId="{22d81c9c-d118-47d5-8467-397145aa74bc}" id="{63d223ae-57ec-4056-9c14-661594a14a64}" done="0">
    <x18tc:text xml:space="preserve">lianghebin@tju.edu.cn</x18tc:text>
  </x18tc:threadedComment>
  <x18tc:threadedComment ref="F60" dT="2026-06-19T07:46:02.00" personId="{22d81c9c-d118-47d5-8467-397145aa74bc}" id="{517b5e1a-0d6d-4873-a3a9-53ecf7c47220}" done="0">
    <x18tc:text xml:space="preserve">mj_you@tongji.edu.cn</x18tc:text>
  </x18tc:threadedComment>
  <x18tc:threadedComment ref="I9" dT="2026-06-25T01:05:54.00" personId="{22d81c9c-d118-47d5-8467-397145aa74bc}" id="{00a28851-5ee0-41e6-9413-4439d6a13fa8}" done="0">
    <x18tc:text xml:space="preserve">xhao390@connect.hkust-gz.edu.cn</x18tc:text>
  </x18tc:threadedComment>
  <x18tc:threadedComment ref="F17" dT="2026-06-19T07:27:42.00" personId="{22d81c9c-d118-47d5-8467-397145aa74bc}" id="{d98200ab-80be-4144-9683-f89d56188c1b}" done="0">
    <x18tc:text xml:space="preserve">mmwang25@m.fdu.edu.cn</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2" dT="2026-05-31T10:24:24.00" personId="{5afda0c2-d2c1-4a62-8464-9517fec19117}" id="{892997cd-4e8e-4434-b9cf-2def3d8f7571}" done="1">
    <x18tc:text xml:space="preserve">paper titles are missing here.  See details here (https://docs.google.com/spreadsheets/d/14FSQzr3mjJpvrzvUA85Y_meu2RdOkjfaMuVMP5oOtbk/edit?gid=1722360102#gid=1722360102)</x18tc:text>
    <x18tc:extLst>
      <ext uri="{F7C98A9C-CBB3-438F-8F68-D28B6AF4A901}">
        <xltc2:checksum/>
        <xltc2:hyperlink startIndex="50" length="118" url="https://docs.google.com/spreadsheets/d/14FSQzr3mjJpvrzvUA85Y_meu2RdOkjfaMuVMP5oOtbk/edit?gid=1722360102#gid=1722360102"/>
      </ext>
    </x18tc:extLst>
  </x18tc:threadedComment>
  <x18tc:threadedComment ref="H2" dT="2026-05-31T10:26:38.00" personId="{5afda0c2-d2c1-4a62-8464-9517fec19117}" id="{07b9cac0-9062-4dfb-a829-5ddb8cf38998}" done="1">
    <x18tc:text xml:space="preserve">Pls see this (https://docs.google.com/spreadsheets/d/14FSQzr3mjJpvrzvUA85Y_meu2RdOkjfaMuVMP5oOtbk/edit?gid=1722360102#gid=1722360102)</x18tc:text>
    <x18tc:extLst>
      <ext uri="{F7C98A9C-CBB3-438F-8F68-D28B6AF4A901}">
        <xltc2:checksum/>
        <xltc2:hyperlink startIndex="14" length="118" url="https://docs.google.com/spreadsheets/d/14FSQzr3mjJpvrzvUA85Y_meu2RdOkjfaMuVMP5oOtbk/edit?gid=1722360102#gid=1722360102"/>
      </ext>
    </x18tc:extLs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www.w4a.info/2026/" TargetMode="External"/><Relationship Id="rId9" Type="http://schemas.openxmlformats.org/officeDocument/2006/relationships/vmlDrawing" Target="../drawings/vmlDrawing1.vml"/><Relationship Id="rId5" Type="http://schemas.openxmlformats.org/officeDocument/2006/relationships/hyperlink" Target="https://www.w4a.info/2026/" TargetMode="External"/><Relationship Id="rId6" Type="http://schemas.openxmlformats.org/officeDocument/2006/relationships/hyperlink" Target="https://www.w4a.info/2026/" TargetMode="External"/><Relationship Id="rId7" Type="http://schemas.openxmlformats.org/officeDocument/2006/relationships/hyperlink" Target="https://www.w4a.info/2026/" TargetMode="External"/><Relationship Id="rId8"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0" Type="http://schemas.openxmlformats.org/officeDocument/2006/relationships/table" Target="../tables/table6.xml"/><Relationship Id="rId1" Type="http://schemas.openxmlformats.org/officeDocument/2006/relationships/hyperlink" Target="mailto:Basma.Boussaha@tii.ae" TargetMode="External"/><Relationship Id="rId2" Type="http://schemas.openxmlformats.org/officeDocument/2006/relationships/hyperlink" Target="mailto:mingfei.zh@mail.sdu.edu.cn" TargetMode="External"/><Relationship Id="rId3" Type="http://schemas.openxmlformats.org/officeDocument/2006/relationships/hyperlink" Target="mailto:xxxshixiannva@gmail.com" TargetMode="External"/><Relationship Id="rId4" Type="http://schemas.openxmlformats.org/officeDocument/2006/relationships/hyperlink" Target="mailto:huaxin.xu@wit.edu.cn" TargetMode="External"/><Relationship Id="rId15" Type="http://schemas.openxmlformats.org/officeDocument/2006/relationships/table" Target="../tables/table1.xml"/><Relationship Id="rId17" Type="http://schemas.openxmlformats.org/officeDocument/2006/relationships/table" Target="../tables/table3.xml"/><Relationship Id="rId16" Type="http://schemas.openxmlformats.org/officeDocument/2006/relationships/table" Target="../tables/table2.xml"/><Relationship Id="rId5" Type="http://schemas.openxmlformats.org/officeDocument/2006/relationships/hyperlink" Target="mailto:xiaoyanzhao.ai@gmail.com" TargetMode="External"/><Relationship Id="rId19" Type="http://schemas.openxmlformats.org/officeDocument/2006/relationships/table" Target="../tables/table5.xml"/><Relationship Id="rId6" Type="http://schemas.openxmlformats.org/officeDocument/2006/relationships/hyperlink" Target="mailto:mgao21@m.fudan.edu.cn" TargetMode="External"/><Relationship Id="rId18" Type="http://schemas.openxmlformats.org/officeDocument/2006/relationships/table" Target="../tables/table4.xml"/><Relationship Id="rId7" Type="http://schemas.openxmlformats.org/officeDocument/2006/relationships/hyperlink" Target="mailto:rd.h@computer.org" TargetMode="External"/><Relationship Id="rId8"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hyperlink" Target="mailto:mgwave87@gmail.com" TargetMode="External"/><Relationship Id="rId5" Type="http://schemas.openxmlformats.org/officeDocument/2006/relationships/hyperlink" Target="mailto:xhao390@connect.hkust-gz.edu.cn" TargetMode="External"/><Relationship Id="rId6" Type="http://schemas.openxmlformats.org/officeDocument/2006/relationships/drawing" Target="../drawings/drawing8.xml"/><Relationship Id="rId7"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9.xml"/><Relationship Id="rId5"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20" Type="http://schemas.openxmlformats.org/officeDocument/2006/relationships/hyperlink" Target="https://www-tfm-causal.github.io/www2026-workshop/" TargetMode="External"/><Relationship Id="rId22" Type="http://schemas.openxmlformats.org/officeDocument/2006/relationships/hyperlink" Target="https://time.griffith.edu.au/workshop/time2026/" TargetMode="External"/><Relationship Id="rId21" Type="http://schemas.openxmlformats.org/officeDocument/2006/relationships/hyperlink" Target="https://time.griffith.edu.au/workshop/time2026/" TargetMode="External"/><Relationship Id="rId24" Type="http://schemas.openxmlformats.org/officeDocument/2006/relationships/hyperlink" Target="https://samsunginternet.github.io/webads26/" TargetMode="External"/><Relationship Id="rId23" Type="http://schemas.openxmlformats.org/officeDocument/2006/relationships/hyperlink" Target="https://ttthhl.github.io/www2026-workshop/" TargetMode="External"/><Relationship Id="rId1" Type="http://schemas.openxmlformats.org/officeDocument/2006/relationships/hyperlink" Target="https://rafiqulislamcse24.wixsite.com/aaimvt-26" TargetMode="External"/><Relationship Id="rId2" Type="http://schemas.openxmlformats.org/officeDocument/2006/relationships/hyperlink" Target="https://sites.google.com/view/aiofai-2026/home" TargetMode="External"/><Relationship Id="rId3" Type="http://schemas.openxmlformats.org/officeDocument/2006/relationships/hyperlink" Target="https://altars2026.dei.unipd.it/" TargetMode="External"/><Relationship Id="rId4" Type="http://schemas.openxmlformats.org/officeDocument/2006/relationships/hyperlink" Target="https://beyondfacts2026.wordpress.com/" TargetMode="External"/><Relationship Id="rId9" Type="http://schemas.openxmlformats.org/officeDocument/2006/relationships/hyperlink" Target="https://federated-learning.org/fl@fm-www-2026/" TargetMode="External"/><Relationship Id="rId26" Type="http://schemas.openxmlformats.org/officeDocument/2006/relationships/hyperlink" Target="https://webandthecity.home.blog/" TargetMode="External"/><Relationship Id="rId25" Type="http://schemas.openxmlformats.org/officeDocument/2006/relationships/hyperlink" Target="https://samsunginternet.github.io/webads26/" TargetMode="External"/><Relationship Id="rId28" Type="http://schemas.openxmlformats.org/officeDocument/2006/relationships/hyperlink" Target="https://zabapad.github.io/" TargetMode="External"/><Relationship Id="rId27" Type="http://schemas.openxmlformats.org/officeDocument/2006/relationships/hyperlink" Target="https://webst2026.netlify.app/" TargetMode="External"/><Relationship Id="rId5" Type="http://schemas.openxmlformats.org/officeDocument/2006/relationships/hyperlink" Target="https://dhow-workshop.github.io/2026/" TargetMode="External"/><Relationship Id="rId6" Type="http://schemas.openxmlformats.org/officeDocument/2006/relationships/hyperlink" Target="https://dhow-workshop.github.io/2026/" TargetMode="External"/><Relationship Id="rId29" Type="http://schemas.openxmlformats.org/officeDocument/2006/relationships/hyperlink" Target="https://zabapad.github.io/" TargetMode="External"/><Relationship Id="rId7" Type="http://schemas.openxmlformats.org/officeDocument/2006/relationships/hyperlink" Target="https://faaw.univ-tours.fr/" TargetMode="External"/><Relationship Id="rId8" Type="http://schemas.openxmlformats.org/officeDocument/2006/relationships/hyperlink" Target="https://faaw.univ-tours.fr/" TargetMode="External"/><Relationship Id="rId30" Type="http://schemas.openxmlformats.org/officeDocument/2006/relationships/drawing" Target="../drawings/drawing14.xml"/><Relationship Id="rId11" Type="http://schemas.openxmlformats.org/officeDocument/2006/relationships/hyperlink" Target="https://hcrec.github.io/" TargetMode="External"/><Relationship Id="rId10" Type="http://schemas.openxmlformats.org/officeDocument/2006/relationships/hyperlink" Target="https://glow-workshop.github.io/www2026/" TargetMode="External"/><Relationship Id="rId13" Type="http://schemas.openxmlformats.org/officeDocument/2006/relationships/hyperlink" Target="https://llmandagents4recsys.github.io/" TargetMode="External"/><Relationship Id="rId12" Type="http://schemas.openxmlformats.org/officeDocument/2006/relationships/hyperlink" Target="https://llmandagents4recsys.github.io/" TargetMode="External"/><Relationship Id="rId15" Type="http://schemas.openxmlformats.org/officeDocument/2006/relationships/hyperlink" Target="https://prompteng-ws.github.io/2026/" TargetMode="External"/><Relationship Id="rId14" Type="http://schemas.openxmlformats.org/officeDocument/2006/relationships/hyperlink" Target="https://sites.google.com/view/mm4sg-webconf26" TargetMode="External"/><Relationship Id="rId17" Type="http://schemas.openxmlformats.org/officeDocument/2006/relationships/hyperlink" Target="https://semtech4stld.github.io/" TargetMode="External"/><Relationship Id="rId16" Type="http://schemas.openxmlformats.org/officeDocument/2006/relationships/hyperlink" Target="https://sites.google.com/view/r2cass/home" TargetMode="External"/><Relationship Id="rId19" Type="http://schemas.openxmlformats.org/officeDocument/2006/relationships/hyperlink" Target="https://temporalweb.net/" TargetMode="External"/><Relationship Id="rId18" Type="http://schemas.openxmlformats.org/officeDocument/2006/relationships/hyperlink" Target="https://temporalweb.net/" TargetMode="Externa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Row="1"/>
  <cols>
    <col customWidth="1" min="1" max="1" width="18.75"/>
    <col customWidth="1" min="2" max="2" width="49.0"/>
    <col customWidth="1" min="3" max="3" width="49.63"/>
    <col customWidth="1" min="4" max="4" width="39.13"/>
    <col customWidth="1" min="5" max="5" width="45.25"/>
    <col customWidth="1" min="6" max="6" width="44.25"/>
    <col customWidth="1" min="7" max="7" width="45.38"/>
    <col customWidth="1" min="8" max="8" width="44.38"/>
    <col customWidth="1" min="9" max="9" width="47.75"/>
    <col customWidth="1" min="10" max="10" width="39.75"/>
    <col customWidth="1" min="11" max="11" width="46.5"/>
    <col customWidth="1" min="12" max="12" width="58.88"/>
    <col customWidth="1" min="13" max="13" width="73.75"/>
    <col customWidth="1" min="14" max="14" width="62.88"/>
    <col customWidth="1" min="15" max="15" width="107.63"/>
  </cols>
  <sheetData>
    <row r="1" ht="25.5" customHeight="1">
      <c r="A1" s="1" t="s">
        <v>0</v>
      </c>
      <c r="B1" s="2" t="s">
        <v>1</v>
      </c>
      <c r="C1" s="3"/>
      <c r="D1" s="3"/>
      <c r="E1" s="3"/>
      <c r="F1" s="3"/>
      <c r="G1" s="3"/>
      <c r="H1" s="3"/>
      <c r="I1" s="3"/>
      <c r="J1" s="3"/>
      <c r="K1" s="3"/>
      <c r="L1" s="3"/>
      <c r="M1" s="3"/>
      <c r="N1" s="3"/>
      <c r="O1" s="3"/>
      <c r="P1" s="4"/>
      <c r="Q1" s="5"/>
      <c r="R1" s="5"/>
      <c r="S1" s="5"/>
      <c r="T1" s="5"/>
      <c r="U1" s="5"/>
      <c r="V1" s="5"/>
      <c r="W1" s="5"/>
      <c r="X1" s="5"/>
      <c r="Y1" s="5"/>
      <c r="Z1" s="5"/>
      <c r="AA1" s="5"/>
    </row>
    <row r="2">
      <c r="A2" s="6"/>
      <c r="B2" s="7" t="s">
        <v>2</v>
      </c>
      <c r="C2" s="8" t="s">
        <v>3</v>
      </c>
      <c r="D2" s="8" t="s">
        <v>4</v>
      </c>
      <c r="E2" s="8" t="s">
        <v>5</v>
      </c>
      <c r="F2" s="8" t="s">
        <v>6</v>
      </c>
      <c r="G2" s="8" t="s">
        <v>7</v>
      </c>
      <c r="H2" s="8" t="s">
        <v>8</v>
      </c>
      <c r="I2" s="8" t="s">
        <v>9</v>
      </c>
      <c r="J2" s="8" t="s">
        <v>10</v>
      </c>
      <c r="K2" s="8" t="s">
        <v>11</v>
      </c>
      <c r="L2" s="9" t="s">
        <v>12</v>
      </c>
      <c r="M2" s="9" t="s">
        <v>13</v>
      </c>
      <c r="N2" s="8" t="s">
        <v>14</v>
      </c>
      <c r="O2" s="8" t="s">
        <v>15</v>
      </c>
      <c r="P2" s="5"/>
      <c r="Q2" s="5"/>
      <c r="R2" s="5"/>
      <c r="S2" s="5"/>
      <c r="T2" s="5"/>
      <c r="U2" s="5"/>
      <c r="V2" s="5"/>
      <c r="W2" s="5"/>
      <c r="X2" s="5"/>
      <c r="Y2" s="5"/>
      <c r="Z2" s="5"/>
      <c r="AA2" s="5"/>
    </row>
    <row r="3">
      <c r="A3" s="10">
        <v>46202.0</v>
      </c>
      <c r="B3" s="11"/>
      <c r="C3" s="12"/>
      <c r="D3" s="12"/>
      <c r="E3" s="12"/>
      <c r="F3" s="12"/>
      <c r="G3" s="12"/>
      <c r="H3" s="12"/>
      <c r="I3" s="12"/>
      <c r="J3" s="12"/>
      <c r="K3" s="12"/>
      <c r="L3" s="13"/>
      <c r="M3" s="14"/>
      <c r="N3" s="15"/>
      <c r="O3" s="14"/>
      <c r="P3" s="5"/>
      <c r="Q3" s="5"/>
      <c r="R3" s="5"/>
      <c r="S3" s="5"/>
      <c r="T3" s="5"/>
      <c r="U3" s="5"/>
      <c r="V3" s="5"/>
      <c r="W3" s="5"/>
      <c r="X3" s="5"/>
      <c r="Y3" s="5"/>
      <c r="Z3" s="5"/>
      <c r="AA3" s="5"/>
    </row>
    <row r="4">
      <c r="A4" s="16" t="s">
        <v>16</v>
      </c>
      <c r="B4" s="17" t="s">
        <v>17</v>
      </c>
      <c r="C4" s="18" t="s">
        <v>18</v>
      </c>
      <c r="D4" s="18" t="s">
        <v>19</v>
      </c>
      <c r="E4" s="18" t="s">
        <v>20</v>
      </c>
      <c r="F4" s="18" t="s">
        <v>21</v>
      </c>
      <c r="G4" s="18" t="s">
        <v>22</v>
      </c>
      <c r="H4" s="18" t="s">
        <v>23</v>
      </c>
      <c r="I4" s="18" t="s">
        <v>24</v>
      </c>
      <c r="J4" s="18" t="s">
        <v>25</v>
      </c>
      <c r="K4" s="18" t="s">
        <v>26</v>
      </c>
      <c r="L4" s="19" t="s">
        <v>27</v>
      </c>
      <c r="M4" s="20"/>
      <c r="N4" s="21" t="s">
        <v>28</v>
      </c>
      <c r="O4" s="22"/>
      <c r="P4" s="5"/>
      <c r="Q4" s="5"/>
      <c r="R4" s="5"/>
      <c r="S4" s="5"/>
      <c r="T4" s="5"/>
      <c r="U4" s="5"/>
      <c r="V4" s="5"/>
      <c r="W4" s="5"/>
      <c r="X4" s="5"/>
      <c r="Y4" s="5"/>
      <c r="Z4" s="5"/>
      <c r="AA4" s="5"/>
    </row>
    <row r="5" collapsed="1">
      <c r="A5" s="23"/>
      <c r="B5" s="24" t="str">
        <f>IFERROR(__xludf.DUMMYFUNCTION("TEXTJOIN(CHAR(10), TRUE,FILTER('Tutorials assignment'!$E:$E,'Tutorials assignment'!$A:$A=B4))"),"Temporal Information Retrieval And Question Answering in the Age of LLMs
Bhawna Piryani, Avishek Anand and Adam Jatowt")</f>
        <v>Temporal Information Retrieval And Question Answering in the Age of LLMs
Bhawna Piryani, Avishek Anand and Adam Jatowt</v>
      </c>
      <c r="C5" s="24" t="str">
        <f>IFERROR(__xludf.DUMMYFUNCTION("TEXTJOIN(CHAR(10), TRUE,FILTER('Tutorials assignment'!$E:$E,'Tutorials assignment'!$A:$A=C4))"),"Out-of-distribution Generalized Generative AI
Xin Wang, Yuwei Zhou, Zirui Pan and Wenwu Zhu")</f>
        <v>Out-of-distribution Generalized Generative AI
Xin Wang, Yuwei Zhou, Zirui Pan and Wenwu Zhu</v>
      </c>
      <c r="D5" s="24" t="str">
        <f>IFERROR(__xludf.DUMMYFUNCTION("TEXTJOIN(CHAR(10), TRUE,FILTER('Tutorials assignment'!$E:$E,'Tutorials assignment'!$A:$A=D4))"),"Towards a Responsible Web: Economic Perspectives on Fairness in Information Retrieval
Chen Xu, Clara Rus, Yuanna Liu, Marleen de Jonge, Jun Xu and Maarten de Rijke")</f>
        <v>Towards a Responsible Web: Economic Perspectives on Fairness in Information Retrieval
Chen Xu, Clara Rus, Yuanna Liu, Marleen de Jonge, Jun Xu and Maarten de Rijke</v>
      </c>
      <c r="E5" s="24" t="str">
        <f>IFERROR(__xludf.DUMMYFUNCTION("TEXTJOIN(CHAR(10), TRUE,FILTER(Workshops!$G:$G,Workshops!$A:$A=E4))"),"(LARS) part 1 - LLM &amp; Agents for Recommendation Systems
Keerthi Gopalakrishnan, Qi Xu, Aysenur Inan, Zhigang Hua, Shuang Yang and Luyi Ma 
https://llmandagents4recsys.github.io/")</f>
        <v>(LARS) part 1 - LLM &amp; Agents for Recommendation Systems
Keerthi Gopalakrishnan, Qi Xu, Aysenur Inan, Zhigang Hua, Shuang Yang and Luyi Ma 
https://llmandagents4recsys.github.io/</v>
      </c>
      <c r="F5" s="24" t="str">
        <f>IFERROR(__xludf.DUMMYFUNCTION("TEXTJOIN(CHAR(10), TRUE,FILTER(Workshops!$G:$G,Workshops!$A:$A=F4))"),"(WebAds) part 1 - Emerging Trends in Web Advertising
Ehsan Toreini and Muadh Al Kalbani 
https://samsunginternet.github.io/webads26/")</f>
        <v>(WebAds) part 1 - Emerging Trends in Web Advertising
Ehsan Toreini and Muadh Al Kalbani 
https://samsunginternet.github.io/webads26/</v>
      </c>
      <c r="G5" s="24" t="str">
        <f>IFERROR(__xludf.DUMMYFUNCTION("TEXTJOIN(CHAR(10), TRUE,FILTER(Workshops!$G:$G,Workshops!$A:$A=G4))"),"(ZABAPAD) part 1 - Zero-knowledge Proof and Blockchain for Web 4.0: Advancing the Post-quantum and Decentralized Era
Shiho Kim, Ho Suk, Roberto Di Pietro, Davor Svetinovic, KyungHi Chang, Madhusudan Singh and Rakesh Shrestha 
https://zabapad.github.io")</f>
        <v>(ZABAPAD) part 1 - Zero-knowledge Proof and Blockchain for Web 4.0: Advancing the Post-quantum and Decentralized Era
Shiho Kim, Ho Suk, Roberto Di Pietro, Davor Svetinovic, KyungHi Chang, Madhusudan Singh and Rakesh Shrestha 
https://zabapad.github.io</v>
      </c>
      <c r="H5" s="24" t="str">
        <f>IFERROR(__xludf.DUMMYFUNCTION("TEXTJOIN(CHAR(10), TRUE,FILTER(Workshops!$G:$G,Workshops!$A:$A=H4))"),"(GLOW) - Graph-enhanced LLMs for Trustworthy Web Data Management
Gianluca Bonifazi, Stefano Cirillo, Eliana Pastor and Luca Virgili 
https://glow-workshop.github.io/www2026/")</f>
        <v>(GLOW) - Graph-enhanced LLMs for Trustworthy Web Data Management
Gianluca Bonifazi, Stefano Cirillo, Eliana Pastor and Luca Virgili 
https://glow-workshop.github.io/www2026/</v>
      </c>
      <c r="I5" s="24" t="str">
        <f>IFERROR(__xludf.DUMMYFUNCTION("TEXTJOIN(CHAR(10), TRUE,FILTER(Workshops!$G:$G,Workshops!$A:$A=I4))"),"(TML) - International Workshop on Trustworthy Multimodal Learning for Social Media Analysis
Jingwei Sun,G uosheng Lin, Fengmao Lv, Tao Liang, Junlin Fang and Jianli Wang
https://ttthhl.github.io/www2026-workshop/")</f>
        <v>(TML) - International Workshop on Trustworthy Multimodal Learning for Social Media Analysis
Jingwei Sun,G uosheng Lin, Fengmao Lv, Tao Liang, Junlin Fang and Jianli Wang
https://ttthhl.github.io/www2026-workshop/</v>
      </c>
      <c r="J5" s="24" t="str">
        <f>IFERROR(__xludf.DUMMYFUNCTION("TEXTJOIN(CHAR(10), TRUE,FILTER(Workshops!$G:$G,Workshops!$A:$A=J4))"),"(WebAndTheCity) - 12th International Smart City Workshop – Data-Driven Smart Cities
Leonidas Anthopoulos, Marijn Janssen and Vishanth Weerakkody 
https://webandthecity.home.blog/")</f>
        <v>(WebAndTheCity) - 12th International Smart City Workshop – Data-Driven Smart Cities
Leonidas Anthopoulos, Marijn Janssen and Vishanth Weerakkody 
https://webandthecity.home.blog/</v>
      </c>
      <c r="K5" s="24" t="str">
        <f>IFERROR(__xludf.DUMMYFUNCTION("TEXTJOIN(CHAR(10), TRUE,FILTER(Workshops!$G:$G,Workshops!$A:$A=K4))"),"(WebST) - The 2nd International Workshop on Spatio-Temporal Data Mining from the Web
Yuxuan Liang, Hao Xue, Ming Jin, Fei Wang, Qingxiang Liu, Qingsong Wen, Shirui Pan and Flora Salim 
https://webst2026.netlify.app/")</f>
        <v>(WebST) - The 2nd International Workshop on Spatio-Temporal Data Mining from the Web
Yuxuan Liang, Hao Xue, Ming Jin, Fei Wang, Qingxiang Liu, Qingsong Wen, Shirui Pan and Flora Salim 
https://webst2026.netlify.app/</v>
      </c>
      <c r="L5" s="24" t="str">
        <f>IFERROR(__xludf.DUMMYFUNCTION("TEXTJOIN(CHAR(10), TRUE,FILTER(Workshops!$G:$G,Workshops!$A:$A=L4))"),"(AAIMVT) - 1st Workshop on Applied AI and Multimodal Visualization Technologies
Cesar Sanin, Edward Szczerbicki and Md Rafiqul Islam 
https://rafiqulislamcse24.wixsite.com/aaimvt-26")</f>
        <v>(AAIMVT) - 1st Workshop on Applied AI and Multimodal Visualization Technologies
Cesar Sanin, Edward Szczerbicki and Md Rafiqul Islam 
https://rafiqulislamcse24.wixsite.com/aaimvt-26</v>
      </c>
      <c r="M5" s="25"/>
      <c r="N5" s="26" t="s">
        <v>29</v>
      </c>
      <c r="O5" s="25"/>
      <c r="P5" s="27"/>
      <c r="Q5" s="27"/>
      <c r="R5" s="27"/>
      <c r="S5" s="27"/>
      <c r="T5" s="27"/>
      <c r="U5" s="27"/>
      <c r="V5" s="27"/>
      <c r="W5" s="27"/>
      <c r="X5" s="27"/>
      <c r="Y5" s="27"/>
      <c r="Z5" s="27"/>
      <c r="AA5" s="27"/>
    </row>
    <row r="6" hidden="1" outlineLevel="1">
      <c r="A6" s="28"/>
      <c r="B6" s="29"/>
      <c r="C6" s="29"/>
      <c r="D6" s="29"/>
      <c r="E6" s="29" t="str">
        <f>IFERROR(__xludf.DUMMYFUNCTION("TEXTJOIN(CHAR(10), TRUE,FILTER('Sheridan Comp'!$F:$F,LEFT('Sheridan Comp'!$B:$B,4)=LEFT(E4,4)))"),"LLM and Agents for Recommendation Systems (LARS)
Keerthi Gopalakrishnan, Qi Xu, Aysenur Inan, Zhigang Hua, Luyi Ma, Prabhat Agarwal, Shuang Yang, Shradha Sehgal, Hao Wang, Kai Zhao, Yashar Deldjoo, Rong Jin, Kamilia Ahmadi, Luke Simon
LLM-augmented Hybri"&amp;"d Recommendation System for Structured Classification of Customs Commodity Descriptions
Ivan Malashin, Igor Masich, Vadim Tynchenko, Aleksei Borodulin, Andrei Gantimurov, Vladimir Nelyub, Dmitry Martysyuk, Sergei Kurashkin
GALRec: Aligning Graph with Lar"&amp;"ge Language Model for Sequential Recommendation
He Lu, Yanting Wang, Haohua Du, Yue Liu, Hanqing Yu
Smart Book Seeker: Agent-Augmented Retrieval System for Metadata-Sparse Libraries
Hao-Quan Liu, Yao-Chung Fan
Ethical Decision-Making under Moral Uncerta"&amp;"inty
Djallel Bouneffouf
Triple Modality Fusion: Aligning Visual, Textual, and Graph Data for LLM-based Multi-Behavior Recommender Systems
Luyi Ma, Xiaohan Li, Zezhong Fan, Kai Zhao, Jianpeng Xu, Jason Cho, Praveen Kanumala, Kaushiki Nag, Evren Korpeoglu,"&amp;" Sushant Kumar, Kannan Achan
AID: Hypothesis-Grounded Probing for Conversational Recommendation
Rajarshee Dhar, Vivek Singh, Ambrose Taylor, M. Hanes, Yogesh Ramdoss
LLMs as Orchestrators: Constraint-Compliant Multi-Agent Optimization for Recommendation"&amp;" Systems
Guilin Zhang, Kai Zhao, Jeffrey Friedman, Xu Chu
RobustExplain: Evaluating Robustness of LLM-Based Explanation Agents for Recommendation
Guilin Zhang, Kai Zhao, Jeffrey Friedman, Xu Chu
Campaign-2-PT-RAG: LLM-Guided Semantic Product Type Attrib"&amp;"ution for Scalable Campaign Ranking
Yiming Che, Mansi Ranjit Mane, Keerthi Gopalakrishnan, Parisa Kaghazgaran, Murali Mohana Krishna Dandu, Archana Venkatachalapathy, Sinduja Subramaniam, Yokila Arora, Evren Korpeoglu, Sushant Kumar, Kannan Achan
TCR: A "&amp;"Trust-Aligned Text-Only Cross-Attention Ranker Distilling Multimodal LLM Reasoning for Recommendation Agents
Liping Zhang, Tracy King
SCORE: Story Coherence and Retrieval Enhancement for AI Narratives
Qiang Yi, Yangfan He, Jianhui Wang, Xinyuan Song, Kua"&amp;"n Lu, Shiyao Qian, Xinhang Yuan, Yi Xin, Yijin Wang, Jingqun Tang, Yuchen Li, Hongyang He, Zhen Tian, Tianxiang Xu, Keqin Li, Menghao Huo, Jiaqi Chen, Miao Zhang, Tianyu Shi, Jianyuan Ni
")</f>
        <v>LLM and Agents for Recommendation Systems (LARS)
Keerthi Gopalakrishnan, Qi Xu, Aysenur Inan, Zhigang Hua, Luyi Ma, Prabhat Agarwal, Shuang Yang, Shradha Sehgal, Hao Wang, Kai Zhao, Yashar Deldjoo, Rong Jin, Kamilia Ahmadi, Luke Simon
LLM-augmented Hybrid Recommendation System for Structured Classification of Customs Commodity Descriptions
Ivan Malashin, Igor Masich, Vadim Tynchenko, Aleksei Borodulin, Andrei Gantimurov, Vladimir Nelyub, Dmitry Martysyuk, Sergei Kurashkin
GALRec: Aligning Graph with Large Language Model for Sequential Recommendation
He Lu, Yanting Wang, Haohua Du, Yue Liu, Hanqing Yu
Smart Book Seeker: Agent-Augmented Retrieval System for Metadata-Sparse Libraries
Hao-Quan Liu, Yao-Chung Fan
Ethical Decision-Making under Moral Uncertainty
Djallel Bouneffouf
Triple Modality Fusion: Aligning Visual, Textual, and Graph Data for LLM-based Multi-Behavior Recommender Systems
Luyi Ma, Xiaohan Li, Zezhong Fan, Kai Zhao, Jianpeng Xu, Jason Cho, Praveen Kanumala, Kaushiki Nag, Evren Korpeoglu, Sushant Kumar, Kannan Achan
AID: Hypothesis-Grounded Probing for Conversational Recommendation
Rajarshee Dhar, Vivek Singh, Ambrose Taylor, M. Hanes, Yogesh Ramdoss
LLMs as Orchestrators: Constraint-Compliant Multi-Agent Optimization for Recommendation Systems
Guilin Zhang, Kai Zhao, Jeffrey Friedman, Xu Chu
RobustExplain: Evaluating Robustness of LLM-Based Explanation Agents for Recommendation
Guilin Zhang, Kai Zhao, Jeffrey Friedman, Xu Chu
Campaign-2-PT-RAG: LLM-Guided Semantic Product Type Attribution for Scalable Campaign Ranking
Yiming Che, Mansi Ranjit Mane, Keerthi Gopalakrishnan, Parisa Kaghazgaran, Murali Mohana Krishna Dandu, Archana Venkatachalapathy, Sinduja Subramaniam, Yokila Arora, Evren Korpeoglu, Sushant Kumar, Kannan Achan
TCR: A Trust-Aligned Text-Only Cross-Attention Ranker Distilling Multimodal LLM Reasoning for Recommendation Agents
Liping Zhang, Tracy King
SCORE: Story Coherence and Retrieval Enhancement for AI Narratives
Qiang Yi, Yangfan He, Jianhui Wang, Xinyuan Song, Kuan Lu, Shiyao Qian, Xinhang Yuan, Yi Xin, Yijin Wang, Jingqun Tang, Yuchen Li, Hongyang He, Zhen Tian, Tianxiang Xu, Keqin Li, Menghao Huo, Jiaqi Chen, Miao Zhang, Tianyu Shi, Jianyuan Ni
</v>
      </c>
      <c r="F6" s="29" t="str">
        <f>IFERROR(__xludf.DUMMYFUNCTION("TEXTJOIN(CHAR(10), TRUE,FILTER('Sheridan Comp'!$F:$F,LEFT('Sheridan Comp'!$B:$B,4)=LEFT(F4,4)))"),"Workshop on Emerging Trends in Web Advertising
Muadh Al Kalbani, Ehsan Toreini
Towards Automated Brand-Safety Detection: A Novel Dataset and Comparative Analysis of Language Models
Xin Peng, Gerald Penn
Feedback Control for Small Budget Campaigns in Adv"&amp;"ertising
Sreeja Apparaju, Yichuan Niu, Xixi Qi
Calculating Narrative Tension for Ad Placement in Online Narrative Fiction
Vedansh Mehta, Sajad Shirali-Shahreza, Gerald Penn
Anatomy of Generative Scam Campaigns in Online Advertising Ecosystems
Ewelina Ba"&amp;"rtuzi-Trokielewicz, Alicja Martinek
Smart Fast Finish: Preventing Overdelivery via Daily Budget Pacing at DoorDash
Rohan Garg, Yongjin Xiao, Dianxia Yang, Mandar Rahurkar
")</f>
        <v>Workshop on Emerging Trends in Web Advertising
Muadh Al Kalbani, Ehsan Toreini
Towards Automated Brand-Safety Detection: A Novel Dataset and Comparative Analysis of Language Models
Xin Peng, Gerald Penn
Feedback Control for Small Budget Campaigns in Advertising
Sreeja Apparaju, Yichuan Niu, Xixi Qi
Calculating Narrative Tension for Ad Placement in Online Narrative Fiction
Vedansh Mehta, Sajad Shirali-Shahreza, Gerald Penn
Anatomy of Generative Scam Campaigns in Online Advertising Ecosystems
Ewelina Bartuzi-Trokielewicz, Alicja Martinek
Smart Fast Finish: Preventing Overdelivery via Daily Budget Pacing at DoorDash
Rohan Garg, Yongjin Xiao, Dianxia Yang, Mandar Rahurkar
</v>
      </c>
      <c r="G6" s="29" t="str">
        <f>IFERROR(__xludf.DUMMYFUNCTION("TEXTJOIN(CHAR(10), TRUE,FILTER('Sheridan Comp'!$F:$F,LEFT('Sheridan Comp'!$B:$B,4)=LEFT(G4,4)))"),"ZABAPAD 2026: 1st Workshop on Zero-knowledge Proof and Blockchain for WEB 4.0: Advancing the Post-quantum and Decentralized Era
Shiho Kim, Ho Suk, Roberto Di Pietro, Davor Svetinovic, Kyunghi Chang, Madhusudan Singh, Rakesh Shrestha
Economics Model for F"&amp;"ederated LLM Training via Blockchain
Soumyadeep Das, Madhusudan Singh
Hadamard-Aware Bit-wise PIM Architecture via Butterfly Adder-Tree Reuse
Dohyun Kim, Junghwan Choi, Shiho Kim
A Taxonomy-Driven Cryptographic Dependency Inventory for Post-Quantum Migr"&amp;"ation in Decentralized Systems: Triage Rules and a Worked Example
Euimin Lee, Hyeonseong Jung, Yunah Choi, Junyong Lee, Jeihee Cho, Seokhyeon Son, Shiho Kim
Verifiable Dropout: Turning Randomness into a Verifiable Claim
Kichang Lee, Sungmin Lee, Jaeho Ji"&amp;"n, JeongGil Ko
Trustless Feedback: Preserving Privacy and Integrity in Crowdsourced RLHF via Zero-Knowledge Proofs
Jihoon Oh, Junyong Lee, Jeihee Cho, Hyeonseong Jung, Eumin Lee, Yunah Choi, Shiho Kim
Blind-QEM: A Privacy-Preserving Framework for Quantu"&amp;"m Error Mitigation via Zero-Knowledge Proofs
Junyong Lee, Jeihee Cho, Hyeonseong Jung, Euimin Lee, Yunah Choi, Seokhyeon Son, Shiho Kim
PAC to the Future: Zero-Knowledge Proofs of PAC Private Systems
Guilhem Repetto, Nojan Sheybani, Gabrielle De Micheli,"&amp;" Farinaz Koushanfar
SoK: Zero-Knowledge Proof Systems — An Empirical and Theoretical Comparison of SNARKs and STARKs
Ayush Nainwal, Atharva Kamble, Nitin Awathare
Decentralized Video Provenance at the Edge: Blockchain-Assisted Integrity for Security Cam"&amp;"era Streams
Marco Vela-Koentarjo, Madhusudan Singh
Statistical Analysis of 12V Power Load Uncertainty Using Conditional Probability for SDV Energy Management
Gyeongmin Han, Sungmin Lee, Joonhee Lee, Kichang Lee, JeongGil Ko
ZK-V: Zero-Knowledge Verifica"&amp;"tion for Trustworthy Autonomous Driving Simulation
Giwoong Kim, Youjeong Son, Shiho Kim
A USIM-less Identity Authentication System based on Zero-Knowledge Proofs
Minyong Eom, Danyung Kyung, Shiho Kim
Blockchain-Enabled, W3C Standards-Compliant Decentral"&amp;"ized Zero-Knowledge Proof Framework for Mobile Identity Authentication
Cheolwoo Ryu, Danyung Kyung, Shiho Kim
Learning-Based Optimization of Atomic Arbitrage in Decentralized Financial Systems
Syahirul Faiz, Huned Materwala, Davor Svetinovic
Spatial Dis"&amp;"cretization for Fine-Grain Zone Checks with STARKs
Sungmin Lee, Kichang Lee, Gyeongmin Han, Jeonggil Ko
Now or Never: Continuous Surveillance AIoT System for Ephemeral Events in Intermittent Sensor Networks
Joonhee Lee, Kichang Lee, Jeonggil Ko
")</f>
        <v>ZABAPAD 2026: 1st Workshop on Zero-knowledge Proof and Blockchain for WEB 4.0: Advancing the Post-quantum and Decentralized Era
Shiho Kim, Ho Suk, Roberto Di Pietro, Davor Svetinovic, Kyunghi Chang, Madhusudan Singh, Rakesh Shrestha
Economics Model for Federated LLM Training via Blockchain
Soumyadeep Das, Madhusudan Singh
Hadamard-Aware Bit-wise PIM Architecture via Butterfly Adder-Tree Reuse
Dohyun Kim, Junghwan Choi, Shiho Kim
A Taxonomy-Driven Cryptographic Dependency Inventory for Post-Quantum Migration in Decentralized Systems: Triage Rules and a Worked Example
Euimin Lee, Hyeonseong Jung, Yunah Choi, Junyong Lee, Jeihee Cho, Seokhyeon Son, Shiho Kim
Verifiable Dropout: Turning Randomness into a Verifiable Claim
Kichang Lee, Sungmin Lee, Jaeho Jin, JeongGil Ko
Trustless Feedback: Preserving Privacy and Integrity in Crowdsourced RLHF via Zero-Knowledge Proofs
Jihoon Oh, Junyong Lee, Jeihee Cho, Hyeonseong Jung, Eumin Lee, Yunah Choi, Shiho Kim
Blind-QEM: A Privacy-Preserving Framework for Quantum Error Mitigation via Zero-Knowledge Proofs
Junyong Lee, Jeihee Cho, Hyeonseong Jung, Euimin Lee, Yunah Choi, Seokhyeon Son, Shiho Kim
PAC to the Future: Zero-Knowledge Proofs of PAC Private Systems
Guilhem Repetto, Nojan Sheybani, Gabrielle De Micheli, Farinaz Koushanfar
SoK: Zero-Knowledge Proof Systems — An Empirical and Theoretical Comparison of SNARKs and STARKs
Ayush Nainwal, Atharva Kamble, Nitin Awathare
Decentralized Video Provenance at the Edge: Blockchain-Assisted Integrity for Security Camera Streams
Marco Vela-Koentarjo, Madhusudan Singh
Statistical Analysis of 12V Power Load Uncertainty Using Conditional Probability for SDV Energy Management
Gyeongmin Han, Sungmin Lee, Joonhee Lee, Kichang Lee, JeongGil Ko
ZK-V: Zero-Knowledge Verification for Trustworthy Autonomous Driving Simulation
Giwoong Kim, Youjeong Son, Shiho Kim
A USIM-less Identity Authentication System based on Zero-Knowledge Proofs
Minyong Eom, Danyung Kyung, Shiho Kim
Blockchain-Enabled, W3C Standards-Compliant Decentralized Zero-Knowledge Proof Framework for Mobile Identity Authentication
Cheolwoo Ryu, Danyung Kyung, Shiho Kim
Learning-Based Optimization of Atomic Arbitrage in Decentralized Financial Systems
Syahirul Faiz, Huned Materwala, Davor Svetinovic
Spatial Discretization for Fine-Grain Zone Checks with STARKs
Sungmin Lee, Kichang Lee, Gyeongmin Han, Jeonggil Ko
Now or Never: Continuous Surveillance AIoT System for Ephemeral Events in Intermittent Sensor Networks
Joonhee Lee, Kichang Lee, Jeonggil Ko
</v>
      </c>
      <c r="H6" s="29" t="str">
        <f>IFERROR(__xludf.DUMMYFUNCTION("TEXTJOIN(CHAR(10), TRUE,FILTER('Sheridan Comp'!$F:$F,LEFT('Sheridan Comp'!$B:$B,4)=LEFT(H4,4)))"),"The First Workshop on Graph-enhanced LLMs for trustwOrthy Web data management (GLOW’26)
Gianluca Bonifazi, Stefano Cirillo, Eliana Pastor, Luca Virgili
SMART: Spatio-Temporal Attention-based Large Language Model for Real-Time Traffic Prediction
Srestha S"&amp;"adhu, Deepanwita Mallick, Mariana Curado Malta, Amrita Namtirtha, Animesh Dutta, Nilabza Som
Incorporating Graph-Constrained RAG Pipeline for Medicine data
Shilpa Verma, Rishit Sharma
Incorporating Graph-Constrained RAG Pipeline for Medicine data
Shilpa"&amp;" Verma, Rishit Sharma
ConceptFormer: Towards Graph-Native Grounding of Large Language Models via Latent Concept Injection
Joel Barmettler, Abraham Bernstein, Luca Rossetto
Better Negatives, Better Predictions: Negative Sample Selection Strategies for En"&amp;"hancing Biomedical KG Edge Classification
Emanuele Cavalleri, Miad Alavinezhad, Marco Mesiti, Dario Malchiodi
(wt) GC-DPG: Graph-Constrained Dual-Phase Generation for Safe and Verifiable Chinese Medical Question Answering
Haihua Xie, Miao He
ReGA: Zero-"&amp;"Overhead Graph Alignment for Structural Hallucination Detection Without Generation
Valentin Noël, Elimane Yassine Seidou
Reasoning in Trees: Improving Retrieval-Augmented Generation for Multi-Hop Question Answering
Yuling Shi, Maolin Sun, Zijun Liu, Mo Y"&amp;"ang, Yixiong Fang, Tianran Sun, Xiaodong Gu
")</f>
        <v>The First Workshop on Graph-enhanced LLMs for trustwOrthy Web data management (GLOW’26)
Gianluca Bonifazi, Stefano Cirillo, Eliana Pastor, Luca Virgili
SMART: Spatio-Temporal Attention-based Large Language Model for Real-Time Traffic Prediction
Srestha Sadhu, Deepanwita Mallick, Mariana Curado Malta, Amrita Namtirtha, Animesh Dutta, Nilabza Som
Incorporating Graph-Constrained RAG Pipeline for Medicine data
Shilpa Verma, Rishit Sharma
Incorporating Graph-Constrained RAG Pipeline for Medicine data
Shilpa Verma, Rishit Sharma
ConceptFormer: Towards Graph-Native Grounding of Large Language Models via Latent Concept Injection
Joel Barmettler, Abraham Bernstein, Luca Rossetto
Better Negatives, Better Predictions: Negative Sample Selection Strategies for Enhancing Biomedical KG Edge Classification
Emanuele Cavalleri, Miad Alavinezhad, Marco Mesiti, Dario Malchiodi
(wt) GC-DPG: Graph-Constrained Dual-Phase Generation for Safe and Verifiable Chinese Medical Question Answering
Haihua Xie, Miao He
ReGA: Zero-Overhead Graph Alignment for Structural Hallucination Detection Without Generation
Valentin Noël, Elimane Yassine Seidou
Reasoning in Trees: Improving Retrieval-Augmented Generation for Multi-Hop Question Answering
Yuling Shi, Maolin Sun, Zijun Liu, Mo Yang, Yixiong Fang, Tianran Sun, Xiaodong Gu
</v>
      </c>
      <c r="I6" s="29" t="str">
        <f>IFERROR(__xludf.DUMMYFUNCTION("TEXTJOIN(CHAR(10), TRUE,FILTER('Sheridan Comp'!$F:$F,LEFT('Sheridan Comp'!$B:$B,4)=LEFT(I4,4)))"),"International Workshop on Trustworthy Multimodal Learning for Social Media Analysis
Fengmao Lv, Jingwei Sun, Guosheng Lin
GeoPBR: Multimodal-Guided PBR Material Generation from a Single View
Luying Zhou, Guowu Yang
HGSA: Heterogeneity-Guided Sarcasm Ada"&amp;"ptation for Video Sentiment Analysis via Polarity Disentanglement
Tiansheng Fang, Guowu Yang
Sparse Causal Latent Features for Robust Multimodal Learning under Distribution Shifts
Liang Cao, Weide Liu, Yan Qin, Zhenghua Chen, Zhuo Chen, Bhushan Gopaluni
"&amp;"
Evidential Mixture-of-Experts for Sentiment Regression
Yankai Yu, Zhuyang Xie, Xiaofan Li, Yan Yang, Bo Peng, Yu He
PLM: Point-Language Maps for Zero-shot Object Goal Navigation
Shengxiang Luo, Haonan Luo, Wenjing Yang, Tianrui Li, Yang Bai
Task-Aligne"&amp;"d Unlearning for Multimodal Large Language Models
Tianyu Zhang, Chenlu Ding, Junfeng Fang, Jiancan Wu, Xiang Wang
Unsupervised Multi-Source Causal Feature Selection
Zijing Wang, Minghui Lu, Minbo Ma, Yanyong Huang
EmoTg: Modeling Social Response to Tele"&amp;"gram Posts Using LLM and NLP Features
Sergei Kurashkin, Ivan Malashin, Dmitry Martysyuk, Vladimir Nelyub, Igor Masich, Andrei Gantimurov, Aleksei Borodulin, Vadim Tynchenko
")</f>
        <v>International Workshop on Trustworthy Multimodal Learning for Social Media Analysis
Fengmao Lv, Jingwei Sun, Guosheng Lin
GeoPBR: Multimodal-Guided PBR Material Generation from a Single View
Luying Zhou, Guowu Yang
HGSA: Heterogeneity-Guided Sarcasm Adaptation for Video Sentiment Analysis via Polarity Disentanglement
Tiansheng Fang, Guowu Yang
Sparse Causal Latent Features for Robust Multimodal Learning under Distribution Shifts
Liang Cao, Weide Liu, Yan Qin, Zhenghua Chen, Zhuo Chen, Bhushan Gopaluni
Evidential Mixture-of-Experts for Sentiment Regression
Yankai Yu, Zhuyang Xie, Xiaofan Li, Yan Yang, Bo Peng, Yu He
PLM: Point-Language Maps for Zero-shot Object Goal Navigation
Shengxiang Luo, Haonan Luo, Wenjing Yang, Tianrui Li, Yang Bai
Task-Aligned Unlearning for Multimodal Large Language Models
Tianyu Zhang, Chenlu Ding, Junfeng Fang, Jiancan Wu, Xiang Wang
Unsupervised Multi-Source Causal Feature Selection
Zijing Wang, Minghui Lu, Minbo Ma, Yanyong Huang
EmoTg: Modeling Social Response to Telegram Posts Using LLM and NLP Features
Sergei Kurashkin, Ivan Malashin, Dmitry Martysyuk, Vladimir Nelyub, Igor Masich, Andrei Gantimurov, Aleksei Borodulin, Vadim Tynchenko
</v>
      </c>
      <c r="J6" s="29" t="str">
        <f>IFERROR(__xludf.DUMMYFUNCTION("TEXTJOIN(CHAR(10), TRUE,FILTER('Sheridan Comp'!$F:$F,LEFT('Sheridan Comp'!$B:$B,4)=LEFT(J4,4)))"),"WebAndTheCity 12th International Smart City Workshop - Data-Driven Smart Cities
Leonidas Anthopoulos, Marijn Janssen, Vishanth Weerakkody
A Toolset for Modelling Non-Mediated Governance
Alois Paulin
Boltzmann Interaction Models with Gibbs Decision Polic"&amp;"ies in Multi-Agent Delivery Systems
Vitaly Krasikov, Ivan Malashin, Aleksei Borodulin, Andrei Gantimurov, Dmitry Martysyuk, Vladimir Nelyub, Igor Masich, Vadim Tynchneko
LLM-Enabled Participatory Platforms for People-Centric Smart Cities
Miguel Domingues"&amp;", Marco Neto, Amanda Silva, Tomas Dias, Luis Rosa, Pedro Tomas, Carla Guerra, Vania Martins, Luis Cordeiro
Super-Resolution of Urban Socioeconomic Indicators via Graph-Based Recommender Systems
Francesco Paolo Nerini, Claudio Borile, Antonio Ferrara, And"&amp;"ré Panisson
Closed-Loop Intelligence Architectures for Data-Driven Smart Cities
João Fernandes, José Guimarães, André S. de Carvalho, Luís Rosa, Arush Mendon, David Portugal, Carlos Viegas, Luís Cordeiro
A Contrastive Learning and Prompt-Driven Framewor"&amp;"k for Low-Resource User Geolocation
Menglin Li, Kwan Hui Lim
Big Data and AI in Smart City Negotiations: A Literature Review
Leonidas Anthopoulos, Dimitris Apostolopoulos
")</f>
        <v>WebAndTheCity 12th International Smart City Workshop - Data-Driven Smart Cities
Leonidas Anthopoulos, Marijn Janssen, Vishanth Weerakkody
A Toolset for Modelling Non-Mediated Governance
Alois Paulin
Boltzmann Interaction Models with Gibbs Decision Policies in Multi-Agent Delivery Systems
Vitaly Krasikov, Ivan Malashin, Aleksei Borodulin, Andrei Gantimurov, Dmitry Martysyuk, Vladimir Nelyub, Igor Masich, Vadim Tynchneko
LLM-Enabled Participatory Platforms for People-Centric Smart Cities
Miguel Domingues, Marco Neto, Amanda Silva, Tomas Dias, Luis Rosa, Pedro Tomas, Carla Guerra, Vania Martins, Luis Cordeiro
Super-Resolution of Urban Socioeconomic Indicators via Graph-Based Recommender Systems
Francesco Paolo Nerini, Claudio Borile, Antonio Ferrara, André Panisson
Closed-Loop Intelligence Architectures for Data-Driven Smart Cities
João Fernandes, José Guimarães, André S. de Carvalho, Luís Rosa, Arush Mendon, David Portugal, Carlos Viegas, Luís Cordeiro
A Contrastive Learning and Prompt-Driven Framework for Low-Resource User Geolocation
Menglin Li, Kwan Hui Lim
Big Data and AI in Smart City Negotiations: A Literature Review
Leonidas Anthopoulos, Dimitris Apostolopoulos
</v>
      </c>
      <c r="K6" s="29"/>
      <c r="L6" s="29" t="str">
        <f>IFERROR(__xludf.DUMMYFUNCTION("TEXTJOIN(CHAR(10), TRUE,FILTER('Sheridan Comp'!$F:$F,LEFT('Sheridan Comp'!$B:$B,4)=LEFT(L4,4)))"),"1st Workshop on Applied AI and Multimodal Visualization Technologies (AAIMVT 2026)
Cesar Sanin, Md Rafiqul Islam, Edward Szczerbicki
VOICY: A Privacy-Centric Modular Architecture for Zero-Shot Voice Cloning and Fine-Tuned Speech Synthesis
Kushal Pokhrel,"&amp;" Cesar Sanin, Md Kowsar Hossain Sakib, Edward Szczerbicki
Bridging the Semantic Gap: A Homonym-Aware Ontology Platform for Cybersecurity Interoperability
A B M Mehedi Hasan, Ljiljana Brankovic, Cesar Sanin, David Paul
Spatial-Temporal Inference of Indoo"&amp;"r RSSI and CQI for 3D Coverage Mapping using Dynamic Graph Attention Networks
David Hason Rudd, A B M Mehedi Hasan, Johan Sebastian Ramirez Vallejo, Md. Rafiqul Islam, Andrew Levula, Cesar Sanin
Viet Medi Species 2026: A Web-Accessible Multilingual Datas"&amp;"et for Vietnamese Medicinal Biodiversity
Trien Tran, Fareed Ud Din, Ljiljana Brankovic, Cesar Sanin, Susan Hester
Robust Harmful Meme Detection under Missing Modalities via Shared Representation Learning
Felix Breiteneder, Mohammad Belal, Muhammad Saad S"&amp;"aeed, Shahed Masoudian, Usman Naseem, Kulshrestha Juhi, Markus Schedl, Shah Nawaz
")</f>
        <v>1st Workshop on Applied AI and Multimodal Visualization Technologies (AAIMVT 2026)
Cesar Sanin, Md Rafiqul Islam, Edward Szczerbicki
VOICY: A Privacy-Centric Modular Architecture for Zero-Shot Voice Cloning and Fine-Tuned Speech Synthesis
Kushal Pokhrel, Cesar Sanin, Md Kowsar Hossain Sakib, Edward Szczerbicki
Bridging the Semantic Gap: A Homonym-Aware Ontology Platform for Cybersecurity Interoperability
A B M Mehedi Hasan, Ljiljana Brankovic, Cesar Sanin, David Paul
Spatial-Temporal Inference of Indoor RSSI and CQI for 3D Coverage Mapping using Dynamic Graph Attention Networks
David Hason Rudd, A B M Mehedi Hasan, Johan Sebastian Ramirez Vallejo, Md. Rafiqul Islam, Andrew Levula, Cesar Sanin
Viet Medi Species 2026: A Web-Accessible Multilingual Dataset for Vietnamese Medicinal Biodiversity
Trien Tran, Fareed Ud Din, Ljiljana Brankovic, Cesar Sanin, Susan Hester
Robust Harmful Meme Detection under Missing Modalities via Shared Representation Learning
Felix Breiteneder, Mohammad Belal, Muhammad Saad Saeed, Shahed Masoudian, Usman Naseem, Kulshrestha Juhi, Markus Schedl, Shah Nawaz
</v>
      </c>
      <c r="M6" s="30"/>
      <c r="N6" s="31"/>
      <c r="O6" s="30"/>
      <c r="P6" s="27"/>
      <c r="Q6" s="27"/>
      <c r="R6" s="27"/>
      <c r="S6" s="27"/>
      <c r="T6" s="27"/>
      <c r="U6" s="27"/>
      <c r="V6" s="27"/>
      <c r="W6" s="27"/>
      <c r="X6" s="27"/>
      <c r="Y6" s="27"/>
      <c r="Z6" s="27"/>
      <c r="AA6" s="27"/>
    </row>
    <row r="7">
      <c r="A7" s="32" t="s">
        <v>30</v>
      </c>
      <c r="B7" s="33" t="s">
        <v>31</v>
      </c>
      <c r="O7" s="34"/>
      <c r="P7" s="5"/>
      <c r="Q7" s="5"/>
      <c r="R7" s="5"/>
      <c r="S7" s="5"/>
      <c r="T7" s="5"/>
      <c r="U7" s="5"/>
      <c r="V7" s="5"/>
      <c r="W7" s="5"/>
      <c r="X7" s="5"/>
      <c r="Y7" s="5"/>
      <c r="Z7" s="5"/>
      <c r="AA7" s="5"/>
    </row>
    <row r="8">
      <c r="A8" s="35" t="s">
        <v>32</v>
      </c>
      <c r="B8" s="36" t="s">
        <v>33</v>
      </c>
      <c r="C8" s="18" t="s">
        <v>34</v>
      </c>
      <c r="D8" s="18" t="s">
        <v>35</v>
      </c>
      <c r="E8" s="18" t="s">
        <v>36</v>
      </c>
      <c r="F8" s="18" t="s">
        <v>37</v>
      </c>
      <c r="G8" s="18" t="s">
        <v>38</v>
      </c>
      <c r="H8" s="18" t="s">
        <v>39</v>
      </c>
      <c r="I8" s="18" t="s">
        <v>40</v>
      </c>
      <c r="J8" s="18" t="s">
        <v>41</v>
      </c>
      <c r="K8" s="18" t="s">
        <v>42</v>
      </c>
      <c r="L8" s="22"/>
      <c r="M8" s="22"/>
      <c r="N8" s="21" t="s">
        <v>28</v>
      </c>
      <c r="O8" s="22"/>
      <c r="P8" s="5"/>
      <c r="Q8" s="5"/>
      <c r="R8" s="5"/>
      <c r="S8" s="5"/>
      <c r="T8" s="5"/>
      <c r="U8" s="5"/>
      <c r="V8" s="5"/>
      <c r="W8" s="5"/>
      <c r="X8" s="5"/>
      <c r="Y8" s="5"/>
      <c r="Z8" s="5"/>
      <c r="AA8" s="5"/>
    </row>
    <row r="9" collapsed="1">
      <c r="A9" s="23"/>
      <c r="B9" s="24" t="str">
        <f>IFERROR(__xludf.DUMMYFUNCTION("TEXTJOIN(CHAR(10), TRUE,FILTER('Tutorials assignment'!$E:$E,'Tutorials assignment'!$A:$A=B8))"),"Quantum-Safe, Efficient, and AI-Enhanced Blockchains for the Web: A Cooperative Tutorial on Quantum Computing, Blockchain Applications, and Data Standards
Dongping Liu, Aoyu Zhang and Luyao Zhang")</f>
        <v>Quantum-Safe, Efficient, and AI-Enhanced Blockchains for the Web: A Cooperative Tutorial on Quantum Computing, Blockchain Applications, and Data Standards
Dongping Liu, Aoyu Zhang and Luyao Zhang</v>
      </c>
      <c r="C9" s="24" t="str">
        <f>IFERROR(__xludf.DUMMYFUNCTION("TEXTJOIN(CHAR(10), TRUE,FILTER('Tutorials assignment'!$E:$E,'Tutorials assignment'!$A:$A=C8))"),"Bandits, LLMs, and Agentic Web
Djallel Bouneffouf and Raphael Feraud")</f>
        <v>Bandits, LLMs, and Agentic Web
Djallel Bouneffouf and Raphael Feraud</v>
      </c>
      <c r="D9" s="24" t="str">
        <f>IFERROR(__xludf.DUMMYFUNCTION("TEXTJOIN(CHAR(10), TRUE,FILTER('Tutorials assignment'!$E:$E,'Tutorials assignment'!$A:$A=D8))"),"Unstructured to Structured: Building Knowledge Graphs from Documents for Web Applications
Qiang Sun, Yihao Ding, Sirui Li and Wei Liu")</f>
        <v>Unstructured to Structured: Building Knowledge Graphs from Documents for Web Applications
Qiang Sun, Yihao Ding, Sirui Li and Wei Liu</v>
      </c>
      <c r="E9" s="24" t="str">
        <f>IFERROR(__xludf.DUMMYFUNCTION("TEXTJOIN(CHAR(10), TRUE,FILTER(Workshops!$G:$G,Workshops!$A:$A=E8))"),"(LARS) part 2 - LLM &amp; Agents for Recommendation Systems
Keerthi Gopalakrishnan, Qi Xu, Aysenur Inan, Zhigang Hua, Shuang Yang and Luyi Ma 
https://llmandagents4recsys.github.io/")</f>
        <v>(LARS) part 2 - LLM &amp; Agents for Recommendation Systems
Keerthi Gopalakrishnan, Qi Xu, Aysenur Inan, Zhigang Hua, Shuang Yang and Luyi Ma 
https://llmandagents4recsys.github.io/</v>
      </c>
      <c r="F9" s="24" t="str">
        <f>IFERROR(__xludf.DUMMYFUNCTION("TEXTJOIN(CHAR(10), TRUE,FILTER(Workshops!$G:$G,Workshops!$A:$A=F8))"),"(WebAds) part 2 - Emerging Trends in Web Advertising
Ehsan Toreini and Muadh Al Kalbani 
https://samsunginternet.github.io/webads26/")</f>
        <v>(WebAds) part 2 - Emerging Trends in Web Advertising
Ehsan Toreini and Muadh Al Kalbani 
https://samsunginternet.github.io/webads26/</v>
      </c>
      <c r="G9" s="24" t="str">
        <f>IFERROR(__xludf.DUMMYFUNCTION("TEXTJOIN(CHAR(10), TRUE,FILTER(Workshops!$G:$G,Workshops!$A:$A=G8))"),"(ZABAPAD) part 2 - Zero-knowledge Proof and Blockchain for Web 4.0: Advancing the Post-quantum and Decentralized Era
Shiho Kim, Ho Suk, Roberto Di Pietro, Davor Svetinovic, KyungHi Chang, Madhusudan Singh and Rakesh Shrestha 
https://zabapad.github.io")</f>
        <v>(ZABAPAD) part 2 - Zero-knowledge Proof and Blockchain for Web 4.0: Advancing the Post-quantum and Decentralized Era
Shiho Kim, Ho Suk, Roberto Di Pietro, Davor Svetinovic, KyungHi Chang, Madhusudan Singh and Rakesh Shrestha 
https://zabapad.github.io</v>
      </c>
      <c r="H9" s="24" t="str">
        <f>IFERROR(__xludf.DUMMYFUNCTION("TEXTJOIN(CHAR(10), TRUE,FILTER(Workshops!$G:$G,Workshops!$A:$A=H8))"),"(SemTech) - 4th International Workshop on AI and Semantic Technologies for the Scientific, Technical, and Legal Web
Rima Dessi', Jeenu Joy, Danilo Dessi', Francesco Osborne and Hidir Aras 
https://semtech4stld.github.io/")</f>
        <v>(SemTech) - 4th International Workshop on AI and Semantic Technologies for the Scientific, Technical, and Legal Web
Rima Dessi', Jeenu Joy, Danilo Dessi', Francesco Osborne and Hidir Aras 
https://semtech4stld.github.io/</v>
      </c>
      <c r="I9" s="24" t="str">
        <f>IFERROR(__xludf.DUMMYFUNCTION("TEXTJOIN(CHAR(10), TRUE,FILTER(Workshops!$G:$G,Workshops!$A:$A=I8))"),"(PromptEng) - Third International Workshop on Prompt Engineering for Pre-Trained Language Models
Damien Graux, Sébastien Montella and Hajira Jabeen 
https://prompteng-ws.github.io/2026/")</f>
        <v>(PromptEng) - Third International Workshop on Prompt Engineering for Pre-Trained Language Models
Damien Graux, Sébastien Montella and Hajira Jabeen 
https://prompteng-ws.github.io/2026/</v>
      </c>
      <c r="J9" s="24" t="str">
        <f>IFERROR(__xludf.DUMMYFUNCTION("TEXTJOIN(CHAR(10), TRUE,FILTER(Workshops!$G:$G,Workshops!$A:$A=J8))"),"(BeyondFacts'26) - 6th International Workshop on Computational Methods for Online Discourse Analysis
Stefan Dietze, Dimitar Dimitrov, Pavlos Fafalios and Konstantin Todorov
https://beyondfacts2026.wordpress.com/")</f>
        <v>(BeyondFacts'26) - 6th International Workshop on Computational Methods for Online Discourse Analysis
Stefan Dietze, Dimitar Dimitrov, Pavlos Fafalios and Konstantin Todorov
https://beyondfacts2026.wordpress.com/</v>
      </c>
      <c r="K9" s="24" t="str">
        <f>IFERROR(__xludf.DUMMYFUNCTION("TEXTJOIN(CHAR(10), TRUE,FILTER(Workshops!$G:$G,Workshops!$A:$A=K8))"),"(R2CASS) - The 2nd International Workshop on Social Science Meets Web Data: Reproducible and Reusable Computational Approaches
Fakhri Momeni, Arnim Bleier, Danilo Dessi and Muhammad Taimoor Khan 
https://sites.google.com/view/r2cass/home")</f>
        <v>(R2CASS) - The 2nd International Workshop on Social Science Meets Web Data: Reproducible and Reusable Computational Approaches
Fakhri Momeni, Arnim Bleier, Danilo Dessi and Muhammad Taimoor Khan 
https://sites.google.com/view/r2cass/home</v>
      </c>
      <c r="L9" s="24"/>
      <c r="M9" s="25"/>
      <c r="N9" s="26" t="s">
        <v>29</v>
      </c>
      <c r="O9" s="25"/>
      <c r="P9" s="27"/>
      <c r="Q9" s="27"/>
      <c r="R9" s="27"/>
      <c r="S9" s="27"/>
      <c r="T9" s="27"/>
      <c r="U9" s="27"/>
      <c r="V9" s="27"/>
      <c r="W9" s="27"/>
      <c r="X9" s="27"/>
      <c r="Y9" s="27"/>
      <c r="Z9" s="27"/>
      <c r="AA9" s="27"/>
    </row>
    <row r="10" hidden="1" outlineLevel="1">
      <c r="A10" s="28"/>
      <c r="B10" s="29"/>
      <c r="C10" s="29"/>
      <c r="D10" s="29"/>
      <c r="E10" s="29" t="str">
        <f>IFERROR(__xludf.DUMMYFUNCTION("TEXTJOIN(CHAR(10), TRUE,FILTER('Sheridan Comp'!$F:$F,LEFT('Sheridan Comp'!$B:$B,4)=LEFT(E8,4)))"),"LLM and Agents for Recommendation Systems (LARS)
Keerthi Gopalakrishnan, Qi Xu, Aysenur Inan, Zhigang Hua, Luyi Ma, Prabhat Agarwal, Shuang Yang, Shradha Sehgal, Hao Wang, Kai Zhao, Yashar Deldjoo, Rong Jin, Kamilia Ahmadi, Luke Simon
LLM-augmented Hybri"&amp;"d Recommendation System for Structured Classification of Customs Commodity Descriptions
Ivan Malashin, Igor Masich, Vadim Tynchenko, Aleksei Borodulin, Andrei Gantimurov, Vladimir Nelyub, Dmitry Martysyuk, Sergei Kurashkin
GALRec: Aligning Graph with Lar"&amp;"ge Language Model for Sequential Recommendation
He Lu, Yanting Wang, Haohua Du, Yue Liu, Hanqing Yu
Smart Book Seeker: Agent-Augmented Retrieval System for Metadata-Sparse Libraries
Hao-Quan Liu, Yao-Chung Fan
Ethical Decision-Making under Moral Uncerta"&amp;"inty
Djallel Bouneffouf
Triple Modality Fusion: Aligning Visual, Textual, and Graph Data for LLM-based Multi-Behavior Recommender Systems
Luyi Ma, Xiaohan Li, Zezhong Fan, Kai Zhao, Jianpeng Xu, Jason Cho, Praveen Kanumala, Kaushiki Nag, Evren Korpeoglu,"&amp;" Sushant Kumar, Kannan Achan
AID: Hypothesis-Grounded Probing for Conversational Recommendation
Rajarshee Dhar, Vivek Singh, Ambrose Taylor, M. Hanes, Yogesh Ramdoss
LLMs as Orchestrators: Constraint-Compliant Multi-Agent Optimization for Recommendation"&amp;" Systems
Guilin Zhang, Kai Zhao, Jeffrey Friedman, Xu Chu
RobustExplain: Evaluating Robustness of LLM-Based Explanation Agents for Recommendation
Guilin Zhang, Kai Zhao, Jeffrey Friedman, Xu Chu
Campaign-2-PT-RAG: LLM-Guided Semantic Product Type Attrib"&amp;"ution for Scalable Campaign Ranking
Yiming Che, Mansi Ranjit Mane, Keerthi Gopalakrishnan, Parisa Kaghazgaran, Murali Mohana Krishna Dandu, Archana Venkatachalapathy, Sinduja Subramaniam, Yokila Arora, Evren Korpeoglu, Sushant Kumar, Kannan Achan
TCR: A "&amp;"Trust-Aligned Text-Only Cross-Attention Ranker Distilling Multimodal LLM Reasoning for Recommendation Agents
Liping Zhang, Tracy King
SCORE: Story Coherence and Retrieval Enhancement for AI Narratives
Qiang Yi, Yangfan He, Jianhui Wang, Xinyuan Song, Kua"&amp;"n Lu, Shiyao Qian, Xinhang Yuan, Yi Xin, Yijin Wang, Jingqun Tang, Yuchen Li, Hongyang He, Zhen Tian, Tianxiang Xu, Keqin Li, Menghao Huo, Jiaqi Chen, Miao Zhang, Tianyu Shi, Jianyuan Ni
")</f>
        <v>LLM and Agents for Recommendation Systems (LARS)
Keerthi Gopalakrishnan, Qi Xu, Aysenur Inan, Zhigang Hua, Luyi Ma, Prabhat Agarwal, Shuang Yang, Shradha Sehgal, Hao Wang, Kai Zhao, Yashar Deldjoo, Rong Jin, Kamilia Ahmadi, Luke Simon
LLM-augmented Hybrid Recommendation System for Structured Classification of Customs Commodity Descriptions
Ivan Malashin, Igor Masich, Vadim Tynchenko, Aleksei Borodulin, Andrei Gantimurov, Vladimir Nelyub, Dmitry Martysyuk, Sergei Kurashkin
GALRec: Aligning Graph with Large Language Model for Sequential Recommendation
He Lu, Yanting Wang, Haohua Du, Yue Liu, Hanqing Yu
Smart Book Seeker: Agent-Augmented Retrieval System for Metadata-Sparse Libraries
Hao-Quan Liu, Yao-Chung Fan
Ethical Decision-Making under Moral Uncertainty
Djallel Bouneffouf
Triple Modality Fusion: Aligning Visual, Textual, and Graph Data for LLM-based Multi-Behavior Recommender Systems
Luyi Ma, Xiaohan Li, Zezhong Fan, Kai Zhao, Jianpeng Xu, Jason Cho, Praveen Kanumala, Kaushiki Nag, Evren Korpeoglu, Sushant Kumar, Kannan Achan
AID: Hypothesis-Grounded Probing for Conversational Recommendation
Rajarshee Dhar, Vivek Singh, Ambrose Taylor, M. Hanes, Yogesh Ramdoss
LLMs as Orchestrators: Constraint-Compliant Multi-Agent Optimization for Recommendation Systems
Guilin Zhang, Kai Zhao, Jeffrey Friedman, Xu Chu
RobustExplain: Evaluating Robustness of LLM-Based Explanation Agents for Recommendation
Guilin Zhang, Kai Zhao, Jeffrey Friedman, Xu Chu
Campaign-2-PT-RAG: LLM-Guided Semantic Product Type Attribution for Scalable Campaign Ranking
Yiming Che, Mansi Ranjit Mane, Keerthi Gopalakrishnan, Parisa Kaghazgaran, Murali Mohana Krishna Dandu, Archana Venkatachalapathy, Sinduja Subramaniam, Yokila Arora, Evren Korpeoglu, Sushant Kumar, Kannan Achan
TCR: A Trust-Aligned Text-Only Cross-Attention Ranker Distilling Multimodal LLM Reasoning for Recommendation Agents
Liping Zhang, Tracy King
SCORE: Story Coherence and Retrieval Enhancement for AI Narratives
Qiang Yi, Yangfan He, Jianhui Wang, Xinyuan Song, Kuan Lu, Shiyao Qian, Xinhang Yuan, Yi Xin, Yijin Wang, Jingqun Tang, Yuchen Li, Hongyang He, Zhen Tian, Tianxiang Xu, Keqin Li, Menghao Huo, Jiaqi Chen, Miao Zhang, Tianyu Shi, Jianyuan Ni
</v>
      </c>
      <c r="F10" s="29" t="str">
        <f>IFERROR(__xludf.DUMMYFUNCTION("TEXTJOIN(CHAR(10), TRUE,FILTER('Sheridan Comp'!$F:$F,LEFT('Sheridan Comp'!$B:$B,4)=LEFT(F8,4)))"),"Workshop on Emerging Trends in Web Advertising
Muadh Al Kalbani, Ehsan Toreini
Towards Automated Brand-Safety Detection: A Novel Dataset and Comparative Analysis of Language Models
Xin Peng, Gerald Penn
Feedback Control for Small Budget Campaigns in Adv"&amp;"ertising
Sreeja Apparaju, Yichuan Niu, Xixi Qi
Calculating Narrative Tension for Ad Placement in Online Narrative Fiction
Vedansh Mehta, Sajad Shirali-Shahreza, Gerald Penn
Anatomy of Generative Scam Campaigns in Online Advertising Ecosystems
Ewelina Ba"&amp;"rtuzi-Trokielewicz, Alicja Martinek
Smart Fast Finish: Preventing Overdelivery via Daily Budget Pacing at DoorDash
Rohan Garg, Yongjin Xiao, Dianxia Yang, Mandar Rahurkar
")</f>
        <v>Workshop on Emerging Trends in Web Advertising
Muadh Al Kalbani, Ehsan Toreini
Towards Automated Brand-Safety Detection: A Novel Dataset and Comparative Analysis of Language Models
Xin Peng, Gerald Penn
Feedback Control for Small Budget Campaigns in Advertising
Sreeja Apparaju, Yichuan Niu, Xixi Qi
Calculating Narrative Tension for Ad Placement in Online Narrative Fiction
Vedansh Mehta, Sajad Shirali-Shahreza, Gerald Penn
Anatomy of Generative Scam Campaigns in Online Advertising Ecosystems
Ewelina Bartuzi-Trokielewicz, Alicja Martinek
Smart Fast Finish: Preventing Overdelivery via Daily Budget Pacing at DoorDash
Rohan Garg, Yongjin Xiao, Dianxia Yang, Mandar Rahurkar
</v>
      </c>
      <c r="G10" s="29" t="str">
        <f>IFERROR(__xludf.DUMMYFUNCTION("TEXTJOIN(CHAR(10), TRUE,FILTER('Sheridan Comp'!$F:$F,LEFT('Sheridan Comp'!$B:$B,4)=LEFT(G8,4)))"),"ZABAPAD 2026: 1st Workshop on Zero-knowledge Proof and Blockchain for WEB 4.0: Advancing the Post-quantum and Decentralized Era
Shiho Kim, Ho Suk, Roberto Di Pietro, Davor Svetinovic, Kyunghi Chang, Madhusudan Singh, Rakesh Shrestha
Economics Model for F"&amp;"ederated LLM Training via Blockchain
Soumyadeep Das, Madhusudan Singh
Hadamard-Aware Bit-wise PIM Architecture via Butterfly Adder-Tree Reuse
Dohyun Kim, Junghwan Choi, Shiho Kim
A Taxonomy-Driven Cryptographic Dependency Inventory for Post-Quantum Migr"&amp;"ation in Decentralized Systems: Triage Rules and a Worked Example
Euimin Lee, Hyeonseong Jung, Yunah Choi, Junyong Lee, Jeihee Cho, Seokhyeon Son, Shiho Kim
Verifiable Dropout: Turning Randomness into a Verifiable Claim
Kichang Lee, Sungmin Lee, Jaeho Ji"&amp;"n, JeongGil Ko
Trustless Feedback: Preserving Privacy and Integrity in Crowdsourced RLHF via Zero-Knowledge Proofs
Jihoon Oh, Junyong Lee, Jeihee Cho, Hyeonseong Jung, Eumin Lee, Yunah Choi, Shiho Kim
Blind-QEM: A Privacy-Preserving Framework for Quantu"&amp;"m Error Mitigation via Zero-Knowledge Proofs
Junyong Lee, Jeihee Cho, Hyeonseong Jung, Euimin Lee, Yunah Choi, Seokhyeon Son, Shiho Kim
PAC to the Future: Zero-Knowledge Proofs of PAC Private Systems
Guilhem Repetto, Nojan Sheybani, Gabrielle De Micheli,"&amp;" Farinaz Koushanfar
SoK: Zero-Knowledge Proof Systems — An Empirical and Theoretical Comparison of SNARKs and STARKs
Ayush Nainwal, Atharva Kamble, Nitin Awathare
Decentralized Video Provenance at the Edge: Blockchain-Assisted Integrity for Security Cam"&amp;"era Streams
Marco Vela-Koentarjo, Madhusudan Singh
Statistical Analysis of 12V Power Load Uncertainty Using Conditional Probability for SDV Energy Management
Gyeongmin Han, Sungmin Lee, Joonhee Lee, Kichang Lee, JeongGil Ko
ZK-V: Zero-Knowledge Verifica"&amp;"tion for Trustworthy Autonomous Driving Simulation
Giwoong Kim, Youjeong Son, Shiho Kim
A USIM-less Identity Authentication System based on Zero-Knowledge Proofs
Minyong Eom, Danyung Kyung, Shiho Kim
Blockchain-Enabled, W3C Standards-Compliant Decentral"&amp;"ized Zero-Knowledge Proof Framework for Mobile Identity Authentication
Cheolwoo Ryu, Danyung Kyung, Shiho Kim
Learning-Based Optimization of Atomic Arbitrage in Decentralized Financial Systems
Syahirul Faiz, Huned Materwala, Davor Svetinovic
Spatial Dis"&amp;"cretization for Fine-Grain Zone Checks with STARKs
Sungmin Lee, Kichang Lee, Gyeongmin Han, Jeonggil Ko
Now or Never: Continuous Surveillance AIoT System for Ephemeral Events in Intermittent Sensor Networks
Joonhee Lee, Kichang Lee, Jeonggil Ko
")</f>
        <v>ZABAPAD 2026: 1st Workshop on Zero-knowledge Proof and Blockchain for WEB 4.0: Advancing the Post-quantum and Decentralized Era
Shiho Kim, Ho Suk, Roberto Di Pietro, Davor Svetinovic, Kyunghi Chang, Madhusudan Singh, Rakesh Shrestha
Economics Model for Federated LLM Training via Blockchain
Soumyadeep Das, Madhusudan Singh
Hadamard-Aware Bit-wise PIM Architecture via Butterfly Adder-Tree Reuse
Dohyun Kim, Junghwan Choi, Shiho Kim
A Taxonomy-Driven Cryptographic Dependency Inventory for Post-Quantum Migration in Decentralized Systems: Triage Rules and a Worked Example
Euimin Lee, Hyeonseong Jung, Yunah Choi, Junyong Lee, Jeihee Cho, Seokhyeon Son, Shiho Kim
Verifiable Dropout: Turning Randomness into a Verifiable Claim
Kichang Lee, Sungmin Lee, Jaeho Jin, JeongGil Ko
Trustless Feedback: Preserving Privacy and Integrity in Crowdsourced RLHF via Zero-Knowledge Proofs
Jihoon Oh, Junyong Lee, Jeihee Cho, Hyeonseong Jung, Eumin Lee, Yunah Choi, Shiho Kim
Blind-QEM: A Privacy-Preserving Framework for Quantum Error Mitigation via Zero-Knowledge Proofs
Junyong Lee, Jeihee Cho, Hyeonseong Jung, Euimin Lee, Yunah Choi, Seokhyeon Son, Shiho Kim
PAC to the Future: Zero-Knowledge Proofs of PAC Private Systems
Guilhem Repetto, Nojan Sheybani, Gabrielle De Micheli, Farinaz Koushanfar
SoK: Zero-Knowledge Proof Systems — An Empirical and Theoretical Comparison of SNARKs and STARKs
Ayush Nainwal, Atharva Kamble, Nitin Awathare
Decentralized Video Provenance at the Edge: Blockchain-Assisted Integrity for Security Camera Streams
Marco Vela-Koentarjo, Madhusudan Singh
Statistical Analysis of 12V Power Load Uncertainty Using Conditional Probability for SDV Energy Management
Gyeongmin Han, Sungmin Lee, Joonhee Lee, Kichang Lee, JeongGil Ko
ZK-V: Zero-Knowledge Verification for Trustworthy Autonomous Driving Simulation
Giwoong Kim, Youjeong Son, Shiho Kim
A USIM-less Identity Authentication System based on Zero-Knowledge Proofs
Minyong Eom, Danyung Kyung, Shiho Kim
Blockchain-Enabled, W3C Standards-Compliant Decentralized Zero-Knowledge Proof Framework for Mobile Identity Authentication
Cheolwoo Ryu, Danyung Kyung, Shiho Kim
Learning-Based Optimization of Atomic Arbitrage in Decentralized Financial Systems
Syahirul Faiz, Huned Materwala, Davor Svetinovic
Spatial Discretization for Fine-Grain Zone Checks with STARKs
Sungmin Lee, Kichang Lee, Gyeongmin Han, Jeonggil Ko
Now or Never: Continuous Surveillance AIoT System for Ephemeral Events in Intermittent Sensor Networks
Joonhee Lee, Kichang Lee, Jeonggil Ko
</v>
      </c>
      <c r="H10" s="29" t="str">
        <f>IFERROR(__xludf.DUMMYFUNCTION("TEXTJOIN(CHAR(10), TRUE,FILTER('Sheridan Comp'!$F:$F,LEFT('Sheridan Comp'!$B:$B,4)=LEFT(H8,4)))"),"SemTech 2026: The 4th International Workshop on AI and Semantic Technologies for the Scientific, Technical, and Legal Web
Danilo Dessì, Rima Dessì, Jeenu Joy, Hidir Aras, Francesco Osborne
The LOPE Method: Improving Consistent Property Extraction for Sci"&amp;"entific Knowledge Graphs Using LLMs
Sandra Schaftner, Martin Gaedke
ORKG Properties Ontology Consolidated: LLM-Driven Refinement of Crowdsourced Knowledge for Machine-Actionability
Sandra Schaftner, Martin Gaedke
Beyond the Rules: Understanding the Desi"&amp;"gn Logic of Internet Standards
Jie Bian, Michael Welzl, Nikolay Arefyev
The Atomic Instruction Gap: Instruction-Tuned LLMs Struggle with Simple, Self-Contained Directives
Henry Lim, Kwan Hui Lim
Saliency-Guided Embedding Alignment for Query-to-Document "&amp;"Legal Case Retrieval
Yu-Han Shi, Yao-Chung Fan
")</f>
        <v>SemTech 2026: The 4th International Workshop on AI and Semantic Technologies for the Scientific, Technical, and Legal Web
Danilo Dessì, Rima Dessì, Jeenu Joy, Hidir Aras, Francesco Osborne
The LOPE Method: Improving Consistent Property Extraction for Scientific Knowledge Graphs Using LLMs
Sandra Schaftner, Martin Gaedke
ORKG Properties Ontology Consolidated: LLM-Driven Refinement of Crowdsourced Knowledge for Machine-Actionability
Sandra Schaftner, Martin Gaedke
Beyond the Rules: Understanding the Design Logic of Internet Standards
Jie Bian, Michael Welzl, Nikolay Arefyev
The Atomic Instruction Gap: Instruction-Tuned LLMs Struggle with Simple, Self-Contained Directives
Henry Lim, Kwan Hui Lim
Saliency-Guided Embedding Alignment for Query-to-Document Legal Case Retrieval
Yu-Han Shi, Yao-Chung Fan
</v>
      </c>
      <c r="I10" s="29" t="str">
        <f>IFERROR(__xludf.DUMMYFUNCTION("TEXTJOIN(CHAR(10), TRUE,FILTER('Sheridan Comp'!$F:$F,LEFT('Sheridan Comp'!$B:$B,4)=LEFT(I8,4)))"),"[PromptEng] Third International Workshop on Prompt Engineering for Pre-Trained Language Models
Damien Graux, Sebastien Montella, Hajira Jabeen
")</f>
        <v>[PromptEng] Third International Workshop on Prompt Engineering for Pre-Trained Language Models
Damien Graux, Sebastien Montella, Hajira Jabeen
</v>
      </c>
      <c r="J10" s="29" t="str">
        <f>IFERROR(__xludf.DUMMYFUNCTION("TEXTJOIN(CHAR(10), TRUE,FILTER('Sheridan Comp'!$F:$F,LEFT('Sheridan Comp'!$B:$B,4)=LEFT(J8,4)))"),"6th International Workshop on Computational Methods for Online Discourse Analysis (BeyondFacts'26)
Konstantin Todorov, Stefan Dietze, Dimitar Dimitrov, Pavlos Fafalios
EmeraldApp: An AI-Driven Tool for Detecting Greenwashing in Sustainability Claims
Geor"&amp;"gios Kaoukis, Ioannis-Aris Koufopoulos, Eleni Psaroudaki, Danae Pla Karidi, Evaggelia Pitoura, George Papastefanatos, Panayiotis Tsaparas
Towards Understanding Professional AI Assistant Use: Human-in-the-Loop Topic Modeling of Multi-turn Conversations
Yi"&amp;"yi Chen, Sukhumarn Archasantisuk, Johannes Bjerva
Proactive Misinformation Forecasting via Incremental Topic Detection and Sentiment Polarization
Carmela Comito, Annalisa Socievole, Ester Zumpano
")</f>
        <v>6th International Workshop on Computational Methods for Online Discourse Analysis (BeyondFacts'26)
Konstantin Todorov, Stefan Dietze, Dimitar Dimitrov, Pavlos Fafalios
EmeraldApp: An AI-Driven Tool for Detecting Greenwashing in Sustainability Claims
Georgios Kaoukis, Ioannis-Aris Koufopoulos, Eleni Psaroudaki, Danae Pla Karidi, Evaggelia Pitoura, George Papastefanatos, Panayiotis Tsaparas
Towards Understanding Professional AI Assistant Use: Human-in-the-Loop Topic Modeling of Multi-turn Conversations
Yiyi Chen, Sukhumarn Archasantisuk, Johannes Bjerva
Proactive Misinformation Forecasting via Incremental Topic Detection and Sentiment Polarization
Carmela Comito, Annalisa Socievole, Ester Zumpano
</v>
      </c>
      <c r="K10" s="29" t="str">
        <f>IFERROR(__xludf.DUMMYFUNCTION("TEXTJOIN(CHAR(10), TRUE,FILTER('Sheridan Comp'!$F:$F,LEFT('Sheridan Comp'!$B:$B,4)=LEFT(K8,4)))"),"The 2nd Workshop on Social Science Meets Web Data: Reproducible and Reusable Computational Approaches (R2CASS)
Fakhri Momeni, Arnim Bleier, Danilo Dessì, Muhammad Taimoor Khan
From Code to Executable Method: Making Your Code Both Methods Hub and MyBinder"&amp;" Ready
Muhammad Taimoor Khan, Fakhri Momeni, Arnim Bleier
Who Shapes Web Standards? Uncovering the Main Topics of Interest in the W3C
Henrique Xavier, Beatriz Rocha, Diogo Cortiz
The Verification Crisis: Expert Perceptions of GenAI Disinformation and th"&amp;"e Case for Reproducible Provenance
Alexander Loth, Martin Kappes, Marc-Oliver Pahl
Automating Computational Reproducibility in Social Science: Comparing Prompt-Based and Agent-Based Approaches
Syed Mehtab Hussain Shah, Frank Hopfgartner, Arnim Bleier
So"&amp;"cial Bias Benchmarks for Large Language Models
Yue Feng
")</f>
        <v>The 2nd Workshop on Social Science Meets Web Data: Reproducible and Reusable Computational Approaches (R2CASS)
Fakhri Momeni, Arnim Bleier, Danilo Dessì, Muhammad Taimoor Khan
From Code to Executable Method: Making Your Code Both Methods Hub and MyBinder Ready
Muhammad Taimoor Khan, Fakhri Momeni, Arnim Bleier
Who Shapes Web Standards? Uncovering the Main Topics of Interest in the W3C
Henrique Xavier, Beatriz Rocha, Diogo Cortiz
The Verification Crisis: Expert Perceptions of GenAI Disinformation and the Case for Reproducible Provenance
Alexander Loth, Martin Kappes, Marc-Oliver Pahl
Automating Computational Reproducibility in Social Science: Comparing Prompt-Based and Agent-Based Approaches
Syed Mehtab Hussain Shah, Frank Hopfgartner, Arnim Bleier
Social Bias Benchmarks for Large Language Models
Yue Feng
</v>
      </c>
      <c r="L10" s="29"/>
      <c r="M10" s="30"/>
      <c r="N10" s="31"/>
      <c r="O10" s="30"/>
      <c r="P10" s="27"/>
      <c r="Q10" s="27"/>
      <c r="R10" s="27"/>
      <c r="S10" s="27"/>
      <c r="T10" s="27"/>
      <c r="U10" s="27"/>
      <c r="V10" s="27"/>
      <c r="W10" s="27"/>
      <c r="X10" s="27"/>
      <c r="Y10" s="27"/>
      <c r="Z10" s="27"/>
      <c r="AA10" s="27"/>
    </row>
    <row r="11">
      <c r="A11" s="37"/>
      <c r="B11" s="25"/>
      <c r="C11" s="38"/>
      <c r="D11" s="38"/>
      <c r="E11" s="38"/>
      <c r="F11" s="38"/>
      <c r="G11" s="38"/>
      <c r="H11" s="38"/>
      <c r="I11" s="38"/>
      <c r="J11" s="38"/>
      <c r="K11" s="38"/>
      <c r="L11" s="38"/>
      <c r="M11" s="38"/>
      <c r="N11" s="38"/>
      <c r="O11" s="38"/>
      <c r="P11" s="5"/>
      <c r="Q11" s="5"/>
      <c r="R11" s="5"/>
      <c r="S11" s="5"/>
      <c r="T11" s="5"/>
      <c r="U11" s="5"/>
      <c r="V11" s="5"/>
      <c r="W11" s="5"/>
      <c r="X11" s="5"/>
      <c r="Y11" s="5"/>
      <c r="Z11" s="5"/>
      <c r="AA11" s="5"/>
    </row>
    <row r="12">
      <c r="A12" s="10">
        <v>46203.0</v>
      </c>
      <c r="B12" s="39"/>
      <c r="C12" s="14"/>
      <c r="D12" s="14"/>
      <c r="E12" s="14"/>
      <c r="F12" s="14"/>
      <c r="G12" s="14"/>
      <c r="H12" s="14"/>
      <c r="I12" s="14"/>
      <c r="J12" s="14"/>
      <c r="K12" s="14"/>
      <c r="L12" s="14"/>
      <c r="M12" s="40"/>
      <c r="N12" s="14"/>
      <c r="O12" s="14"/>
      <c r="P12" s="5"/>
      <c r="Q12" s="5"/>
      <c r="R12" s="5"/>
      <c r="S12" s="5"/>
      <c r="T12" s="5"/>
      <c r="U12" s="5"/>
      <c r="V12" s="5"/>
      <c r="W12" s="5"/>
      <c r="X12" s="5"/>
      <c r="Y12" s="5"/>
      <c r="Z12" s="5"/>
      <c r="AA12" s="5"/>
    </row>
    <row r="13">
      <c r="A13" s="16" t="s">
        <v>16</v>
      </c>
      <c r="B13" s="17" t="s">
        <v>43</v>
      </c>
      <c r="C13" s="18" t="s">
        <v>44</v>
      </c>
      <c r="D13" s="18" t="s">
        <v>45</v>
      </c>
      <c r="E13" s="18" t="s">
        <v>46</v>
      </c>
      <c r="F13" s="18" t="s">
        <v>47</v>
      </c>
      <c r="G13" s="18" t="s">
        <v>48</v>
      </c>
      <c r="H13" s="18" t="s">
        <v>49</v>
      </c>
      <c r="I13" s="18" t="s">
        <v>50</v>
      </c>
      <c r="J13" s="18" t="s">
        <v>51</v>
      </c>
      <c r="K13" s="41" t="s">
        <v>52</v>
      </c>
      <c r="L13" s="19" t="s">
        <v>53</v>
      </c>
      <c r="M13" s="42" t="s">
        <v>54</v>
      </c>
      <c r="N13" s="21" t="s">
        <v>28</v>
      </c>
      <c r="O13" s="22"/>
      <c r="P13" s="5"/>
      <c r="Q13" s="5"/>
      <c r="R13" s="5"/>
      <c r="S13" s="5"/>
      <c r="T13" s="5"/>
      <c r="U13" s="5"/>
      <c r="V13" s="5"/>
      <c r="W13" s="5"/>
      <c r="X13" s="5"/>
      <c r="Y13" s="5"/>
      <c r="Z13" s="5"/>
      <c r="AA13" s="5"/>
    </row>
    <row r="14" collapsed="1">
      <c r="A14" s="23"/>
      <c r="B14" s="24" t="str">
        <f>IFERROR(__xludf.DUMMYFUNCTION("TEXTJOIN(CHAR(10), TRUE,FILTER('Tutorials assignment'!$E:$E,'Tutorials assignment'!$A:$A=B13))"),"Next-Gen Code Development with Collaborative AI Agents
Shweta Garg, Behrooz Omidvar-Tehrani, Shengyu Fu, Gauthier Guinet and Baishakhi Ray")</f>
        <v>Next-Gen Code Development with Collaborative AI Agents
Shweta Garg, Behrooz Omidvar-Tehrani, Shengyu Fu, Gauthier Guinet and Baishakhi Ray</v>
      </c>
      <c r="C14" s="24" t="str">
        <f>IFERROR(__xludf.DUMMYFUNCTION("TEXTJOIN(CHAR(10), TRUE,FILTER('Tutorials assignment'!$E:$E,'Tutorials assignment'!$A:$A=C13))"),"Conversational Search: From Fundamentals to Frontiers in the Age of Agents
Chuan Meng, Fengran Mo, Mohammad Aliannejadi, Jeff Dalton and Jian-Yun Nie")</f>
        <v>Conversational Search: From Fundamentals to Frontiers in the Age of Agents
Chuan Meng, Fengran Mo, Mohammad Aliannejadi, Jeff Dalton and Jian-Yun Nie</v>
      </c>
      <c r="D14" s="24" t="str">
        <f>IFERROR(__xludf.DUMMYFUNCTION("TEXTJOIN(CHAR(10), TRUE,FILTER('Tutorials assignment'!$E:$E,'Tutorials assignment'!$A:$A=D13))"),"Foundations for the Agentic Web: Infrastructure, Economics, and Society
Ramesh Raskar and Pradyumna Chari")</f>
        <v>Foundations for the Agentic Web: Infrastructure, Economics, and Society
Ramesh Raskar and Pradyumna Chari</v>
      </c>
      <c r="E14" s="24" t="str">
        <f>IFERROR(__xludf.DUMMYFUNCTION("TEXTJOIN(CHAR(10), TRUE,FILTER(Workshops!$G:$G,Workshops!$A:$A=E13))"),"(HCRS) - The 2nd Workshop on Human-Centered Recommender Systems
Kaike Zhang, Jiakai Tang, Du Su, Shuchang Liu, Julian McAuley, Lina Yao, Qi Cao, Yue Feng and Fei Sun 
https://hcrec.github.io/")</f>
        <v>(HCRS) - The 2nd Workshop on Human-Centered Recommender Systems
Kaike Zhang, Jiakai Tang, Du Su, Shuchang Liu, Julian McAuley, Lina Yao, Qi Cao, Yue Feng and Fei Sun 
https://hcrec.github.io/</v>
      </c>
      <c r="F14" s="24" t="str">
        <f>IFERROR(__xludf.DUMMYFUNCTION("TEXTJOIN(CHAR(10), TRUE,FILTER(Workshops!$G:$G,Workshops!$A:$A=F13))"),"(DHOW-MiLLA) part 1 - Joint Workshop on Diffusion of Harmful Content on Online Web and Countering Misinformation in the Age of LLMs and Agents
Thomas Mandl, Haiming Liu, Gautam Kishore Shahi, Amit Kumar Jaiswal, Durgesh Nandini, Luis-Daniel Ibáñez, Junich"&amp;"i Suga, Dai Yamamoto, Rahul Mishra, Rajakrishnan P. Rajkumar, Sagar Uprety, Sujit Kuma and Bornali Phukon
https://dhow-workshop.github.io/2026/")</f>
        <v>(DHOW-MiLLA) part 1 - Joint Workshop on Diffusion of Harmful Content on Online Web and Countering Misinformation in the Age of LLMs and Agents
Thomas Mandl, Haiming Liu, Gautam Kishore Shahi, Amit Kumar Jaiswal, Durgesh Nandini, Luis-Daniel Ibáñez, Junichi Suga, Dai Yamamoto, Rahul Mishra, Rajakrishnan P. Rajkumar, Sagar Uprety, Sujit Kuma and Bornali Phukon
https://dhow-workshop.github.io/2026/</v>
      </c>
      <c r="G14" s="24" t="str">
        <f>IFERROR(__xludf.DUMMYFUNCTION("TEXTJOIN(CHAR(10), TRUE,FILTER(Workshops!$G:$G,Workshops!$A:$A=G13))"),"(FAAW) part 1 - International Workshop on Foundations and Architectures for the Agentic Web
Abderrahmane Maaradji, Abul Ehtesham, Aditi Singh, Boualem Benatallah, Fatma Outay, Luca Muscariello, Pradyumna Chari, Ramesh Raskar, Sabrina Senatore and Yacine S"&amp;"am 
https://faaw.univ-tours.fr/")</f>
        <v>(FAAW) part 1 - International Workshop on Foundations and Architectures for the Agentic Web
Abderrahmane Maaradji, Abul Ehtesham, Aditi Singh, Boualem Benatallah, Fatma Outay, Luca Muscariello, Pradyumna Chari, Ramesh Raskar, Sabrina Senatore and Yacine Sam 
https://faaw.univ-tours.fr/</v>
      </c>
      <c r="H14" s="24" t="str">
        <f>IFERROR(__xludf.DUMMYFUNCTION("TEXTJOIN(CHAR(10), TRUE,FILTER(Workshops!$G:$G,Workshops!$A:$A=H13))"),"(TempWeb) part 1 - The 16th Temporal Web Analytics Workshop
Marc Spaniol, France Omar Alonso and Ricardo Baeza-Yates 
https://temporalweb.net/")</f>
        <v>(TempWeb) part 1 - The 16th Temporal Web Analytics Workshop
Marc Spaniol, France Omar Alonso and Ricardo Baeza-Yates 
https://temporalweb.net/</v>
      </c>
      <c r="I14" s="24" t="str">
        <f>IFERROR(__xludf.DUMMYFUNCTION("TEXTJOIN(CHAR(10), TRUE,FILTER(Workshops!$G:$G,Workshops!$A:$A=I13))"),"(TIME) part 1 - 2nd International Workshop on Transformative Insights in Multi-faceted Evaluation
 Lei Wang,  Md Zakir Hossain, Tom Gedeon, Syed Mohammed Shamsul Islam. Rafiqul Islam. Yasmeen George and Shreya Ghosh 
https://time.griffith.edu.au/workshop/"&amp;"time2026/")</f>
        <v>(TIME) part 1 - 2nd International Workshop on Transformative Insights in Multi-faceted Evaluation
 Lei Wang,  Md Zakir Hossain, Tom Gedeon, Syed Mohammed Shamsul Islam. Rafiqul Islam. Yasmeen George and Shreya Ghosh 
https://time.griffith.edu.au/workshop/time2026/</v>
      </c>
      <c r="J14" s="24" t="str">
        <f>IFERROR(__xludf.DUMMYFUNCTION("TEXTJOIN(CHAR(10), TRUE,FILTER(Workshops!$G:$G,Workshops!$A:$A=J13))"),"(ALTARS 2026) - 4th Workshop on Augmented Intelligence in Technology-Assisted Review Systems
Giorgio Maria Di Nunzio, Evangelos Kanoulas and Prasenjit Majumder 
https://altars2026.dei.unipd.it/")</f>
        <v>(ALTARS 2026) - 4th Workshop on Augmented Intelligence in Technology-Assisted Review Systems
Giorgio Maria Di Nunzio, Evangelos Kanoulas and Prasenjit Majumder 
https://altars2026.dei.unipd.it/</v>
      </c>
      <c r="K14" s="24" t="str">
        <f>IFERROR(__xludf.DUMMYFUNCTION("TEXTJOIN(CHAR(10), TRUE,FILTER(Workshops!$G:$G,Workshops!$A:$A=K13))"),"(FL@FM) - International Workshop on Federated Foundation Models for the Web 2026
Irwin King, Guodong Long, Zenglin Xu, Han Yu, Xiaoli Tang and Liping Yi 
https://federated-learning.org/fl@fm-www-2026/")</f>
        <v>(FL@FM) - International Workshop on Federated Foundation Models for the Web 2026
Irwin King, Guodong Long, Zenglin Xu, Han Yu, Xiaoli Tang and Liping Yi 
https://federated-learning.org/fl@fm-www-2026/</v>
      </c>
      <c r="L14" s="24" t="str">
        <f>IFERROR(__xludf.DUMMYFUNCTION("TEXTJOIN(CHAR(10), TRUE,FILTER(Workshops!$G:$G,Workshops!$A:$A=L13))"),"(TrustFM) - Trustworthy Foundation Models for Web Intelligence: Causal Perspectives and Challenges
Haoang Chi  Qi  Wang  Jiantong Jiang  Jiangchao Yao  Feng Liu  Bo Han 
https://www-tfm-causal.github.io/www2026-workshop/")</f>
        <v>(TrustFM) - Trustworthy Foundation Models for Web Intelligence: Causal Perspectives and Challenges
Haoang Chi  Qi  Wang  Jiantong Jiang  Jiangchao Yao  Feng Liu  Bo Han 
https://www-tfm-causal.github.io/www2026-workshop/</v>
      </c>
      <c r="M14" s="43" t="str">
        <f>IFERROR(__xludf.DUMMYFUNCTION("TEXTJOIN(CHAR(10), TRUE,FILTER('PhD Symposium'!$D:$D,'PhD Symposium'!$E:$E=M13))"),"Exploring Political Attitudes under Selective Media Consumption with Large Language Models
Upasana Dutta
Towards Conversational Dataset Discovery on the Web
Lisa-Yao Gan
Foundational Representations for Efficient Retrieval of Structured Tabular Data
Inw"&amp;"on Kang
How the Web Remembers Multilingual Collective Memory on Wikipedia and in Large Language Models
H. Laurie Lawson
Can You Trust the Data Trust?
An Ning Shen
Introducing Temporal Dynamics to Proactive Recommender Systems for Email Outreach
Čeněk Ž"&amp;"id
")</f>
        <v>Exploring Political Attitudes under Selective Media Consumption with Large Language Models
Upasana Dutta
Towards Conversational Dataset Discovery on the Web
Lisa-Yao Gan
Foundational Representations for Efficient Retrieval of Structured Tabular Data
Inwon Kang
How the Web Remembers Multilingual Collective Memory on Wikipedia and in Large Language Models
H. Laurie Lawson
Can You Trust the Data Trust?
An Ning Shen
Introducing Temporal Dynamics to Proactive Recommender Systems for Email Outreach
Čeněk Žid
</v>
      </c>
      <c r="N14" s="26" t="s">
        <v>29</v>
      </c>
      <c r="O14" s="25"/>
      <c r="P14" s="27"/>
      <c r="Q14" s="27"/>
      <c r="R14" s="27"/>
      <c r="S14" s="27"/>
      <c r="T14" s="27"/>
      <c r="U14" s="27"/>
      <c r="V14" s="27"/>
      <c r="W14" s="27"/>
      <c r="X14" s="27"/>
      <c r="Y14" s="27"/>
      <c r="Z14" s="27"/>
      <c r="AA14" s="27"/>
    </row>
    <row r="15" hidden="1" outlineLevel="1">
      <c r="A15" s="28"/>
      <c r="B15" s="29"/>
      <c r="C15" s="29"/>
      <c r="D15" s="29"/>
      <c r="E15" s="29" t="str">
        <f>IFERROR(__xludf.DUMMYFUNCTION("TEXTJOIN(CHAR(10), TRUE,FILTER('Sheridan Comp'!$F:$F,LEFT('Sheridan Comp'!$B:$B,4)=LEFT(E13,4)))"),"The 2nd Workshop on Human-Centered Recommender Systems
Kaike Zhang, Jiakai Tang, Du Su, Shuchang Liu, Julian McAuley, Lina Yao, Qi Cao, Yue Feng, Fei Sun
Post-Training Fairness Control: A Single-Train Framework for Dynamic Fairness in Recommendation
Weix"&amp;"in Chen, Li Chen, Yuhan Zhao
RecoWorld: Building Simulated Environments for Agentic Recommender Systems
Fei Liu, Xinyu Lin, Hanchao Yu, Mingyuan Wu, Jianyu Wang, Qiang Zhang, Zhuokai Zhao, Yinglong Xia, Yao Zhang, Weiwei Li, Mingze Gao, Qifan Wang, Lizhu"&amp;" Zhang, Benyu Zhang, Xiangjun Fan
STCRank: Spatio-temporal Collaborative Ranking for Interactive Recommender System at Kuaishou E-shop
Boyang Xia, Ruilin Bao, Hanjun Jiang, Jun Wang, Wenwu Ou
Fairness at a Glance: Can We Audit Model Fairness Before Trai"&amp;"ning Completes?
Yuanhao Liu, Qi Cao, Huawei Shen, Xueqi Cheng
Orthogonal Meta-learning Boosted Bayesian Optimization for Uncertain Multi-Objective Recommendation
Hongxu Wang, Yingpeng Du, Zhu Sun, Lu Zhang, Tiantian He, Yew-Soon Ong
Evaluating LLM Recom"&amp;"mendations Under Stress
Mithun Rameshbabu, Kamalakar Karlapalem
Beyond Engagement: A Human-Centered Evaluation Framework for LLM-Powered Recommender Systems
Shrinivass Arunachalam Balasubramanian
Knowledge Graph Editing Model for Enhancing Recommendatio"&amp;"n Systems
Weixuan Sun, Yang Fang, Jiuyang Tang, Hao Xu, Bin Ge
Learning to Alleviate Familiarity Bias in Video Recommendation
Zheng Ren, Yi Wu, Jianan Lu, Acar Ary, Yiqu Liu, Li Wei, Lukasz Heldt
")</f>
        <v>The 2nd Workshop on Human-Centered Recommender Systems
Kaike Zhang, Jiakai Tang, Du Su, Shuchang Liu, Julian McAuley, Lina Yao, Qi Cao, Yue Feng, Fei Sun
Post-Training Fairness Control: A Single-Train Framework for Dynamic Fairness in Recommendation
Weixin Chen, Li Chen, Yuhan Zhao
RecoWorld: Building Simulated Environments for Agentic Recommender Systems
Fei Liu, Xinyu Lin, Hanchao Yu, Mingyuan Wu, Jianyu Wang, Qiang Zhang, Zhuokai Zhao, Yinglong Xia, Yao Zhang, Weiwei Li, Mingze Gao, Qifan Wang, Lizhu Zhang, Benyu Zhang, Xiangjun Fan
STCRank: Spatio-temporal Collaborative Ranking for Interactive Recommender System at Kuaishou E-shop
Boyang Xia, Ruilin Bao, Hanjun Jiang, Jun Wang, Wenwu Ou
Fairness at a Glance: Can We Audit Model Fairness Before Training Completes?
Yuanhao Liu, Qi Cao, Huawei Shen, Xueqi Cheng
Orthogonal Meta-learning Boosted Bayesian Optimization for Uncertain Multi-Objective Recommendation
Hongxu Wang, Yingpeng Du, Zhu Sun, Lu Zhang, Tiantian He, Yew-Soon Ong
Evaluating LLM Recommendations Under Stress
Mithun Rameshbabu, Kamalakar Karlapalem
Beyond Engagement: A Human-Centered Evaluation Framework for LLM-Powered Recommender Systems
Shrinivass Arunachalam Balasubramanian
Knowledge Graph Editing Model for Enhancing Recommendation Systems
Weixuan Sun, Yang Fang, Jiuyang Tang, Hao Xu, Bin Ge
Learning to Alleviate Familiarity Bias in Video Recommendation
Zheng Ren, Yi Wu, Jianan Lu, Acar Ary, Yiqu Liu, Li Wei, Lukasz Heldt
</v>
      </c>
      <c r="F15" s="29" t="str">
        <f>IFERROR(__xludf.DUMMYFUNCTION("TEXTJOIN(CHAR(10), TRUE,FILTER('Sheridan Comp'!$F:$F,LEFT('Sheridan Comp'!$B:$B,4)=LEFT(F13,4)))"),"DHOW-MiLLA: Joint Workshop on Diffusion of Harmful Content on Online Web and Countering Misinformation in the Age of LLMs and Agents
Gautam Kishore Shahi, Thomas Mandl, Haiming Liu, Amit Kumar Jaiswal, Durgesh Nandini, Luis-Daniel Ibáñez, Junichi Suga, Da"&amp;"i Yamamoto, Rahul Mishra, Rajakrishnan P Rajkumar, Sagar Uprety, Bornali Phukon, Sujit Kumar
Deception Factories: Industrial-Scale Cloaking in Harmful Synthetic Media
Ewelina Bartuzi-Trokielewicz, Alicja Martinek, Mateusz Trokielewicz
RAMA: Retrieval-Au"&amp;"gmented Multi-Agent Framework for Misinformation Detection in Multimodal Fact-Checking
Shuo Yang, Zijian Yu, Zhenzhe Ying, Yuqin Dai, Guoqing Wang, Jun Lan, Jinfeng Xu, Jinze Li, Edith Ngai
ToxiTwitch: Toward Emote-Aware Hybrid Moderation for Live Stream"&amp;"ing Platforms
Baktash Ansari, Elias Martin, Afra Mashhadi
Context-Aware Silhouette-Based Age Estimation for Child Sexual Abuse Material (CSAM) Detection
Michał Koźbiał, Ewelina Bartuzi-Trokielewicz
On VLMs for Diverse Tasks in Multimodal Meme Classifica"&amp;"tion
Deepesh Gavit, Gaurav Kumar, Debajyoti Mazumder, Samiran Das, Jasabanta Patro
An Interpretable Agentic Framework for Multimodal Hate Video Analysis with Explicit Evidence Attribution
Ashok Yadav, Vrijendra Singh
From Generation to Detection: Levera"&amp;"ging Empirically Derived Linguistic Hints for LLM-Based Fake News Detection
Piyush Ghasiya, Kazutoshi Sasahara
Exploring the Domain Sensitivity of AI Chatbots in Correcting Misinformation
Mihir Pandey, Shail Shankar, Suyash Mishra
Beyond Detection: An E"&amp;"pistemic Limit of Purely Computational Misinformation Defense
Farhana Ferdousi Liza
Exploring the Domain Sensitivity of AI Chatbots in Correcting Misinformation
Mihir Pandey, Shail Shankar, Suyash Mishra
Amplified Adversarial Vulnerabilities in Multi-Ag"&amp;"ent LLM Systems Despite Safety Tuning
Nikhil Pathiyil, Jatin Garg, Talib Siddiqiu, Mustafa Saify, Amit Agarwal
Trustworthy or Just Lucky? Composite Trust Scoring for Behavioral Evaluation of LLM Agents
Punit Maheshwari, Mustafa Saify, Amit Agarwal
")</f>
        <v>DHOW-MiLLA: Joint Workshop on Diffusion of Harmful Content on Online Web and Countering Misinformation in the Age of LLMs and Agents
Gautam Kishore Shahi, Thomas Mandl, Haiming Liu, Amit Kumar Jaiswal, Durgesh Nandini, Luis-Daniel Ibáñez, Junichi Suga, Dai Yamamoto, Rahul Mishra, Rajakrishnan P Rajkumar, Sagar Uprety, Bornali Phukon, Sujit Kumar
Deception Factories: Industrial-Scale Cloaking in Harmful Synthetic Media
Ewelina Bartuzi-Trokielewicz, Alicja Martinek, Mateusz Trokielewicz
RAMA: Retrieval-Augmented Multi-Agent Framework for Misinformation Detection in Multimodal Fact-Checking
Shuo Yang, Zijian Yu, Zhenzhe Ying, Yuqin Dai, Guoqing Wang, Jun Lan, Jinfeng Xu, Jinze Li, Edith Ngai
ToxiTwitch: Toward Emote-Aware Hybrid Moderation for Live Streaming Platforms
Baktash Ansari, Elias Martin, Afra Mashhadi
Context-Aware Silhouette-Based Age Estimation for Child Sexual Abuse Material (CSAM) Detection
Michał Koźbiał, Ewelina Bartuzi-Trokielewicz
On VLMs for Diverse Tasks in Multimodal Meme Classification
Deepesh Gavit, Gaurav Kumar, Debajyoti Mazumder, Samiran Das, Jasabanta Patro
An Interpretable Agentic Framework for Multimodal Hate Video Analysis with Explicit Evidence Attribution
Ashok Yadav, Vrijendra Singh
From Generation to Detection: Leveraging Empirically Derived Linguistic Hints for LLM-Based Fake News Detection
Piyush Ghasiya, Kazutoshi Sasahara
Exploring the Domain Sensitivity of AI Chatbots in Correcting Misinformation
Mihir Pandey, Shail Shankar, Suyash Mishra
Beyond Detection: An Epistemic Limit of Purely Computational Misinformation Defense
Farhana Ferdousi Liza
Exploring the Domain Sensitivity of AI Chatbots in Correcting Misinformation
Mihir Pandey, Shail Shankar, Suyash Mishra
Amplified Adversarial Vulnerabilities in Multi-Agent LLM Systems Despite Safety Tuning
Nikhil Pathiyil, Jatin Garg, Talib Siddiqiu, Mustafa Saify, Amit Agarwal
Trustworthy or Just Lucky? Composite Trust Scoring for Behavioral Evaluation of LLM Agents
Punit Maheshwari, Mustafa Saify, Amit Agarwal
</v>
      </c>
      <c r="G15" s="29" t="str">
        <f>IFERROR(__xludf.DUMMYFUNCTION("TEXTJOIN(CHAR(10), TRUE,FILTER('Sheridan Comp'!$F:$F,LEFT('Sheridan Comp'!$B:$B,4)=LEFT(G13,4)))"),"The 1st International Workshop on Foundations and Architectures for the Agentic Web
Boualem Benatallah, Pradyumna Chari, Abul Ehtesham, Abderrahmane Maaradji, Luca Muscariello, Fatma Outay, Ramesh Raskar, Yacine Sam, Sabrina Senatore, Aditi Singh
Real-Ti"&amp;"me Procedural Learning From Experience for AI Agents
Dasheng Bi, Yubin Hu, Mohammed Nasir
SemaReg: Semantic Service Registry for Resilient IoTWorkflow Orchestration in Edge Computing Environments
Iacovos Ioannou, Ala Khalifeh
On the Economic and Governa"&amp;"nce Mechanisms for the Agentic Web: A Global South Perspective
Diogo Cortiz, Beatriz Rocha, Vagner Figueredo de Santana, Henrique S. Xavier, Jacqueline Custodio
An Agentic System for Automated Polymer Property Prediction in Low-Code Environments
Djamel-E"&amp;"ddine Louhbaibat, Juba Agoun, Mohand-Saïd Hacid
An Agentic System for Automated Polymer Property Prediction in Low-Code Environments
Djamel-Eddine Louhbaibat, Juba Agoun, Mohand-Saïd Hacid
Can Large Language Models Govern Themselves? A Technical, Ethica"&amp;"l, and Governance Perspective
Djallel Bouneffouf
A Prompt-Aware Structuring Framework for Reliable Reuse of AI-Generated Content in the Agentic Web
Shusaku Egami, Masahiro Hamasaki
WAB: Overcoming Memory, Network, and Security Walls in Native Agentic Br"&amp;"owsers with WebAssembly
Mugeng Liu, Shuoqi Li, Qi Yang, Yun Ma
How to Measure Node Importance in the Agentic Web
Ivan Samoylenko, Elizaveta Pribytkova
NANDA: Resolution, Discovery, and Governance for the Agentic Web
Ramesh Raskar
")</f>
        <v>The 1st International Workshop on Foundations and Architectures for the Agentic Web
Boualem Benatallah, Pradyumna Chari, Abul Ehtesham, Abderrahmane Maaradji, Luca Muscariello, Fatma Outay, Ramesh Raskar, Yacine Sam, Sabrina Senatore, Aditi Singh
Real-Time Procedural Learning From Experience for AI Agents
Dasheng Bi, Yubin Hu, Mohammed Nasir
SemaReg: Semantic Service Registry for Resilient IoTWorkflow Orchestration in Edge Computing Environments
Iacovos Ioannou, Ala Khalifeh
On the Economic and Governance Mechanisms for the Agentic Web: A Global South Perspective
Diogo Cortiz, Beatriz Rocha, Vagner Figueredo de Santana, Henrique S. Xavier, Jacqueline Custodio
An Agentic System for Automated Polymer Property Prediction in Low-Code Environments
Djamel-Eddine Louhbaibat, Juba Agoun, Mohand-Saïd Hacid
An Agentic System for Automated Polymer Property Prediction in Low-Code Environments
Djamel-Eddine Louhbaibat, Juba Agoun, Mohand-Saïd Hacid
Can Large Language Models Govern Themselves? A Technical, Ethical, and Governance Perspective
Djallel Bouneffouf
A Prompt-Aware Structuring Framework for Reliable Reuse of AI-Generated Content in the Agentic Web
Shusaku Egami, Masahiro Hamasaki
WAB: Overcoming Memory, Network, and Security Walls in Native Agentic Browsers with WebAssembly
Mugeng Liu, Shuoqi Li, Qi Yang, Yun Ma
How to Measure Node Importance in the Agentic Web
Ivan Samoylenko, Elizaveta Pribytkova
NANDA: Resolution, Discovery, and Governance for the Agentic Web
Ramesh Raskar
</v>
      </c>
      <c r="H15" s="29" t="str">
        <f>IFERROR(__xludf.DUMMYFUNCTION("TEXTJOIN(CHAR(10), TRUE,FILTER('Sheridan Comp'!$F:$F,LEFT('Sheridan Comp'!$B:$B,4)=LEFT(H13,4)))"),"16th Temporal Web Analytics Workshop (TempWeb)
Marc Spaniol, Omar Alonso, Ricardo Baeza-Yates
SLS: A Scalable Logic Subgraph Framework for Temporal Web Analytics and Hybrid Search
Jiajia Nie, Zekun Yin, Haoliang Sun, Weipeng Jiang, Wei Han, Bo Bai
Scala"&amp;"ble Anomaly Detection for Temporal Web Streams via Approximate Nearest Neighbor Search
Chuangen Gao, Haoliang Sun, Zekun Yin, Weipeng Jiang, Wei Han, Bo Bai
Community-Preserving Temporal Graph Backboning via Joint Spectral Analysis of Laplacians
Carmela "&amp;"Comito, Annalisa Socievole
The State of the Internet: Insights from Security Indicators
Florian Nettersheim, Stephan Arlt
MiningWeb Evolution: A Dataset of DOM Changes Across Websites
Hilal Taha, Jeongju Sohn, Michail Papadakis
ImVision: Adapting Pretr"&amp;"ained Vision Models for Time-Series Imputation
Alireza Shammasi, Amin Beheshti, Milad Mosharraf, Min Li, Pooyan Asgari, Yuankai Qi
Using Psycholinguistic Features for Multiplex Community Detection in Temporal Social Networks
Karolina Sliwa, Ema Kahr, Mar"&amp;"k Strembeck
PerQA: A Benchmark for Temporally Sensitive Questions on Heterogeneous Personal Data
Philipp Christmann, Gerhard Weikum
Benchmarking Temporal Web3 Intelligence: Lessons from the FinSurvival 2025 Challenge
Oshani Seneviratne, Fernando Spadea,"&amp;" Adrien Pavao, Aaron Green, Kristin Bennett
Suicide Risk Prediction via Comment‑Influenced Mental State Trajectories
Jun Li, Xiangmeng Wang, Ziyan Zhang, Qun Zhao, Hong Va Leong, Qing Li
Temporal Challenges in Data-Driven Scenario-Building for Climate-N"&amp;"eutral Cities
Dirk Ahlers, Sagnik Bhattacharjee, Jiří Tencar
")</f>
        <v>16th Temporal Web Analytics Workshop (TempWeb)
Marc Spaniol, Omar Alonso, Ricardo Baeza-Yates
SLS: A Scalable Logic Subgraph Framework for Temporal Web Analytics and Hybrid Search
Jiajia Nie, Zekun Yin, Haoliang Sun, Weipeng Jiang, Wei Han, Bo Bai
Scalable Anomaly Detection for Temporal Web Streams via Approximate Nearest Neighbor Search
Chuangen Gao, Haoliang Sun, Zekun Yin, Weipeng Jiang, Wei Han, Bo Bai
Community-Preserving Temporal Graph Backboning via Joint Spectral Analysis of Laplacians
Carmela Comito, Annalisa Socievole
The State of the Internet: Insights from Security Indicators
Florian Nettersheim, Stephan Arlt
MiningWeb Evolution: A Dataset of DOM Changes Across Websites
Hilal Taha, Jeongju Sohn, Michail Papadakis
ImVision: Adapting Pretrained Vision Models for Time-Series Imputation
Alireza Shammasi, Amin Beheshti, Milad Mosharraf, Min Li, Pooyan Asgari, Yuankai Qi
Using Psycholinguistic Features for Multiplex Community Detection in Temporal Social Networks
Karolina Sliwa, Ema Kahr, Mark Strembeck
PerQA: A Benchmark for Temporally Sensitive Questions on Heterogeneous Personal Data
Philipp Christmann, Gerhard Weikum
Benchmarking Temporal Web3 Intelligence: Lessons from the FinSurvival 2025 Challenge
Oshani Seneviratne, Fernando Spadea, Adrien Pavao, Aaron Green, Kristin Bennett
Suicide Risk Prediction via Comment‑Influenced Mental State Trajectories
Jun Li, Xiangmeng Wang, Ziyan Zhang, Qun Zhao, Hong Va Leong, Qing Li
Temporal Challenges in Data-Driven Scenario-Building for Climate-Neutral Cities
Dirk Ahlers, Sagnik Bhattacharjee, Jiří Tencar
</v>
      </c>
      <c r="I15" s="29" t="str">
        <f>IFERROR(__xludf.DUMMYFUNCTION("TEXTJOIN(CHAR(10), TRUE,FILTER('Sheridan Comp'!$F:$F,LEFT('Sheridan Comp'!$B:$B,4)=LEFT(I13,4)))"),"TIME 2026: 2nd International Workshop on Transformative Insights in Multi-faceted Evaluation
Lei Wang, Md Zakir Hossain, Tom Gedeon, Zicheng Pan, Syed Islam, Rafiqul Islam, Yasmeen George, Shreya Ghosh
Fine-Grained Visual Understanding for Multimodal and"&amp;" Trustworthy AI
Syuan-Hao Li, Yi-Jui Huang, Lei Wang, Yongsheng Gao
Decentralised Trust Layers for the Web: Towards Transparent AI-Powered Platforms
Quazi Mamun, Md Rafiqul Islam
Beyond Fine-Tuning: The Present and Future of Parameter-Efficient Fine-Tun"&amp;"ing in Vision Transformers
Edwin Kwadwo Tenagyei, Lei Wang, Yongsheng Gao
RadioAR: Autoregressive Modeling for Accurate Radio Map Estimation
Peilin Zheng, Xiucheng Wang, Wenshuo Chen, Ruijin Sun, Lei Wang, Yutao Yue, Nan Cheng
Evaluating Trustworthiness"&amp;" in Reactive Web Architectures: A Structured Framework and Comparative Analysis
Shrinivass Arunachalam Balasubramanian
Rethinking Object Detection and Tracking
Arpit Sharma, Lei Wang, Yongsheng Gao
An Edge Computing Framework for Deep Learning-Based Ano"&amp;"maly Detection in Satellite-Linked Autonomous Vehicles
Md Mehedi Hasan, Maumita Bhattacharya, Md Rafiqul Islam
Privacy-Aware Machine Unlearning with SISA for Reinforcement Learning–Based Ransomware Detection
Jannatul Ferdous, Rafiqul Islam, Md Zahidul Is"&amp;"lam
How Quantum Period Finding Breaks Rivest Shamir Adleman Algorithms
Md Sarwar Kamal, Sonia Farhana Nimmy, Ripon Chakrabortty, Md Zakir Hossain, Md Rafiqul Islam
Guided Path Sampling: Steering Diffusion Models Back on Track with Principled Path Guidan"&amp;"ce
Haosen Li, Wenshuo Chen, shaofeng liang, Lei Wang, Haozhe Jia, Yutao Yue
Towards Better Evaluation Metrics for Text-to-Motion Generation
Wenshuo Chen, Haozhe Jia, Kuimou Yu, Songning Lai, Lei Wang, Yutao Yue
Graph Aggregation Beyond Homophily Assumpt"&amp;"ion: a more meaningful way to model networks
Lucy Lu, Ming Lu
Talking-Head Generation in Practice
Zhicheng Zhang, Lei Wang, Yongsheng Gao, Yu Zhang
Feasibility of Cryptography In a Blockchain-Enhanced ICS Security
Kazi Kamal, Rafiqul Islam, Azizur Rahma"&amp;"n
Orchestrating Heterogeneous Experts: A Scalable MoE Framework with Anisotropy-Preserving Fusion
Ye Liu, Wuji Chen, Xu Chen, Mang Li
Measuring Privacy Risks and Tradeoffs in Financial Synthetic Data Generation
Michael Zuo, Inwon Kang, Stacy Patterson, "&amp;"Oshani Seneviratne
")</f>
        <v>TIME 2026: 2nd International Workshop on Transformative Insights in Multi-faceted Evaluation
Lei Wang, Md Zakir Hossain, Tom Gedeon, Zicheng Pan, Syed Islam, Rafiqul Islam, Yasmeen George, Shreya Ghosh
Fine-Grained Visual Understanding for Multimodal and Trustworthy AI
Syuan-Hao Li, Yi-Jui Huang, Lei Wang, Yongsheng Gao
Decentralised Trust Layers for the Web: Towards Transparent AI-Powered Platforms
Quazi Mamun, Md Rafiqul Islam
Beyond Fine-Tuning: The Present and Future of Parameter-Efficient Fine-Tuning in Vision Transformers
Edwin Kwadwo Tenagyei, Lei Wang, Yongsheng Gao
RadioAR: Autoregressive Modeling for Accurate Radio Map Estimation
Peilin Zheng, Xiucheng Wang, Wenshuo Chen, Ruijin Sun, Lei Wang, Yutao Yue, Nan Cheng
Evaluating Trustworthiness in Reactive Web Architectures: A Structured Framework and Comparative Analysis
Shrinivass Arunachalam Balasubramanian
Rethinking Object Detection and Tracking
Arpit Sharma, Lei Wang, Yongsheng Gao
An Edge Computing Framework for Deep Learning-Based Anomaly Detection in Satellite-Linked Autonomous Vehicles
Md Mehedi Hasan, Maumita Bhattacharya, Md Rafiqul Islam
Privacy-Aware Machine Unlearning with SISA for Reinforcement Learning–Based Ransomware Detection
Jannatul Ferdous, Rafiqul Islam, Md Zahidul Islam
How Quantum Period Finding Breaks Rivest Shamir Adleman Algorithms
Md Sarwar Kamal, Sonia Farhana Nimmy, Ripon Chakrabortty, Md Zakir Hossain, Md Rafiqul Islam
Guided Path Sampling: Steering Diffusion Models Back on Track with Principled Path Guidance
Haosen Li, Wenshuo Chen, shaofeng liang, Lei Wang, Haozhe Jia, Yutao Yue
Towards Better Evaluation Metrics for Text-to-Motion Generation
Wenshuo Chen, Haozhe Jia, Kuimou Yu, Songning Lai, Lei Wang, Yutao Yue
Graph Aggregation Beyond Homophily Assumption: a more meaningful way to model networks
Lucy Lu, Ming Lu
Talking-Head Generation in Practice
Zhicheng Zhang, Lei Wang, Yongsheng Gao, Yu Zhang
Feasibility of Cryptography In a Blockchain-Enhanced ICS Security
Kazi Kamal, Rafiqul Islam, Azizur Rahman
Orchestrating Heterogeneous Experts: A Scalable MoE Framework with Anisotropy-Preserving Fusion
Ye Liu, Wuji Chen, Xu Chen, Mang Li
Measuring Privacy Risks and Tradeoffs in Financial Synthetic Data Generation
Michael Zuo, Inwon Kang, Stacy Patterson, Oshani Seneviratne
</v>
      </c>
      <c r="J15" s="29" t="str">
        <f>IFERROR(__xludf.DUMMYFUNCTION("TEXTJOIN(CHAR(10), TRUE,FILTER('Sheridan Comp'!$F:$F,LEFT('Sheridan Comp'!$B:$B,4)=LEFT(J13,4)))"),"Augmented Intelligence in Technology-Assisted Review Systems (ALTARS 2026)
Giorgio Maria Di Nunzio, Evangelos Kanoulas, Prasenjit Majumder
Early Recall Estimation and Stopping in Technology-Assisted Reviews via Ranker-Sampler Fusion
Giorgio Maria Di Nunz"&amp;"io
Deep GraphRAG: A Balanced Approach to Hierarchical Retrieval and Adaptive Integration
Yuejie Li, Ke Yang, Tao Wang, Bolin Chen, Bowen Li, Chengjun Mao
Train Large-Use Small: Optimizing within the Theoretical Limits of Embedding-based Retrieval
Sourav"&amp;" Dutta
Towards Automating Articles Screening Processes Using Chain-of-Thought Large Language Models
Carlo Arpini, Mirko Cesarini, Emmanuele Lotano
")</f>
        <v>Augmented Intelligence in Technology-Assisted Review Systems (ALTARS 2026)
Giorgio Maria Di Nunzio, Evangelos Kanoulas, Prasenjit Majumder
Early Recall Estimation and Stopping in Technology-Assisted Reviews via Ranker-Sampler Fusion
Giorgio Maria Di Nunzio
Deep GraphRAG: A Balanced Approach to Hierarchical Retrieval and Adaptive Integration
Yuejie Li, Ke Yang, Tao Wang, Bolin Chen, Bowen Li, Chengjun Mao
Train Large-Use Small: Optimizing within the Theoretical Limits of Embedding-based Retrieval
Sourav Dutta
Towards Automating Articles Screening Processes Using Chain-of-Thought Large Language Models
Carlo Arpini, Mirko Cesarini, Emmanuele Lotano
</v>
      </c>
      <c r="K15" s="29" t="str">
        <f>IFERROR(__xludf.DUMMYFUNCTION("TEXTJOIN(CHAR(10), TRUE,FILTER('Sheridan Comp'!$F:$F,LEFT('Sheridan Comp'!$B:$B,4)=LEFT(K13,4)))"),"FL@FM-TheWebConf’26: The 3rd International Workshop on Federated Foundation Models for the Web
Irwin King, Guodong Long, Zenglin Xu, Han Yu, Xiaoli Tang, Liping Yi
FedUMM: A General Framework for Federated Learning with Unified Multimodal Models
Zhaolong"&amp;" Su, Leheng Zhao, Xiaoying Wu, Ziyue Xu, Jindong Wang
")</f>
        <v>FL@FM-TheWebConf’26: The 3rd International Workshop on Federated Foundation Models for the Web
Irwin King, Guodong Long, Zenglin Xu, Han Yu, Xiaoli Tang, Liping Yi
FedUMM: A General Framework for Federated Learning with Unified Multimodal Models
Zhaolong Su, Leheng Zhao, Xiaoying Wu, Ziyue Xu, Jindong Wang
</v>
      </c>
      <c r="L15" s="29" t="str">
        <f>IFERROR(__xludf.DUMMYFUNCTION("TEXTJOIN(CHAR(10), TRUE,FILTER('Sheridan Comp'!$F:$F,LEFT('Sheridan Comp'!$B:$B,4)=LEFT(L13,4)))"),"Trustworthy Foundation Models for Web Intelligence: Causal Perspectives and Challenges
Haoang Chi, Qi Wang, Jiantong Jiang, Jiangchao Yao, Feng Liu, Bo Han
Eroding the Truth-Default: A Causal Analysis of Human Susceptibility to Foundation Model Hallucina"&amp;"tions and Disinformation in the Wild
Alexander Loth, Martin Kappes, Marc-Oliver Pahl
LLM and AI Agent: Golden Rule is All We Need
Djallel Bouneffouf
Hierarchical Prompt Contrastive Learning for Weakly Supervised Histopathology Segmentation
Zengmao Wang,"&amp;" Ming Hu, Chaoyang Zhou, Shiying Sun, Qingping Zheng, Leifei Zhang, Yongchao Xu, Bo Du
TRACE: Transparent Web Reliability Assessment with Contextual Explanations
Joydeep Chandra, Aleksandr Algazinov, Satyam Kumar Navneet, Rim El Filali, Matt Laing, Andre"&amp;"w Hanna, Yong Zhang
Multi-Branch Cooperation Networks for Enhanced Click-Through Rate Prediction in Large-Scale E-Commerce Search
Xu Chen, Zida Cheng, Shuai Xiao, Chen Ju, Xiaoming Liu, Jinsong Lan, Xiaoyong Zhu, Bo Zheng
Struggling at the Start: Struct"&amp;"ural Causes of Decoding Difficulty in Code Generation
Yuqi Zhu, Jia Li, Hao Jiang, Shengze Li, Jieyuan Zhang, Ang Li
Prediction Guardian: A Distribution-based Real-time Anomaly Detection and Mitigation Framework for Online Advertising
Gaurav Nagar, Yang "&amp;"Jin, Heesuk Son, Mohit Asudani, Shubham Gupta, Xing Zhang, Kestutis Patiejunas, Atul Goyal, Huan Guo, Jing Maggie Ma, Yijia Liu, Yi Meng, Bilal Fadlallah
")</f>
        <v>Trustworthy Foundation Models for Web Intelligence: Causal Perspectives and Challenges
Haoang Chi, Qi Wang, Jiantong Jiang, Jiangchao Yao, Feng Liu, Bo Han
Eroding the Truth-Default: A Causal Analysis of Human Susceptibility to Foundation Model Hallucinations and Disinformation in the Wild
Alexander Loth, Martin Kappes, Marc-Oliver Pahl
LLM and AI Agent: Golden Rule is All We Need
Djallel Bouneffouf
Hierarchical Prompt Contrastive Learning for Weakly Supervised Histopathology Segmentation
Zengmao Wang, Ming Hu, Chaoyang Zhou, Shiying Sun, Qingping Zheng, Leifei Zhang, Yongchao Xu, Bo Du
TRACE: Transparent Web Reliability Assessment with Contextual Explanations
Joydeep Chandra, Aleksandr Algazinov, Satyam Kumar Navneet, Rim El Filali, Matt Laing, Andrew Hanna, Yong Zhang
Multi-Branch Cooperation Networks for Enhanced Click-Through Rate Prediction in Large-Scale E-Commerce Search
Xu Chen, Zida Cheng, Shuai Xiao, Chen Ju, Xiaoming Liu, Jinsong Lan, Xiaoyong Zhu, Bo Zheng
Struggling at the Start: Structural Causes of Decoding Difficulty in Code Generation
Yuqi Zhu, Jia Li, Hao Jiang, Shengze Li, Jieyuan Zhang, Ang Li
Prediction Guardian: A Distribution-based Real-time Anomaly Detection and Mitigation Framework for Online Advertising
Gaurav Nagar, Yang Jin, Heesuk Son, Mohit Asudani, Shubham Gupta, Xing Zhang, Kestutis Patiejunas, Atul Goyal, Huan Guo, Jing Maggie Ma, Yijia Liu, Yi Meng, Bilal Fadlallah
</v>
      </c>
      <c r="M15" s="44"/>
      <c r="N15" s="31"/>
      <c r="O15" s="30"/>
      <c r="P15" s="27"/>
      <c r="Q15" s="27"/>
      <c r="R15" s="27"/>
      <c r="S15" s="27"/>
      <c r="T15" s="27"/>
      <c r="U15" s="27"/>
      <c r="V15" s="27"/>
      <c r="W15" s="27"/>
      <c r="X15" s="27"/>
      <c r="Y15" s="27"/>
      <c r="Z15" s="27"/>
      <c r="AA15" s="27"/>
    </row>
    <row r="16">
      <c r="A16" s="32" t="s">
        <v>30</v>
      </c>
      <c r="B16" s="33" t="s">
        <v>31</v>
      </c>
      <c r="O16" s="34"/>
      <c r="P16" s="5"/>
      <c r="Q16" s="5"/>
      <c r="R16" s="5"/>
      <c r="S16" s="5"/>
      <c r="T16" s="5"/>
      <c r="U16" s="5"/>
      <c r="V16" s="5"/>
      <c r="W16" s="5"/>
      <c r="X16" s="5"/>
      <c r="Y16" s="5"/>
      <c r="Z16" s="5"/>
      <c r="AA16" s="5"/>
    </row>
    <row r="17">
      <c r="A17" s="35" t="s">
        <v>55</v>
      </c>
      <c r="B17" s="36" t="s">
        <v>56</v>
      </c>
      <c r="C17" s="18" t="s">
        <v>57</v>
      </c>
      <c r="D17" s="18" t="s">
        <v>58</v>
      </c>
      <c r="E17" s="18" t="s">
        <v>59</v>
      </c>
      <c r="F17" s="18" t="s">
        <v>60</v>
      </c>
      <c r="G17" s="18" t="s">
        <v>61</v>
      </c>
      <c r="H17" s="18" t="s">
        <v>62</v>
      </c>
      <c r="I17" s="18" t="s">
        <v>63</v>
      </c>
      <c r="J17" s="41" t="s">
        <v>64</v>
      </c>
      <c r="K17" s="18" t="s">
        <v>65</v>
      </c>
      <c r="L17" s="22"/>
      <c r="M17" s="42"/>
      <c r="N17" s="21" t="s">
        <v>28</v>
      </c>
      <c r="O17" s="22"/>
      <c r="P17" s="5"/>
      <c r="Q17" s="5"/>
      <c r="R17" s="5"/>
      <c r="S17" s="5"/>
      <c r="T17" s="5"/>
      <c r="U17" s="5"/>
      <c r="V17" s="5"/>
      <c r="W17" s="5"/>
      <c r="X17" s="5"/>
      <c r="Y17" s="5"/>
      <c r="Z17" s="5"/>
      <c r="AA17" s="5"/>
    </row>
    <row r="18" collapsed="1">
      <c r="A18" s="23"/>
      <c r="B18" s="24" t="str">
        <f>IFERROR(__xludf.DUMMYFUNCTION("TEXTJOIN(CHAR(10), TRUE,FILTER('Tutorials assignment'!$E:$E,'Tutorials assignment'!$A:$A=B17))"),"LLM-Enhanced Web-Centric Spatio-Temporal Intelligence: Methods, Applications, and Frontier Research
Zijian Zhang, Hao Miao, Yuxuan Liang, Yan Zhao and Irwin King")</f>
        <v>LLM-Enhanced Web-Centric Spatio-Temporal Intelligence: Methods, Applications, and Frontier Research
Zijian Zhang, Hao Miao, Yuxuan Liang, Yan Zhao and Irwin King</v>
      </c>
      <c r="C18" s="24" t="str">
        <f>IFERROR(__xludf.DUMMYFUNCTION("TEXTJOIN(CHAR(10), TRUE,FILTER('Tutorials assignment'!$E:$E,'Tutorials assignment'!$A:$A=C17))"),"Generalist Model for Structured Data: Foundations, Frontiers and Applications
Peng Cui, Xingxuan Zhang, Han-Jia Ye, Jintai Chen and Shuyang Li")</f>
        <v>Generalist Model for Structured Data: Foundations, Frontiers and Applications
Peng Cui, Xingxuan Zhang, Han-Jia Ye, Jintai Chen and Shuyang Li</v>
      </c>
      <c r="D18" s="24" t="str">
        <f>IFERROR(__xludf.DUMMYFUNCTION("TEXTJOIN(CHAR(10), TRUE,FILTER('Tutorials assignment'!$E:$E,'Tutorials assignment'!$A:$A=D17))"),"Robust Graph Learning on the Web: Challenges, Methods, and Applications
Xiang Ao, Yang Liu, Guansong Pang, Yuanhao Ding, Hezhe Qiao, Dawei Cheng and Qing He")</f>
        <v>Robust Graph Learning on the Web: Challenges, Methods, and Applications
Xiang Ao, Yang Liu, Guansong Pang, Yuanhao Ding, Hezhe Qiao, Dawei Cheng and Qing He</v>
      </c>
      <c r="E18" s="24" t="str">
        <f>IFERROR(__xludf.DUMMYFUNCTION("TEXTJOIN(CHAR(10), TRUE,FILTER('Tutorials assignment'!$E:$E,'Tutorials assignment'!$A:$A=E17))"),"Responsible Prompting on the Web: Governance, Mini-Evaluation, and Readiness with ChatGPT
Manali Sharma and Ayush Garg")</f>
        <v>Responsible Prompting on the Web: Governance, Mini-Evaluation, and Readiness with ChatGPT
Manali Sharma and Ayush Garg</v>
      </c>
      <c r="F18" s="24" t="str">
        <f>IFERROR(__xludf.DUMMYFUNCTION("TEXTJOIN(CHAR(10), TRUE,FILTER(Workshops!$G:$G,Workshops!$A:$A=F17))"),"(DHOW-MiLLA) part 2 - Joint Workshop on Diffusion of Harmful Content on Online Web and Countering Misinformation in the Age of LLMs and Agents
Thomas Mandl, Haiming Liu, Gautam Kishore Shahi, Amit Kumar Jaiswal, Durgesh Nandini, Luis-Daniel Ibáñez, Junich"&amp;"i Suga, Dai Yamamoto, Rahul Mishra, Rajakrishnan P. Rajkumar, Sagar Uprety, Sujit Kuma and Bornali Phukon
https://dhow-workshop.github.io/2026/")</f>
        <v>(DHOW-MiLLA) part 2 - Joint Workshop on Diffusion of Harmful Content on Online Web and Countering Misinformation in the Age of LLMs and Agents
Thomas Mandl, Haiming Liu, Gautam Kishore Shahi, Amit Kumar Jaiswal, Durgesh Nandini, Luis-Daniel Ibáñez, Junichi Suga, Dai Yamamoto, Rahul Mishra, Rajakrishnan P. Rajkumar, Sagar Uprety, Sujit Kuma and Bornali Phukon
https://dhow-workshop.github.io/2026/</v>
      </c>
      <c r="G18" s="24" t="str">
        <f>IFERROR(__xludf.DUMMYFUNCTION("TEXTJOIN(CHAR(10), TRUE,FILTER(Workshops!$G:$G,Workshops!$A:$A=G17))"),"(FAAW) part 2 - International Workshop on Foundations and Architectures for the Agentic Web
Abderrahmane Maaradji, Abul Ehtesham, Aditi Singh, Boualem Benatallah, Fatma Outay, Luca Muscariello, Pradyumna Chari, Ramesh Raskar, Sabrina Senatore and Yacine S"&amp;"am 
https://faaw.univ-tours.fr/")</f>
        <v>(FAAW) part 2 - International Workshop on Foundations and Architectures for the Agentic Web
Abderrahmane Maaradji, Abul Ehtesham, Aditi Singh, Boualem Benatallah, Fatma Outay, Luca Muscariello, Pradyumna Chari, Ramesh Raskar, Sabrina Senatore and Yacine Sam 
https://faaw.univ-tours.fr/</v>
      </c>
      <c r="H18" s="24" t="str">
        <f>IFERROR(__xludf.DUMMYFUNCTION("TEXTJOIN(CHAR(10), TRUE,FILTER(Workshops!$G:$G,Workshops!$A:$A=H17))"),"(TempWeb) part 2 - The 16th Temporal Web Analytics Workshop
Marc Spaniol, France Omar Alonso and Ricardo Baeza-Yates 
https://temporalweb.net/")</f>
        <v>(TempWeb) part 2 - The 16th Temporal Web Analytics Workshop
Marc Spaniol, France Omar Alonso and Ricardo Baeza-Yates 
https://temporalweb.net/</v>
      </c>
      <c r="I18" s="24" t="str">
        <f>IFERROR(__xludf.DUMMYFUNCTION("TEXTJOIN(CHAR(10), TRUE,FILTER(Workshops!$G:$G,Workshops!$A:$A=I17))"),"(TIME) part 2 - 2nd International Workshop on Transformative Insights in Multi-faceted Evaluation
 Lei Wang,  Md Zakir Hossain, Tom Gedeon, Syed Mohammed Shamsul Islam. Rafiqul Islam. Yasmeen George and Shreya Ghosh 
https://time.griffith.edu.au/workshop/"&amp;"time2026/")</f>
        <v>(TIME) part 2 - 2nd International Workshop on Transformative Insights in Multi-faceted Evaluation
 Lei Wang,  Md Zakir Hossain, Tom Gedeon, Syed Mohammed Shamsul Islam. Rafiqul Islam. Yasmeen George and Shreya Ghosh 
https://time.griffith.edu.au/workshop/time2026/</v>
      </c>
      <c r="J18" s="24" t="str">
        <f>IFERROR(__xludf.DUMMYFUNCTION("TEXTJOIN(CHAR(10), TRUE,FILTER(Workshops!$G:$G,Workshops!$A:$A=J17))"),"(AiOfAi) - The Workshop on Adverse Impacts and Collateral Effects of Artificial Intelligence Technologies
Esma Aïmeur, Rim Ben Salem, Dorsaf Sallami, Julita Vassileva and Nora Boulahia-Cuppens 
https://sites.google.com/view/aiofai-2026/home")</f>
        <v>(AiOfAi) - The Workshop on Adverse Impacts and Collateral Effects of Artificial Intelligence Technologies
Esma Aïmeur, Rim Ben Salem, Dorsaf Sallami, Julita Vassileva and Nora Boulahia-Cuppens 
https://sites.google.com/view/aiofai-2026/home</v>
      </c>
      <c r="K18" s="24" t="str">
        <f>IFERROR(__xludf.DUMMYFUNCTION("TEXTJOIN(CHAR(10), TRUE,FILTER(Workshops!$G:$G,Workshops!$A:$A=K17))"),"(MM4SG) - Fourth International Workshop on Multimodal Content Analysis for Social Good
Usman Naseem, Surendrabikram Thapa, Roy Ka-Wei Lee and Mehwish Nasim 
https://sites.google.com/view/mm4sg-webconf26")</f>
        <v>(MM4SG) - Fourth International Workshop on Multimodal Content Analysis for Social Good
Usman Naseem, Surendrabikram Thapa, Roy Ka-Wei Lee and Mehwish Nasim 
https://sites.google.com/view/mm4sg-webconf26</v>
      </c>
      <c r="L18" s="25"/>
      <c r="M18" s="43" t="str">
        <f>IFERROR(__xludf.DUMMYFUNCTION("TEXTJOIN(CHAR(10), TRUE,FILTER('PhD Symposium'!$D:$D,'PhD Symposium'!$E:$E=M17))"),"")</f>
        <v/>
      </c>
      <c r="N18" s="26" t="s">
        <v>29</v>
      </c>
      <c r="O18" s="25"/>
      <c r="P18" s="27"/>
      <c r="Q18" s="27"/>
      <c r="R18" s="27"/>
      <c r="S18" s="27"/>
      <c r="T18" s="27"/>
      <c r="U18" s="27"/>
      <c r="V18" s="27"/>
      <c r="W18" s="27"/>
      <c r="X18" s="27"/>
      <c r="Y18" s="27"/>
      <c r="Z18" s="27"/>
      <c r="AA18" s="27"/>
    </row>
    <row r="19" hidden="1" outlineLevel="1">
      <c r="A19" s="28"/>
      <c r="B19" s="29"/>
      <c r="C19" s="29"/>
      <c r="D19" s="29"/>
      <c r="E19" s="29"/>
      <c r="F19" s="29" t="str">
        <f>IFERROR(__xludf.DUMMYFUNCTION("TEXTJOIN(CHAR(10), TRUE,FILTER('Sheridan Comp'!$F:$F,LEFT('Sheridan Comp'!$B:$B,4)=LEFT(F17,4)))"),"DHOW-MiLLA: Joint Workshop on Diffusion of Harmful Content on Online Web and Countering Misinformation in the Age of LLMs and Agents
Gautam Kishore Shahi, Thomas Mandl, Haiming Liu, Amit Kumar Jaiswal, Durgesh Nandini, Luis-Daniel Ibáñez, Junichi Suga, Da"&amp;"i Yamamoto, Rahul Mishra, Rajakrishnan P Rajkumar, Sagar Uprety, Bornali Phukon, Sujit Kumar
Deception Factories: Industrial-Scale Cloaking in Harmful Synthetic Media
Ewelina Bartuzi-Trokielewicz, Alicja Martinek, Mateusz Trokielewicz
RAMA: Retrieval-Au"&amp;"gmented Multi-Agent Framework for Misinformation Detection in Multimodal Fact-Checking
Shuo Yang, Zijian Yu, Zhenzhe Ying, Yuqin Dai, Guoqing Wang, Jun Lan, Jinfeng Xu, Jinze Li, Edith Ngai
ToxiTwitch: Toward Emote-Aware Hybrid Moderation for Live Stream"&amp;"ing Platforms
Baktash Ansari, Elias Martin, Afra Mashhadi
Context-Aware Silhouette-Based Age Estimation for Child Sexual Abuse Material (CSAM) Detection
Michał Koźbiał, Ewelina Bartuzi-Trokielewicz
On VLMs for Diverse Tasks in Multimodal Meme Classifica"&amp;"tion
Deepesh Gavit, Gaurav Kumar, Debajyoti Mazumder, Samiran Das, Jasabanta Patro
An Interpretable Agentic Framework for Multimodal Hate Video Analysis with Explicit Evidence Attribution
Ashok Yadav, Vrijendra Singh
From Generation to Detection: Levera"&amp;"ging Empirically Derived Linguistic Hints for LLM-Based Fake News Detection
Piyush Ghasiya, Kazutoshi Sasahara
Exploring the Domain Sensitivity of AI Chatbots in Correcting Misinformation
Mihir Pandey, Shail Shankar, Suyash Mishra
Beyond Detection: An E"&amp;"pistemic Limit of Purely Computational Misinformation Defense
Farhana Ferdousi Liza
Exploring the Domain Sensitivity of AI Chatbots in Correcting Misinformation
Mihir Pandey, Shail Shankar, Suyash Mishra
Amplified Adversarial Vulnerabilities in Multi-Ag"&amp;"ent LLM Systems Despite Safety Tuning
Nikhil Pathiyil, Jatin Garg, Talib Siddiqiu, Mustafa Saify, Amit Agarwal
Trustworthy or Just Lucky? Composite Trust Scoring for Behavioral Evaluation of LLM Agents
Punit Maheshwari, Mustafa Saify, Amit Agarwal
")</f>
        <v>DHOW-MiLLA: Joint Workshop on Diffusion of Harmful Content on Online Web and Countering Misinformation in the Age of LLMs and Agents
Gautam Kishore Shahi, Thomas Mandl, Haiming Liu, Amit Kumar Jaiswal, Durgesh Nandini, Luis-Daniel Ibáñez, Junichi Suga, Dai Yamamoto, Rahul Mishra, Rajakrishnan P Rajkumar, Sagar Uprety, Bornali Phukon, Sujit Kumar
Deception Factories: Industrial-Scale Cloaking in Harmful Synthetic Media
Ewelina Bartuzi-Trokielewicz, Alicja Martinek, Mateusz Trokielewicz
RAMA: Retrieval-Augmented Multi-Agent Framework for Misinformation Detection in Multimodal Fact-Checking
Shuo Yang, Zijian Yu, Zhenzhe Ying, Yuqin Dai, Guoqing Wang, Jun Lan, Jinfeng Xu, Jinze Li, Edith Ngai
ToxiTwitch: Toward Emote-Aware Hybrid Moderation for Live Streaming Platforms
Baktash Ansari, Elias Martin, Afra Mashhadi
Context-Aware Silhouette-Based Age Estimation for Child Sexual Abuse Material (CSAM) Detection
Michał Koźbiał, Ewelina Bartuzi-Trokielewicz
On VLMs for Diverse Tasks in Multimodal Meme Classification
Deepesh Gavit, Gaurav Kumar, Debajyoti Mazumder, Samiran Das, Jasabanta Patro
An Interpretable Agentic Framework for Multimodal Hate Video Analysis with Explicit Evidence Attribution
Ashok Yadav, Vrijendra Singh
From Generation to Detection: Leveraging Empirically Derived Linguistic Hints for LLM-Based Fake News Detection
Piyush Ghasiya, Kazutoshi Sasahara
Exploring the Domain Sensitivity of AI Chatbots in Correcting Misinformation
Mihir Pandey, Shail Shankar, Suyash Mishra
Beyond Detection: An Epistemic Limit of Purely Computational Misinformation Defense
Farhana Ferdousi Liza
Exploring the Domain Sensitivity of AI Chatbots in Correcting Misinformation
Mihir Pandey, Shail Shankar, Suyash Mishra
Amplified Adversarial Vulnerabilities in Multi-Agent LLM Systems Despite Safety Tuning
Nikhil Pathiyil, Jatin Garg, Talib Siddiqiu, Mustafa Saify, Amit Agarwal
Trustworthy or Just Lucky? Composite Trust Scoring for Behavioral Evaluation of LLM Agents
Punit Maheshwari, Mustafa Saify, Amit Agarwal
</v>
      </c>
      <c r="G19" s="29" t="str">
        <f>IFERROR(__xludf.DUMMYFUNCTION("TEXTJOIN(CHAR(10), TRUE,FILTER('Sheridan Comp'!$F:$F,LEFT('Sheridan Comp'!$B:$B,4)=LEFT(G17,4)))"),"The 1st International Workshop on Foundations and Architectures for the Agentic Web
Boualem Benatallah, Pradyumna Chari, Abul Ehtesham, Abderrahmane Maaradji, Luca Muscariello, Fatma Outay, Ramesh Raskar, Yacine Sam, Sabrina Senatore, Aditi Singh
Real-Ti"&amp;"me Procedural Learning From Experience for AI Agents
Dasheng Bi, Yubin Hu, Mohammed Nasir
SemaReg: Semantic Service Registry for Resilient IoTWorkflow Orchestration in Edge Computing Environments
Iacovos Ioannou, Ala Khalifeh
On the Economic and Governa"&amp;"nce Mechanisms for the Agentic Web: A Global South Perspective
Diogo Cortiz, Beatriz Rocha, Vagner Figueredo de Santana, Henrique S. Xavier, Jacqueline Custodio
An Agentic System for Automated Polymer Property Prediction in Low-Code Environments
Djamel-E"&amp;"ddine Louhbaibat, Juba Agoun, Mohand-Saïd Hacid
An Agentic System for Automated Polymer Property Prediction in Low-Code Environments
Djamel-Eddine Louhbaibat, Juba Agoun, Mohand-Saïd Hacid
Can Large Language Models Govern Themselves? A Technical, Ethica"&amp;"l, and Governance Perspective
Djallel Bouneffouf
A Prompt-Aware Structuring Framework for Reliable Reuse of AI-Generated Content in the Agentic Web
Shusaku Egami, Masahiro Hamasaki
WAB: Overcoming Memory, Network, and Security Walls in Native Agentic Br"&amp;"owsers with WebAssembly
Mugeng Liu, Shuoqi Li, Qi Yang, Yun Ma
How to Measure Node Importance in the Agentic Web
Ivan Samoylenko, Elizaveta Pribytkova
NANDA: Resolution, Discovery, and Governance for the Agentic Web
Ramesh Raskar
")</f>
        <v>The 1st International Workshop on Foundations and Architectures for the Agentic Web
Boualem Benatallah, Pradyumna Chari, Abul Ehtesham, Abderrahmane Maaradji, Luca Muscariello, Fatma Outay, Ramesh Raskar, Yacine Sam, Sabrina Senatore, Aditi Singh
Real-Time Procedural Learning From Experience for AI Agents
Dasheng Bi, Yubin Hu, Mohammed Nasir
SemaReg: Semantic Service Registry for Resilient IoTWorkflow Orchestration in Edge Computing Environments
Iacovos Ioannou, Ala Khalifeh
On the Economic and Governance Mechanisms for the Agentic Web: A Global South Perspective
Diogo Cortiz, Beatriz Rocha, Vagner Figueredo de Santana, Henrique S. Xavier, Jacqueline Custodio
An Agentic System for Automated Polymer Property Prediction in Low-Code Environments
Djamel-Eddine Louhbaibat, Juba Agoun, Mohand-Saïd Hacid
An Agentic System for Automated Polymer Property Prediction in Low-Code Environments
Djamel-Eddine Louhbaibat, Juba Agoun, Mohand-Saïd Hacid
Can Large Language Models Govern Themselves? A Technical, Ethical, and Governance Perspective
Djallel Bouneffouf
A Prompt-Aware Structuring Framework for Reliable Reuse of AI-Generated Content in the Agentic Web
Shusaku Egami, Masahiro Hamasaki
WAB: Overcoming Memory, Network, and Security Walls in Native Agentic Browsers with WebAssembly
Mugeng Liu, Shuoqi Li, Qi Yang, Yun Ma
How to Measure Node Importance in the Agentic Web
Ivan Samoylenko, Elizaveta Pribytkova
NANDA: Resolution, Discovery, and Governance for the Agentic Web
Ramesh Raskar
</v>
      </c>
      <c r="H19" s="29" t="str">
        <f>IFERROR(__xludf.DUMMYFUNCTION("TEXTJOIN(CHAR(10), TRUE,FILTER('Sheridan Comp'!$F:$F,LEFT('Sheridan Comp'!$B:$B,4)=LEFT(H17,4)))"),"16th Temporal Web Analytics Workshop (TempWeb)
Marc Spaniol, Omar Alonso, Ricardo Baeza-Yates
SLS: A Scalable Logic Subgraph Framework for Temporal Web Analytics and Hybrid Search
Jiajia Nie, Zekun Yin, Haoliang Sun, Weipeng Jiang, Wei Han, Bo Bai
Scala"&amp;"ble Anomaly Detection for Temporal Web Streams via Approximate Nearest Neighbor Search
Chuangen Gao, Haoliang Sun, Zekun Yin, Weipeng Jiang, Wei Han, Bo Bai
Community-Preserving Temporal Graph Backboning via Joint Spectral Analysis of Laplacians
Carmela "&amp;"Comito, Annalisa Socievole
The State of the Internet: Insights from Security Indicators
Florian Nettersheim, Stephan Arlt
MiningWeb Evolution: A Dataset of DOM Changes Across Websites
Hilal Taha, Jeongju Sohn, Michail Papadakis
ImVision: Adapting Pretr"&amp;"ained Vision Models for Time-Series Imputation
Alireza Shammasi, Amin Beheshti, Milad Mosharraf, Min Li, Pooyan Asgari, Yuankai Qi
Using Psycholinguistic Features for Multiplex Community Detection in Temporal Social Networks
Karolina Sliwa, Ema Kahr, Mar"&amp;"k Strembeck
PerQA: A Benchmark for Temporally Sensitive Questions on Heterogeneous Personal Data
Philipp Christmann, Gerhard Weikum
Benchmarking Temporal Web3 Intelligence: Lessons from the FinSurvival 2025 Challenge
Oshani Seneviratne, Fernando Spadea,"&amp;" Adrien Pavao, Aaron Green, Kristin Bennett
Suicide Risk Prediction via Comment‑Influenced Mental State Trajectories
Jun Li, Xiangmeng Wang, Ziyan Zhang, Qun Zhao, Hong Va Leong, Qing Li
Temporal Challenges in Data-Driven Scenario-Building for Climate-N"&amp;"eutral Cities
Dirk Ahlers, Sagnik Bhattacharjee, Jiří Tencar
")</f>
        <v>16th Temporal Web Analytics Workshop (TempWeb)
Marc Spaniol, Omar Alonso, Ricardo Baeza-Yates
SLS: A Scalable Logic Subgraph Framework for Temporal Web Analytics and Hybrid Search
Jiajia Nie, Zekun Yin, Haoliang Sun, Weipeng Jiang, Wei Han, Bo Bai
Scalable Anomaly Detection for Temporal Web Streams via Approximate Nearest Neighbor Search
Chuangen Gao, Haoliang Sun, Zekun Yin, Weipeng Jiang, Wei Han, Bo Bai
Community-Preserving Temporal Graph Backboning via Joint Spectral Analysis of Laplacians
Carmela Comito, Annalisa Socievole
The State of the Internet: Insights from Security Indicators
Florian Nettersheim, Stephan Arlt
MiningWeb Evolution: A Dataset of DOM Changes Across Websites
Hilal Taha, Jeongju Sohn, Michail Papadakis
ImVision: Adapting Pretrained Vision Models for Time-Series Imputation
Alireza Shammasi, Amin Beheshti, Milad Mosharraf, Min Li, Pooyan Asgari, Yuankai Qi
Using Psycholinguistic Features for Multiplex Community Detection in Temporal Social Networks
Karolina Sliwa, Ema Kahr, Mark Strembeck
PerQA: A Benchmark for Temporally Sensitive Questions on Heterogeneous Personal Data
Philipp Christmann, Gerhard Weikum
Benchmarking Temporal Web3 Intelligence: Lessons from the FinSurvival 2025 Challenge
Oshani Seneviratne, Fernando Spadea, Adrien Pavao, Aaron Green, Kristin Bennett
Suicide Risk Prediction via Comment‑Influenced Mental State Trajectories
Jun Li, Xiangmeng Wang, Ziyan Zhang, Qun Zhao, Hong Va Leong, Qing Li
Temporal Challenges in Data-Driven Scenario-Building for Climate-Neutral Cities
Dirk Ahlers, Sagnik Bhattacharjee, Jiří Tencar
</v>
      </c>
      <c r="I19" s="29" t="str">
        <f>IFERROR(__xludf.DUMMYFUNCTION("TEXTJOIN(CHAR(10), TRUE,FILTER('Sheridan Comp'!$F:$F,LEFT('Sheridan Comp'!$B:$B,4)=LEFT(I17,4)))"),"TIME 2026: 2nd International Workshop on Transformative Insights in Multi-faceted Evaluation
Lei Wang, Md Zakir Hossain, Tom Gedeon, Zicheng Pan, Syed Islam, Rafiqul Islam, Yasmeen George, Shreya Ghosh
Fine-Grained Visual Understanding for Multimodal and"&amp;" Trustworthy AI
Syuan-Hao Li, Yi-Jui Huang, Lei Wang, Yongsheng Gao
Decentralised Trust Layers for the Web: Towards Transparent AI-Powered Platforms
Quazi Mamun, Md Rafiqul Islam
Beyond Fine-Tuning: The Present and Future of Parameter-Efficient Fine-Tun"&amp;"ing in Vision Transformers
Edwin Kwadwo Tenagyei, Lei Wang, Yongsheng Gao
RadioAR: Autoregressive Modeling for Accurate Radio Map Estimation
Peilin Zheng, Xiucheng Wang, Wenshuo Chen, Ruijin Sun, Lei Wang, Yutao Yue, Nan Cheng
Evaluating Trustworthiness"&amp;" in Reactive Web Architectures: A Structured Framework and Comparative Analysis
Shrinivass Arunachalam Balasubramanian
Rethinking Object Detection and Tracking
Arpit Sharma, Lei Wang, Yongsheng Gao
An Edge Computing Framework for Deep Learning-Based Ano"&amp;"maly Detection in Satellite-Linked Autonomous Vehicles
Md Mehedi Hasan, Maumita Bhattacharya, Md Rafiqul Islam
Privacy-Aware Machine Unlearning with SISA for Reinforcement Learning–Based Ransomware Detection
Jannatul Ferdous, Rafiqul Islam, Md Zahidul Is"&amp;"lam
How Quantum Period Finding Breaks Rivest Shamir Adleman Algorithms
Md Sarwar Kamal, Sonia Farhana Nimmy, Ripon Chakrabortty, Md Zakir Hossain, Md Rafiqul Islam
Guided Path Sampling: Steering Diffusion Models Back on Track with Principled Path Guidan"&amp;"ce
Haosen Li, Wenshuo Chen, shaofeng liang, Lei Wang, Haozhe Jia, Yutao Yue
Towards Better Evaluation Metrics for Text-to-Motion Generation
Wenshuo Chen, Haozhe Jia, Kuimou Yu, Songning Lai, Lei Wang, Yutao Yue
Graph Aggregation Beyond Homophily Assumpt"&amp;"ion: a more meaningful way to model networks
Lucy Lu, Ming Lu
Talking-Head Generation in Practice
Zhicheng Zhang, Lei Wang, Yongsheng Gao, Yu Zhang
Feasibility of Cryptography In a Blockchain-Enhanced ICS Security
Kazi Kamal, Rafiqul Islam, Azizur Rahma"&amp;"n
Orchestrating Heterogeneous Experts: A Scalable MoE Framework with Anisotropy-Preserving Fusion
Ye Liu, Wuji Chen, Xu Chen, Mang Li
Measuring Privacy Risks and Tradeoffs in Financial Synthetic Data Generation
Michael Zuo, Inwon Kang, Stacy Patterson, "&amp;"Oshani Seneviratne
")</f>
        <v>TIME 2026: 2nd International Workshop on Transformative Insights in Multi-faceted Evaluation
Lei Wang, Md Zakir Hossain, Tom Gedeon, Zicheng Pan, Syed Islam, Rafiqul Islam, Yasmeen George, Shreya Ghosh
Fine-Grained Visual Understanding for Multimodal and Trustworthy AI
Syuan-Hao Li, Yi-Jui Huang, Lei Wang, Yongsheng Gao
Decentralised Trust Layers for the Web: Towards Transparent AI-Powered Platforms
Quazi Mamun, Md Rafiqul Islam
Beyond Fine-Tuning: The Present and Future of Parameter-Efficient Fine-Tuning in Vision Transformers
Edwin Kwadwo Tenagyei, Lei Wang, Yongsheng Gao
RadioAR: Autoregressive Modeling for Accurate Radio Map Estimation
Peilin Zheng, Xiucheng Wang, Wenshuo Chen, Ruijin Sun, Lei Wang, Yutao Yue, Nan Cheng
Evaluating Trustworthiness in Reactive Web Architectures: A Structured Framework and Comparative Analysis
Shrinivass Arunachalam Balasubramanian
Rethinking Object Detection and Tracking
Arpit Sharma, Lei Wang, Yongsheng Gao
An Edge Computing Framework for Deep Learning-Based Anomaly Detection in Satellite-Linked Autonomous Vehicles
Md Mehedi Hasan, Maumita Bhattacharya, Md Rafiqul Islam
Privacy-Aware Machine Unlearning with SISA for Reinforcement Learning–Based Ransomware Detection
Jannatul Ferdous, Rafiqul Islam, Md Zahidul Islam
How Quantum Period Finding Breaks Rivest Shamir Adleman Algorithms
Md Sarwar Kamal, Sonia Farhana Nimmy, Ripon Chakrabortty, Md Zakir Hossain, Md Rafiqul Islam
Guided Path Sampling: Steering Diffusion Models Back on Track with Principled Path Guidance
Haosen Li, Wenshuo Chen, shaofeng liang, Lei Wang, Haozhe Jia, Yutao Yue
Towards Better Evaluation Metrics for Text-to-Motion Generation
Wenshuo Chen, Haozhe Jia, Kuimou Yu, Songning Lai, Lei Wang, Yutao Yue
Graph Aggregation Beyond Homophily Assumption: a more meaningful way to model networks
Lucy Lu, Ming Lu
Talking-Head Generation in Practice
Zhicheng Zhang, Lei Wang, Yongsheng Gao, Yu Zhang
Feasibility of Cryptography In a Blockchain-Enhanced ICS Security
Kazi Kamal, Rafiqul Islam, Azizur Rahman
Orchestrating Heterogeneous Experts: A Scalable MoE Framework with Anisotropy-Preserving Fusion
Ye Liu, Wuji Chen, Xu Chen, Mang Li
Measuring Privacy Risks and Tradeoffs in Financial Synthetic Data Generation
Michael Zuo, Inwon Kang, Stacy Patterson, Oshani Seneviratne
</v>
      </c>
      <c r="J19" s="29" t="str">
        <f>IFERROR(__xludf.DUMMYFUNCTION("TEXTJOIN(CHAR(10), TRUE,FILTER('Sheridan Comp'!$F:$F,LEFT('Sheridan Comp'!$B:$B,4)=LEFT(J17,4)))"),"AiOfAi: 4th Workshop on Adverse Impacts and Collateral Effects of Artificial Intelligence Technologies
Esma Aïmeur, Rim Ben Salem, Dorsaf Sallami, Julita Vassileva, Nora Boulahia-Cuppens
Prompt Scene Investigation: Uncovering the Evidence in LLMs
Lidaw F"&amp;"abrice Ledjaki, Yuan-Chen Chang, Mohamed Loutis, Esma Aïmeur
DEMO: Ontology-Based Automated Security Analysis for AI Systems and Applications
Jonathan Roy, Lina Rashdan, Fehmi Jaafar
Industrialized Deception: The Collateral Effects of LLM-Generated Misi"&amp;"nformation on Digital Ecosystems
Alexander Loth, Martin Kappes, Marc-Oliver Pahl
Age Classification in Child Sexual Abuse Materials
Michał Koźbiał, Mateusz Kowalczyk
The More You Say, the More You Risk: Ethical Concerns in Large Language Model Reasoning"&amp;" Frameworks
Jinman Zhao, Linbo Cao, Xueyan Zhang, Ken Shi, Yining Wang, Gerald Penn
The Agentic Insider: Redefining Insider Threats Beyond Human Actors in Autonomous AI Systems
Christian Kengne
Assessing the Reliability of Persona-Conditioned LLMs as Sy"&amp;"nthetic Survey Respondents
Erika Elizabeth Taday Morocho, Lorenzo Cima, Tiziano Fagni, Marco Avvenuti, Stefano Cresci
")</f>
        <v>AiOfAi: 4th Workshop on Adverse Impacts and Collateral Effects of Artificial Intelligence Technologies
Esma Aïmeur, Rim Ben Salem, Dorsaf Sallami, Julita Vassileva, Nora Boulahia-Cuppens
Prompt Scene Investigation: Uncovering the Evidence in LLMs
Lidaw Fabrice Ledjaki, Yuan-Chen Chang, Mohamed Loutis, Esma Aïmeur
DEMO: Ontology-Based Automated Security Analysis for AI Systems and Applications
Jonathan Roy, Lina Rashdan, Fehmi Jaafar
Industrialized Deception: The Collateral Effects of LLM-Generated Misinformation on Digital Ecosystems
Alexander Loth, Martin Kappes, Marc-Oliver Pahl
Age Classification in Child Sexual Abuse Materials
Michał Koźbiał, Mateusz Kowalczyk
The More You Say, the More You Risk: Ethical Concerns in Large Language Model Reasoning Frameworks
Jinman Zhao, Linbo Cao, Xueyan Zhang, Ken Shi, Yining Wang, Gerald Penn
The Agentic Insider: Redefining Insider Threats Beyond Human Actors in Autonomous AI Systems
Christian Kengne
Assessing the Reliability of Persona-Conditioned LLMs as Synthetic Survey Respondents
Erika Elizabeth Taday Morocho, Lorenzo Cima, Tiziano Fagni, Marco Avvenuti, Stefano Cresci
</v>
      </c>
      <c r="K19" s="29" t="str">
        <f>IFERROR(__xludf.DUMMYFUNCTION("TEXTJOIN(CHAR(10), TRUE,FILTER('Sheridan Comp'!$F:$F,LEFT('Sheridan Comp'!$B:$B,4)=LEFT(K17,4)))"),"Multimodal Content Analysis for Social Good
Surendrabikram Thapa, Roy Ka-Wei Lee, Mehwish Nasim, Usman Naseem
Concept-Grounded Detection of Vaccine Misinformation in Multimodal Content Using Interpretable Vision-Language Models
Laxmi Thapa, Aryaman Jain,"&amp;" Lakshmojee Koduru, Surabhi Adhikari, Junaid Rashid, Jungeun Kim, Surendrabikram Thapa, Usman Naseem
UniSafe: Modality-Agnostic Hateful Content Detection via Shared-Space Projection
Siam Shibly Antar, Syem Shibly Ador, Steven H. H. Ding, Benjamin C. M. F"&amp;"ung
Frugal Agents: Efficient Bio Reasoning via Long-Sequence Compression and Prompt-Gated Memory
Mohammadhossein Ahmadi, Saleh Afzoon, Kamyar Taeb, Parimehr Morassa Far, Amin Beheshti
Fair Geolocation Extraction from Humanitarian Documents Using Large L"&amp;"anguage Models
Gianmarco Cafferata, Tiziano Demarco, Kyriaki Kalimeri, Yelena Mejova, Mariano Beiró
From Code to Rubrics: A Multimodal Evaluation of LLM Systems for Automated Feedback Generation
Muhammad Haseeb, Ahmad Imam Amjad, Maaz Amjad, Victor S. Sh"&amp;"eng
MAF-GAN: Modality-Aware Fusion GAN for Multimodal Fake News Detection
Ali Anaissi, Junaid Akram, Xiaojie Lin, Morteza Saberi, Ali Braytee
Multimodal Deployment Risks in Manufacturing AI: A Survey of Boundary Failures, Taxonomy, and Governance in Ind"&amp;"ustry 5.0
Jialu Yang, Taotao Cai, Kaize Shi
Fed-S2: Adversarially Disentangled Federated Multimodal RAG for Safety-Critical Long-Tail Fault Diagnosis
Qianqi Zhang, Zeling Xu, Caichun Cen, Yuntao Zou, Hongyan Liu, Yaohua Deng, Hao Wu, Zhiyong Liao, Zihui "&amp;"Lin, Dagang Li, Wei Wang
No Evidence, No Problem: When Less is More for Out of Context Multimodal Misinformation Detection
Siyuan Chen, Usman Naseem, Mehwish Nasim
Do You Think What I Think? A Qualitative Study for Maximising User Engagement through Lat"&amp;"ent Visual Properties
Md Rafiqul Islam, Bem Le Hunte, Alice Xiaodan Dong, Dan Ferreira, Feng Yu, Sami Azam, Weidong Huang
Exploring the Influence of Lifestyle, Social Health, and Demographic Factors on Psychological Well-being and Engagement Levels
Niran"&amp;"jana Arun Menon, Md Rafiqul Islam, Mohamed Reda Bouadjenek, Shoaib Jameel, Eran Segal, Imran Razzak
Can Thinking Models Think to Detect Hateful Memes?
Mohamed Bayan Kmainasi, Mucahid Kutlu, Ali Ezzat Shahroor, Abul Hasnat, Firoj Alam
Semi-supervised Ins"&amp;"truction Tuning for Large Language Models on Text-Attributed Graphs
Zixing Song, Irwin King
Analyzing the Impact of Image Novelty and Text Emotion on Meme Engagement
Sumeet Kumar, Aditya Bobde, Rakesh Mallipeddi
Mixture of Orthogonal Decomposition for S"&amp;"emantically Generalisable Multimodal Deepfake Detection with Deepfake Manifold Disentanglement
Qian Liu, Zongxiong Chen, Sonja Schimmler, Manfred Hauswirth
")</f>
        <v>Multimodal Content Analysis for Social Good
Surendrabikram Thapa, Roy Ka-Wei Lee, Mehwish Nasim, Usman Naseem
Concept-Grounded Detection of Vaccine Misinformation in Multimodal Content Using Interpretable Vision-Language Models
Laxmi Thapa, Aryaman Jain, Lakshmojee Koduru, Surabhi Adhikari, Junaid Rashid, Jungeun Kim, Surendrabikram Thapa, Usman Naseem
UniSafe: Modality-Agnostic Hateful Content Detection via Shared-Space Projection
Siam Shibly Antar, Syem Shibly Ador, Steven H. H. Ding, Benjamin C. M. Fung
Frugal Agents: Efficient Bio Reasoning via Long-Sequence Compression and Prompt-Gated Memory
Mohammadhossein Ahmadi, Saleh Afzoon, Kamyar Taeb, Parimehr Morassa Far, Amin Beheshti
Fair Geolocation Extraction from Humanitarian Documents Using Large Language Models
Gianmarco Cafferata, Tiziano Demarco, Kyriaki Kalimeri, Yelena Mejova, Mariano Beiró
From Code to Rubrics: A Multimodal Evaluation of LLM Systems for Automated Feedback Generation
Muhammad Haseeb, Ahmad Imam Amjad, Maaz Amjad, Victor S. Sheng
MAF-GAN: Modality-Aware Fusion GAN for Multimodal Fake News Detection
Ali Anaissi, Junaid Akram, Xiaojie Lin, Morteza Saberi, Ali Braytee
Multimodal Deployment Risks in Manufacturing AI: A Survey of Boundary Failures, Taxonomy, and Governance in Industry 5.0
Jialu Yang, Taotao Cai, Kaize Shi
Fed-S2: Adversarially Disentangled Federated Multimodal RAG for Safety-Critical Long-Tail Fault Diagnosis
Qianqi Zhang, Zeling Xu, Caichun Cen, Yuntao Zou, Hongyan Liu, Yaohua Deng, Hao Wu, Zhiyong Liao, Zihui Lin, Dagang Li, Wei Wang
No Evidence, No Problem: When Less is More for Out of Context Multimodal Misinformation Detection
Siyuan Chen, Usman Naseem, Mehwish Nasim
Do You Think What I Think? A Qualitative Study for Maximising User Engagement through Latent Visual Properties
Md Rafiqul Islam, Bem Le Hunte, Alice Xiaodan Dong, Dan Ferreira, Feng Yu, Sami Azam, Weidong Huang
Exploring the Influence of Lifestyle, Social Health, and Demographic Factors on Psychological Well-being and Engagement Levels
Niranjana Arun Menon, Md Rafiqul Islam, Mohamed Reda Bouadjenek, Shoaib Jameel, Eran Segal, Imran Razzak
Can Thinking Models Think to Detect Hateful Memes?
Mohamed Bayan Kmainasi, Mucahid Kutlu, Ali Ezzat Shahroor, Abul Hasnat, Firoj Alam
Semi-supervised Instruction Tuning for Large Language Models on Text-Attributed Graphs
Zixing Song, Irwin King
Analyzing the Impact of Image Novelty and Text Emotion on Meme Engagement
Sumeet Kumar, Aditya Bobde, Rakesh Mallipeddi
Mixture of Orthogonal Decomposition for Semantically Generalisable Multimodal Deepfake Detection with Deepfake Manifold Disentanglement
Qian Liu, Zongxiong Chen, Sonja Schimmler, Manfred Hauswirth
</v>
      </c>
      <c r="L19" s="30"/>
      <c r="M19" s="44"/>
      <c r="N19" s="31"/>
      <c r="O19" s="30"/>
      <c r="P19" s="27"/>
      <c r="Q19" s="27"/>
      <c r="R19" s="27"/>
      <c r="S19" s="27"/>
      <c r="T19" s="27"/>
      <c r="U19" s="27"/>
      <c r="V19" s="27"/>
      <c r="W19" s="27"/>
      <c r="X19" s="27"/>
      <c r="Y19" s="27"/>
      <c r="Z19" s="27"/>
      <c r="AA19" s="27"/>
    </row>
    <row r="20">
      <c r="A20" s="37"/>
      <c r="B20" s="25"/>
      <c r="C20" s="38"/>
      <c r="D20" s="38"/>
      <c r="E20" s="38"/>
      <c r="F20" s="38"/>
      <c r="G20" s="38"/>
      <c r="H20" s="38"/>
      <c r="I20" s="38"/>
      <c r="J20" s="38"/>
      <c r="K20" s="38"/>
      <c r="L20" s="38"/>
      <c r="M20" s="38"/>
      <c r="N20" s="38"/>
      <c r="O20" s="45"/>
      <c r="P20" s="46"/>
      <c r="Q20" s="46"/>
      <c r="R20" s="46"/>
      <c r="S20" s="5"/>
      <c r="T20" s="5"/>
      <c r="U20" s="5"/>
      <c r="V20" s="5"/>
      <c r="W20" s="5"/>
      <c r="X20" s="5"/>
      <c r="Y20" s="5"/>
      <c r="Z20" s="5"/>
      <c r="AA20" s="5"/>
    </row>
    <row r="21">
      <c r="A21" s="47"/>
      <c r="B21" s="48"/>
      <c r="C21" s="49"/>
      <c r="D21" s="49"/>
      <c r="E21" s="49"/>
      <c r="F21" s="49"/>
      <c r="G21" s="49"/>
      <c r="H21" s="49"/>
      <c r="I21" s="49"/>
      <c r="J21" s="49"/>
      <c r="K21" s="49"/>
      <c r="L21" s="50"/>
      <c r="M21" s="50"/>
      <c r="N21" s="49"/>
      <c r="O21" s="49"/>
      <c r="P21" s="46"/>
      <c r="Q21" s="46"/>
      <c r="R21" s="46"/>
      <c r="S21" s="5"/>
      <c r="T21" s="5"/>
      <c r="U21" s="5"/>
      <c r="V21" s="5"/>
      <c r="W21" s="5"/>
      <c r="X21" s="5"/>
      <c r="Y21" s="5"/>
      <c r="Z21" s="5"/>
      <c r="AA21" s="5"/>
    </row>
    <row r="22">
      <c r="A22" s="10">
        <v>46204.0</v>
      </c>
      <c r="B22" s="39"/>
      <c r="C22" s="14"/>
      <c r="D22" s="14"/>
      <c r="E22" s="14"/>
      <c r="F22" s="14"/>
      <c r="G22" s="14"/>
      <c r="H22" s="14"/>
      <c r="I22" s="14"/>
      <c r="J22" s="14"/>
      <c r="K22" s="14"/>
      <c r="L22" s="40"/>
      <c r="M22" s="40"/>
      <c r="N22" s="14"/>
      <c r="O22" s="14"/>
      <c r="P22" s="46"/>
      <c r="Q22" s="46"/>
      <c r="R22" s="46"/>
      <c r="S22" s="5"/>
      <c r="T22" s="5"/>
      <c r="U22" s="5"/>
      <c r="V22" s="5"/>
      <c r="W22" s="5"/>
      <c r="X22" s="5"/>
      <c r="Y22" s="5"/>
      <c r="Z22" s="5"/>
      <c r="AA22" s="5"/>
    </row>
    <row r="23">
      <c r="A23" s="51" t="s">
        <v>66</v>
      </c>
      <c r="B23" s="52" t="s">
        <v>67</v>
      </c>
      <c r="O23" s="53"/>
      <c r="P23" s="5"/>
      <c r="Q23" s="5"/>
      <c r="R23" s="5"/>
      <c r="S23" s="5"/>
      <c r="T23" s="5"/>
      <c r="U23" s="5"/>
      <c r="V23" s="5"/>
      <c r="W23" s="5"/>
      <c r="X23" s="5"/>
      <c r="Y23" s="5"/>
      <c r="Z23" s="5"/>
      <c r="AA23" s="5"/>
    </row>
    <row r="24">
      <c r="A24" s="51"/>
      <c r="B24" s="54" t="str">
        <f>IFERROR(__xludf.DUMMYFUNCTION("CONCATENATE(""Session Chair: "",TEXTJOIN(CHAR(10), TRUE,FILTER('Session Chairs'!$C:$C,'Session Chairs'!$A:$A=B23)))"),"Session Chair: Hakim Hacid, Yoelle Maarek")</f>
        <v>Session Chair: Hakim Hacid, Yoelle Maarek</v>
      </c>
      <c r="C24" s="55"/>
      <c r="D24" s="55"/>
      <c r="E24" s="55"/>
      <c r="F24" s="55"/>
      <c r="G24" s="55"/>
      <c r="H24" s="55"/>
      <c r="I24" s="55"/>
      <c r="J24" s="55"/>
      <c r="K24" s="55"/>
      <c r="L24" s="55"/>
      <c r="M24" s="55"/>
      <c r="N24" s="55"/>
      <c r="O24" s="53"/>
      <c r="P24" s="5"/>
      <c r="Q24" s="5"/>
      <c r="R24" s="5"/>
      <c r="S24" s="5"/>
      <c r="T24" s="5"/>
      <c r="U24" s="5"/>
      <c r="V24" s="5"/>
      <c r="W24" s="5"/>
      <c r="X24" s="5"/>
      <c r="Y24" s="5"/>
      <c r="Z24" s="5"/>
      <c r="AA24" s="5"/>
    </row>
    <row r="25">
      <c r="A25" s="51"/>
      <c r="B25" s="54" t="str">
        <f>IFERROR(__xludf.DUMMYFUNCTION("CONCATENATE(""Presenters: "",TEXTJOIN(CHAR(10), TRUE,FILTER('Session Chairs'!$C:$C,'Session Chairs'!$A:$A=CONCATENATE(B23, "" Presenters""))))"),"Presenters: Francesco Bonchi, Ido Guy, Emine Yilmaz, Chin-Wan Chung, Dame Wendy Hall, Jian Tang")</f>
        <v>Presenters: Francesco Bonchi, Ido Guy, Emine Yilmaz, Chin-Wan Chung, Dame Wendy Hall, Jian Tang</v>
      </c>
      <c r="C25" s="55"/>
      <c r="D25" s="55"/>
      <c r="E25" s="55"/>
      <c r="F25" s="55"/>
      <c r="G25" s="55"/>
      <c r="H25" s="55"/>
      <c r="I25" s="55"/>
      <c r="J25" s="55"/>
      <c r="K25" s="55"/>
      <c r="L25" s="55"/>
      <c r="M25" s="55"/>
      <c r="N25" s="55"/>
      <c r="O25" s="53"/>
      <c r="P25" s="5"/>
      <c r="Q25" s="5"/>
      <c r="R25" s="5"/>
      <c r="S25" s="5"/>
      <c r="T25" s="5"/>
      <c r="U25" s="5"/>
      <c r="V25" s="5"/>
      <c r="W25" s="5"/>
      <c r="X25" s="5"/>
      <c r="Y25" s="5"/>
      <c r="Z25" s="5"/>
      <c r="AA25" s="5"/>
    </row>
    <row r="26">
      <c r="A26" s="56" t="s">
        <v>68</v>
      </c>
      <c r="B26" s="57" t="s">
        <v>69</v>
      </c>
      <c r="O26" s="58"/>
      <c r="P26" s="5"/>
      <c r="Q26" s="5"/>
      <c r="R26" s="5"/>
      <c r="S26" s="5"/>
      <c r="T26" s="5"/>
      <c r="U26" s="5"/>
      <c r="V26" s="5"/>
      <c r="W26" s="5"/>
      <c r="X26" s="5"/>
      <c r="Y26" s="5"/>
      <c r="Z26" s="5"/>
      <c r="AA26" s="5"/>
    </row>
    <row r="27" collapsed="1">
      <c r="A27" s="56"/>
      <c r="B27" s="59" t="str">
        <f>IFERROR(__xludf.DUMMYFUNCTION("CONCATENATE(""Session Chair: "",TEXTJOIN(CHAR(10), TRUE,FILTER('Session Chairs'!$C:$C,'Session Chairs'!$A:$A=B26)))"),"Session Chair: Liane Lewin-Eytan")</f>
        <v>Session Chair: Liane Lewin-Eytan</v>
      </c>
      <c r="C27" s="57"/>
      <c r="D27" s="57"/>
      <c r="E27" s="57"/>
      <c r="F27" s="57"/>
      <c r="G27" s="57"/>
      <c r="H27" s="57"/>
      <c r="I27" s="57"/>
      <c r="J27" s="57"/>
      <c r="K27" s="57"/>
      <c r="L27" s="57"/>
      <c r="M27" s="57"/>
      <c r="N27" s="57"/>
      <c r="O27" s="58"/>
      <c r="P27" s="5"/>
      <c r="Q27" s="5"/>
      <c r="R27" s="5"/>
      <c r="S27" s="5"/>
      <c r="T27" s="5"/>
      <c r="U27" s="5"/>
      <c r="V27" s="5"/>
      <c r="W27" s="5"/>
      <c r="X27" s="5"/>
      <c r="Y27" s="5"/>
      <c r="Z27" s="5"/>
      <c r="AA27" s="5"/>
    </row>
    <row r="28" hidden="1" outlineLevel="1">
      <c r="A28" s="56"/>
      <c r="B28" s="57" t="s">
        <v>70</v>
      </c>
      <c r="O28" s="58"/>
      <c r="P28" s="5"/>
      <c r="Q28" s="5"/>
      <c r="R28" s="5"/>
      <c r="S28" s="5"/>
      <c r="T28" s="5"/>
      <c r="U28" s="5"/>
      <c r="V28" s="5"/>
      <c r="W28" s="5"/>
      <c r="X28" s="5"/>
      <c r="Y28" s="5"/>
      <c r="Z28" s="5"/>
      <c r="AA28" s="5"/>
    </row>
    <row r="29" hidden="1" outlineLevel="1">
      <c r="A29" s="56"/>
      <c r="B29" s="57" t="s">
        <v>71</v>
      </c>
      <c r="O29" s="58"/>
      <c r="P29" s="5"/>
      <c r="Q29" s="5"/>
      <c r="R29" s="5"/>
      <c r="S29" s="5"/>
      <c r="T29" s="5"/>
      <c r="U29" s="5"/>
      <c r="V29" s="5"/>
      <c r="W29" s="5"/>
      <c r="X29" s="5"/>
      <c r="Y29" s="5"/>
      <c r="Z29" s="5"/>
      <c r="AA29" s="5"/>
    </row>
    <row r="30">
      <c r="A30" s="32" t="s">
        <v>72</v>
      </c>
      <c r="B30" s="33" t="s">
        <v>31</v>
      </c>
      <c r="O30" s="34"/>
      <c r="P30" s="5"/>
      <c r="Q30" s="5"/>
      <c r="R30" s="5"/>
      <c r="S30" s="5"/>
      <c r="T30" s="5"/>
      <c r="U30" s="5"/>
      <c r="V30" s="5"/>
      <c r="W30" s="5"/>
      <c r="X30" s="5"/>
      <c r="Y30" s="5"/>
      <c r="Z30" s="5"/>
      <c r="AA30" s="5"/>
    </row>
    <row r="31">
      <c r="A31" s="35" t="s">
        <v>73</v>
      </c>
      <c r="B31" s="60" t="s">
        <v>74</v>
      </c>
      <c r="C31" s="61" t="s">
        <v>75</v>
      </c>
      <c r="D31" s="61" t="s">
        <v>76</v>
      </c>
      <c r="E31" s="62" t="s">
        <v>77</v>
      </c>
      <c r="F31" s="62" t="s">
        <v>78</v>
      </c>
      <c r="G31" s="62" t="s">
        <v>79</v>
      </c>
      <c r="H31" s="62" t="s">
        <v>80</v>
      </c>
      <c r="I31" s="62" t="s">
        <v>81</v>
      </c>
      <c r="J31" s="62" t="s">
        <v>82</v>
      </c>
      <c r="K31" s="62" t="s">
        <v>83</v>
      </c>
      <c r="L31" s="63" t="s">
        <v>84</v>
      </c>
      <c r="M31" s="63" t="s">
        <v>85</v>
      </c>
      <c r="N31" s="64" t="s">
        <v>86</v>
      </c>
      <c r="O31" s="65"/>
      <c r="P31" s="66"/>
      <c r="Q31" s="66"/>
      <c r="R31" s="5"/>
      <c r="S31" s="5"/>
      <c r="T31" s="5"/>
      <c r="U31" s="5"/>
      <c r="V31" s="5"/>
      <c r="W31" s="5"/>
      <c r="X31" s="5"/>
      <c r="Y31" s="5"/>
      <c r="Z31" s="5"/>
      <c r="AA31" s="5"/>
    </row>
    <row r="32">
      <c r="A32" s="67"/>
      <c r="B32" s="68" t="str">
        <f>IFERROR(__xludf.DUMMYFUNCTION("TEXTJOIN(CHAR(10), TRUE,FILTER('Sessions Counts'!$B:$B,'Sessions Counts'!$A:$A=B31))"),"Social Dynamics, Voting, and Consensus")</f>
        <v>Social Dynamics, Voting, and Consensus</v>
      </c>
      <c r="C32" s="69" t="str">
        <f>IFERROR(__xludf.DUMMYFUNCTION("TEXTJOIN(CHAR(10), TRUE,FILTER('Sessions Counts'!$B:$B,'Sessions Counts'!$A:$A=C31))"),"Graph Foundation Models 1")</f>
        <v>Graph Foundation Models 1</v>
      </c>
      <c r="D32" s="69" t="str">
        <f>IFERROR(__xludf.DUMMYFUNCTION("TEXTJOIN(CHAR(10), TRUE,FILTER('Sessions Counts'!$B:$B,'Sessions Counts'!$A:$A=D31))"),"Anomaly Detection")</f>
        <v>Anomaly Detection</v>
      </c>
      <c r="E32" s="69" t="str">
        <f>IFERROR(__xludf.DUMMYFUNCTION("TEXTJOIN(CHAR(10), TRUE,FILTER('Sessions Counts'!$B:$B,'Sessions Counts'!$A:$A=E31))"),"Zero-Shot &amp; Graph RAG")</f>
        <v>Zero-Shot &amp; Graph RAG</v>
      </c>
      <c r="F32" s="69" t="str">
        <f>IFERROR(__xludf.DUMMYFUNCTION("TEXTJOIN(CHAR(10), TRUE,FILTER('Sessions Counts'!$B:$B,'Sessions Counts'!$A:$A=F31))"),"Logical Reasoning &amp; Graph Understanding")</f>
        <v>Logical Reasoning &amp; Graph Understanding</v>
      </c>
      <c r="G32" s="69" t="str">
        <f>IFERROR(__xludf.DUMMYFUNCTION("TEXTJOIN(CHAR(10), TRUE,FILTER('Sessions Counts'!$B:$B,'Sessions Counts'!$A:$A=G31))"),"Opinion Dynamics and Misinformation")</f>
        <v>Opinion Dynamics and Misinformation</v>
      </c>
      <c r="H32" s="69" t="str">
        <f>IFERROR(__xludf.DUMMYFUNCTION("TEXTJOIN(CHAR(10), TRUE,FILTER('Sessions Counts'!$B:$B,'Sessions Counts'!$A:$A=H31))"),"Client-Adaptive Federated Learning")</f>
        <v>Client-Adaptive Federated Learning</v>
      </c>
      <c r="I32" s="69" t="str">
        <f>IFERROR(__xludf.DUMMYFUNCTION("TEXTJOIN(CHAR(10), TRUE,FILTER('Sessions Counts'!$B:$B,'Sessions Counts'!$A:$A=I31))"),"Fingerprinting")</f>
        <v>Fingerprinting</v>
      </c>
      <c r="J32" s="69" t="str">
        <f>IFERROR(__xludf.DUMMYFUNCTION("TEXTJOIN(CHAR(10), TRUE,FILTER('Sessions Counts'!$B:$B,'Sessions Counts'!$A:$A=J31))"),"Sequence and Temporal Pattern Mining")</f>
        <v>Sequence and Temporal Pattern Mining</v>
      </c>
      <c r="K32" s="69" t="str">
        <f>IFERROR(__xludf.DUMMYFUNCTION("TEXTJOIN(CHAR(10), TRUE,FILTER('Sessions Counts'!$B:$B,'Sessions Counts'!$A:$A=K31))"),"Multi-Behavior User Modeling")</f>
        <v>Multi-Behavior User Modeling</v>
      </c>
      <c r="L32" s="70" t="str">
        <f>IFERROR(__xludf.DUMMYFUNCTION("TEXTJOIN(CHAR(10), TRUE,FILTER('Industry assignment'!$B:$B,'Industry assignment'!$A:$A=L31))"),"Financial Intelligence &amp; Market Simulation")</f>
        <v>Financial Intelligence &amp; Market Simulation</v>
      </c>
      <c r="M32" s="69" t="str">
        <f>IFERROR(__xludf.DUMMYFUNCTION("TEXTJOIN(CHAR(10), TRUE,FILTER('Sessions Counts'!$B:$B,'Sessions Counts'!$A:$A=M31))"),"Generative &amp; Next-Gen Recommendation Architectures")</f>
        <v>Generative &amp; Next-Gen Recommendation Architectures</v>
      </c>
      <c r="N32" s="70"/>
      <c r="O32" s="71"/>
      <c r="P32" s="72"/>
      <c r="Q32" s="72"/>
      <c r="R32" s="73"/>
      <c r="S32" s="73"/>
      <c r="T32" s="73"/>
      <c r="U32" s="73"/>
      <c r="V32" s="73"/>
      <c r="W32" s="73"/>
      <c r="X32" s="73"/>
      <c r="Y32" s="73"/>
      <c r="Z32" s="73"/>
      <c r="AA32" s="73"/>
    </row>
    <row r="33" collapsed="1">
      <c r="A33" s="74"/>
      <c r="B33" s="75" t="str">
        <f>IFERROR(__xludf.DUMMYFUNCTION("CONCATENATE(""Session Chair: "",TEXTJOIN(CHAR(10), TRUE,FILTER('Session Chairs'!$C:$C,'Session Chairs'!$A:$A=B31)))"),"Session Chair: Ana-Andreea Stoica")</f>
        <v>Session Chair: Ana-Andreea Stoica</v>
      </c>
      <c r="C33" s="76" t="str">
        <f>IFERROR(__xludf.DUMMYFUNCTION("CONCATENATE(""Session Chair: "",TEXTJOIN(CHAR(10), TRUE,FILTER('Session Chairs'!$C:$C,'Session Chairs'!$A:$A=C31)))"),"Session Chair: Maolin Wang")</f>
        <v>Session Chair: Maolin Wang</v>
      </c>
      <c r="D33" s="76" t="str">
        <f>IFERROR(__xludf.DUMMYFUNCTION("CONCATENATE(""Session Chair: "",TEXTJOIN(CHAR(10), TRUE,FILTER('Session Chairs'!$C:$C,'Session Chairs'!$A:$A=D31)))"),"Session Chair: Kijung Shin")</f>
        <v>Session Chair: Kijung Shin</v>
      </c>
      <c r="E33" s="76" t="str">
        <f>IFERROR(__xludf.DUMMYFUNCTION("CONCATENATE(""Session Chair: "",TEXTJOIN(CHAR(10), TRUE,FILTER('Session Chairs'!$C:$C,'Session Chairs'!$A:$A=E31)))"),"Session Chair: Liane Lewin-Eytan")</f>
        <v>Session Chair: Liane Lewin-Eytan</v>
      </c>
      <c r="F33" s="76" t="str">
        <f>IFERROR(__xludf.DUMMYFUNCTION("CONCATENATE(""Session Chair: "",TEXTJOIN(CHAR(10), TRUE,FILTER('Session Chairs'!$C:$C,'Session Chairs'!$A:$A=F31)))"),"Session Chair: Ziyu Lyu")</f>
        <v>Session Chair: Ziyu Lyu</v>
      </c>
      <c r="G33" s="76" t="str">
        <f>IFERROR(__xludf.DUMMYFUNCTION("CONCATENATE(""Session Chair: "",TEXTJOIN(CHAR(10), TRUE,FILTER('Session Chairs'!$C:$C,'Session Chairs'!$A:$A=G31)))"),"Session Chair: Mark Spaniol")</f>
        <v>Session Chair: Mark Spaniol</v>
      </c>
      <c r="H33" s="76" t="str">
        <f>IFERROR(__xludf.DUMMYFUNCTION("CONCATENATE(""Session Chair: "",TEXTJOIN(CHAR(10), TRUE,FILTER('Session Chairs'!$C:$C,'Session Chairs'!$A:$A=H31)))"),"Session Chair: Longzhu He ")</f>
        <v>Session Chair: Longzhu He </v>
      </c>
      <c r="I33" s="76" t="str">
        <f>IFERROR(__xludf.DUMMYFUNCTION("CONCATENATE(""Session Chair: "",TEXTJOIN(CHAR(10), TRUE,FILTER('Session Chairs'!$C:$C,'Session Chairs'!$A:$A=I31)))"),"Session Chair: Xinxin Xing")</f>
        <v>Session Chair: Xinxin Xing</v>
      </c>
      <c r="J33" s="76" t="str">
        <f>IFERROR(__xludf.DUMMYFUNCTION("CONCATENATE(""Session Chair: "",TEXTJOIN(CHAR(10), TRUE,FILTER('Session Chairs'!$C:$C,'Session Chairs'!$A:$A=J31)))"),"Session Chair: Zijian Zhang")</f>
        <v>Session Chair: Zijian Zhang</v>
      </c>
      <c r="K33" s="76" t="str">
        <f>IFERROR(__xludf.DUMMYFUNCTION("CONCATENATE(""Session Chair: "",TEXTJOIN(CHAR(10), TRUE,FILTER('Session Chairs'!$C:$C,'Session Chairs'!$A:$A=K31)))"),"Session Chair: Xiangjun Zai")</f>
        <v>Session Chair: Xiangjun Zai</v>
      </c>
      <c r="L33" s="76" t="str">
        <f>IFERROR(__xludf.DUMMYFUNCTION("CONCATENATE(""Session Chair: "",TEXTJOIN(CHAR(10), TRUE,FILTER('Session Chairs'!$C:$C,'Session Chairs'!$A:$A=L31)))"),"Session Chair: Christian Bizer")</f>
        <v>Session Chair: Christian Bizer</v>
      </c>
      <c r="M33" s="76" t="str">
        <f>IFERROR(__xludf.DUMMYFUNCTION("CONCATENATE(""Session Chair: "",TEXTJOIN(CHAR(10), TRUE,FILTER('Session Chairs'!$C:$C,'Session Chairs'!$A:$A=M31)))"),"Session Chair: Roy Ka-Wei Lee")</f>
        <v>Session Chair: Roy Ka-Wei Lee</v>
      </c>
      <c r="N33" s="76" t="str">
        <f>IFERROR(__xludf.DUMMYFUNCTION("CONCATENATE(""Session Chairs: "",TEXTJOIN(CHAR(10), TRUE,FILTER('Session Chairs'!$C:$C,'Session Chairs'!$A:$A=N31)))"),"Session Chairs: Dame Wendy Hall, Oshani Seneviratne")</f>
        <v>Session Chairs: Dame Wendy Hall, Oshani Seneviratne</v>
      </c>
      <c r="O33" s="77"/>
      <c r="P33" s="72"/>
      <c r="Q33" s="72"/>
      <c r="R33" s="73"/>
      <c r="S33" s="73"/>
      <c r="T33" s="73"/>
      <c r="U33" s="73"/>
      <c r="V33" s="73"/>
      <c r="W33" s="73"/>
      <c r="X33" s="73"/>
      <c r="Y33" s="73"/>
      <c r="Z33" s="73"/>
      <c r="AA33" s="73"/>
    </row>
    <row r="34" hidden="1" outlineLevel="1">
      <c r="A34" s="45"/>
      <c r="B34" s="43" t="str">
        <f>IFERROR(__xludf.DUMMYFUNCTION("TEXTJOIN(CHAR(10), TRUE,FILTER('Research assignment'!$D:$D,'Research assignment'!$H:$H=B31))"),"Opinion Dynamics with Multiple Adversaries
Akhil Jalan and Marios Papachristou
Aggregating Information and Preferences under Different Coordination Ability
Qishen Han, Grant Schoenebeck, Biaoshuai Tao and Lirong Xia
The Art of Two-Round Voting
Qishen Ha"&amp;"n, Grant Schoenebeck, Biaoshuai Tao and Lirong Xia
The Price of Uncertainty for Social Consensus
Yunzhe Bai and Alec Sun
Social Deliberation: Democratic Deliberation Through Unbiased Social Interactions
Dana Afazeli, Mohamad Latifian and Masoud Seddighi"&amp;"n
")</f>
        <v>Opinion Dynamics with Multiple Adversaries
Akhil Jalan and Marios Papachristou
Aggregating Information and Preferences under Different Coordination Ability
Qishen Han, Grant Schoenebeck, Biaoshuai Tao and Lirong Xia
The Art of Two-Round Voting
Qishen Han, Grant Schoenebeck, Biaoshuai Tao and Lirong Xia
The Price of Uncertainty for Social Consensus
Yunzhe Bai and Alec Sun
Social Deliberation: Democratic Deliberation Through Unbiased Social Interactions
Dana Afazeli, Mohamad Latifian and Masoud Seddighin
</v>
      </c>
      <c r="C34" s="78" t="str">
        <f>IFERROR(__xludf.DUMMYFUNCTION("TEXTJOIN(CHAR(10), TRUE,FILTER('Research assignment'!$D:$D,'Research assignment'!$H:$H=C31))"),"Topology-Aware Feature Sorting Enables Universal Modeling on Homophilic and Heterophilic Graphs
Yi Wang, Jitao Zhao, Dongxiao He, Jia Li, Yuxiao Huang and
Zhiyong Feng
A Graph Foundation Model for Unified Anomaly Detection
Renda Han, Xiaobao Wang, Luzhi "&amp;"Wang, Wenxin Zhang,
Guangzhen Yao and Hongxiang Liang
RAG-GFM: Overcoming In-Memory Bottlenecks in Graph Foundation Models via Retrieval-Augmented Generation
Haonan Yuan, Qingyun Sun, Jiacheng Tao, Xingcheng Fu and
Jianxin Li
Towards Graph Foundation Mo"&amp;"del: Node Feature Transfer Invariant Modeling on General Graphs
Jitao Zhao, Yi Wang, Yawen Li, Dongxiao He, Di Jin, Zhiyong
Feng and Weixiong Zhang
GraphRAG-R1: Graph Retrieval-Augmented Generation with Process-Constrained Reinforcement Learning
Chuanyue"&amp;" Yu, Kuo Zhao, Yuhan Li, Heng Chang, Mingjian Feng,
Xiangzhe Jiang, Yufei Sun, Jia Li, Yuzhi Zhang, Qingyun
Sun, Jianxin Li and Ziwei Zhang
")</f>
        <v>Topology-Aware Feature Sorting Enables Universal Modeling on Homophilic and Heterophilic Graphs
Yi Wang, Jitao Zhao, Dongxiao He, Jia Li, Yuxiao Huang and
Zhiyong Feng
A Graph Foundation Model for Unified Anomaly Detection
Renda Han, Xiaobao Wang, Luzhi Wang, Wenxin Zhang,
Guangzhen Yao and Hongxiang Liang
RAG-GFM: Overcoming In-Memory Bottlenecks in Graph Foundation Models via Retrieval-Augmented Generation
Haonan Yuan, Qingyun Sun, Jiacheng Tao, Xingcheng Fu and
Jianxin Li
Towards Graph Foundation Model: Node Feature Transfer Invariant Modeling on General Graphs
Jitao Zhao, Yi Wang, Yawen Li, Dongxiao He, Di Jin, Zhiyong
Feng and Weixiong Zhang
GraphRAG-R1: Graph Retrieval-Augmented Generation with Process-Constrained Reinforcement Learning
Chuanyue Yu, Kuo Zhao, Yuhan Li, Heng Chang, Mingjian Feng,
Xiangzhe Jiang, Yufei Sun, Jia Li, Yuzhi Zhang, Qingyun
Sun, Jianxin Li and Ziwei Zhang
</v>
      </c>
      <c r="D34" s="78" t="str">
        <f>IFERROR(__xludf.DUMMYFUNCTION("TEXTJOIN(CHAR(10), TRUE,FILTER('Research assignment'!$D:$D,'Research assignment'!$H:$H=D31))"),"Unsupervised Subgraph Anomaly Detection based on Pattern Collaboration
Sun Jiayang, Liu Shenghao, Deng Xianjun, Xiang Wei, Luo
Meng, Zhang Qiankun and Zheng Dandan
DP-DGAD: A Generalist Dynamic Graph Anomaly Detector with Dynamic Prototypes
Jialun Zheng,"&amp;" Jie Liu, Jiannong Cao, Xiao Wang, Hanchen
Yang and Yankai Chen
Anomaly Detection of Interaction Behaviors in Streaming Graphs
Shuai Ren, Fan Zhang, Bolin Wang, Xiang Zhao and Zhihong
Tian
PAGE: Progressive Anomaly Generation Network for Semi-supervised"&amp;" Graph Anomaly Detection
Ting Guo, Dongyu Pei, Gangzhu Qiao, Kaixuan Yao and Da Wang
Cross-Type Semantic Alignment for Multi-Type Anomaly Detection in Heterogeneous Graphs
Di Jin, Xiao Huang, Xiaobao Wang, Fengyu Yan, Luzhi Wang
and Hongxiang Liang
")</f>
        <v>Unsupervised Subgraph Anomaly Detection based on Pattern Collaboration
Sun Jiayang, Liu Shenghao, Deng Xianjun, Xiang Wei, Luo
Meng, Zhang Qiankun and Zheng Dandan
DP-DGAD: A Generalist Dynamic Graph Anomaly Detector with Dynamic Prototypes
Jialun Zheng, Jie Liu, Jiannong Cao, Xiao Wang, Hanchen
Yang and Yankai Chen
Anomaly Detection of Interaction Behaviors in Streaming Graphs
Shuai Ren, Fan Zhang, Bolin Wang, Xiang Zhao and Zhihong
Tian
PAGE: Progressive Anomaly Generation Network for Semi-supervised Graph Anomaly Detection
Ting Guo, Dongyu Pei, Gangzhu Qiao, Kaixuan Yao and Da Wang
Cross-Type Semantic Alignment for Multi-Type Anomaly Detection in Heterogeneous Graphs
Di Jin, Xiao Huang, Xiaobao Wang, Fengyu Yan, Luzhi Wang
and Hongxiang Liang
</v>
      </c>
      <c r="E34" s="78" t="str">
        <f>IFERROR(__xludf.DUMMYFUNCTION("TEXTJOIN(CHAR(10), TRUE,FILTER('Research assignment'!$D:$D,'Research assignment'!$H:$H=E31))"),"QuiZSF: A Retrieval-Augmented Framework for Zero-Shot Time Series Forecasting
Shichao Ma, Zhengyang Zhou, Qihe Huang, Binwu Wang and Yang
Wang
SDR-CIR: Semantic Debias Retrieval Framework for Training-Free Zero-Shot Composed Image Retrieval
Yi Sun, Jinyu"&amp;" Xu, Qing Xie, Jiachen Li, Yanchun Ma and
Yongjian Liu
FlowRAG: Continual Learning for Dynamic Retriever in Retrieval-Augmented Generation
Senlei Zhang, Tongjun Shi, Dandan Song, Luan Zhang, Shuhao
Zhang, Xiaofei Liao and Hai Jin
DA-RAG: Dynamic Attribu"&amp;"ted Community Search for Retrieval-Augmented Generation
Xingyuan Zeng, Zuohan Wu, Yue Wang, Chen Zhang, Quanming
Yao, Libin Zheng and Jian Yin
HyperRAG: Reasoning N-ary Facts over Hypergraphs for Retrieval Augmented Generation
Wen-Sheng Lien, Yu-Kai Chan"&amp;", Hao-Lung Hsiao, Bo-Kai Ruan,
Meng-Fen Chiang, Chien-An Chen, Yi-Ren Yeh and Hong-Han
Shuai
")</f>
        <v>QuiZSF: A Retrieval-Augmented Framework for Zero-Shot Time Series Forecasting
Shichao Ma, Zhengyang Zhou, Qihe Huang, Binwu Wang and Yang
Wang
SDR-CIR: Semantic Debias Retrieval Framework for Training-Free Zero-Shot Composed Image Retrieval
Yi Sun, Jinyu Xu, Qing Xie, Jiachen Li, Yanchun Ma and
Yongjian Liu
FlowRAG: Continual Learning for Dynamic Retriever in Retrieval-Augmented Generation
Senlei Zhang, Tongjun Shi, Dandan Song, Luan Zhang, Shuhao
Zhang, Xiaofei Liao and Hai Jin
DA-RAG: Dynamic Attributed Community Search for Retrieval-Augmented Generation
Xingyuan Zeng, Zuohan Wu, Yue Wang, Chen Zhang, Quanming
Yao, Libin Zheng and Jian Yin
HyperRAG: Reasoning N-ary Facts over Hypergraphs for Retrieval Augmented Generation
Wen-Sheng Lien, Yu-Kai Chan, Hao-Lung Hsiao, Bo-Kai Ruan,
Meng-Fen Chiang, Chien-An Chen, Yi-Ren Yeh and Hong-Han
Shuai
</v>
      </c>
      <c r="F34" s="78" t="str">
        <f>IFERROR(__xludf.DUMMYFUNCTION("TEXTJOIN(CHAR(10), TRUE,FILTER('Research assignment'!$D:$D,'Research assignment'!$H:$H=F31))"),"Unifying Deductive and Abductive Reasoning in Knowledge Graphs with Masked Diffusion Model
Yisen Gao, Jiaxin Bai, Yi Huang, Xingcheng Fu, Qingyun Sun
and Yangqiu Song
Are LLMs Stable Formal Logic Translators in Logical Reasoning Across Linguistically Div"&amp;"ersified Texts?
Qingchuan Li, Jiatong Li, Zirui Liu, Mingyue Cheng, Yitong
Zhou, Yuting Zeng, Qi Liu and Tongxuan Liu
Matrix as Plan: Structured Logical Reasoning with Feedback-Driven Replanning
Ke Chen, Jiandian Zeng, Zihao Peng, Guo Li, Guangxue Zhang
"&amp;"and Tian Wang
GraphCogent: Mitigating LLMs' Working Memory Constraints via Multi-Agent Collaboration in Complex Graph Understanding
Rongzheng Wang, Shuang Liang, Qizhi Chen, Yihong Huang,
Muquan Li, Yizhuo Ma, Dongyang Zhang, Ke Qin and Man-Fai
Leung
La"&amp;"rge Language Model for OWL Proofs
Hui Yang, Jiaoyan Chen and Uli Sattler
")</f>
        <v>Unifying Deductive and Abductive Reasoning in Knowledge Graphs with Masked Diffusion Model
Yisen Gao, Jiaxin Bai, Yi Huang, Xingcheng Fu, Qingyun Sun
and Yangqiu Song
Are LLMs Stable Formal Logic Translators in Logical Reasoning Across Linguistically Diversified Texts?
Qingchuan Li, Jiatong Li, Zirui Liu, Mingyue Cheng, Yitong
Zhou, Yuting Zeng, Qi Liu and Tongxuan Liu
Matrix as Plan: Structured Logical Reasoning with Feedback-Driven Replanning
Ke Chen, Jiandian Zeng, Zihao Peng, Guo Li, Guangxue Zhang
and Tian Wang
GraphCogent: Mitigating LLMs' Working Memory Constraints via Multi-Agent Collaboration in Complex Graph Understanding
Rongzheng Wang, Shuang Liang, Qizhi Chen, Yihong Huang,
Muquan Li, Yizhuo Ma, Dongyang Zhang, Ke Qin and Man-Fai
Leung
Large Language Model for OWL Proofs
Hui Yang, Jiaoyan Chen and Uli Sattler
</v>
      </c>
      <c r="G34" s="78" t="str">
        <f>IFERROR(__xludf.DUMMYFUNCTION("TEXTJOIN(CHAR(10), TRUE,FILTER('Research assignment'!$D:$D,'Research assignment'!$H:$H=G31))"),"Rhythm of Opinion: Interpretable Hawkes-Graph Networks for Hierarchical Opinion Propagation
Yulong Li, Zhixiang Lu, Peixin Guo, Simin Lai, Yuxuan
Zhang, Haochen Xue, Xiwei Liu, Yichen Li, Zhaodong Wu,
Feilong Tang, Mian Zhou, Chong Li, Imran Razzak, Qingx"&amp;"ia Li
and Jionglong Su
PolicySim: An LLM-Based Agent Social Simulation Sandbox for Proactive Policy Optimization
Renhong Huang, Ning Tang, Jiarong Xu, Yuxuan Cao, Qingqian
Tu, Sheng Guo, Bo Zheng, Huiyuan Liu and Yang Yang
Tracing Belief-Driven Thoughts"&amp;" with Theory-of-Mind Agents: An Opinion Analysis Framework
Jintao Wen, Yunfeng Ning, Hankun Kang, Xin Miao and Tieyun
Qian
DREAMS: A Social Exchange Theory-Informed Modeling of Misinformation Engagement on Social Media
Lin Tian and Marian-Andrei Rizoiu
"&amp;"Cross-Platform Narrative Prediction: Leveraging Platform-Invariant Discourse Networks
Patrick Gerard, Luca Luceri, Leonardo Blas and Emilio
Ferrara
")</f>
        <v>Rhythm of Opinion: Interpretable Hawkes-Graph Networks for Hierarchical Opinion Propagation
Yulong Li, Zhixiang Lu, Peixin Guo, Simin Lai, Yuxuan
Zhang, Haochen Xue, Xiwei Liu, Yichen Li, Zhaodong Wu,
Feilong Tang, Mian Zhou, Chong Li, Imran Razzak, Qingxia Li
and Jionglong Su
PolicySim: An LLM-Based Agent Social Simulation Sandbox for Proactive Policy Optimization
Renhong Huang, Ning Tang, Jiarong Xu, Yuxuan Cao, Qingqian
Tu, Sheng Guo, Bo Zheng, Huiyuan Liu and Yang Yang
Tracing Belief-Driven Thoughts with Theory-of-Mind Agents: An Opinion Analysis Framework
Jintao Wen, Yunfeng Ning, Hankun Kang, Xin Miao and Tieyun
Qian
DREAMS: A Social Exchange Theory-Informed Modeling of Misinformation Engagement on Social Media
Lin Tian and Marian-Andrei Rizoiu
Cross-Platform Narrative Prediction: Leveraging Platform-Invariant Discourse Networks
Patrick Gerard, Luca Luceri, Leonardo Blas and Emilio
Ferrara
</v>
      </c>
      <c r="H34" s="78" t="str">
        <f>IFERROR(__xludf.DUMMYFUNCTION("TEXTJOIN(CHAR(10), TRUE,FILTER('Research assignment'!$D:$D,'Research assignment'!$H:$H=H31))"),"FedBridge: Accelerating Edge-Assisted Federated Learning for Model-Heterogeneous Clients
Kaibin Wang, Qiang He, Zeqian Dong, Ziteng Wei, Caslon
Chua, Feifei Chen, Hai Jin and Yun Yang
WinFLoRA: Incentivizing Client-Adaptive Aggregation in Federated LoRA "&amp;"under Privacy Heterogeneity
Mengsha Kou, Xiaoyu Xia, Ziqi Wang, Ibrahim Khalil, Ruikun
Luo, Jingwen Zhou and Minhui Xue
Beyond Class Boundaries: Federated Visual Primitive Sharing with Text-Guided Adaptation
Yongqiang Huang, Yingyu Chen, Tao Wang, Zexin "&amp;"Lu, Zerui
Shao, Beibei Li and Yi Zhang
CoLOR-DP: Conjugate Low-Rank Differential Privacy for Structure-Aware LoRA Fine-Tuning
Kai Zhang, Yuxuan Xu, Wenxiang Lin, Chaoqun Hong, Pei-Wei
Tsai, Xin Yuan and Minhui Xue
CA-PFL: Client-adaptive Parameter-effic"&amp;"ient Fine-tuning for Personalized Federated Learning
Daixin Song, Hui Cai, Haojie Zhang, Biyun Sheng, Jian Zhou,
Mang Ye and Fu Xiao
")</f>
        <v>FedBridge: Accelerating Edge-Assisted Federated Learning for Model-Heterogeneous Clients
Kaibin Wang, Qiang He, Zeqian Dong, Ziteng Wei, Caslon
Chua, Feifei Chen, Hai Jin and Yun Yang
WinFLoRA: Incentivizing Client-Adaptive Aggregation in Federated LoRA under Privacy Heterogeneity
Mengsha Kou, Xiaoyu Xia, Ziqi Wang, Ibrahim Khalil, Ruikun
Luo, Jingwen Zhou and Minhui Xue
Beyond Class Boundaries: Federated Visual Primitive Sharing with Text-Guided Adaptation
Yongqiang Huang, Yingyu Chen, Tao Wang, Zexin Lu, Zerui
Shao, Beibei Li and Yi Zhang
CoLOR-DP: Conjugate Low-Rank Differential Privacy for Structure-Aware LoRA Fine-Tuning
Kai Zhang, Yuxuan Xu, Wenxiang Lin, Chaoqun Hong, Pei-Wei
Tsai, Xin Yuan and Minhui Xue
CA-PFL: Client-adaptive Parameter-efficient Fine-tuning for Personalized Federated Learning
Daixin Song, Hui Cai, Haojie Zhang, Biyun Sheng, Jian Zhou,
Mang Ye and Fu Xiao
</v>
      </c>
      <c r="I34" s="78" t="str">
        <f>IFERROR(__xludf.DUMMYFUNCTION("TEXTJOIN(CHAR(10), TRUE,FILTER('Research assignment'!$D:$D,'Research assignment'!$H:$H=I31))"),"Reading Between the Lines: Towards Reliable Black-box LLM Fingerprinting via Zeroth-order Gradient Estimation
Shuo Shao, Yiming Li, Hongwei Yao, Yifei Chen, Yuchen Yang
and Zhan Qin
Forge: A Robust Multi-tab Website Fingerprinting Attack via Blind Source"&amp;" Separation
Yitan Huang, Wei Qiao, Ding Wang, Meng Shen, Di Zhao, Linxu
Li, Susu Cui, Bo Jiang, Zhigang Lu and Baoxu Liu
HiFi-WF: Toward Realistic Website Fingerprinting with Multi-tab and Subpage Recognition
Songyang Wu, Chuan Ma, Ming Ding, Long Yuan, "&amp;"Biwen Chen,
Yuwen Qian and Tao Xiang
RoFiRe: Robust Website Fingerprinting on Real-World Tor Traffic via Improved Augmentation and Normalization
Haeseung Jeon, Sujin Kim, Nate Mathews, Hosung Kang and Se
Eun Oh
Understanding Server-side Commercial Finge"&amp;"rprinting
Elisa Luo, Tom Ritter, Stefan Savage and Geoffrey M Voelker
")</f>
        <v>Reading Between the Lines: Towards Reliable Black-box LLM Fingerprinting via Zeroth-order Gradient Estimation
Shuo Shao, Yiming Li, Hongwei Yao, Yifei Chen, Yuchen Yang
and Zhan Qin
Forge: A Robust Multi-tab Website Fingerprinting Attack via Blind Source Separation
Yitan Huang, Wei Qiao, Ding Wang, Meng Shen, Di Zhao, Linxu
Li, Susu Cui, Bo Jiang, Zhigang Lu and Baoxu Liu
HiFi-WF: Toward Realistic Website Fingerprinting with Multi-tab and Subpage Recognition
Songyang Wu, Chuan Ma, Ming Ding, Long Yuan, Biwen Chen,
Yuwen Qian and Tao Xiang
RoFiRe: Robust Website Fingerprinting on Real-World Tor Traffic via Improved Augmentation and Normalization
Haeseung Jeon, Sujin Kim, Nate Mathews, Hosung Kang and Se
Eun Oh
Understanding Server-side Commercial Fingerprinting
Elisa Luo, Tom Ritter, Stefan Savage and Geoffrey M Voelker
</v>
      </c>
      <c r="J34" s="78" t="str">
        <f>IFERROR(__xludf.DUMMYFUNCTION("TEXTJOIN(CHAR(10), TRUE,FILTER('Research assignment'!$D:$D,'Research assignment'!$H:$H=J31))"),"A Frequency-Aware Mixture of Heterogeneous Experts Framework for Knowledge Tracing
Youheng Bai, Mingliang Hou, Teng Guo, Zitao Liu and Weiqi
Luo
Efficient High-Dimensional Time Series Forecasting with Transformers: A Channel Reordering Perspective
Yuchen"&amp;" Fang, Shiyu Wang, Yuxuan Liang, Zhou Ye, Yang Xiang,
Yan Zhao and Kai Zheng
Modeling Point-to-Point Dependency for High-Dimensional Long-Term Series Forecasting
Xinyu Li, Kexi Chen, Ying Zheng, Zhiyi Yao, Yi Xie, Jihan
Dai, Lei Bai, Jin Zhao, Jiajie She"&amp;"n, Yunqi Cai, Hong Lu and
Xin Wang
Time-TK: A Multi-Offset Temporal Interaction Framework Combining Transformer and Kolmogorov-Arnold Networks for Time Series Forecasting
Fan Zhang, Shiming Fan and Hua Wang
FedDis: A Causal Disentanglement Framework for"&amp;" Federated Traffic Prediction
Chengyang Zhou, Zijian Zhang, Chunxu Zhang, Hao Miao, Yulin
Zhang, Kedi Lyu and Juncheng Hu
")</f>
        <v>A Frequency-Aware Mixture of Heterogeneous Experts Framework for Knowledge Tracing
Youheng Bai, Mingliang Hou, Teng Guo, Zitao Liu and Weiqi
Luo
Efficient High-Dimensional Time Series Forecasting with Transformers: A Channel Reordering Perspective
Yuchen Fang, Shiyu Wang, Yuxuan Liang, Zhou Ye, Yang Xiang,
Yan Zhao and Kai Zheng
Modeling Point-to-Point Dependency for High-Dimensional Long-Term Series Forecasting
Xinyu Li, Kexi Chen, Ying Zheng, Zhiyi Yao, Yi Xie, Jihan
Dai, Lei Bai, Jin Zhao, Jiajie Shen, Yunqi Cai, Hong Lu and
Xin Wang
Time-TK: A Multi-Offset Temporal Interaction Framework Combining Transformer and Kolmogorov-Arnold Networks for Time Series Forecasting
Fan Zhang, Shiming Fan and Hua Wang
FedDis: A Causal Disentanglement Framework for Federated Traffic Prediction
Chengyang Zhou, Zijian Zhang, Chunxu Zhang, Hao Miao, Yulin
Zhang, Kedi Lyu and Juncheng Hu
</v>
      </c>
      <c r="K34" s="78" t="str">
        <f>IFERROR(__xludf.DUMMYFUNCTION("TEXTJOIN(CHAR(10), TRUE,FILTER('Research assignment'!$D:$D,'Research assignment'!$H:$H=K31))"),"ThinkRec: Thinking-based recommendation via LLM
Qihang Yu, Kairui Fu, Zheqi Lv, Shengyu Zhang, Xinhui Wu,
Chen Lin, Feng Wei, Bo Zheng and Fei Wu
Iterative Semantic Reasoning from Individual to Group Interests for Generative Recommendation with LLMs
Xiao"&amp;"fei Zhu, Jinfei Chen, Feiyang Yuan and Yang Zhou
Reinforcement Learning-Constrained Segmented User Modeling with Large Language Models for Recommendation
Yu Xia, Qing Tan, He Chen, Jingyu Chen and Qian Dong
Multi-Task Multi-Behavior Sequential Recommend"&amp;"ation
Weihao Du, Ziran Deng, Weike Pan and Zhong Ming
RMBRec: Robust Multi-Behavior Recommendation towards Target Behaviors
Miaomiao Cai, Zhijie Zhang, Junfeng Fang, Zhiyong Cheng,
Xiang Wang and Meng Wang
")</f>
        <v>ThinkRec: Thinking-based recommendation via LLM
Qihang Yu, Kairui Fu, Zheqi Lv, Shengyu Zhang, Xinhui Wu,
Chen Lin, Feng Wei, Bo Zheng and Fei Wu
Iterative Semantic Reasoning from Individual to Group Interests for Generative Recommendation with LLMs
Xiaofei Zhu, Jinfei Chen, Feiyang Yuan and Yang Zhou
Reinforcement Learning-Constrained Segmented User Modeling with Large Language Models for Recommendation
Yu Xia, Qing Tan, He Chen, Jingyu Chen and Qian Dong
Multi-Task Multi-Behavior Sequential Recommendation
Weihao Du, Ziran Deng, Weike Pan and Zhong Ming
RMBRec: Robust Multi-Behavior Recommendation towards Target Behaviors
Miaomiao Cai, Zhijie Zhang, Junfeng Fang, Zhiyong Cheng,
Xiang Wang and Meng Wang
</v>
      </c>
      <c r="L34" s="78" t="str">
        <f>IFERROR(__xludf.DUMMYFUNCTION("TEXTJOIN(CHAR(10), TRUE,FILTER('Industry assignment'!$D:$D,'Industry assignment'!$H:$H=L31))"),"FRiskGPT: A Generative Foundation Model for Financial Risk Detection
Zhongjian Zhang, Mengmei Zhang, Dehua Xu, Rongjun Shi, Jianfeng Liu, Fuli Meng, Huajian Xu, Xiao Wang, Ruijia Wang, Junze Chen, Minwei Tang and Chuan Shi
VeritasFi: An Adaptable, Multi-"&amp;"tiered RAG Framework for Multi-modal Financial Question Answering
Zhenghan Tai, Hanwei Wu, Qingchen Hu, Jijun Chi, Hailin He, Lei Ding, Tung Sum Thomas Kwok, Bohuai Xiao, Yuchen Hua, Suyuchen Wang, Peng Lu, Muzhi Li, Yihong Wu, Liheng Ma, Jerry Huang, Jia"&amp;"yi Zhang, Gonghao Zhang, Chaolong Jiang, Jingrui Tian, Sicheng Lyu, Zeyu Li, Boyu Han, Fengran Mo, Xinyue Yu, Yufei Cui, Ling Zhou and Xinyu Wang
When Agents Trade: Live Multi-Market Trading Arena for LLM Agents
Lingfei Qian, Xueqing Peng, Hanley Smith, "&amp;"Yi Han, Yueru He, Haohang Li, Yupeng Cao, Yangyang Yu, Guojun Xiong, Peng Lu, Yan Wang, Vincent Jim Zhang, Huan He, Alejandro Lopez-Lira, Jimin Huang, Jian-Yun Nie and Sophia Ananiadou
Financial Wind Tunnel: A Retrieval-Augmented Market Simulator
Bokai C"&amp;"ao, Xueyuan Lin, Yiyan Qi, Chengjin Xu, Cehao Yang and Jian Guo
FishFlow: A LLM-Empowered Dynamic Pricing Framework for Online Fleamarket Platform
Kakam Chong, Xu Yan, Shuai Xiao, Ming Chen, Chen Ju, Fei Huang, Yuantao Gu, Shuguang Han and Jufeng Chen
")</f>
        <v>FRiskGPT: A Generative Foundation Model for Financial Risk Detection
Zhongjian Zhang, Mengmei Zhang, Dehua Xu, Rongjun Shi, Jianfeng Liu, Fuli Meng, Huajian Xu, Xiao Wang, Ruijia Wang, Junze Chen, Minwei Tang and Chuan Shi
VeritasFi: An Adaptable, Multi-tiered RAG Framework for Multi-modal Financial Question Answering
Zhenghan Tai, Hanwei Wu, Qingchen Hu, Jijun Chi, Hailin He, Lei Ding, Tung Sum Thomas Kwok, Bohuai Xiao, Yuchen Hua, Suyuchen Wang, Peng Lu, Muzhi Li, Yihong Wu, Liheng Ma, Jerry Huang, Jiayi Zhang, Gonghao Zhang, Chaolong Jiang, Jingrui Tian, Sicheng Lyu, Zeyu Li, Boyu Han, Fengran Mo, Xinyue Yu, Yufei Cui, Ling Zhou and Xinyu Wang
When Agents Trade: Live Multi-Market Trading Arena for LLM Agents
Lingfei Qian, Xueqing Peng, Hanley Smith, Yi Han, Yueru He, Haohang Li, Yupeng Cao, Yangyang Yu, Guojun Xiong, Peng Lu, Yan Wang, Vincent Jim Zhang, Huan He, Alejandro Lopez-Lira, Jimin Huang, Jian-Yun Nie and Sophia Ananiadou
Financial Wind Tunnel: A Retrieval-Augmented Market Simulator
Bokai Cao, Xueyuan Lin, Yiyan Qi, Chengjin Xu, Cehao Yang and Jian Guo
FishFlow: A LLM-Empowered Dynamic Pricing Framework for Online Fleamarket Platform
Kakam Chong, Xu Yan, Shuai Xiao, Ming Chen, Chen Ju, Fei Huang, Yuantao Gu, Shuguang Han and Jufeng Chen
</v>
      </c>
      <c r="M34" s="78" t="str">
        <f>IFERROR(__xludf.DUMMYFUNCTION("TEXTJOIN(CHAR(10), TRUE,FILTER('Industry assignment'!$D:$D,'Industry assignment'!$H:$H=M31))"),"Hierarchical Semantic RL: Tackling the Problem of Dynamic Action Space for RL-based Recommendations
Minmao Wang, Xingchen Liu, Shijie Yi, Likang Wu, Hongke Zhao, Fei Pan, Qingpeng Cai and Peng Jiang
Beyond the Flat Sequence: Hierarchical and Preference-A"&amp;"ware Generative Recommendations
Zerui Chen, Heng Chang, Tianying Liu, Chuantian Zhou, Yi Cao, Jiandong Ding, Ming Liu and Bing Qin
NEZHA: A Zero-sacrifice and Hyperspeed Decoding Architecture for Generative Recommendations
Yejing Wang, Shengyu Zhou, Jiny"&amp;"u Lu, Ziwei Liu, Langming Liu, Maolin Wang, Wenlin Zhang, Feng Li, Wenbo Su, Pengjie Wang, Jian Xu and Xiangyu Zhao
OneTrans: Unified Feature Interaction and Sequence Modeling with One Transformer in Industrial Recommender
Zhaoqi Zhang, Haolei Pei, Jun G"&amp;"uo, Tianyu Wang, Yufei Feng, Hui Sun, Shaowei Liu and Aixin Sun
GRADE: Personalized Multi-Task Fusion via Group-Relative Reinforcement Learning with Adaptive Dirichlet Exploration
Tingfeng Hong, Pingye Ren, Xinlong Xiao, Chao Wang, Chenyi Lei, Wenwu Ou a"&amp;"nd Han Li
")</f>
        <v>Hierarchical Semantic RL: Tackling the Problem of Dynamic Action Space for RL-based Recommendations
Minmao Wang, Xingchen Liu, Shijie Yi, Likang Wu, Hongke Zhao, Fei Pan, Qingpeng Cai and Peng Jiang
Beyond the Flat Sequence: Hierarchical and Preference-Aware Generative Recommendations
Zerui Chen, Heng Chang, Tianying Liu, Chuantian Zhou, Yi Cao, Jiandong Ding, Ming Liu and Bing Qin
NEZHA: A Zero-sacrifice and Hyperspeed Decoding Architecture for Generative Recommendations
Yejing Wang, Shengyu Zhou, Jinyu Lu, Ziwei Liu, Langming Liu, Maolin Wang, Wenlin Zhang, Feng Li, Wenbo Su, Pengjie Wang, Jian Xu and Xiangyu Zhao
OneTrans: Unified Feature Interaction and Sequence Modeling with One Transformer in Industrial Recommender
Zhaoqi Zhang, Haolei Pei, Jun Guo, Tianyu Wang, Yufei Feng, Hui Sun, Shaowei Liu and Aixin Sun
GRADE: Personalized Multi-Task Fusion via Group-Relative Reinforcement Learning with Adaptive Dirichlet Exploration
Tingfeng Hong, Pingye Ren, Xinlong Xiao, Chao Wang, Chenyi Lei, Wenwu Ou and Han Li
</v>
      </c>
      <c r="N34" s="78" t="str">
        <f>IFERROR(__xludf.DUMMYFUNCTION("TEXTJOIN(CHAR(10), TRUE,FILTER('HoW assignment'!$D:$D,'HoW assignment'!$F:$F=N31))"),"Welcome by History of Web Chairs
Wendy Hall and Oshani Seneviratne
Seoul Test of Time Winner Presentation - LINE: Large-scale Information Network Embedding
Jian Tang
From Lexical and Semantic to Predictive Search: Evolution or Involution?
Ricardo Baeza-"&amp;"Yates
")</f>
        <v>Welcome by History of Web Chairs
Wendy Hall and Oshani Seneviratne
Seoul Test of Time Winner Presentation - LINE: Large-scale Information Network Embedding
Jian Tang
From Lexical and Semantic to Predictive Search: Evolution or Involution?
Ricardo Baeza-Yates
</v>
      </c>
      <c r="O34" s="79"/>
      <c r="P34" s="66"/>
      <c r="Q34" s="66"/>
      <c r="R34" s="5"/>
      <c r="S34" s="5"/>
      <c r="T34" s="5"/>
      <c r="U34" s="5"/>
      <c r="V34" s="5"/>
      <c r="W34" s="5"/>
      <c r="X34" s="5"/>
      <c r="Y34" s="5"/>
      <c r="Z34" s="5"/>
      <c r="AA34" s="5"/>
    </row>
    <row r="35" collapsed="1">
      <c r="A35" s="80" t="s">
        <v>87</v>
      </c>
      <c r="B35" s="81" t="s">
        <v>88</v>
      </c>
      <c r="O35" s="82"/>
      <c r="P35" s="5"/>
      <c r="Q35" s="5"/>
      <c r="R35" s="5"/>
      <c r="S35" s="5"/>
      <c r="T35" s="5"/>
      <c r="U35" s="5"/>
      <c r="V35" s="5"/>
      <c r="W35" s="5"/>
      <c r="X35" s="5"/>
      <c r="Y35" s="5"/>
      <c r="Z35" s="5"/>
      <c r="AA35" s="5"/>
    </row>
    <row r="36" hidden="1" outlineLevel="1">
      <c r="A36" s="83"/>
      <c r="B36" s="84" t="s">
        <v>89</v>
      </c>
      <c r="C36" s="84" t="s">
        <v>90</v>
      </c>
      <c r="D36" s="84" t="str">
        <f>IFERROR(__xludf.DUMMYFUNCTION("ARRAY_CONSTRAIN(TRANSPOSE(FILTER('All Counts'!B:B, RIGHT(TO_TEXT('All Counts'!B:B), 1)=""1"")), 1, 11)"),"EconPoster1")</f>
        <v>EconPoster1</v>
      </c>
      <c r="E36" s="83" t="str">
        <f>IFERROR(__xludf.DUMMYFUNCTION("""COMPUTED_VALUE"""),"GraphPoster1")</f>
        <v>GraphPoster1</v>
      </c>
      <c r="F36" s="83" t="str">
        <f>IFERROR(__xludf.DUMMYFUNCTION("""COMPUTED_VALUE"""),"SearchPoster1")</f>
        <v>SearchPoster1</v>
      </c>
      <c r="G36" s="83" t="str">
        <f>IFERROR(__xludf.DUMMYFUNCTION("""COMPUTED_VALUE"""),"SemanticsPoster1")</f>
        <v>SemanticsPoster1</v>
      </c>
      <c r="H36" s="83" t="str">
        <f>IFERROR(__xludf.DUMMYFUNCTION("""COMPUTED_VALUE"""),"SecurityPoster1")</f>
        <v>SecurityPoster1</v>
      </c>
      <c r="I36" s="83" t="str">
        <f>IFERROR(__xludf.DUMMYFUNCTION("""COMPUTED_VALUE"""),"SocialPoster1")</f>
        <v>SocialPoster1</v>
      </c>
      <c r="J36" s="83" t="str">
        <f>IFERROR(__xludf.DUMMYFUNCTION("""COMPUTED_VALUE"""),"SystemsPoster1")</f>
        <v>SystemsPoster1</v>
      </c>
      <c r="K36" s="83" t="str">
        <f>IFERROR(__xludf.DUMMYFUNCTION("""COMPUTED_VALUE"""),"RecSysPoster1")</f>
        <v>RecSysPoster1</v>
      </c>
      <c r="L36" s="83" t="str">
        <f>IFERROR(__xludf.DUMMYFUNCTION("""COMPUTED_VALUE"""),"MiningPoster1")</f>
        <v>MiningPoster1</v>
      </c>
      <c r="M36" s="83" t="str">
        <f>IFERROR(__xludf.DUMMYFUNCTION("""COMPUTED_VALUE"""),"IndustryPoster1")</f>
        <v>IndustryPoster1</v>
      </c>
      <c r="N36" s="83" t="str">
        <f>IFERROR(__xludf.DUMMYFUNCTION("""COMPUTED_VALUE"""),"Web4GoodPoster1")</f>
        <v>Web4GoodPoster1</v>
      </c>
      <c r="O36" s="83"/>
      <c r="P36" s="27"/>
      <c r="Q36" s="27"/>
      <c r="R36" s="27"/>
      <c r="S36" s="27"/>
      <c r="T36" s="27"/>
      <c r="U36" s="27"/>
      <c r="V36" s="27"/>
      <c r="W36" s="27"/>
      <c r="X36" s="27"/>
      <c r="Y36" s="27"/>
      <c r="Z36" s="27"/>
      <c r="AA36" s="27"/>
    </row>
    <row r="37" ht="538.5" hidden="1" customHeight="1" outlineLevel="1">
      <c r="A37" s="36"/>
      <c r="B37" s="36" t="str">
        <f>IFERROR(__xludf.DUMMYFUNCTION("TEXTJOIN(CHAR(10), TRUE,FILTER('Demos assignment'!$D:$D,'Demos assignment'!$G:$G=B36))"),"STIndex: A Context-Aware Multi-Dimensional Spatiotemporal Information Extraction System
Wenxiao Zhang, Yu Liu, Qiang Sun, Yihao Ding, Sirui Li, Yanbing Liu, Jin B. Hong and Wei Liu
SJBP: A Platform to Launch a Novel Jailbreak Attack on Large Language Mod"&amp;"els Based on Content's Spatial Distribution
Zhiyi Mou, Zeheng Qian, Tianfang Xiao, Wangze Ni, Weijie Sun, Lei Chen, Zhan Qin, Peng Cheng and Kui Ren
Pattern Discovery with Wide-Lens Analysis and Sharp-Focus Validation
Li Liu, Omar Alonso and Giorgio Ball"&amp;"ardin
DualMind: Towards Understanding Cognitive-Affective Cascades in Public Opinion Dissemination via Multi-Agent Simulation
Enhao Huang, Tongtong Pan, Shuhuai Zhang, Qishu Jin, Liheng Zheng, Kaichun Hu, Yiming Li, Zhan Qin and Kui Ren
RISE: A Retrieva"&amp;"l-Augmented Generation Enhanced Immersive System for Education
Guo Chen, Haowei Tang, Yan Wei, Yuming Wang, Haoyang Zhang, Yikang Hou, Maolin Zheng and Junjie Huang
PromptX: A Cognitive Agent Platform with Long-term Memory
Binhao Wang, Jianglin Huang, Xi"&amp;"ao Hu, Shan Jiang, Maolin Wang, Ching-Ho Yang, Jian Jiang, Junhao Ye, Yaozu Cen, Rui Zeng, Yingtong Zhou, Yingjie Luo, Guanjie Wu, Wangzhong Xu, Feiyu Zhou and Xiangyu Zhao
TrustResearcher: Automating Knowledge-Grounded and Transparent Research Ideation "&amp;"with Multi-Agent Collaboration
Jiawei Zhou, Ruicheng Zhu, Mengshi Chen, Jianwei Wang and Kai Wang
Multimodal Peer Review Simulation with Actionable To-Do Recommendations for Community-Aware Manuscript Revisions
Mengze Hong, Di Jiang, Weiwei Zhao, Yawen L"&amp;"i, Yihang Wang, Xinyuan Luo, Yanjie Sun and Chen Jason Zhang
")</f>
        <v>STIndex: A Context-Aware Multi-Dimensional Spatiotemporal Information Extraction System
Wenxiao Zhang, Yu Liu, Qiang Sun, Yihao Ding, Sirui Li, Yanbing Liu, Jin B. Hong and Wei Liu
SJBP: A Platform to Launch a Novel Jailbreak Attack on Large Language Models Based on Content's Spatial Distribution
Zhiyi Mou, Zeheng Qian, Tianfang Xiao, Wangze Ni, Weijie Sun, Lei Chen, Zhan Qin, Peng Cheng and Kui Ren
Pattern Discovery with Wide-Lens Analysis and Sharp-Focus Validation
Li Liu, Omar Alonso and Giorgio Ballardin
DualMind: Towards Understanding Cognitive-Affective Cascades in Public Opinion Dissemination via Multi-Agent Simulation
Enhao Huang, Tongtong Pan, Shuhuai Zhang, Qishu Jin, Liheng Zheng, Kaichun Hu, Yiming Li, Zhan Qin and Kui Ren
RISE: A Retrieval-Augmented Generation Enhanced Immersive System for Education
Guo Chen, Haowei Tang, Yan Wei, Yuming Wang, Haoyang Zhang, Yikang Hou, Maolin Zheng and Junjie Huang
PromptX: A Cognitive Agent Platform with Long-term Memory
Binhao Wang, Jianglin Huang, Xiao Hu, Shan Jiang, Maolin Wang, Ching-Ho Yang, Jian Jiang, Junhao Ye, Yaozu Cen, Rui Zeng, Yingtong Zhou, Yingjie Luo, Guanjie Wu, Wangzhong Xu, Feiyu Zhou and Xiangyu Zhao
TrustResearcher: Automating Knowledge-Grounded and Transparent Research Ideation with Multi-Agent Collaboration
Jiawei Zhou, Ruicheng Zhu, Mengshi Chen, Jianwei Wang and Kai Wang
Multimodal Peer Review Simulation with Actionable To-Do Recommendations for Community-Aware Manuscript Revisions
Mengze Hong, Di Jiang, Weiwei Zhao, Yawen Li, Yihang Wang, Xinyuan Luo, Yanjie Sun and Chen Jason Zhang
</v>
      </c>
      <c r="C37" s="36" t="str">
        <f>IFERROR(__xludf.DUMMYFUNCTION("TEXTJOIN(CHAR(10), TRUE,FILTER('ShortPapers assignment'!$E:$E,'ShortPapers assignment'!$H:$H=C36))"),"DOS: Dual-Flow Orthogonal Semantic IDs for Recommendation in Meituan
Junwei Yin, Senjie Kou, Changhao Li, Shuli Wang, Yinqiu Huang, Xue Wei, Yinhua Zhu, Haitao Wang and Xingxing Wang
RASTP: Representation-Aware Semantic Token Pruning for Generative Recom"&amp;"mendation with Semantic Identifiers
Tianyu Zhan, Kairui Fu, Zheqi Lv and Shengyu Zhang
Few-shot and Zero-shot Audience Expansion with User and Task Model Pre-training on Tabular Data
Siwei Qiang, Pengyu Li, Zhe Yu, Mengyao Sun, Jun Chen and Bo Zheng
Lea"&amp;"rning To Generate Effective Health Advertisements
Yuval Saadaty and Elad Yom-Tov
Decentralized in Name Only: The Centralization of DAO Labor
Lingling Zhang, Morteza Zihayat and Ebrahim Bagheri
A Reinforcement Learning Based Hyper-Parameter Generation Sy"&amp;"stem Guided by LLM-Powered Virtual Users
Changlin Qiu, Bang Lin, Tao Zhang and Chengfu Huo
DualGR: Generative Retrieval with Long and Short-Term Interests Modeling
Zhongchao Yi, Kai Feng, Xiaojian Ma, Yalong Wang, Yongqi Liu, Han Li, Zhengyang Zhou and Y"&amp;"ang Wang
Cascaded Verification Framework: A Progressive Approach for Mitigating Hallucinations in Large Language Models
Shu Zhou, Yufei Song, Jinman Leng, Xin Wang, Tao Fan and Hao Wang
Hidden-in-Plain-Text: A Benchmark for Social-Web Indirect Prompt In"&amp;"jection in RAG
Haoze Guo and Ziqi Wei
Activation Caching for Retrieval-Augmented Generation
Shu Zhou, Yufei Song, Jinman Leng, Xin Wang, Tao Fan and Hao Wang
PH-EMO: Decoding Emotions from the Brain Inward – EEG-Grounded Multimodal Reasoning with LLMs
K"&amp;"ehong Liu, Yang Liu and Jiming Liu
GPR: Empowering Generation with Graph-Pretrained Retriever
Xiaochen Wang, Zongyu Wu, Yuan Zhong, Xiang Zhang, Suhang Wang and Fenglong Ma
Graph Discrete Prompt Optimization for Knowledge Graph Question Answering
Wooyou"&amp;"ng Kim, Haemin Jung, Byeongjin Kim, Suhyeon Kwon and Wooju Kim
WITHDRAWN 1/29/26, email from chairs -- Exploring Latent Preference with Interest-Guided Collaborative Expansion for Multimodal Recommendation
Jiuqiang Li and Hongjun Wang
Improving the Accu"&amp;"racy of Community Detection on Signed Networks via Community Refinement and Contrastive Learning
Hyunuk Shin, Hojin Kim, Chanyoung Lee, Yeon-Chang Lee and David Yoon Suk Kang
AIMER: Affective Intention-guided Multimodal Emotion Reasoner for Visual Emotio"&amp;"n Analysis in Social Media
Yubeen Lee, Shinyu Park, Jiwon Park and Eunil Park
SIR-Teach: Student-Implicit Reward Teaching
Haochen You and Baojing Liu
Generative Retrieval for E‑commerce: Jointly Learning Embedding and Codebook with Same Product Cluster
"&amp;"Songtao Fang, Zihao Xu, Shaowei Wei, Jin Zhang and Zhuojun Wang
Rethink Web Service Resilience in Space: A Radiation-Aware and Sustainable Transmission Solution
Long Chen, Hao Fang, Yi Ching Chou, Haoyuan Zhao, Xiaoyi Fan, Zhe Chen, Hengzhi Wang and Jian"&amp;"gchuan Liu
Access Controlled Website Interaction for Agentic AI with Delegated Critical Tasks
Sunyoung Kim and Hokeun Kim
Infer As You Train: A Symmetric Paradigm of Masked Generative for Click-Through Rate Prediction
Moyu Zhang, Yujun Jin, Yun Chen, Ji"&amp;"nxin Hu, Yu Zhang and Xiaoyi Zeng
Learning Probabilistic Distributions for CTR Uncertainty
Biho Kim
Structure Over Scale: Diagnosing Liquidity Fragility in Concentrated-Liquidity AMMs
Qiangqiang Liu, Runfa Jiang, Qian Huang, Frank Fan, Kunpeng Ren and W"&amp;"ei Cai
Fedivertex: a Graph Dataset based on Decentralized Social Media
Marc Damie and Edwige Cyffers
Cost Ratio Aware Algorithm for Representative Subset Selection
Tong Cheng and Xueyan Tang
")</f>
        <v>DOS: Dual-Flow Orthogonal Semantic IDs for Recommendation in Meituan
Junwei Yin, Senjie Kou, Changhao Li, Shuli Wang, Yinqiu Huang, Xue Wei, Yinhua Zhu, Haitao Wang and Xingxing Wang
RASTP: Representation-Aware Semantic Token Pruning for Generative Recommendation with Semantic Identifiers
Tianyu Zhan, Kairui Fu, Zheqi Lv and Shengyu Zhang
Few-shot and Zero-shot Audience Expansion with User and Task Model Pre-training on Tabular Data
Siwei Qiang, Pengyu Li, Zhe Yu, Mengyao Sun, Jun Chen and Bo Zheng
Learning To Generate Effective Health Advertisements
Yuval Saadaty and Elad Yom-Tov
Decentralized in Name Only: The Centralization of DAO Labor
Lingling Zhang, Morteza Zihayat and Ebrahim Bagheri
A Reinforcement Learning Based Hyper-Parameter Generation System Guided by LLM-Powered Virtual Users
Changlin Qiu, Bang Lin, Tao Zhang and Chengfu Huo
DualGR: Generative Retrieval with Long and Short-Term Interests Modeling
Zhongchao Yi, Kai Feng, Xiaojian Ma, Yalong Wang, Yongqi Liu, Han Li, Zhengyang Zhou and Yang Wang
Cascaded Verification Framework: A Progressive Approach for Mitigating Hallucinations in Large Language Models
Shu Zhou, Yufei Song, Jinman Leng, Xin Wang, Tao Fan and Hao Wang
Hidden-in-Plain-Text: A Benchmark for Social-Web Indirect Prompt Injection in RAG
Haoze Guo and Ziqi Wei
Activation Caching for Retrieval-Augmented Generation
Shu Zhou, Yufei Song, Jinman Leng, Xin Wang, Tao Fan and Hao Wang
PH-EMO: Decoding Emotions from the Brain Inward – EEG-Grounded Multimodal Reasoning with LLMs
Kehong Liu, Yang Liu and Jiming Liu
GPR: Empowering Generation with Graph-Pretrained Retriever
Xiaochen Wang, Zongyu Wu, Yuan Zhong, Xiang Zhang, Suhang Wang and Fenglong Ma
Graph Discrete Prompt Optimization for Knowledge Graph Question Answering
Wooyoung Kim, Haemin Jung, Byeongjin Kim, Suhyeon Kwon and Wooju Kim
WITHDRAWN 1/29/26, email from chairs -- Exploring Latent Preference with Interest-Guided Collaborative Expansion for Multimodal Recommendation
Jiuqiang Li and Hongjun Wang
Improving the Accuracy of Community Detection on Signed Networks via Community Refinement and Contrastive Learning
Hyunuk Shin, Hojin Kim, Chanyoung Lee, Yeon-Chang Lee and David Yoon Suk Kang
AIMER: Affective Intention-guided Multimodal Emotion Reasoner for Visual Emotion Analysis in Social Media
Yubeen Lee, Shinyu Park, Jiwon Park and Eunil Park
SIR-Teach: Student-Implicit Reward Teaching
Haochen You and Baojing Liu
Generative Retrieval for E‑commerce: Jointly Learning Embedding and Codebook with Same Product Cluster
Songtao Fang, Zihao Xu, Shaowei Wei, Jin Zhang and Zhuojun Wang
Rethink Web Service Resilience in Space: A Radiation-Aware and Sustainable Transmission Solution
Long Chen, Hao Fang, Yi Ching Chou, Haoyuan Zhao, Xiaoyi Fan, Zhe Chen, Hengzhi Wang and Jiangchuan Liu
Access Controlled Website Interaction for Agentic AI with Delegated Critical Tasks
Sunyoung Kim and Hokeun Kim
Infer As You Train: A Symmetric Paradigm of Masked Generative for Click-Through Rate Prediction
Moyu Zhang, Yujun Jin, Yun Chen, Jinxin Hu, Yu Zhang and Xiaoyi Zeng
Learning Probabilistic Distributions for CTR Uncertainty
Biho Kim
Structure Over Scale: Diagnosing Liquidity Fragility in Concentrated-Liquidity AMMs
Qiangqiang Liu, Runfa Jiang, Qian Huang, Frank Fan, Kunpeng Ren and Wei Cai
Fedivertex: a Graph Dataset based on Decentralized Social Media
Marc Damie and Edwige Cyffers
Cost Ratio Aware Algorithm for Representative Subset Selection
Tong Cheng and Xueyan Tang
</v>
      </c>
      <c r="D37" s="36" t="str">
        <f>IFERROR(__xludf.DUMMYFUNCTION("TEXTJOIN(CHAR(10), TRUE,FILTER('Research assignment'!$D:$D,'Research assignment'!$I:$I=D36))"),"Deterring A Small Collusion is All You Need
Yotam Gafni
Analysis of CEX-DEX Arbitrage Opportunities with Hidden Markov Models
Bence Ladóczki
LiquidityPool: Game-Theoretic Analysis of Stakeholder Revenue in Ranking-Dependent DeFi
Qinde Chen, Huawei Huang"&amp;" and Jian Zheng
Allocating Chores with Restricted Additive Costs: Achieving EFX, MMS, and Efficiency Simultaneously
Zehan Lin, Xiaowei Wu and Shengwei Zhou
All-but-one MMS Allocation for Chores
Jiawei Qiu, Xiaowei Wu, Cong Zhang and Shengwei Zhou
Barte"&amp;"r Exchange with Asymmetric Item Valuations
Juan Luque, Sharmila Duppala, Michael Curry, John Dickerson
and Aravind Srinivasan
")</f>
        <v>Deterring A Small Collusion is All You Need
Yotam Gafni
Analysis of CEX-DEX Arbitrage Opportunities with Hidden Markov Models
Bence Ladóczki
LiquidityPool: Game-Theoretic Analysis of Stakeholder Revenue in Ranking-Dependent DeFi
Qinde Chen, Huawei Huang and Jian Zheng
Allocating Chores with Restricted Additive Costs: Achieving EFX, MMS, and Efficiency Simultaneously
Zehan Lin, Xiaowei Wu and Shengwei Zhou
All-but-one MMS Allocation for Chores
Jiawei Qiu, Xiaowei Wu, Cong Zhang and Shengwei Zhou
Barter Exchange with Asymmetric Item Valuations
Juan Luque, Sharmila Duppala, Michael Curry, John Dickerson
and Aravind Srinivasan
</v>
      </c>
      <c r="E37" s="36" t="str">
        <f>IFERROR(__xludf.DUMMYFUNCTION("TEXTJOIN(CHAR(10), TRUE,FILTER('Research assignment'!$D:$D,'Research assignment'!$I:$I=E36))"),"Difference-based Sample Selection for Federated Graph Rationalization
Linan Yue and Weibo Gao
Class-Domain Incremental Learning on Graphs via Disentangled Knowledge Distillation
Qin Tian, Chen Zhao, Xintao Wu, Dong Li, Minglai Shao,
Xujiang Zhao and Wenj"&amp;"un Wang
Exploring Sequential Dynamics on Temporal Graphs via Composite Filtering
Yuanyuan Xu, Danni Wu, Xuemin Lin, Dong Wen, Wenjie Zhang,
Lei Chen and Ying Zhang
Maximum Edge-based Quasi-Clique: Novel Iterative Frameworks
Hongbo Xia, Shengxin Liu and "&amp;"Zhaoquan Gu
Scalable and Provable Biclique-Preserving Clustering: The Power of Counting-based Approaches
Longlong Lin, Zeli Wang, Rong-Hua Li, Xiaohai Dai, Li Ni
and Jin Zhao
Graph Diffusion Evolution Model for Multi-Conditional Molecular Generation
Xin"&amp;"gcheng Fu, Lingyun Liu, Yisen Gao, Tianyu Chen, Qingyun
Sun, Jianxin Li and Xianxian Li
Integrated Mixture of Neighborhood and Community Experts for Graph-Based Fraud Detection
Zhizhi Yu, Di Jin, Dongxiao He, Wenhuan Lu and Jianguo Wei
FeedGuard: Online"&amp;" Critic-Guided Reinforcement Learning with Privacy-Preserving Feedback for Recommendation
Mengying Zhu, Feiyue Chen, Lifan Jiang, Mengyuan Yang,
Yangyang Wu, Guanjie Cheng and Xiaolin Zheng
HomeRun: Performing Curveball Trades quasi in Streaming for Fast"&amp;" Null Modeling of Graphs, Hypergraphs, and Binary Matrices
Michelle Contreras-Catalan and Matteo Riondato
")</f>
        <v>Difference-based Sample Selection for Federated Graph Rationalization
Linan Yue and Weibo Gao
Class-Domain Incremental Learning on Graphs via Disentangled Knowledge Distillation
Qin Tian, Chen Zhao, Xintao Wu, Dong Li, Minglai Shao,
Xujiang Zhao and Wenjun Wang
Exploring Sequential Dynamics on Temporal Graphs via Composite Filtering
Yuanyuan Xu, Danni Wu, Xuemin Lin, Dong Wen, Wenjie Zhang,
Lei Chen and Ying Zhang
Maximum Edge-based Quasi-Clique: Novel Iterative Frameworks
Hongbo Xia, Shengxin Liu and Zhaoquan Gu
Scalable and Provable Biclique-Preserving Clustering: The Power of Counting-based Approaches
Longlong Lin, Zeli Wang, Rong-Hua Li, Xiaohai Dai, Li Ni
and Jin Zhao
Graph Diffusion Evolution Model for Multi-Conditional Molecular Generation
Xingcheng Fu, Lingyun Liu, Yisen Gao, Tianyu Chen, Qingyun
Sun, Jianxin Li and Xianxian Li
Integrated Mixture of Neighborhood and Community Experts for Graph-Based Fraud Detection
Zhizhi Yu, Di Jin, Dongxiao He, Wenhuan Lu and Jianguo Wei
FeedGuard: Online Critic-Guided Reinforcement Learning with Privacy-Preserving Feedback for Recommendation
Mengying Zhu, Feiyue Chen, Lifan Jiang, Mengyuan Yang,
Yangyang Wu, Guanjie Cheng and Xiaolin Zheng
HomeRun: Performing Curveball Trades quasi in Streaming for Fast Null Modeling of Graphs, Hypergraphs, and Binary Matrices
Michelle Contreras-Catalan and Matteo Riondato
</v>
      </c>
      <c r="F37" s="36" t="str">
        <f>IFERROR(__xludf.DUMMYFUNCTION("TEXTJOIN(CHAR(10), TRUE,FILTER('Research assignment'!$D:$D,'Research assignment'!$I:$I=F36))"),"What Should I Cite? A RAG Benchmark for Academic Citation Prediction
Leqi Zheng, Jiajun Zhang, Canzhi Chen, Chaokun Wang,
Hongwei Li, Yuying Li, Yaoxin Mao, Shannan Yan, Zixin Song,
Zhiyuan Feng, Zhaolu Kang, Zirong Chen, Hang Zhang, Qiang
Liu, Liang Wang"&amp;" and Ziyang Liu
Med-R$^2$: Crafting Trustworthy LLM Physicians via Retrieval and Reasoning of Evidence-Based Medicine
Lu Keer, Zheng Liang, Da Pan, Shusen Zhang, Guosheng Dong,
Huang Leng, Bin Cui, Zhonghai Wu and Wentao Zhang
Generalized Pseudo-Relevan"&amp;"ce Feedback
Yiteng Tu, Weihang Su, Yujia Zhou, Yiqun Liu, Fen Lin, Qin
Liu and Qingyao Ai
Rethinking the Hidden Risk of Reranking: Achieving Risk-aware Reranking with Information Gain for RAG with LLMs
Zhizhao Liu, Zhihua Wen, Zhiliang Tian, Zhen Huang,
"&amp;"Miaorong Zhu, Zimian Wei, Yifu Gao, Liang Ding and
Dongsheng Li
NeocorRAG: Less Irrelevant Information, More Explicit Evidence, and More Effective Recall via Evidence Chains
Shiyao Peng, Qianhe Zheng, Zhuodi Hao, Zichen Tang, Rongjin
Li, Qing Huang, Jiay"&amp;"u Huang, Jiacheng Liu, Yifan Zhu and
Haihong E
Pedestrian-Centric Discriminative and Fine-grained Semantic Mining for Text-based Person Retrieval
Yuheng Liang, Haipeng Chen, Yu Liu, Yingda Lyu and Xue Wang
")</f>
        <v>What Should I Cite? A RAG Benchmark for Academic Citation Prediction
Leqi Zheng, Jiajun Zhang, Canzhi Chen, Chaokun Wang,
Hongwei Li, Yuying Li, Yaoxin Mao, Shannan Yan, Zixin Song,
Zhiyuan Feng, Zhaolu Kang, Zirong Chen, Hang Zhang, Qiang
Liu, Liang Wang and Ziyang Liu
Med-R$^2$: Crafting Trustworthy LLM Physicians via Retrieval and Reasoning of Evidence-Based Medicine
Lu Keer, Zheng Liang, Da Pan, Shusen Zhang, Guosheng Dong,
Huang Leng, Bin Cui, Zhonghai Wu and Wentao Zhang
Generalized Pseudo-Relevance Feedback
Yiteng Tu, Weihang Su, Yujia Zhou, Yiqun Liu, Fen Lin, Qin
Liu and Qingyao Ai
Rethinking the Hidden Risk of Reranking: Achieving Risk-aware Reranking with Information Gain for RAG with LLMs
Zhizhao Liu, Zhihua Wen, Zhiliang Tian, Zhen Huang,
Miaorong Zhu, Zimian Wei, Yifu Gao, Liang Ding and
Dongsheng Li
NeocorRAG: Less Irrelevant Information, More Explicit Evidence, and More Effective Recall via Evidence Chains
Shiyao Peng, Qianhe Zheng, Zhuodi Hao, Zichen Tang, Rongjin
Li, Qing Huang, Jiayu Huang, Jiacheng Liu, Yifan Zhu and
Haihong E
Pedestrian-Centric Discriminative and Fine-grained Semantic Mining for Text-based Person Retrieval
Yuheng Liang, Haipeng Chen, Yu Liu, Yingda Lyu and Xue Wang
</v>
      </c>
      <c r="G37" s="36" t="str">
        <f>IFERROR(__xludf.DUMMYFUNCTION("TEXTJOIN(CHAR(10), TRUE,FILTER('Research assignment'!$D:$D,'Research assignment'!$I:$I=G36))"),"Bridging Expert Reasoning and LLM Detection: A Knowledge-Driven Framework for Malicious Packages
Wenbo Guo, Shiwen Song, Jiaxun Guo, Zhengzi Xu, Chengwei
Liu, Haoran Ou, Mengmeng Ge and Yang Liu
HingeMem: Boundary Guided Long-Term Memory with Query Adapt"&amp;"ive Retrieval for Scalable Dialogues
Yijie Zhong, Yunfan Gao and Haofen Wang
LHG: LLM-enhanced and Heterogeneous Graph-induced for Unsupervised Social Event Detection
Zitai Qiu, Rongwei Xu, Congbo Ma, Shan Xue, Jian Yang,
Guanfeng Liu, Quan Z. Sheng, Ami"&amp;"n Beheshti and Jia Wu
Decoding Web Memorization: A Semantic Membership Inference Attack on LLMs
Zhiyao Wu, Zi Liang and Haibo Hu
Bridging Semantic Understanding and Popularity Bias with LLMs
Renqiang Luo, Dong Zhang, Yupeng Gao, Wen Shi, Mingliang
Hou, "&amp;"Jiaying Liu, Zhe Wang and Shuo Yu
Simple-Sampling and Hard-Mixup with Prototypes to Rebalance Contrastive Learning for Text Classification
Mengyu Li, Yonghao Liu, Fausto Giunchiglia, Ximing Li,
Xiaoyue Feng and Renchu Guan
Traceable Latent Variable Disc"&amp;"overy Based on Multi-Agent Collaboration
Huaming Du, Tao Hu, Yijie Huang, Yu Zhao, Guisong Liu, Tao
Gu, Gang Kou and Carl Yang
DyLogNet: A Dynamic Multi-Relational Graph Framework for Log Anomaly Detection
Xudong Zhao, Xiaolong Xu, Haolong Xiang, Tong Ga"&amp;"o, Lianyong
Qi, Amin Beheshti, Xuyun Zhang and Wanchun Dou
")</f>
        <v>Bridging Expert Reasoning and LLM Detection: A Knowledge-Driven Framework for Malicious Packages
Wenbo Guo, Shiwen Song, Jiaxun Guo, Zhengzi Xu, Chengwei
Liu, Haoran Ou, Mengmeng Ge and Yang Liu
HingeMem: Boundary Guided Long-Term Memory with Query Adaptive Retrieval for Scalable Dialogues
Yijie Zhong, Yunfan Gao and Haofen Wang
LHG: LLM-enhanced and Heterogeneous Graph-induced for Unsupervised Social Event Detection
Zitai Qiu, Rongwei Xu, Congbo Ma, Shan Xue, Jian Yang,
Guanfeng Liu, Quan Z. Sheng, Amin Beheshti and Jia Wu
Decoding Web Memorization: A Semantic Membership Inference Attack on LLMs
Zhiyao Wu, Zi Liang and Haibo Hu
Bridging Semantic Understanding and Popularity Bias with LLMs
Renqiang Luo, Dong Zhang, Yupeng Gao, Wen Shi, Mingliang
Hou, Jiaying Liu, Zhe Wang and Shuo Yu
Simple-Sampling and Hard-Mixup with Prototypes to Rebalance Contrastive Learning for Text Classification
Mengyu Li, Yonghao Liu, Fausto Giunchiglia, Ximing Li,
Xiaoyue Feng and Renchu Guan
Traceable Latent Variable Discovery Based on Multi-Agent Collaboration
Huaming Du, Tao Hu, Yijie Huang, Yu Zhao, Guisong Liu, Tao
Gu, Gang Kou and Carl Yang
DyLogNet: A Dynamic Multi-Relational Graph Framework for Log Anomaly Detection
Xudong Zhao, Xiaolong Xu, Haolong Xiang, Tong Gao, Lianyong
Qi, Amin Beheshti, Xuyun Zhang and Wanchun Dou
</v>
      </c>
      <c r="H37" s="36" t="str">
        <f>IFERROR(__xludf.DUMMYFUNCTION("TEXTJOIN(CHAR(10), TRUE,FILTER('Research assignment'!$D:$D,'Research assignment'!$I:$I=H36))"),"SIsomap: Secure Collaborative Manifold Learning with Reducing Communication Costs
Peizhao Zhou, Xiaojie Guo, Pinzhi Chen, Ranyang Liu, Lihai
Nie, Tong Li and Zheli Liu
PrivSplit: A Lossless Method for Prompt Privacy in Distributed Parameter-Efficient Fin"&amp;"e-Tuning
Wujia Niu, Lan Zhang, Haoran Cheng and Shen Li
TGNN: Enhancing Pixel Tracking Detection via LLM-driven Annotation and GAT-powered Structural Representation
Shenping Xiong, Xutong Wang, Ze Jin, Xinyu Liu, Haoqiang
Wang, Zhen Chen, Ru Tan and Qixu"&amp;" Liu
DiSCoQR: Diffusion-Driven Semantic Compression for Robust Image Steganography in Standard QR Codes
Lijing Ren and Denghui Zhang
Netting Phish in the IPFS Ocean: Real-Time Monitoring and Characterization of Decentralized Phishing Campaigns
Anas Kast"&amp;"antin, Leonhard Balduf, Onur Ascigil, Saidu
Sokoto, Björn Scheuermann, Andrzej Duda, Michał Król and
Maciej Korczyński
FraudShield: Knowledge Graph Empowered Defense for LLMs against Fraud Attacks
Naen Xu, Jinghuai Zhang, Ping He, Chunyi Zhou, Jun Wang,
"&amp;"Zhihui Fu, Tianyu Du, Zhaoxiang Wang and Shouling Ji
HyperDetector: Advanced Persistent Threat Detection via Hypergraph Neural Networks with Enhanced Global Perception
Ziyue Wu, Nan Wang, Jiqiang Liu, Hairong Dong and Xibin Zhao
Privacy-Friendly Adaptat"&amp;"ion of Vision Transformers for Communication and Latency-Efficient Private Inference
Zhi Pang, Bo Feng, Meng Luo, Chenhao Liu, Shuwang Xu, Kai
Zhao, Yadi Wu and Bo Zeng
MGFFD-VLM: Multi-Granularity Prompt Learning for Face Forgery Detection with VLM
Tao "&amp;"Chen, Jingyi Zhang, Decheng Liu and Chunlei Peng
")</f>
        <v>SIsomap: Secure Collaborative Manifold Learning with Reducing Communication Costs
Peizhao Zhou, Xiaojie Guo, Pinzhi Chen, Ranyang Liu, Lihai
Nie, Tong Li and Zheli Liu
PrivSplit: A Lossless Method for Prompt Privacy in Distributed Parameter-Efficient Fine-Tuning
Wujia Niu, Lan Zhang, Haoran Cheng and Shen Li
TGNN: Enhancing Pixel Tracking Detection via LLM-driven Annotation and GAT-powered Structural Representation
Shenping Xiong, Xutong Wang, Ze Jin, Xinyu Liu, Haoqiang
Wang, Zhen Chen, Ru Tan and Qixu Liu
DiSCoQR: Diffusion-Driven Semantic Compression for Robust Image Steganography in Standard QR Codes
Lijing Ren and Denghui Zhang
Netting Phish in the IPFS Ocean: Real-Time Monitoring and Characterization of Decentralized Phishing Campaigns
Anas Kastantin, Leonhard Balduf, Onur Ascigil, Saidu
Sokoto, Björn Scheuermann, Andrzej Duda, Michał Król and
Maciej Korczyński
FraudShield: Knowledge Graph Empowered Defense for LLMs against Fraud Attacks
Naen Xu, Jinghuai Zhang, Ping He, Chunyi Zhou, Jun Wang,
Zhihui Fu, Tianyu Du, Zhaoxiang Wang and Shouling Ji
HyperDetector: Advanced Persistent Threat Detection via Hypergraph Neural Networks with Enhanced Global Perception
Ziyue Wu, Nan Wang, Jiqiang Liu, Hairong Dong and Xibin Zhao
Privacy-Friendly Adaptation of Vision Transformers for Communication and Latency-Efficient Private Inference
Zhi Pang, Bo Feng, Meng Luo, Chenhao Liu, Shuwang Xu, Kai
Zhao, Yadi Wu and Bo Zeng
MGFFD-VLM: Multi-Granularity Prompt Learning for Face Forgery Detection with VLM
Tao Chen, Jingyi Zhang, Decheng Liu and Chunlei Peng
</v>
      </c>
      <c r="I37" s="36" t="str">
        <f>IFERROR(__xludf.DUMMYFUNCTION("TEXTJOIN(CHAR(10), TRUE,FILTER('Research assignment'!$D:$D,'Research assignment'!$I:$I=I36))"),"Collusion-Aware Set-level Learning Framework for Detecting Spamming Activities
Yuli Liu
The Devil Within, The Cure Without: Securing Locally Private Graph Learning under Poisoning
Longzhu He, Peng Tang, Li Sun and Sen Su
H-NeiFi: Non-Invasive and Consen"&amp;"sus-Efficient Multi-Agent Opinion Guidance
Shijun Guo, Haoran Xu, Yaming Yang, Ziyu Guan, Wei Zhao,
Zhang Xinyi and Song Yishan
FairGE: Fairness-Aware Graph Encoding in Incomplete Social Networks
Renqiang Luo, Huafei Huang, Tao Tang, Jing Ren, Ziqi Xu,
M"&amp;"ingliang Hou, Enyan Dai and Feng Xia
Explaining Synergistic Effects in Social Recommendations
Yicong Li, Shan Jin, Qi Liu, Shuo Wang, Jiaying Liu, Shuo
Yu, Qiang Zhang, Kuanjiu Zhou and Feng Xia
Graph Adversarial Defense via Hilbert-Schmidt Independence"&amp;" Criterion against Influence Maximization Attacks
Yuxing Guo, Jianqing Liang, Kaixuan Yao, Zhihao Guo and
Jiye Liang
")</f>
        <v>Collusion-Aware Set-level Learning Framework for Detecting Spamming Activities
Yuli Liu
The Devil Within, The Cure Without: Securing Locally Private Graph Learning under Poisoning
Longzhu He, Peng Tang, Li Sun and Sen Su
H-NeiFi: Non-Invasive and Consensus-Efficient Multi-Agent Opinion Guidance
Shijun Guo, Haoran Xu, Yaming Yang, Ziyu Guan, Wei Zhao,
Zhang Xinyi and Song Yishan
FairGE: Fairness-Aware Graph Encoding in Incomplete Social Networks
Renqiang Luo, Huafei Huang, Tao Tang, Jing Ren, Ziqi Xu,
Mingliang Hou, Enyan Dai and Feng Xia
Explaining Synergistic Effects in Social Recommendations
Yicong Li, Shan Jin, Qi Liu, Shuo Wang, Jiaying Liu, Shuo
Yu, Qiang Zhang, Kuanjiu Zhou and Feng Xia
Graph Adversarial Defense via Hilbert-Schmidt Independence Criterion against Influence Maximization Attacks
Yuxing Guo, Jianqing Liang, Kaixuan Yao, Zhihao Guo and
Jiye Liang
</v>
      </c>
      <c r="J37" s="36" t="str">
        <f>IFERROR(__xludf.DUMMYFUNCTION("TEXTJOIN(CHAR(10), TRUE,FILTER('Research assignment'!$D:$D,'Research assignment'!$I:$I=J36))"),"Smaller but Better: ​​Plasticity-Preserving Continual Learning for Embedded AI​
Chenxin Mao, Haibo Liu, Zhenzhe Zheng, Fan Wu and Guihai
Chen
Macro-Micro Collaborative Learning for Logical Data Center Microservice Indicators Forecasting
Mohan Gao, Zhemen"&amp;"g Yu, Yang Luo, Lintao Ma, Yinbo Sun,
Yuchen Fang and Xiaofeng Gao
Task-Aware Cloud-End Offloading for Vision-Language Model Serving via Dynamic Modality-Specific Adapter Scheduling
Zian Wang, Ziyi Wang, Jie Xing, Yaya Wei, Ziyan Zhong and
Lanshan Zhang
"&amp;"
SkyCL: Swift Continuous Learning with Kinship-Awareness for Multi-Drone Video Analytics under Drastic Drift
Yuanzheng Tan, Qing Li, Jiaqi Cui, Jun Peng, Gareth Tyson,
Zhenhui Yuan, Tingting Yang and Yong Jiang
Meteor: High-Performance Control Message De"&amp;"livery for Large-Scale Clouds
Gongming Zhao, Baoqing Wang, Min Chen, Hongli Xu, Jiawei
Liu, Xuwei Yang, Liguang Xie, Yongqiang Yang and Ying Xiong
MASI: Memory-Adaptive Inference Framework for Spiking Neural Networks on Edge Devices
Di Yu, Helin Zheng, C"&amp;"hangze Lv, Xin Du, Linshan Jiang,
Xiang Liu, Gang Pan and Shuiguang Deng
FedRGL: Federated Riemannian Graph Learning in Mixed-Curvature Spaces with Ricci-Gated Convolution
Haizhou Du, Haolin Wu, Zijie Zhu and Zicheng Shi
MoE-LC: General-Purpose Lossless"&amp;" Compression for Multi-modal Data via Entropy-Aware Multi-Experts
Zeyi Lu, Xiaoxiao Ma, Yujun Huang, Minxiao Chen, Bin Chen
and Shu-Tao Xia
")</f>
        <v>Smaller but Better: ​​Plasticity-Preserving Continual Learning for Embedded AI​
Chenxin Mao, Haibo Liu, Zhenzhe Zheng, Fan Wu and Guihai
Chen
Macro-Micro Collaborative Learning for Logical Data Center Microservice Indicators Forecasting
Mohan Gao, Zhemeng Yu, Yang Luo, Lintao Ma, Yinbo Sun,
Yuchen Fang and Xiaofeng Gao
Task-Aware Cloud-End Offloading for Vision-Language Model Serving via Dynamic Modality-Specific Adapter Scheduling
Zian Wang, Ziyi Wang, Jie Xing, Yaya Wei, Ziyan Zhong and
Lanshan Zhang
SkyCL: Swift Continuous Learning with Kinship-Awareness for Multi-Drone Video Analytics under Drastic Drift
Yuanzheng Tan, Qing Li, Jiaqi Cui, Jun Peng, Gareth Tyson,
Zhenhui Yuan, Tingting Yang and Yong Jiang
Meteor: High-Performance Control Message Delivery for Large-Scale Clouds
Gongming Zhao, Baoqing Wang, Min Chen, Hongli Xu, Jiawei
Liu, Xuwei Yang, Liguang Xie, Yongqiang Yang and Ying Xiong
MASI: Memory-Adaptive Inference Framework for Spiking Neural Networks on Edge Devices
Di Yu, Helin Zheng, Changze Lv, Xin Du, Linshan Jiang,
Xiang Liu, Gang Pan and Shuiguang Deng
FedRGL: Federated Riemannian Graph Learning in Mixed-Curvature Spaces with Ricci-Gated Convolution
Haizhou Du, Haolin Wu, Zijie Zhu and Zicheng Shi
MoE-LC: General-Purpose Lossless Compression for Multi-modal Data via Entropy-Aware Multi-Experts
Zeyi Lu, Xiaoxiao Ma, Yujun Huang, Minxiao Chen, Bin Chen
and Shu-Tao Xia
</v>
      </c>
      <c r="K37" s="36" t="str">
        <f>IFERROR(__xludf.DUMMYFUNCTION("TEXTJOIN(CHAR(10), TRUE,FILTER('Research assignment'!$D:$D,'Research assignment'!$I:$I=K36))"),"Quantum-enhanced Representation Learning and Matching Learning for Recommendation
Anchen Li and Elena Casiraghi
From Entity Reliability to Clean Feedback: An Entity-Aware Denoising Framework Beyond Interaction-Level Signals
Ze Liu, Xianquan Wang, Shuoche"&amp;"n Liu, Jie Ma, Huibo Xu,
Yupeng Han, Kai Zhang and Jun Zhou
Thorki: Decoupling General and Personalized Knowledge with Collaborative Fusion for Personalized Federated Learning
Qiang He, Rui Chen, Yicheng Liu, Sheng Zhong, Haipeng Dai,
Feifei Chen, Hai Ji"&amp;"n and Yun Yang
Large Language Models-Enhanced Semantic Diffusion for User-Centric Recommendation
Xian Mo, Yijun Hu and Jun Pang
Not All Information Brings Benefits: Personalization-Driven Agent Debate for Conversational Recommendation
Pengfei Zhang, Guo"&amp;"jia An, Jin Huang, Yuhan Yang, Yang Yang
and Jie Zou
FairFS: Addressing Deep Feature Selection Biases for Recommender System
Xianquan Wang, Zhaocheng Du, Jieming Zhu, Qinglin Jia,
Zhenhua Dong and Kai Zhang
Tail-Aware Data Augmentation for Long-Tail Seq"&amp;"uential Recommendation
Yizhou Dang, Zhifu Wei, Minhan Huang, Lianbo Ma, Jianzhe
Zhao, Guibing Guo and Xingwei Wang
Off-Policy Learning with Limited Supply
Koichi Tanaka, Ren Kishimoto, Bushun Kawagishi, Yusuke
Narita, Yasuo Yamamoto, Nobuyuki Shimizu and"&amp;" Yuta Saito
S2CDR: Smoothing-Sharpening Process Model for Cross-Domain Recommendation
Xiaodong Li, Juwei Yue, Xinghua Zhang, Jiawei Sheng,
Wenyuan Zhang, Taoyu Su, Zefeng Zhang and Tingwen Liu
Multi-view Semantic Contrastive Alignment for Multimodal Rec"&amp;"ommendation
Jiuqiang Li and Hongjun Wang
pFedDKS: Detached Knowledge Sharing for Personalized Federated Learning
Haozhao Wang, Wenchao Xu, Jingzhi Wang, Yunfeng Fan,
Xiaoquan Yi and Rui Zhang
Adaptive Contrastive Learning in Sequential Recommendation ba"&amp;"sed on Perturbation and Restoration Networks
Yanbo Zhou, Bin Lü, Xu-Hua Yang, Xin-Li Xu and Boling Wang
")</f>
        <v>Quantum-enhanced Representation Learning and Matching Learning for Recommendation
Anchen Li and Elena Casiraghi
From Entity Reliability to Clean Feedback: An Entity-Aware Denoising Framework Beyond Interaction-Level Signals
Ze Liu, Xianquan Wang, Shuochen Liu, Jie Ma, Huibo Xu,
Yupeng Han, Kai Zhang and Jun Zhou
Thorki: Decoupling General and Personalized Knowledge with Collaborative Fusion for Personalized Federated Learning
Qiang He, Rui Chen, Yicheng Liu, Sheng Zhong, Haipeng Dai,
Feifei Chen, Hai Jin and Yun Yang
Large Language Models-Enhanced Semantic Diffusion for User-Centric Recommendation
Xian Mo, Yijun Hu and Jun Pang
Not All Information Brings Benefits: Personalization-Driven Agent Debate for Conversational Recommendation
Pengfei Zhang, Guojia An, Jin Huang, Yuhan Yang, Yang Yang
and Jie Zou
FairFS: Addressing Deep Feature Selection Biases for Recommender System
Xianquan Wang, Zhaocheng Du, Jieming Zhu, Qinglin Jia,
Zhenhua Dong and Kai Zhang
Tail-Aware Data Augmentation for Long-Tail Sequential Recommendation
Yizhou Dang, Zhifu Wei, Minhan Huang, Lianbo Ma, Jianzhe
Zhao, Guibing Guo and Xingwei Wang
Off-Policy Learning with Limited Supply
Koichi Tanaka, Ren Kishimoto, Bushun Kawagishi, Yusuke
Narita, Yasuo Yamamoto, Nobuyuki Shimizu and Yuta Saito
S2CDR: Smoothing-Sharpening Process Model for Cross-Domain Recommendation
Xiaodong Li, Juwei Yue, Xinghua Zhang, Jiawei Sheng,
Wenyuan Zhang, Taoyu Su, Zefeng Zhang and Tingwen Liu
Multi-view Semantic Contrastive Alignment for Multimodal Recommendation
Jiuqiang Li and Hongjun Wang
pFedDKS: Detached Knowledge Sharing for Personalized Federated Learning
Haozhao Wang, Wenchao Xu, Jingzhi Wang, Yunfeng Fan,
Xiaoquan Yi and Rui Zhang
Adaptive Contrastive Learning in Sequential Recommendation based on Perturbation and Restoration Networks
Yanbo Zhou, Bin Lü, Xu-Hua Yang, Xin-Li Xu and Boling Wang
</v>
      </c>
      <c r="L37" s="36" t="str">
        <f>IFERROR(__xludf.DUMMYFUNCTION("TEXTJOIN(CHAR(10), TRUE,FILTER('Research assignment'!$D:$D,'Research assignment'!$I:$I=L36))"),"EIAN: Explicit Interaction-aware Attention Network for Interpretable Event Modeling
Jiping Zhang, Hua Zhu, Hong Huang, Yongkang Zhou, Kehan Yin
and Bang Liu
Cardinality is Not Enough: Super Host Detection via Segmented Cardinality Estimation
Yilin Zhao, "&amp;"Jiawei Huang, Xianshi Su, Weihe Li, Xin Li, Yan
Liu, Jiacheng Xie, Qichen Su, Jin Ye, Wanchun Jiang and
Jianxin Wang
Dynamic Prototype-Augmented Stance Detection: Learning from the Seen to Reason about the Unseen
Zhaodan Zhang, Jin Zhang and Jiafeng Guo
"&amp;"
Triple-R: Iterative Query Rewriting and Refinement for Retrieval-Augmented Fake News Detection
Jie Li, Jinrui Wang, Linmei Hu and Yuqiu Deng
Expectation-Maximization Driven Contrastive Disentanglement for Generalized Category Discovery
Weiyi Yang, Richo"&amp;"ng Zhang, Junfan Chen, Jiawei Sheng and
Lihong Wang
KMLP: A Scalable Hybrid Architecture for Web-Scale Tabular Data Modeling
Mingming Zhang, Pengfei Shi, Junbo Zhao, Ningtao Wang, Feng
Zhao, Guandong Sun, Yulin Kang, Xing Fu, Zhiqing Xiao,
Weiqiang Wang "&amp;"and Ruizhe Gao
Measuring and Enhancing Human Value Alignment in Zero-Shot Document-Level Claim Extraction
Yuanzhen Hao and Desheng Wu
")</f>
        <v>EIAN: Explicit Interaction-aware Attention Network for Interpretable Event Modeling
Jiping Zhang, Hua Zhu, Hong Huang, Yongkang Zhou, Kehan Yin
and Bang Liu
Cardinality is Not Enough: Super Host Detection via Segmented Cardinality Estimation
Yilin Zhao, Jiawei Huang, Xianshi Su, Weihe Li, Xin Li, Yan
Liu, Jiacheng Xie, Qichen Su, Jin Ye, Wanchun Jiang and
Jianxin Wang
Dynamic Prototype-Augmented Stance Detection: Learning from the Seen to Reason about the Unseen
Zhaodan Zhang, Jin Zhang and Jiafeng Guo
Triple-R: Iterative Query Rewriting and Refinement for Retrieval-Augmented Fake News Detection
Jie Li, Jinrui Wang, Linmei Hu and Yuqiu Deng
Expectation-Maximization Driven Contrastive Disentanglement for Generalized Category Discovery
Weiyi Yang, Richong Zhang, Junfan Chen, Jiawei Sheng and
Lihong Wang
KMLP: A Scalable Hybrid Architecture for Web-Scale Tabular Data Modeling
Mingming Zhang, Pengfei Shi, Junbo Zhao, Ningtao Wang, Feng
Zhao, Guandong Sun, Yulin Kang, Xing Fu, Zhiqing Xiao,
Weiqiang Wang and Ruizhe Gao
Measuring and Enhancing Human Value Alignment in Zero-Shot Document-Level Claim Extraction
Yuanzhen Hao and Desheng Wu
</v>
      </c>
      <c r="M37" s="36" t="str">
        <f>IFERROR(__xludf.DUMMYFUNCTION("TEXTJOIN(CHAR(10), TRUE,FILTER('Industry assignment'!$D:$D,'Industry assignment'!$I:$I=M36))"),"OpenDigger: A Practical Framework for Assessing Community Health and Sustainability in Open Source Collaboration Platforms
Wei Wang, Fanyu Han, Shengyu Zhao, Xuan Zhou, Weining Qian, Aoying Zhou, Xiaoya Xia, Liyun Yang, Rong Wang, Ning Jiang and Moming Du"&amp;"an
Bridging Visual Dynamics and Narrative Reasoning: Multimodal Large Language Models for Short Drama Quality Assessment
Qingyang Liu, Jiangtong Li, Zelin Peng, Shaobo Wang, Zhaohe Liao, Shuochen Chang, Bingjie Gao, Haonan Zhao, Mu Liu, Jidong Jiang and "&amp;"Li Niu
Not All Candidates are Created Equal: A Heterogeneity-Aware Approach to Pre-ranking in Recommender Systems
Pengfei Tong, Siyuan Chen, Chenwei Zhang, Bo Wang, Qi Pi, Pixun Li and Zuotao Liu
Unbiased Multimodal Reranking for Long-Tail Short-Video S"&amp;"earch
Wenyi Xu, Feiran Zhu, Songyang Li, Renzhe Zhou, Chao Zhang, ChengLei Dai, Yuren Mao, Yunjun Gao and Yi Zhang
")</f>
        <v>OpenDigger: A Practical Framework for Assessing Community Health and Sustainability in Open Source Collaboration Platforms
Wei Wang, Fanyu Han, Shengyu Zhao, Xuan Zhou, Weining Qian, Aoying Zhou, Xiaoya Xia, Liyun Yang, Rong Wang, Ning Jiang and Moming Duan
Bridging Visual Dynamics and Narrative Reasoning: Multimodal Large Language Models for Short Drama Quality Assessment
Qingyang Liu, Jiangtong Li, Zelin Peng, Shaobo Wang, Zhaohe Liao, Shuochen Chang, Bingjie Gao, Haonan Zhao, Mu Liu, Jidong Jiang and Li Niu
Not All Candidates are Created Equal: A Heterogeneity-Aware Approach to Pre-ranking in Recommender Systems
Pengfei Tong, Siyuan Chen, Chenwei Zhang, Bo Wang, Qi Pi, Pixun Li and Zuotao Liu
Unbiased Multimodal Reranking for Long-Tail Short-Video Search
Wenyi Xu, Feiran Zhu, Songyang Li, Renzhe Zhou, Chao Zhang, ChengLei Dai, Yuren Mao, Yunjun Gao and Yi Zhang
</v>
      </c>
      <c r="N37" s="36" t="str">
        <f>IFERROR(__xludf.DUMMYFUNCTION("TEXTJOIN(CHAR(10), TRUE,FILTER('Web4Good assignment'!$D:$D,'Web4Good assignment'!$I:$I=N36))"),"The Chatbot Knows It’s You: Dialogue Attribution in Unauthenticated Human–LLM Sessions
Wenxuan Wang, Zirui Liu, Haoxuan Kou, Xuefeng Liu and Jiaxing Shen
Toward Green Computing: General Carbon Intensity Forecasting via Dual Graph Empowered Time Series Fo"&amp;"undation Model
Xiaoyang Zhang, Taiqi Zhou, Fang He, Yang Deng and Dan Wang
Egocentric Co-Pilot: Web-Native Smart-Glasses Agents for Assistive Egocentric AI
Sicheng Yang, Yukai Huang, Weitong Cai, Shitong Sun, Fengyi Fang, You He, Yiqiao Xie, Jiankang Den"&amp;"g, Hang Zhang, Jifei Song and Zhensong Zhang
Green Industrial Engineering on the Web: Agent-Driven Ant Colony Optimization Tuning for Energy-Efficient 3D Pipe Routing
Xuanhan Fan, Rui Ding, Haojie Liu, Jibin Zhou, Han Liu, Yuanman Li, Wei Wang and Mao Ye"&amp;"
Dynamic Min-Max Multi-Dimensional Reinforcement Backdoor Attacks and Orchestrated Closed-Loop Defense in Fairness-Aware Web Federated Finance
Ruixiao Zhu, Kun Zhu, Nana Zhang, Qi Zhang and Changjun Jiang
MultiHateLoc: Towards Temporal Localisation of M"&amp;"ultimodal Hate Content in Online Videos
Qiyue Sun, Tailin Chen, Yinghui Zhang, Yuchen Zhang, Jiangbei Yue, Jianbo Jiao and Zeyu Fu
'They've Stolen My GPL-Licensed Model!': Toward Standardized and Transparent Model Licensing
Moming Duan, Rui Zhao, Linshan"&amp;" Jiang, Nigel Shadbolt and Bingsheng He
Community Fact-Checks Do Not Break Follower Loyalty
Michelle Bobek and Nicolas Pröllochs
Fair and Carbon-Aware LLM Routing for Web Services
Tingting Li, Ziming Zhao, Zhaoxuan Li, Xiaofei Yue and Jiongchi Yu
Towar"&amp;"ds Fair Large Language Model-based Recommender Systems without Costly Retraining
Jin Li, Huilin Gu, Shoujin Wang, Qi Zhang, Shui Yu, Chen Wang, Xiwei Xu and Fang Chen
Enhancing Rare Event Detection via Counterfactual Generation with Exogenous Variables
L"&amp;"ili Tian, Dehui Du and Yikang Chen
coTherapist: A Behavior-Aligned Small Language Model Framework to Support Mental Healthcare Experts
Prottay Kumar Adhikary, Reena Rawat and Tanmoy Chakraborty
Debating Truth: Debate-driven Claim Verification with Multi"&amp;"ple Large Language Model Agents
Haorui He, Yupeng Li, Dacheng Wen, Yang Chen, Reynold Cheng, Donglong Chen and Francis C. M. Lau
Sustainable and Responsible ECG-Based AI Diagnostics: Masked Frequency Reconstruction with Peak-Aware Transformers
Wei Wang, "&amp;"Jian Chen, Junxin Chen, Zeling Xu, Yuntao Zou and Henry H. Y. Tong
FairGU: Fairness-aware Graph Unlearning in Social Networks
Renqiang Luo, Yongshuai Yang, Huafei Huang, Qing Qing, Mingliang Hou, Ziqi Xu, Yi Yu, Jingjing Zhou and Feng Xia
")</f>
        <v>The Chatbot Knows It’s You: Dialogue Attribution in Unauthenticated Human–LLM Sessions
Wenxuan Wang, Zirui Liu, Haoxuan Kou, Xuefeng Liu and Jiaxing Shen
Toward Green Computing: General Carbon Intensity Forecasting via Dual Graph Empowered Time Series Foundation Model
Xiaoyang Zhang, Taiqi Zhou, Fang He, Yang Deng and Dan Wang
Egocentric Co-Pilot: Web-Native Smart-Glasses Agents for Assistive Egocentric AI
Sicheng Yang, Yukai Huang, Weitong Cai, Shitong Sun, Fengyi Fang, You He, Yiqiao Xie, Jiankang Deng, Hang Zhang, Jifei Song and Zhensong Zhang
Green Industrial Engineering on the Web: Agent-Driven Ant Colony Optimization Tuning for Energy-Efficient 3D Pipe Routing
Xuanhan Fan, Rui Ding, Haojie Liu, Jibin Zhou, Han Liu, Yuanman Li, Wei Wang and Mao Ye
Dynamic Min-Max Multi-Dimensional Reinforcement Backdoor Attacks and Orchestrated Closed-Loop Defense in Fairness-Aware Web Federated Finance
Ruixiao Zhu, Kun Zhu, Nana Zhang, Qi Zhang and Changjun Jiang
MultiHateLoc: Towards Temporal Localisation of Multimodal Hate Content in Online Videos
Qiyue Sun, Tailin Chen, Yinghui Zhang, Yuchen Zhang, Jiangbei Yue, Jianbo Jiao and Zeyu Fu
'They've Stolen My GPL-Licensed Model!': Toward Standardized and Transparent Model Licensing
Moming Duan, Rui Zhao, Linshan Jiang, Nigel Shadbolt and Bingsheng He
Community Fact-Checks Do Not Break Follower Loyalty
Michelle Bobek and Nicolas Pröllochs
Fair and Carbon-Aware LLM Routing for Web Services
Tingting Li, Ziming Zhao, Zhaoxuan Li, Xiaofei Yue and Jiongchi Yu
Towards Fair Large Language Model-based Recommender Systems without Costly Retraining
Jin Li, Huilin Gu, Shoujin Wang, Qi Zhang, Shui Yu, Chen Wang, Xiwei Xu and Fang Chen
Enhancing Rare Event Detection via Counterfactual Generation with Exogenous Variables
Lili Tian, Dehui Du and Yikang Chen
coTherapist: A Behavior-Aligned Small Language Model Framework to Support Mental Healthcare Experts
Prottay Kumar Adhikary, Reena Rawat and Tanmoy Chakraborty
Debating Truth: Debate-driven Claim Verification with Multiple Large Language Model Agents
Haorui He, Yupeng Li, Dacheng Wen, Yang Chen, Reynold Cheng, Donglong Chen and Francis C. M. Lau
Sustainable and Responsible ECG-Based AI Diagnostics: Masked Frequency Reconstruction with Peak-Aware Transformers
Wei Wang, Jian Chen, Junxin Chen, Zeling Xu, Yuntao Zou and Henry H. Y. Tong
FairGU: Fairness-aware Graph Unlearning in Social Networks
Renqiang Luo, Yongshuai Yang, Huafei Huang, Qing Qing, Mingliang Hou, Ziqi Xu, Yi Yu, Jingjing Zhou and Feng Xia
</v>
      </c>
      <c r="O37" s="30"/>
      <c r="P37" s="27"/>
      <c r="Q37" s="27"/>
      <c r="R37" s="27"/>
      <c r="S37" s="27"/>
      <c r="T37" s="27"/>
      <c r="U37" s="27"/>
      <c r="V37" s="27"/>
      <c r="W37" s="27"/>
      <c r="X37" s="27"/>
      <c r="Y37" s="27"/>
      <c r="Z37" s="27"/>
      <c r="AA37" s="27"/>
    </row>
    <row r="38">
      <c r="A38" s="56" t="s">
        <v>91</v>
      </c>
      <c r="B38" s="57" t="s">
        <v>92</v>
      </c>
      <c r="O38" s="58"/>
      <c r="P38" s="5"/>
      <c r="Q38" s="5"/>
      <c r="R38" s="5"/>
      <c r="S38" s="5"/>
      <c r="T38" s="5"/>
      <c r="U38" s="5"/>
      <c r="V38" s="5"/>
      <c r="W38" s="5"/>
      <c r="X38" s="5"/>
      <c r="Y38" s="5"/>
      <c r="Z38" s="5"/>
      <c r="AA38" s="5"/>
    </row>
    <row r="39">
      <c r="A39" s="56"/>
      <c r="B39" s="59" t="str">
        <f>IFERROR(__xludf.DUMMYFUNCTION("CONCATENATE(""Session Chair: "",TEXTJOIN(CHAR(10), TRUE,FILTER('Session Chairs'!$C:$C,'Session Chairs'!$A:$A=B38)))"),"Session Chair: Hakim Hacid")</f>
        <v>Session Chair: Hakim Hacid</v>
      </c>
      <c r="C39" s="57"/>
      <c r="D39" s="57"/>
      <c r="E39" s="57"/>
      <c r="F39" s="57"/>
      <c r="G39" s="57"/>
      <c r="H39" s="57"/>
      <c r="I39" s="57"/>
      <c r="J39" s="57"/>
      <c r="K39" s="57"/>
      <c r="L39" s="57"/>
      <c r="M39" s="57"/>
      <c r="N39" s="57"/>
      <c r="O39" s="58"/>
      <c r="P39" s="5"/>
      <c r="Q39" s="5"/>
      <c r="R39" s="5"/>
      <c r="S39" s="5"/>
      <c r="T39" s="5"/>
      <c r="U39" s="5"/>
      <c r="V39" s="5"/>
      <c r="W39" s="5"/>
      <c r="X39" s="5"/>
      <c r="Y39" s="5"/>
      <c r="Z39" s="5"/>
      <c r="AA39" s="5"/>
    </row>
    <row r="40" outlineLevel="1">
      <c r="A40" s="56"/>
      <c r="B40" s="85" t="s">
        <v>93</v>
      </c>
      <c r="O40" s="58"/>
      <c r="P40" s="5"/>
      <c r="Q40" s="5"/>
      <c r="R40" s="5"/>
      <c r="S40" s="5"/>
      <c r="T40" s="5"/>
      <c r="U40" s="5"/>
      <c r="V40" s="5"/>
      <c r="W40" s="5"/>
      <c r="X40" s="5"/>
      <c r="Y40" s="5"/>
      <c r="Z40" s="5"/>
      <c r="AA40" s="5"/>
    </row>
    <row r="41" outlineLevel="1">
      <c r="A41" s="56"/>
      <c r="B41" s="57" t="s">
        <v>94</v>
      </c>
      <c r="O41" s="58"/>
      <c r="P41" s="5"/>
      <c r="Q41" s="5"/>
      <c r="R41" s="5"/>
      <c r="S41" s="5"/>
      <c r="T41" s="5"/>
      <c r="U41" s="5"/>
      <c r="V41" s="5"/>
      <c r="W41" s="5"/>
      <c r="X41" s="5"/>
      <c r="Y41" s="5"/>
      <c r="Z41" s="5"/>
      <c r="AA41" s="5"/>
    </row>
    <row r="42">
      <c r="A42" s="32" t="s">
        <v>95</v>
      </c>
      <c r="B42" s="33" t="s">
        <v>31</v>
      </c>
      <c r="O42" s="86"/>
      <c r="P42" s="66"/>
      <c r="Q42" s="66"/>
      <c r="R42" s="66"/>
      <c r="S42" s="5"/>
      <c r="T42" s="5"/>
      <c r="U42" s="5"/>
      <c r="V42" s="5"/>
      <c r="W42" s="5"/>
      <c r="X42" s="5"/>
      <c r="Y42" s="5"/>
      <c r="Z42" s="5"/>
      <c r="AA42" s="5"/>
    </row>
    <row r="43">
      <c r="A43" s="35" t="s">
        <v>96</v>
      </c>
      <c r="B43" s="60" t="s">
        <v>97</v>
      </c>
      <c r="C43" s="61" t="s">
        <v>98</v>
      </c>
      <c r="D43" s="61" t="s">
        <v>99</v>
      </c>
      <c r="E43" s="62" t="s">
        <v>100</v>
      </c>
      <c r="F43" s="62" t="s">
        <v>101</v>
      </c>
      <c r="G43" s="62" t="s">
        <v>102</v>
      </c>
      <c r="H43" s="62" t="s">
        <v>103</v>
      </c>
      <c r="I43" s="62" t="s">
        <v>104</v>
      </c>
      <c r="J43" s="62" t="s">
        <v>105</v>
      </c>
      <c r="K43" s="62" t="s">
        <v>106</v>
      </c>
      <c r="L43" s="87" t="s">
        <v>107</v>
      </c>
      <c r="M43" s="63" t="s">
        <v>108</v>
      </c>
      <c r="N43" s="64" t="s">
        <v>109</v>
      </c>
      <c r="O43" s="65"/>
      <c r="P43" s="66"/>
      <c r="Q43" s="66"/>
      <c r="R43" s="66"/>
      <c r="S43" s="5"/>
      <c r="T43" s="5"/>
      <c r="U43" s="5"/>
      <c r="V43" s="5"/>
      <c r="W43" s="5"/>
      <c r="X43" s="5"/>
      <c r="Y43" s="5"/>
      <c r="Z43" s="5"/>
      <c r="AA43" s="5"/>
    </row>
    <row r="44" ht="20.25" customHeight="1">
      <c r="A44" s="67"/>
      <c r="B44" s="68" t="str">
        <f>IFERROR(__xludf.DUMMYFUNCTION("TEXTJOIN(CHAR(10), TRUE,FILTER('Sessions Counts'!$B:$B,'Sessions Counts'!$A:$A=B43))"),"Auto-bidding and Budget Allocation in Online Advertising")</f>
        <v>Auto-bidding and Budget Allocation in Online Advertising</v>
      </c>
      <c r="C44" s="69" t="str">
        <f>IFERROR(__xludf.DUMMYFUNCTION("TEXTJOIN(CHAR(10), TRUE,FILTER('Sessions Counts'!$B:$B,'Sessions Counts'!$A:$A=C43))"),"Attacks &amp; Explainability")</f>
        <v>Attacks &amp; Explainability</v>
      </c>
      <c r="D44" s="69" t="str">
        <f>IFERROR(__xludf.DUMMYFUNCTION("TEXTJOIN(CHAR(10), TRUE,FILTER('Sessions Counts'!$B:$B,'Sessions Counts'!$A:$A=D43))"),"Dynamics and Temporal")</f>
        <v>Dynamics and Temporal</v>
      </c>
      <c r="E44" s="69" t="str">
        <f>IFERROR(__xludf.DUMMYFUNCTION("TEXTJOIN(CHAR(10), TRUE,FILTER('Sessions Counts'!$B:$B,'Sessions Counts'!$A:$A=E43))"),"Agents &amp; Reasoning")</f>
        <v>Agents &amp; Reasoning</v>
      </c>
      <c r="F44" s="69" t="str">
        <f>IFERROR(__xludf.DUMMYFUNCTION("TEXTJOIN(CHAR(10), TRUE,FILTER('Sessions Counts'!$B:$B,'Sessions Counts'!$A:$A=F43))"),"Knowledge Editing &amp; Maintenance")</f>
        <v>Knowledge Editing &amp; Maintenance</v>
      </c>
      <c r="G44" s="69" t="str">
        <f>IFERROR(__xludf.DUMMYFUNCTION("TEXTJOIN(CHAR(10), TRUE,FILTER('Sessions Counts'!$B:$B,'Sessions Counts'!$A:$A=G43))"),"Information Diffusion and Influence")</f>
        <v>Information Diffusion and Influence</v>
      </c>
      <c r="H44" s="69" t="str">
        <f>IFERROR(__xludf.DUMMYFUNCTION("TEXTJOIN(CHAR(10), TRUE,FILTER('Sessions Counts'!$B:$B,'Sessions Counts'!$A:$A=H43))"),"Efficient and Privacy-Aware Federated Learning")</f>
        <v>Efficient and Privacy-Aware Federated Learning</v>
      </c>
      <c r="I44" s="69" t="str">
        <f>IFERROR(__xludf.DUMMYFUNCTION("TEXTJOIN(CHAR(10), TRUE,FILTER('Sessions Counts'!$B:$B,'Sessions Counts'!$A:$A=I43))"),"Security &amp; Privacy for Federated Systems")</f>
        <v>Security &amp; Privacy for Federated Systems</v>
      </c>
      <c r="J44" s="69" t="str">
        <f>IFERROR(__xludf.DUMMYFUNCTION("TEXTJOIN(CHAR(10), TRUE,FILTER('Sessions Counts'!$B:$B,'Sessions Counts'!$A:$A=J43))"),"Multimodal Web Content Representation and Understanding")</f>
        <v>Multimodal Web Content Representation and Understanding</v>
      </c>
      <c r="K44" s="69" t="str">
        <f>IFERROR(__xludf.DUMMYFUNCTION("TEXTJOIN(CHAR(10), TRUE,FILTER('Sessions Counts'!$B:$B,'Sessions Counts'!$A:$A=K43))"),"Cross-Domain Recommendation")</f>
        <v>Cross-Domain Recommendation</v>
      </c>
      <c r="L44" s="69" t="str">
        <f>IFERROR(__xludf.DUMMYFUNCTION("TEXTJOIN(CHAR(10), TRUE,FILTER('Sessions Counts'!$B:$B,'Sessions Counts'!$A:$A=L43))"),"Causal &amp; Counterfactual Recommendation")</f>
        <v>Causal &amp; Counterfactual Recommendation</v>
      </c>
      <c r="M44" s="69" t="str">
        <f>IFERROR(__xludf.DUMMYFUNCTION("TEXTJOIN(CHAR(10), TRUE,FILTER('Sessions Counts'!$B:$B,'Sessions Counts'!$A:$A=M43))"),"Core Recommendation &amp; CTR Optimization")</f>
        <v>Core Recommendation &amp; CTR Optimization</v>
      </c>
      <c r="N44" s="70"/>
      <c r="O44" s="88"/>
      <c r="P44" s="73"/>
      <c r="Q44" s="73"/>
      <c r="R44" s="73"/>
      <c r="S44" s="73"/>
      <c r="T44" s="73"/>
      <c r="U44" s="73"/>
      <c r="V44" s="73"/>
      <c r="W44" s="73"/>
      <c r="X44" s="73"/>
      <c r="Y44" s="73"/>
      <c r="Z44" s="73"/>
      <c r="AA44" s="73"/>
    </row>
    <row r="45">
      <c r="A45" s="35"/>
      <c r="B45" s="89" t="str">
        <f>IFERROR(__xludf.DUMMYFUNCTION("CONCATENATE(""Session Chair: "",TEXTJOIN(CHAR(10), TRUE,FILTER('Session Chairs'!$C:$C,'Session Chairs'!$A:$A=B43)))"),"Session Chair: Ana-Andreea Stoica")</f>
        <v>Session Chair: Ana-Andreea Stoica</v>
      </c>
      <c r="C45" s="90" t="str">
        <f>IFERROR(__xludf.DUMMYFUNCTION("CONCATENATE(""Session Chair: "",TEXTJOIN(CHAR(10), TRUE,FILTER('Session Chairs'!$C:$C,'Session Chairs'!$A:$A=C43)))"),"Session Chair: Hyunjin Hwang")</f>
        <v>Session Chair: Hyunjin Hwang</v>
      </c>
      <c r="D45" s="90" t="str">
        <f>IFERROR(__xludf.DUMMYFUNCTION("CONCATENATE(""Session Chair: "",TEXTJOIN(CHAR(10), TRUE,FILTER('Session Chairs'!$C:$C,'Session Chairs'!$A:$A=D43)))"),"Session Chair: Kyungho Kim")</f>
        <v>Session Chair: Kyungho Kim</v>
      </c>
      <c r="E45" s="90" t="str">
        <f>IFERROR(__xludf.DUMMYFUNCTION("CONCATENATE(""Session Chair: "",TEXTJOIN(CHAR(10), TRUE,FILTER('Session Chairs'!$C:$C,'Session Chairs'!$A:$A=E43)))"),"Session Chair: Ead Yom-Tov")</f>
        <v>Session Chair: Ead Yom-Tov</v>
      </c>
      <c r="F45" s="90" t="str">
        <f>IFERROR(__xludf.DUMMYFUNCTION("CONCATENATE(""Session Chair: "",TEXTJOIN(CHAR(10), TRUE,FILTER('Session Chairs'!$C:$C,'Session Chairs'!$A:$A=F43)))"),"Session Chair: Xiao Han")</f>
        <v>Session Chair: Xiao Han</v>
      </c>
      <c r="G45" s="90" t="str">
        <f>IFERROR(__xludf.DUMMYFUNCTION("CONCATENATE(""Session Chair: "",TEXTJOIN(CHAR(10), TRUE,FILTER('Session Chairs'!$C:$C,'Session Chairs'!$A:$A=G43)))"),"Session Chair: Hao Huang")</f>
        <v>Session Chair: Hao Huang</v>
      </c>
      <c r="H45" s="90" t="str">
        <f>IFERROR(__xludf.DUMMYFUNCTION("CONCATENATE(""Session Chair: "",TEXTJOIN(CHAR(10), TRUE,FILTER('Session Chairs'!$C:$C,'Session Chairs'!$A:$A=H43)))"),"Session Chair: Yang Chen")</f>
        <v>Session Chair: Yang Chen</v>
      </c>
      <c r="I45" s="90" t="str">
        <f>IFERROR(__xludf.DUMMYFUNCTION("CONCATENATE(""Session Chair: "",TEXTJOIN(CHAR(10), TRUE,FILTER('Session Chairs'!$C:$C,'Session Chairs'!$A:$A=I43)))"),"Session Chair: Huaxin Xu")</f>
        <v>Session Chair: Huaxin Xu</v>
      </c>
      <c r="J45" s="90" t="str">
        <f>IFERROR(__xludf.DUMMYFUNCTION("CONCATENATE(""Session Chair: "",TEXTJOIN(CHAR(10), TRUE,FILTER('Session Chairs'!$C:$C,'Session Chairs'!$A:$A=J43)))"),"Session Chair: Akshar Prabhu Desai")</f>
        <v>Session Chair: Akshar Prabhu Desai</v>
      </c>
      <c r="K45" s="90" t="str">
        <f>IFERROR(__xludf.DUMMYFUNCTION("CONCATENATE(""Session Chair: "",TEXTJOIN(CHAR(10), TRUE,FILTER('Session Chairs'!$C:$C,'Session Chairs'!$A:$A=K43)))"),"Session Chair: Kangzheng Liu")</f>
        <v>Session Chair: Kangzheng Liu</v>
      </c>
      <c r="L45" s="90" t="str">
        <f>IFERROR(__xludf.DUMMYFUNCTION("CONCATENATE(""Session Chair: "",TEXTJOIN(CHAR(10), TRUE,FILTER('Session Chairs'!$C:$C,'Session Chairs'!$A:$A=L43)))"),"Session Chair: Oren Somekh")</f>
        <v>Session Chair: Oren Somekh</v>
      </c>
      <c r="M45" s="90" t="str">
        <f>IFERROR(__xludf.DUMMYFUNCTION("CONCATENATE(""Session Chair: "",TEXTJOIN(CHAR(10), TRUE,FILTER('Session Chairs'!$C:$C,'Session Chairs'!$A:$A=M43)))"),"Session Chair: Maolin Wang")</f>
        <v>Session Chair: Maolin Wang</v>
      </c>
      <c r="N45" s="90" t="str">
        <f>IFERROR(__xludf.DUMMYFUNCTION("CONCATENATE(""Session Chairs: "",TEXTJOIN(CHAR(10), TRUE,FILTER('Session Chairs'!$C:$C,'Session Chairs'!$A:$A=N43)))"),"Session Chairs: Dame Wendy Hall, Oshani Seneviratne")</f>
        <v>Session Chairs: Dame Wendy Hall, Oshani Seneviratne</v>
      </c>
      <c r="O45" s="65"/>
      <c r="P45" s="66"/>
      <c r="Q45" s="66"/>
      <c r="R45" s="66"/>
      <c r="S45" s="5"/>
      <c r="T45" s="5"/>
      <c r="U45" s="5"/>
      <c r="V45" s="5"/>
      <c r="W45" s="5"/>
      <c r="X45" s="5"/>
      <c r="Y45" s="5"/>
      <c r="Z45" s="5"/>
      <c r="AA45" s="5"/>
    </row>
    <row r="46" outlineLevel="1">
      <c r="A46" s="45"/>
      <c r="B46" s="43" t="str">
        <f>IFERROR(__xludf.DUMMYFUNCTION("TEXTJOIN(CHAR(10), TRUE,FILTER('Research assignment'!$D:$D,'Research assignment'!$H:$H=B43))"),"Auto-bidding under Return-on-Spend Constraints with Uncertainty Quantification
Jiale Han, Chun Gan, Chengcheng Zhang, Jie He, Zhangang
Lin, Ching Law and Xiaowu Dai
DARA: Few-shot Budget Allocation in Online Advertising via In-Context Decision Making wit"&amp;"h RL-Finetuned LLMs
Mingxuan Song, Yusen Huo, Bohan Zhou, Shenglin Yin, Zhen
Xiao, Jieyi Long, Zhilin Zhang and Chuan Yu
LBM: Hierarchical Large Auto-Bidding Model via Reasoning and Acting
Yewen Li, Zhiyi Lyu, Peng Jiang, Qingpeng Cai, Fei Pan, Bo
An and"&amp;" Peng Jiang
Platform Competition in the Autobidding World
Gagan Aggarwal, Andres Perlroth, Ariel Schvartzman Cohenca
and Mingfei Zhao
AHBid: An Adaptable Hierarchical Bidding Framework for Cross-Channel Advertising
Xinxin Yang, Yangyang Tang, Yikun Zhou"&amp;", Yaolei Liu, Yun Li
and Bo Yang
")</f>
        <v>Auto-bidding under Return-on-Spend Constraints with Uncertainty Quantification
Jiale Han, Chun Gan, Chengcheng Zhang, Jie He, Zhangang
Lin, Ching Law and Xiaowu Dai
DARA: Few-shot Budget Allocation in Online Advertising via In-Context Decision Making with RL-Finetuned LLMs
Mingxuan Song, Yusen Huo, Bohan Zhou, Shenglin Yin, Zhen
Xiao, Jieyi Long, Zhilin Zhang and Chuan Yu
LBM: Hierarchical Large Auto-Bidding Model via Reasoning and Acting
Yewen Li, Zhiyi Lyu, Peng Jiang, Qingpeng Cai, Fei Pan, Bo
An and Peng Jiang
Platform Competition in the Autobidding World
Gagan Aggarwal, Andres Perlroth, Ariel Schvartzman Cohenca
and Mingfei Zhao
AHBid: An Adaptable Hierarchical Bidding Framework for Cross-Channel Advertising
Xinxin Yang, Yangyang Tang, Yikun Zhou, Yaolei Liu, Yun Li
and Bo Yang
</v>
      </c>
      <c r="C46" s="78" t="str">
        <f>IFERROR(__xludf.DUMMYFUNCTION("TEXTJOIN(CHAR(10), TRUE,FILTER('Research assignment'!$D:$D,'Research assignment'!$H:$H=C43))"),"Unveiling Backdoor Propagation in Graphs: Neuron-Centric Defense Mechanisms
Di Jin, Bingdao Feng, Xiaobao Wang, Yuxiang Zhang, Zechuan
Zhang, Liang Yang, Dongxiao He and Zhen Wang
Identification of Influential Node Group in Attributed Graph through Expla"&amp;"ining Graph Neural Network
Xiao Tan, Tongtong Su, Jiayi Wu, Yan Zhang, Binghui Xu,
Dian Shen, Meng Wang and Beilun Wang
Can LLMs Fool Graph Learning? Exploring Universal Adversarial Attacks on Text-Attributed Graphs
Zihui Chen, Yuling Wang, Pengfei Jiao,"&amp;" Kai Wu, Xiao Wang,
Xiang Ao and Dalin Zhang
A^2GBD: Attack-Agnostic Graph Backdoor Defense
Chenxu Du, Yang Liu, Xingtong Yu, Zhuoer Xu, Yang Liu and
Tianrui Li
Towards Robust Heterogeneous Graph Explanations under Structural Perturbations
Yifan Lu, Pen"&amp;"gfei Jiao, Xuan Guo, Ziyun Zou, Yiwei Wang,
Mengzhou Gao, Huaming Wu and Imran Razzak
")</f>
        <v>Unveiling Backdoor Propagation in Graphs: Neuron-Centric Defense Mechanisms
Di Jin, Bingdao Feng, Xiaobao Wang, Yuxiang Zhang, Zechuan
Zhang, Liang Yang, Dongxiao He and Zhen Wang
Identification of Influential Node Group in Attributed Graph through Explaining Graph Neural Network
Xiao Tan, Tongtong Su, Jiayi Wu, Yan Zhang, Binghui Xu,
Dian Shen, Meng Wang and Beilun Wang
Can LLMs Fool Graph Learning? Exploring Universal Adversarial Attacks on Text-Attributed Graphs
Zihui Chen, Yuling Wang, Pengfei Jiao, Kai Wu, Xiao Wang,
Xiang Ao and Dalin Zhang
A^2GBD: Attack-Agnostic Graph Backdoor Defense
Chenxu Du, Yang Liu, Xingtong Yu, Zhuoer Xu, Yang Liu and
Tianrui Li
Towards Robust Heterogeneous Graph Explanations under Structural Perturbations
Yifan Lu, Pengfei Jiao, Xuan Guo, Ziyun Zou, Yiwei Wang,
Mengzhou Gao, Huaming Wu and Imran Razzak
</v>
      </c>
      <c r="D46" s="78" t="str">
        <f>IFERROR(__xludf.DUMMYFUNCTION("TEXTJOIN(CHAR(10), TRUE,FILTER('Research assignment'!$D:$D,'Research assignment'!$H:$H=D43))"),"Riemannian Liquid Spatio-Temporal Graph Network
Liangsi Lu, Jingchao Wang, Zhaorong Dai, Hanqian Liu and
Yang Shi
Diffusion-based Kriging Model with Graph-enhanced Attention
Mingtao Zhang, Guoli Yang, Zhanxing Zhu, Guangyin Jin,
Mengzhu Wang and Xiaoying"&amp;" Bai
Graph Retention Networks for Dynamic Graphs
Qian Chang, Xia Li, Xiufeng Cheng, Runsong Jia, Jinqing
Yang, Guoping Hu and Ciprian Doru Giurcaneanu
Network Dismantling via Reverse Dismantling: Static and Dynamic Algorithms
Jinyu Duan, Sijin Wang, Fan"&amp;" Zhang, Xiang Zhao, Wenjie Zhang
and Zhihong Tian
Zero-Shot Forecasting of Network Dynamics through Weight Flow Matching
Shihe Zhou, Ruikun Li, Huandong Wang and Yong Li
")</f>
        <v>Riemannian Liquid Spatio-Temporal Graph Network
Liangsi Lu, Jingchao Wang, Zhaorong Dai, Hanqian Liu and
Yang Shi
Diffusion-based Kriging Model with Graph-enhanced Attention
Mingtao Zhang, Guoli Yang, Zhanxing Zhu, Guangyin Jin,
Mengzhu Wang and Xiaoying Bai
Graph Retention Networks for Dynamic Graphs
Qian Chang, Xia Li, Xiufeng Cheng, Runsong Jia, Jinqing
Yang, Guoping Hu and Ciprian Doru Giurcaneanu
Network Dismantling via Reverse Dismantling: Static and Dynamic Algorithms
Jinyu Duan, Sijin Wang, Fan Zhang, Xiang Zhao, Wenjie Zhang
and Zhihong Tian
Zero-Shot Forecasting of Network Dynamics through Weight Flow Matching
Shihe Zhou, Ruikun Li, Huandong Wang and Yong Li
</v>
      </c>
      <c r="E46" s="78" t="str">
        <f>IFERROR(__xludf.DUMMYFUNCTION("TEXTJOIN(CHAR(10), TRUE,FILTER('Research assignment'!$D:$D,'Research assignment'!$H:$H=E43))"),"Difficulty-Aware Agentic Orchestration for Query-Specific Multi-Agent Workflows
Jinwei Su, Qizhen Lan, Yinghui Xia, Lifan Sun, Weiyou Tian,
Tianyu Shi and Lewei He
Toward Generalized Web Agent Training: A Deep Dive into Entropy-Balanced Reinforcement Lea"&amp;"rning
Guanting Dong, Licheng Bao, Zhongyuan Wang, Kangzhi Zhao,
Xiaoxi Li, Jiajie Jin, Jinghan Yang, Hangyu Mao, Fuzheng
Zhang, Kun Gai, Guorui Zhou, Yutao Zhu, Ji-Rong Wen and
Zhicheng Dou
QChunker: Learning Question-Aware Text Chunking for Domain RAG v"&amp;"ia Multi-Agent Debate
Jihao Zhao, Daixuan Li, Pengfei Li, Shuaishuai Zu, Biao Qin
and Hongyan Liu
DeepAgent: A General Reasoning Agent with Scalable Toolsets
Xiaoxi Li, Wenxiang Jiao, Jiarui Jin, Guanting Dong, Jiajie
Jin, Yinuo Wang, Hao Wang, Yutao Zhu"&amp;", Ji-Rong Wen, Yuan Lu
and Zhicheng Dou
Reasoning by Exploration: A Unified Approach to Retrieval and Generation over Graphs
Haoyu Han, Kai Guo, Harry Shomer, Yu Wang, Yucheng Chu,
Hang Li, Li Ma and Jiliang Tang
")</f>
        <v>Difficulty-Aware Agentic Orchestration for Query-Specific Multi-Agent Workflows
Jinwei Su, Qizhen Lan, Yinghui Xia, Lifan Sun, Weiyou Tian,
Tianyu Shi and Lewei He
Toward Generalized Web Agent Training: A Deep Dive into Entropy-Balanced Reinforcement Learning
Guanting Dong, Licheng Bao, Zhongyuan Wang, Kangzhi Zhao,
Xiaoxi Li, Jiajie Jin, Jinghan Yang, Hangyu Mao, Fuzheng
Zhang, Kun Gai, Guorui Zhou, Yutao Zhu, Ji-Rong Wen and
Zhicheng Dou
QChunker: Learning Question-Aware Text Chunking for Domain RAG via Multi-Agent Debate
Jihao Zhao, Daixuan Li, Pengfei Li, Shuaishuai Zu, Biao Qin
and Hongyan Liu
DeepAgent: A General Reasoning Agent with Scalable Toolsets
Xiaoxi Li, Wenxiang Jiao, Jiarui Jin, Guanting Dong, Jiajie
Jin, Yinuo Wang, Hao Wang, Yutao Zhu, Ji-Rong Wen, Yuan Lu
and Zhicheng Dou
Reasoning by Exploration: A Unified Approach to Retrieval and Generation over Graphs
Haoyu Han, Kai Guo, Harry Shomer, Yu Wang, Yucheng Chu,
Hang Li, Li Ma and Jiliang Tang
</v>
      </c>
      <c r="F46" s="78" t="str">
        <f>IFERROR(__xludf.DUMMYFUNCTION("TEXTJOIN(CHAR(10), TRUE,FILTER('Research assignment'!$D:$D,'Research assignment'!$H:$H=F43))"),"EMSEdit: Efficient Multi-Step Meta-Learning-based Model Editing
Xiaopeng Li, Shasha Li, Xi Wang, Shezheng Song, Bin Ji,
Shangwen Wang, Jun Ma, Xiaodong Liu, Mina Liu and Jie Yu
CASE: Conflict-assessed Knowledge-sensitive Neuron Tuning for Lifelong Model "&amp;"Editing
Zhange Zhang, Yuqing Ma, Yulong Wang, Tianbo Wang, Jiakai
Wang, Simin Li and Xianglong Liu
RAIE:Region-Aware Incremental Preference Editing with LoRA for LLM-based Recommendation
Jin Zeng, Yupeng Qi, Hui Li, Chengming Li, Ziyu Lyu, Lixin
Cui and "&amp;"Lu Bai
Towards Meta-Cognitive Knowledge Editing for Multimodal LLMs
Zhaoyu Fan, Kaihang Pan, Mingze Zhou, Bosheng Qin, Juncheng
Li, Shengyu Zhang, Wenqiao Zhang, Siliang Tang, Fei Wu and
Yueting Zhuang
WiNELL: Wikipedia Never-Ending Updating with LLM Ag"&amp;"ents
Revanth Gangi Reddy, Tanay Dixit, Jiaxin Qin, Cheng Qian,
Daniel Lee, Jiawei Han, Kevin Small, Xing Fan, Ruhi
Sarikaya and Heng Ji
")</f>
        <v>EMSEdit: Efficient Multi-Step Meta-Learning-based Model Editing
Xiaopeng Li, Shasha Li, Xi Wang, Shezheng Song, Bin Ji,
Shangwen Wang, Jun Ma, Xiaodong Liu, Mina Liu and Jie Yu
CASE: Conflict-assessed Knowledge-sensitive Neuron Tuning for Lifelong Model Editing
Zhange Zhang, Yuqing Ma, Yulong Wang, Tianbo Wang, Jiakai
Wang, Simin Li and Xianglong Liu
RAIE:Region-Aware Incremental Preference Editing with LoRA for LLM-based Recommendation
Jin Zeng, Yupeng Qi, Hui Li, Chengming Li, Ziyu Lyu, Lixin
Cui and Lu Bai
Towards Meta-Cognitive Knowledge Editing for Multimodal LLMs
Zhaoyu Fan, Kaihang Pan, Mingze Zhou, Bosheng Qin, Juncheng
Li, Shengyu Zhang, Wenqiao Zhang, Siliang Tang, Fei Wu and
Yueting Zhuang
WiNELL: Wikipedia Never-Ending Updating with LLM Agents
Revanth Gangi Reddy, Tanay Dixit, Jiaxin Qin, Cheng Qian,
Daniel Lee, Jiawei Han, Kevin Small, Xing Fan, Ruhi
Sarikaya and Heng Ji
</v>
      </c>
      <c r="G46" s="78" t="str">
        <f>IFERROR(__xludf.DUMMYFUNCTION("TEXTJOIN(CHAR(10), TRUE,FILTER('Research assignment'!$D:$D,'Research assignment'!$H:$H=G43))"),"Many Hands Make Light Work: Group-based Information Diffusion Prediction over Long-Context Cascades
Zihan Feng, Yajun Yang, Xin Huang, Xin Wang, Hong Gao and
Qinghua Hu
Multi-task Inference of Diffusion Networks
Ting Gan, Kudereti Kuerban, Qian Yan, Ling"&amp;" Han, Zhigao
Zheng and Hao Huang
Playing Close to the Vest: Competitive Information Propagation in Partially Observed Dual-Population Mean-Field Games
Dun Tan, Lixing Chen, Bo Zhang, Hongfu Liu, Hao Peng,
Shenghong Li, Yang Bai and Pan Zhou
LLM-Driven S"&amp;"emantic ID for Information Diffusion Prediction
Haoshuang Liu, Zihan Feng, Yajun Yang, Xin Wang, Hong Gao
and Qinghua Hu
DynaFLUX: Implicit Dynamics-Preserving Reinforcement Learning for Topology-Free Influence Maximization
Daiyunke Zhang, Ting Deng, Tia"&amp;"nchen Zhu, Shuai Ma, Daqing
Li, Mingtian Peng and Feng Tian
")</f>
        <v>Many Hands Make Light Work: Group-based Information Diffusion Prediction over Long-Context Cascades
Zihan Feng, Yajun Yang, Xin Huang, Xin Wang, Hong Gao and
Qinghua Hu
Multi-task Inference of Diffusion Networks
Ting Gan, Kudereti Kuerban, Qian Yan, Ling Han, Zhigao
Zheng and Hao Huang
Playing Close to the Vest: Competitive Information Propagation in Partially Observed Dual-Population Mean-Field Games
Dun Tan, Lixing Chen, Bo Zhang, Hongfu Liu, Hao Peng,
Shenghong Li, Yang Bai and Pan Zhou
LLM-Driven Semantic ID for Information Diffusion Prediction
Haoshuang Liu, Zihan Feng, Yajun Yang, Xin Wang, Hong Gao
and Qinghua Hu
DynaFLUX: Implicit Dynamics-Preserving Reinforcement Learning for Topology-Free Influence Maximization
Daiyunke Zhang, Ting Deng, Tianchen Zhu, Shuai Ma, Daqing
Li, Mingtian Peng and Feng Tian
</v>
      </c>
      <c r="H46" s="78" t="str">
        <f>IFERROR(__xludf.DUMMYFUNCTION("TEXTJOIN(CHAR(10), TRUE,FILTER('Research assignment'!$D:$D,'Research assignment'!$H:$H=H43))"),"FedSRD: Sparsify-Reconstruct-Decompose for Communication-Efficient Federated Large Language Models Fine-Tuning
Guochen Yan, Luyuan Xie, Qingni Shen, Yuejian Fang and
Zhonghai Wu
Personalized Federated Fine-Tuning for LLMs via Data-Driven Heterogeneous Mo"&amp;"del Architectures
Yicheng Zhang, Zhen Qin, Zhaomin Wu, Jian Hou and Shuiguang
Deng
EcoTune: Edge-Cloud Collaborative Model Adaptation for Budget-Constrained On-Device SLM Personalization
Gong Chen, Mingkai Lin, Xiaobin Hong, Wenzhong Li and
Sanglu Lu
Fe"&amp;"dDiG: Frequency-Guided Diffusion Diversity for Generalizable Federated Time Series Classification
Haoran Shi, Junru Zhang, Cheng Peng, Xiaoli Tang, Longtao
Huang and Han Yu
FedAKD: Federated Adaptive Knowledge Distillation via Global Knowledge Calibratio"&amp;"n and Decoupling
Yingchao Wang, Wenqi Niu and Hanpo Hou
")</f>
        <v>FedSRD: Sparsify-Reconstruct-Decompose for Communication-Efficient Federated Large Language Models Fine-Tuning
Guochen Yan, Luyuan Xie, Qingni Shen, Yuejian Fang and
Zhonghai Wu
Personalized Federated Fine-Tuning for LLMs via Data-Driven Heterogeneous Model Architectures
Yicheng Zhang, Zhen Qin, Zhaomin Wu, Jian Hou and Shuiguang
Deng
EcoTune: Edge-Cloud Collaborative Model Adaptation for Budget-Constrained On-Device SLM Personalization
Gong Chen, Mingkai Lin, Xiaobin Hong, Wenzhong Li and
Sanglu Lu
FedDiG: Frequency-Guided Diffusion Diversity for Generalizable Federated Time Series Classification
Haoran Shi, Junru Zhang, Cheng Peng, Xiaoli Tang, Longtao
Huang and Han Yu
FedAKD: Federated Adaptive Knowledge Distillation via Global Knowledge Calibration and Decoupling
Yingchao Wang, Wenqi Niu and Hanpo Hou
</v>
      </c>
      <c r="I46" s="78" t="str">
        <f>IFERROR(__xludf.DUMMYFUNCTION("TEXTJOIN(CHAR(10), TRUE,FILTER('Research assignment'!$D:$D,'Research assignment'!$H:$H=I43))"),"Unveiling and Mitigating Untargeted Poisoning Attacks on Federated Knowledge Graph Embedding
Wenzheng Jiang, Ke Liang, Wenke Huang, Xiongtao Zhang,
Zhenxing Xu, Guancheng Wan, Cheston Tan, Flint Xiaofeng Fan
and Ji Wang
Reconstructing Training Data from "&amp;"Adapter-based Federated Large Language Models
Silong Chen, Yuchuan Luo, Guilin Deng, Yi Liu, Ming Xu,
Shaojing Fu and Xiaohua Jia
Xemis: Fair and Robust Privacy-Preserving Data Trading based on Distributed Noise Sharing
Xinxin Xing, Yizhong Liu, Ruonan C"&amp;"hen, Banghong Qin,
Wangjie Qiu, Jianwei Liu, Qianhong Wu, Willy Susilo and
Robert H. Deng
Federated Latent Factor Learning for Privacy-Preserving Spatio-Temporal Signal Recovery
Chengjun Yu, Di Wu, Yi He, Jia Chen and Xin Luo
Beyond Denial-of-Service: T"&amp;"he Puppeteer's Attack for Fine-Grained Control in Ranking-Based Federated Learning
Zhihao Chen, Zirui Gong, Jianting Ning, Yanjun Zhang and
Leo Yu Zhang
")</f>
        <v>Unveiling and Mitigating Untargeted Poisoning Attacks on Federated Knowledge Graph Embedding
Wenzheng Jiang, Ke Liang, Wenke Huang, Xiongtao Zhang,
Zhenxing Xu, Guancheng Wan, Cheston Tan, Flint Xiaofeng Fan
and Ji Wang
Reconstructing Training Data from Adapter-based Federated Large Language Models
Silong Chen, Yuchuan Luo, Guilin Deng, Yi Liu, Ming Xu,
Shaojing Fu and Xiaohua Jia
Xemis: Fair and Robust Privacy-Preserving Data Trading based on Distributed Noise Sharing
Xinxin Xing, Yizhong Liu, Ruonan Chen, Banghong Qin,
Wangjie Qiu, Jianwei Liu, Qianhong Wu, Willy Susilo and
Robert H. Deng
Federated Latent Factor Learning for Privacy-Preserving Spatio-Temporal Signal Recovery
Chengjun Yu, Di Wu, Yi He, Jia Chen and Xin Luo
Beyond Denial-of-Service: The Puppeteer's Attack for Fine-Grained Control in Ranking-Based Federated Learning
Zhihao Chen, Zirui Gong, Jianting Ning, Yanjun Zhang and
Leo Yu Zhang
</v>
      </c>
      <c r="J46" s="78" t="str">
        <f>IFERROR(__xludf.DUMMYFUNCTION("TEXTJOIN(CHAR(10), TRUE,FILTER('Research assignment'!$D:$D,'Research assignment'!$H:$H=J43))"),"Hermes the Polyglot: A Unified Framework to Enhance Expressiveness for Multimodal Interlingual Subtitling
Chaoqun Cui, Shijing Wang, Liangbin Huang, Qingqing Gu,
Zhaolong Huang, Xiao Zeng and Wenji Mao
BHGap: A Deep Iterative Prompting and Multi-stage Al"&amp;"ignment Framework for Dynamic Facial Expression Recognition
Yichi Zhang, Yunqi Han, Jiayue Ding and Liangyu Chen
MuVaC: A Variational Causal Framework for Multimodal Sarcasm Understanding in Dialogues
Diandian Guo, Fangfang Yuan, Cong Cao, Xixun Lin, Chu"&amp;"an
Zhou, Hao Peng, Yanan Cao and Yanbing Liu
CCAF: Coarse-to-fine Cross-Modal Alignment and Fusion for Multimodal Sentiment Analysis
Xianbing Zhao, Shengzun Yang and Buzhou Tang
ATGFB-MFF: Adaptive Text-Guided Fiber Bundle Feature Fusion with LLMs for M"&amp;"ultimodal Sentiment Analysis and Emotion Recognition in Conversations
Zhaowei Liu, Sheng Liu, Weiqing Yan, Peng Song, Yongchao
Song and Rufei Gao
")</f>
        <v>Hermes the Polyglot: A Unified Framework to Enhance Expressiveness for Multimodal Interlingual Subtitling
Chaoqun Cui, Shijing Wang, Liangbin Huang, Qingqing Gu,
Zhaolong Huang, Xiao Zeng and Wenji Mao
BHGap: A Deep Iterative Prompting and Multi-stage Alignment Framework for Dynamic Facial Expression Recognition
Yichi Zhang, Yunqi Han, Jiayue Ding and Liangyu Chen
MuVaC: A Variational Causal Framework for Multimodal Sarcasm Understanding in Dialogues
Diandian Guo, Fangfang Yuan, Cong Cao, Xixun Lin, Chuan
Zhou, Hao Peng, Yanan Cao and Yanbing Liu
CCAF: Coarse-to-fine Cross-Modal Alignment and Fusion for Multimodal Sentiment Analysis
Xianbing Zhao, Shengzun Yang and Buzhou Tang
ATGFB-MFF: Adaptive Text-Guided Fiber Bundle Feature Fusion with LLMs for Multimodal Sentiment Analysis and Emotion Recognition in Conversations
Zhaowei Liu, Sheng Liu, Weiqing Yan, Peng Song, Yongchao
Song and Rufei Gao
</v>
      </c>
      <c r="K46" s="78" t="str">
        <f>IFERROR(__xludf.DUMMYFUNCTION("TEXTJOIN(CHAR(10), TRUE,FILTER('Research assignment'!$D:$D,'Research assignment'!$H:$H=K43))"),"Generative Data Transformation: From Mixed to Unified Data
Jiaqing Zhang, Mingjia Yin, Hao Wang, Yuxin Tian, Yuyang
Ye, Yawen Li, Wei Guo, Yong Liu and Enhong Chen
WeaveRec: An LLM-Based Cross-Domain Sequential Recommendation Framework with Model Merging"&amp;"
Min Hou, Xin Liu, Le Wu, Chenyi He, Hao Liu, Zhi Li, Xin Li
and Si Wei
SemaCDR: LLM-Powered Transferable Semantics for Cross-Domain Sequential Recommendation
Chunxu Zhang, Shanqiang Huang, Zijian Zhang, Jiahong Liu,
Linsong Yu, Ruiqi Wan, Bo Yang and Ir"&amp;"win King
The Double-Edged Sword of Knowledge Transfer: Diagnosing and Curing Fairness Pathologies in Cross-Domain Recommendation
Yuhan Zhao, Weixin Chen, Li Chen and Weike Pan
Gaussian Mixture Flow Matching with Domain Alignment for Multi-Domain Sequent"&amp;"ial Recommendation
Xiaoxin Ye, Chengkai Huang, Hongtao Huang and Lina Yao
")</f>
        <v>Generative Data Transformation: From Mixed to Unified Data
Jiaqing Zhang, Mingjia Yin, Hao Wang, Yuxin Tian, Yuyang
Ye, Yawen Li, Wei Guo, Yong Liu and Enhong Chen
WeaveRec: An LLM-Based Cross-Domain Sequential Recommendation Framework with Model Merging
Min Hou, Xin Liu, Le Wu, Chenyi He, Hao Liu, Zhi Li, Xin Li
and Si Wei
SemaCDR: LLM-Powered Transferable Semantics for Cross-Domain Sequential Recommendation
Chunxu Zhang, Shanqiang Huang, Zijian Zhang, Jiahong Liu,
Linsong Yu, Ruiqi Wan, Bo Yang and Irwin King
The Double-Edged Sword of Knowledge Transfer: Diagnosing and Curing Fairness Pathologies in Cross-Domain Recommendation
Yuhan Zhao, Weixin Chen, Li Chen and Weike Pan
Gaussian Mixture Flow Matching with Domain Alignment for Multi-Domain Sequential Recommendation
Xiaoxin Ye, Chengkai Huang, Hongtao Huang and Lina Yao
</v>
      </c>
      <c r="L46" s="78" t="str">
        <f>IFERROR(__xludf.DUMMYFUNCTION("TEXTJOIN(CHAR(10), TRUE,FILTER('Research assignment'!$D:$D,'Research assignment'!$H:$H=L43))"),"DiffGRM: Diffusion-based Generative Recommendation Model
Zhao Liu, Yichen Zhu, Yiqing Yang, Xiao Lv, Guoping Tang,
Rui Huang, Qiang Luo, Ruiming Tang and Guorui Zhou
Modeling Endogenous Logic: Causal Neuro-Symbolic Reasoning Model for Explainable Multi-B"&amp;"ehavior Recommendation
Yuzhe Chen, Jie Cao, Youquan Wang, Haicheng Tao, Darko
Vuković and Jia Wu
MCLMR: A Model-Agnostic Causal Learning Framework for Multi-Behavior Recommendation
Ranxu Zhang, Junjie Meng, Ying Sun, Ziqi Xu, Bing Yin, Hao
Li, Yanyong Zh"&amp;"ang and Chao Wang
C-HyPOD: Causal Hyperbolic Learning with Prototype Orthogonal Disentanglement for Graph Out-of-Distribution Recommendation
Jiahao Liang, Yutian Xiao, Haoran Yang, Zhiwen Yu, Jia-Nan
Liu and Kaixiang Yang
Causality Enhancement for Cross"&amp;"-Domain Recommendation
Zhibo Wu, Yunfan Wu, Yang Chang, Ping Yang and Yao Hu
")</f>
        <v>DiffGRM: Diffusion-based Generative Recommendation Model
Zhao Liu, Yichen Zhu, Yiqing Yang, Xiao Lv, Guoping Tang,
Rui Huang, Qiang Luo, Ruiming Tang and Guorui Zhou
Modeling Endogenous Logic: Causal Neuro-Symbolic Reasoning Model for Explainable Multi-Behavior Recommendation
Yuzhe Chen, Jie Cao, Youquan Wang, Haicheng Tao, Darko
Vuković and Jia Wu
MCLMR: A Model-Agnostic Causal Learning Framework for Multi-Behavior Recommendation
Ranxu Zhang, Junjie Meng, Ying Sun, Ziqi Xu, Bing Yin, Hao
Li, Yanyong Zhang and Chao Wang
C-HyPOD: Causal Hyperbolic Learning with Prototype Orthogonal Disentanglement for Graph Out-of-Distribution Recommendation
Jiahao Liang, Yutian Xiao, Haoran Yang, Zhiwen Yu, Jia-Nan
Liu and Kaixiang Yang
Causality Enhancement for Cross-Domain Recommendation
Zhibo Wu, Yunfan Wu, Yang Chang, Ping Yang and Yao Hu
</v>
      </c>
      <c r="M46" s="78" t="str">
        <f>IFERROR(__xludf.DUMMYFUNCTION("TEXTJOIN(CHAR(10), TRUE,FILTER('Industry assignment'!$D:$D,'Industry assignment'!$H:$H=M43))"),"PI2I: A Personalized Item-Based Collaborative Filtering Retrieval Framework
Shaoqing Wang, Yingcai Ma, Kairui Fu, Ziyang Wang, Dunxian Huang, Yuliang Yan and Jian Wu
AliBoostV2: CTR-Growth Balanced Boosting Framework in Billion-Scale Recommendation Platf"&amp;"orm
Qijie Shen, Yuanchen Bei, Zihong Huang, Xixian Wang, Zhibo Xiao, Dimin Wang, Jialin Zhu, Yuning Jiang, Feiran Huang and Hao Chen
BanditLP: Large-Scale Stochastic Optimization for Personalized Recommendations
Phuc Nguyen, Benjamin Zelditch, Joyce Chen"&amp;", Rohit K Patra and Changshuai Wei
Unleashing the Potential of Sparse Attention on Long-term Behaviors for CTR Prediction
Weijiang Lai, Beihong Jin, Di Zhang, Siru Chen, Jiongyan Zhang, Yuhang Gou, Jian Dong and Xingxing Wang
Improving Multi Task Recomm"&amp;"endations via Cross User Learning with a Hybrid Pointwise and Pairwise Ranking Loss
Abhinav Naikawadi, Hedi Xia, Dafang He, Yichu Zhou, Xue Xia, Piyush Maheshwari, Bella Huang, Bowen Deng, James Li, Dhruvil Deven Badani and Yijie Dylan Wang
")</f>
        <v>PI2I: A Personalized Item-Based Collaborative Filtering Retrieval Framework
Shaoqing Wang, Yingcai Ma, Kairui Fu, Ziyang Wang, Dunxian Huang, Yuliang Yan and Jian Wu
AliBoostV2: CTR-Growth Balanced Boosting Framework in Billion-Scale Recommendation Platform
Qijie Shen, Yuanchen Bei, Zihong Huang, Xixian Wang, Zhibo Xiao, Dimin Wang, Jialin Zhu, Yuning Jiang, Feiran Huang and Hao Chen
BanditLP: Large-Scale Stochastic Optimization for Personalized Recommendations
Phuc Nguyen, Benjamin Zelditch, Joyce Chen, Rohit K Patra and Changshuai Wei
Unleashing the Potential of Sparse Attention on Long-term Behaviors for CTR Prediction
Weijiang Lai, Beihong Jin, Di Zhang, Siru Chen, Jiongyan Zhang, Yuhang Gou, Jian Dong and Xingxing Wang
Improving Multi Task Recommendations via Cross User Learning with a Hybrid Pointwise and Pairwise Ranking Loss
Abhinav Naikawadi, Hedi Xia, Dafang He, Yichu Zhou, Xue Xia, Piyush Maheshwari, Bella Huang, Bowen Deng, James Li, Dhruvil Deven Badani and Yijie Dylan Wang
</v>
      </c>
      <c r="N46" s="78" t="str">
        <f>IFERROR(__xludf.DUMMYFUNCTION("TEXTJOIN(CHAR(10), TRUE,FILTER('HoW assignment'!$D:$D,'HoW assignment'!$F:$F=N43))"),"On the historic roots of Agentic AI in Semantic Web Services
Axel Polleres
Evolving Notions of Success on the Web: From Retrieval to Experience
Mounia Lalmas
Panel
Yoelle Maarek, Ricardo Baeza-Yates, Wendy Hall moderated by Oshani Seneviratne
")</f>
        <v>On the historic roots of Agentic AI in Semantic Web Services
Axel Polleres
Evolving Notions of Success on the Web: From Retrieval to Experience
Mounia Lalmas
Panel
Yoelle Maarek, Ricardo Baeza-Yates, Wendy Hall moderated by Oshani Seneviratne
</v>
      </c>
      <c r="O46" s="38"/>
      <c r="P46" s="5"/>
      <c r="Q46" s="5"/>
      <c r="R46" s="5"/>
      <c r="S46" s="5"/>
      <c r="T46" s="5"/>
      <c r="U46" s="5"/>
      <c r="V46" s="5"/>
      <c r="W46" s="5"/>
      <c r="X46" s="5"/>
      <c r="Y46" s="5"/>
      <c r="Z46" s="5"/>
      <c r="AA46" s="5"/>
    </row>
    <row r="47" collapsed="1">
      <c r="A47" s="80" t="s">
        <v>110</v>
      </c>
      <c r="B47" s="81" t="s">
        <v>111</v>
      </c>
      <c r="O47" s="82"/>
      <c r="P47" s="5"/>
      <c r="Q47" s="5"/>
      <c r="R47" s="5"/>
      <c r="S47" s="5"/>
      <c r="T47" s="5"/>
      <c r="U47" s="5"/>
      <c r="V47" s="5"/>
      <c r="W47" s="5"/>
      <c r="X47" s="5"/>
      <c r="Y47" s="5"/>
      <c r="Z47" s="5"/>
      <c r="AA47" s="5"/>
    </row>
    <row r="48" hidden="1" outlineLevel="1">
      <c r="A48" s="45"/>
      <c r="B48" s="91" t="s">
        <v>112</v>
      </c>
      <c r="C48" s="92" t="s">
        <v>113</v>
      </c>
      <c r="D48" s="92" t="s">
        <v>114</v>
      </c>
      <c r="E48" s="93" t="s">
        <v>115</v>
      </c>
      <c r="F48" s="93" t="s">
        <v>116</v>
      </c>
      <c r="G48" s="93" t="s">
        <v>117</v>
      </c>
      <c r="H48" s="93" t="s">
        <v>118</v>
      </c>
      <c r="I48" s="93" t="s">
        <v>119</v>
      </c>
      <c r="J48" s="93" t="s">
        <v>120</v>
      </c>
      <c r="K48" s="93" t="s">
        <v>121</v>
      </c>
      <c r="L48" s="93" t="s">
        <v>122</v>
      </c>
      <c r="M48" s="83" t="s">
        <v>123</v>
      </c>
      <c r="N48" s="83" t="s">
        <v>124</v>
      </c>
      <c r="O48" s="83"/>
      <c r="P48" s="5"/>
      <c r="Q48" s="5"/>
      <c r="R48" s="5"/>
      <c r="S48" s="5"/>
      <c r="T48" s="5"/>
      <c r="U48" s="5"/>
      <c r="V48" s="5"/>
      <c r="W48" s="5"/>
      <c r="X48" s="5"/>
      <c r="Y48" s="5"/>
      <c r="Z48" s="5"/>
      <c r="AA48" s="5"/>
    </row>
    <row r="49" hidden="1" outlineLevel="1">
      <c r="A49" s="16"/>
      <c r="B49" s="30" t="str">
        <f>IFERROR(__xludf.DUMMYFUNCTION("TEXTJOIN(CHAR(10), TRUE,FILTER('Demos assignment'!$D:$D,'Demos assignment'!$G:$G=B48))"),"Lang2Plan: An LLM-Powered Multi-Agent System for Building Layout Planning
Fangyong Pan, Xi Chen, Weiqi Xu, Yifeng Xu and Haofen Wang
NGCAPTCHA: A CAPTCHA Bridging the Past and the Future
Ziqi Ding, Shangzhi Xu, Wei Song and Yuekang Li
G-SEIR: A Graph-En"&amp;"hanced Epidemic Forecasting System for Dengue Intervention
Cheng-Ru Chou, Shou-Po Tsai, Jing-Zhe Huang, Hsu-Han Tu, Pei-Xuan Li and Hsun-Ping Hsieh
SAMPLE: A Spatial/Channel-wise Attention GCN with MLP and Periodic Linear Encoding for Land Boundary Demar"&amp;"cation System
Min-Huan Tsai, Cheng-Ru Chou, Chia Chen Tsai, Yu-Yin Wang, Pei-Xuan Li, Hsun-Ping Hsieh and Tzu-Chang Lee
A Large Language Model-based Agent for Automated Machine Learning Workflow Construction
Yutian Xu, Yanhao Wang, Hui Li, Shengjie Xia a"&amp;"nd Shengtian Min
Deep Research Comparator: A Platform For Fine-grained Human Annotations of Deep Research Agents
Prahaladh Chandrahasan, Jiahe Jin, Zhihan Zhang, Tevin Wang, Andy Tang, Lucy Mo, Morteza Ziyadi, Leonardo F.R. Ribeiro, Zimeng Qiu, Markus Dr"&amp;"eyer, Akari Asai and Chenyan Xiong
Docs2Synth: A Synthetic Data Tuned Retriever Framework for Documents Understanding
Yihao Ding, Qiang Sun, Puzhen Wu, Sirui Li, Siwen Luo and Wei Liu
GCAgent: Enhancing Group Chat Communication through Dialogue Agents S"&amp;"ystem
Zijie Meng, Zheyong Xie, Zheyu Ye, Chonggang Lu, Zuozhu Liu, Zihan Niu, Yao Hu and Shaosheng Cao
")</f>
        <v>Lang2Plan: An LLM-Powered Multi-Agent System for Building Layout Planning
Fangyong Pan, Xi Chen, Weiqi Xu, Yifeng Xu and Haofen Wang
NGCAPTCHA: A CAPTCHA Bridging the Past and the Future
Ziqi Ding, Shangzhi Xu, Wei Song and Yuekang Li
G-SEIR: A Graph-Enhanced Epidemic Forecasting System for Dengue Intervention
Cheng-Ru Chou, Shou-Po Tsai, Jing-Zhe Huang, Hsu-Han Tu, Pei-Xuan Li and Hsun-Ping Hsieh
SAMPLE: A Spatial/Channel-wise Attention GCN with MLP and Periodic Linear Encoding for Land Boundary Demarcation System
Min-Huan Tsai, Cheng-Ru Chou, Chia Chen Tsai, Yu-Yin Wang, Pei-Xuan Li, Hsun-Ping Hsieh and Tzu-Chang Lee
A Large Language Model-based Agent for Automated Machine Learning Workflow Construction
Yutian Xu, Yanhao Wang, Hui Li, Shengjie Xia and Shengtian Min
Deep Research Comparator: A Platform For Fine-grained Human Annotations of Deep Research Agents
Prahaladh Chandrahasan, Jiahe Jin, Zhihan Zhang, Tevin Wang, Andy Tang, Lucy Mo, Morteza Ziyadi, Leonardo F.R. Ribeiro, Zimeng Qiu, Markus Dreyer, Akari Asai and Chenyan Xiong
Docs2Synth: A Synthetic Data Tuned Retriever Framework for Documents Understanding
Yihao Ding, Qiang Sun, Puzhen Wu, Sirui Li, Siwen Luo and Wei Liu
GCAgent: Enhancing Group Chat Communication through Dialogue Agents System
Zijie Meng, Zheyong Xie, Zheyu Ye, Chonggang Lu, Zuozhu Liu, Zihan Niu, Yao Hu and Shaosheng Cao
</v>
      </c>
      <c r="C49" s="22" t="str">
        <f>IFERROR(__xludf.DUMMYFUNCTION("TEXTJOIN(CHAR(10), TRUE,FILTER('ShortPapers assignment'!$E:$E,'ShortPapers assignment'!$H:$H=C48))"),"Let It Try First: Uncertainty-Guided Retrieval Switching for Retrieval-Augmented Question Answering
Xiaohai Wang, Yu Liang, Wei Zhou and Sixing Wu
DiffusionGS: Generative Search with Query Conditioned Diffusion in Kuaishou
Qinyao Li, Xiaoyang Zheng, Qiha"&amp;"ng Zhao, Ke Xu, Zhongbo Sun, Chao Wang, Chenyi Lei, Han Li and Wenwu Ou
LLM Reasoning for Cold-Start Item Recommendation
Shijun Li, Yu Wang, Jin Wang, Ying Li, Joydeep Ghosh and Anne Cocos
Hierarchical Layer Attention with Contrastive Learning for Robus"&amp;"t Audio Deepfake Detection
Zhili Nicholas Liang, Soyeon Caren Han, Qizhou Wang and Christopher Leckie
Online Bidding Algorithms with Strict Return on Spend (ROS) Constraint
Rahul Vaze and Abhishek Sinha
OMGRec: One-time Matching-based Generative Rerank "&amp;"with Permutation-level Modeling in E-commerce
Junwei Xu, Zhibo Xiao, Chuxin Chen, Chengyu Lai, Qijie Shen, Jiuning Lin, Dimin Wang, Jialin Zhu and Xiao-Ping Zhang
LPEdit: Locality-Preserving Knowledge Editing for MultiModal Large Language Models
Tianyu Z"&amp;"hang, Junfeng Fang, Houcheng Jiang, Xingyu Zhu, Xiang Wang and Xiangnan He
Img2KG: Ontology-Driven Correction of Visual Triples
Christina Kanetou and Yannis Tzitzikas
A Life‑Cycle Assessment of the Hidden Environmental Cost of Selfies
Tilen Hliš, Urška "&amp;"Butolen, Iztok Fister and Iztok Fister
We May Not Need Much Visual Encoding of Web Data for Question Answering
Tan Yue, Qiong Wu and Dongyan Zhao
CityVerse: A Unified Data Framework for Evaluating Large Language Models in Urban Computing
Yaqiao Zhu, Hon"&amp;"gkai Wen, Mark Birkin and Man Luo
An Improved Combinatorial Algorithm for Edge-Colored Clustering in Hypergraphs
Seongjune Han and Nate Veldt
BitHeteroNet: A Heterogeneous Network Benchmark for Enhanced Anomaly Detection in Bitcoin Transactions
Zheng Go"&amp;"ng, Shuheng Shen, Changhua Meng and Ying Sun
Feature-PI: A Data Repository for Learning-based Feature Importance Estimation
Yin Lou
BiCare: Bi-Objective Set Similarity with Box Embeddings for Safe and Effective Healthcare Decision Support
Guofang Ma, Pe"&amp;"ngxiang Zhan, Haoze Huang and Yanchao Tan
ReMi-ReMath: A Reverse-Mutual Reasoning Framework for Enhancing Mathematical Thinking in Small Language Models
Dae Kyoo Kim, Sang Kyu Moon and Eunil Park
Beyond Isolated Clients: Integrating Graph-Based Embeddin"&amp;"gs into Event Sequence Models
Harry Proshian, Nikita Severin, Sergey Nikolenko, Ivan Kireev, Andrey Savchenko, Ivan Sergeev, Maria Postnova and Ilya Makarov
GlotWeb: Web Indexing for Minority Languages
Abdullah Al Sefat, Amir Hossein Kargaran, François Y"&amp;"von and Hinrich Schütze
Graph Poisoning for Node Rank Manipulation
Seyed Mohammad Hosseini, Radin Hamidi Rad, Morteza Zihayat and Ebrahim Bagheri
P-Aligner: Pre-Aligning LLMs via Principled Instruction Synthesis
Feifan Song, Bofei Gao, Yifan Song, Yi Li"&amp;"u, Weimin Xiong, Yuyang Song, Tianyu Liu, Guoyin Wang and Houfeng Wang
Interaction-level Membership Inference Attack for Recommender Systems via Cluster-based User Modeling
Danyang Zong, Kaike Zhang, Qi Cao, Du Su and Fei Sun
CytoCrowd: A Multi-Annotato"&amp;"r Benchmark Dataset for Cytology Image Analysis
Yonghao Si, Xingyuan Zeng, Zhao Chen, Libin Zheng, Caleb Chen Cao, Chen Lei and Jian Yin
FilterRec: An Intent-Aware Framework for Dynamic Filter Recommendation
Dingxian Wang, Jiacheng Dong, Jiaqi Deng, Jing"&amp;" Long, Ted Liu, George Barelas, Arya Taylor, Spyros Kapnissis, Frank Yang, Andrew Rabinovich and Guandong Xu
MCP vs RAG vs NLWeb vs HTML: A Comparison of the Effectiveness and Efficiency of Different Agent Interfaces to the Web
Aaron Steiner, Ralph Peete"&amp;"rs and Christian Bizer
SIT-KGED: Simply Inject Topology into LLM for Knowledge Graph Error Detection
Ting Li, Xingyi Mao, Yipeng Yu and Liang Yao
")</f>
        <v>Let It Try First: Uncertainty-Guided Retrieval Switching for Retrieval-Augmented Question Answering
Xiaohai Wang, Yu Liang, Wei Zhou and Sixing Wu
DiffusionGS: Generative Search with Query Conditioned Diffusion in Kuaishou
Qinyao Li, Xiaoyang Zheng, Qihang Zhao, Ke Xu, Zhongbo Sun, Chao Wang, Chenyi Lei, Han Li and Wenwu Ou
LLM Reasoning for Cold-Start Item Recommendation
Shijun Li, Yu Wang, Jin Wang, Ying Li, Joydeep Ghosh and Anne Cocos
Hierarchical Layer Attention with Contrastive Learning for Robust Audio Deepfake Detection
Zhili Nicholas Liang, Soyeon Caren Han, Qizhou Wang and Christopher Leckie
Online Bidding Algorithms with Strict Return on Spend (ROS) Constraint
Rahul Vaze and Abhishek Sinha
OMGRec: One-time Matching-based Generative Rerank with Permutation-level Modeling in E-commerce
Junwei Xu, Zhibo Xiao, Chuxin Chen, Chengyu Lai, Qijie Shen, Jiuning Lin, Dimin Wang, Jialin Zhu and Xiao-Ping Zhang
LPEdit: Locality-Preserving Knowledge Editing for MultiModal Large Language Models
Tianyu Zhang, Junfeng Fang, Houcheng Jiang, Xingyu Zhu, Xiang Wang and Xiangnan He
Img2KG: Ontology-Driven Correction of Visual Triples
Christina Kanetou and Yannis Tzitzikas
A Life‑Cycle Assessment of the Hidden Environmental Cost of Selfies
Tilen Hliš, Urška Butolen, Iztok Fister and Iztok Fister
We May Not Need Much Visual Encoding of Web Data for Question Answering
Tan Yue, Qiong Wu and Dongyan Zhao
CityVerse: A Unified Data Framework for Evaluating Large Language Models in Urban Computing
Yaqiao Zhu, Hongkai Wen, Mark Birkin and Man Luo
An Improved Combinatorial Algorithm for Edge-Colored Clustering in Hypergraphs
Seongjune Han and Nate Veldt
BitHeteroNet: A Heterogeneous Network Benchmark for Enhanced Anomaly Detection in Bitcoin Transactions
Zheng Gong, Shuheng Shen, Changhua Meng and Ying Sun
Feature-PI: A Data Repository for Learning-based Feature Importance Estimation
Yin Lou
BiCare: Bi-Objective Set Similarity with Box Embeddings for Safe and Effective Healthcare Decision Support
Guofang Ma, Pengxiang Zhan, Haoze Huang and Yanchao Tan
ReMi-ReMath: A Reverse-Mutual Reasoning Framework for Enhancing Mathematical Thinking in Small Language Models
Dae Kyoo Kim, Sang Kyu Moon and Eunil Park
Beyond Isolated Clients: Integrating Graph-Based Embeddings into Event Sequence Models
Harry Proshian, Nikita Severin, Sergey Nikolenko, Ivan Kireev, Andrey Savchenko, Ivan Sergeev, Maria Postnova and Ilya Makarov
GlotWeb: Web Indexing for Minority Languages
Abdullah Al Sefat, Amir Hossein Kargaran, François Yvon and Hinrich Schütze
Graph Poisoning for Node Rank Manipulation
Seyed Mohammad Hosseini, Radin Hamidi Rad, Morteza Zihayat and Ebrahim Bagheri
P-Aligner: Pre-Aligning LLMs via Principled Instruction Synthesis
Feifan Song, Bofei Gao, Yifan Song, Yi Liu, Weimin Xiong, Yuyang Song, Tianyu Liu, Guoyin Wang and Houfeng Wang
Interaction-level Membership Inference Attack for Recommender Systems via Cluster-based User Modeling
Danyang Zong, Kaike Zhang, Qi Cao, Du Su and Fei Sun
CytoCrowd: A Multi-Annotator Benchmark Dataset for Cytology Image Analysis
Yonghao Si, Xingyuan Zeng, Zhao Chen, Libin Zheng, Caleb Chen Cao, Chen Lei and Jian Yin
FilterRec: An Intent-Aware Framework for Dynamic Filter Recommendation
Dingxian Wang, Jiacheng Dong, Jiaqi Deng, Jing Long, Ted Liu, George Barelas, Arya Taylor, Spyros Kapnissis, Frank Yang, Andrew Rabinovich and Guandong Xu
MCP vs RAG vs NLWeb vs HTML: A Comparison of the Effectiveness and Efficiency of Different Agent Interfaces to the Web
Aaron Steiner, Ralph Peeters and Christian Bizer
SIT-KGED: Simply Inject Topology into LLM for Knowledge Graph Error Detection
Ting Li, Xingyi Mao, Yipeng Yu and Liang Yao
</v>
      </c>
      <c r="D49" s="22" t="str">
        <f>IFERROR(__xludf.DUMMYFUNCTION("TEXTJOIN(CHAR(10), TRUE,FILTER('Research assignment'!$D:$D,'Research assignment'!$I:$I=D48))"),"Online Rounding and Pricing Schemes for k-Rental Problems
Hossein Nekouyan, Bo Sun, Raouf Boutaba and Xiaoqi Tan
Online Advertising with Spatial Interactions
Gagan Aggarwal, Yifan Wang and Mingfei Zhao
Automated Deterministic Auction Design with Objecti"&amp;"ve Decomposition
Zhijian Duan, Haoran Sun, Yichong Xia, Siqiang Wang, Zhilin
Zhang, Chuan Yu, Jian Xu and Xiaotie Deng
The Query Complexity of Uniform Pricing
Houshuang Chen, Yaonan Jin, Pinyan Lu and Chihao Zhang
Determinants and Effects of Buy Box Sup"&amp;"pression on Amazon
Jeffrey Gleason, Shuo Zhang and Christo Wilson
Additively Competitive Secretaries
Mohammad Mahdian, Jieming Mao, Enze Sun, Kangning Wang and
Yifan Wang
Improving the Price of Anarchy via Predictions in Parallel-Link Networks
George Ch"&amp;"ristodoulou, Vasilis Christoforidis, Alkmini
Sgouritsa and Ioannis Vlachos
")</f>
        <v>Online Rounding and Pricing Schemes for k-Rental Problems
Hossein Nekouyan, Bo Sun, Raouf Boutaba and Xiaoqi Tan
Online Advertising with Spatial Interactions
Gagan Aggarwal, Yifan Wang and Mingfei Zhao
Automated Deterministic Auction Design with Objective Decomposition
Zhijian Duan, Haoran Sun, Yichong Xia, Siqiang Wang, Zhilin
Zhang, Chuan Yu, Jian Xu and Xiaotie Deng
The Query Complexity of Uniform Pricing
Houshuang Chen, Yaonan Jin, Pinyan Lu and Chihao Zhang
Determinants and Effects of Buy Box Suppression on Amazon
Jeffrey Gleason, Shuo Zhang and Christo Wilson
Additively Competitive Secretaries
Mohammad Mahdian, Jieming Mao, Enze Sun, Kangning Wang and
Yifan Wang
Improving the Price of Anarchy via Predictions in Parallel-Link Networks
George Christodoulou, Vasilis Christoforidis, Alkmini
Sgouritsa and Ioannis Vlachos
</v>
      </c>
      <c r="E49" s="22" t="str">
        <f>IFERROR(__xludf.DUMMYFUNCTION("TEXTJOIN(CHAR(10), TRUE,FILTER('Research assignment'!$D:$D,'Research assignment'!$I:$I=E48))"),"TAWRMAC: A Novel Dynamic Graph Representation Learning Method
Soheila Farokhi, Xiaojun Qi and Hamid Karimi
negMIX: Negative Mixup for OOD Generalization in Open-Set Node Classification
Junwei Gong, Xiao Shen, Zhihao Chen, Shirui Pan, Xiao Wang
and Xi Zho"&amp;"u
UTAG: Leveraging LLM as a Unified Embedding Generator for Text-Attributed Graphs
Mingqian Ding, Jianjun Li, Zhiyuan Ma, Liwei Zhang and
Wenqi Yang
Mitigating Dynamic Graph Distribution Shifts via Mixture of Variational Experts
Qianyu Song, Chao Li, Ye"&amp;"yu Yan, Hui Zhou, Zhongying Zhao
and Qingtian Zeng
Text-attributed Graph Condensation via Text Selection and Attribute Matching
Haowei Han, Yuxiang Wang, Guojia Wan, Hao Wang, Shanshan
Feng, Hao Huang, Jiawei Jiang and Xiao Yan
Practical Group Steiner T"&amp;"ree Algorithms for Web Applications with Many Groups
Qicheng Shan, Yuxuan Yang and Gong Cheng
GraphTARIF: Linear Graph Transformer with Augmented Rank and Improved Focus
Zhaolin Hu, Kun Li, Hehe Fan and Yi Yang
VSAL: A Vision Solver with Adaptive Layout"&amp;"s for Graph Property Detection
Jiahao Xie and Guangmo Tong
Sustained Vertex Cover on Temporal Graphs
Junqiang Peng, Tian Bai, Jingyang Zhao and Mingyu Xiao
Dual-level Reweighting for Positive-Unlabeled Graph Classification
Junghun Kim, Shihyung Park and"&amp;" U Kang
")</f>
        <v>TAWRMAC: A Novel Dynamic Graph Representation Learning Method
Soheila Farokhi, Xiaojun Qi and Hamid Karimi
negMIX: Negative Mixup for OOD Generalization in Open-Set Node Classification
Junwei Gong, Xiao Shen, Zhihao Chen, Shirui Pan, Xiao Wang
and Xi Zhou
UTAG: Leveraging LLM as a Unified Embedding Generator for Text-Attributed Graphs
Mingqian Ding, Jianjun Li, Zhiyuan Ma, Liwei Zhang and
Wenqi Yang
Mitigating Dynamic Graph Distribution Shifts via Mixture of Variational Experts
Qianyu Song, Chao Li, Yeyu Yan, Hui Zhou, Zhongying Zhao
and Qingtian Zeng
Text-attributed Graph Condensation via Text Selection and Attribute Matching
Haowei Han, Yuxiang Wang, Guojia Wan, Hao Wang, Shanshan
Feng, Hao Huang, Jiawei Jiang and Xiao Yan
Practical Group Steiner Tree Algorithms for Web Applications with Many Groups
Qicheng Shan, Yuxuan Yang and Gong Cheng
GraphTARIF: Linear Graph Transformer with Augmented Rank and Improved Focus
Zhaolin Hu, Kun Li, Hehe Fan and Yi Yang
VSAL: A Vision Solver with Adaptive Layouts for Graph Property Detection
Jiahao Xie and Guangmo Tong
Sustained Vertex Cover on Temporal Graphs
Junqiang Peng, Tian Bai, Jingyang Zhao and Mingyu Xiao
Dual-level Reweighting for Positive-Unlabeled Graph Classification
Junghun Kim, Shihyung Park and U Kang
</v>
      </c>
      <c r="F49" s="22" t="str">
        <f>IFERROR(__xludf.DUMMYFUNCTION("TEXTJOIN(CHAR(10), TRUE,FILTER('Research assignment'!$D:$D,'Research assignment'!$I:$I=F48))"),"Dual-Branch Multi-Granularity Network with Structured Contrastive Ranking for Cross-Modal Retrieval
Zihao Chen, Chenyang Bu, Shengwei Ji and Xindong Wu
Less is More: Compact Clue Selection for Efficient Retrieval-Augmented Generation Reasoning
Qianchi Zh"&amp;"ang, Hainan Zhang, Liang Pang, Yongxin Tong,
Hongwei Zheng and Zhiming Zheng
Déjà Vu of Strange Stickers! Enhancing Out-of-Distribution Robustness in Sticker Retrieval via Cross-Modal Intent Alignment
Yu-An Liu, Ruqing Zhang, Jiafeng Guo, Changjiang Zhou"&amp;", Fan
Zhang and Yinhu Zhao
SQL-Checker: Error Detection and Labeling for Text-to-SQL with Interpretability Analysis
Xingyu Ma, Xin Tian, Lingxiang Wu, Xuepeng Wang, Xueming
Tang and Jinqiao Wang
To Search or Not to Search: Aligning the Decision Boundary"&amp;" of Deep Search Agents via Causal Intervention
Wenlin Zhang, Kuicai Dong, Junyi Li, Yingyi Zhang, Xiaopeng
Li, Pengyue Jia, Yi Wen, Derong Xu, Maolin Wang, Yichao
Wang, Yong Liu and Xiangyu Zhao
XR: Cross-Modal Agents for Composed Image Retrieval
Zhongyu"&amp;" Yang, Wei Pang and Yingfang Yuan
")</f>
        <v>Dual-Branch Multi-Granularity Network with Structured Contrastive Ranking for Cross-Modal Retrieval
Zihao Chen, Chenyang Bu, Shengwei Ji and Xindong Wu
Less is More: Compact Clue Selection for Efficient Retrieval-Augmented Generation Reasoning
Qianchi Zhang, Hainan Zhang, Liang Pang, Yongxin Tong,
Hongwei Zheng and Zhiming Zheng
Déjà Vu of Strange Stickers! Enhancing Out-of-Distribution Robustness in Sticker Retrieval via Cross-Modal Intent Alignment
Yu-An Liu, Ruqing Zhang, Jiafeng Guo, Changjiang Zhou, Fan
Zhang and Yinhu Zhao
SQL-Checker: Error Detection and Labeling for Text-to-SQL with Interpretability Analysis
Xingyu Ma, Xin Tian, Lingxiang Wu, Xuepeng Wang, Xueming
Tang and Jinqiao Wang
To Search or Not to Search: Aligning the Decision Boundary of Deep Search Agents via Causal Intervention
Wenlin Zhang, Kuicai Dong, Junyi Li, Yingyi Zhang, Xiaopeng
Li, Pengyue Jia, Yi Wen, Derong Xu, Maolin Wang, Yichao
Wang, Yong Liu and Xiangyu Zhao
XR: Cross-Modal Agents for Composed Image Retrieval
Zhongyu Yang, Wei Pang and Yingfang Yuan
</v>
      </c>
      <c r="G49" s="22" t="str">
        <f>IFERROR(__xludf.DUMMYFUNCTION("TEXTJOIN(CHAR(10), TRUE,FILTER('Research assignment'!$D:$D,'Research assignment'!$I:$I=G48))"),"Lifting Manifolds to Mitigate Pseudo-Alignment in LLM4TS
Liangwei Nathan Zheng, Wenhao Liang, Wei Emma Zhang, Miao
Xu, Olaf Maennel and Weitong Chen
MePe: Rethinking Multimodal Chinese Idiom Reading Comprehension from a Metaphorical Perspective
Tongguan "&amp;"Wang, Junkai Li, Feiyue Xue, Hui Liu, Dongyu Su,
Wangjun Huang and Ying Sha
PLIKD: Prompt Learning with Instance-aware Knowledge Distillation for Web-scale Semantic Image Classification
Jianye Xie, Chunhua Hu, Lianyong Qi, Fan Wang, Xiaolong Xu,
Haolong "&amp;"Xiang, Xuyun Zhang, Shichao Pei, Amin Beheshti,
Wanchun Dou and Xiaokang Zhou
Neuro-Sym Supporter: A Thoughtful Emotion Support Agent Integrating Neural and Symbolic Policy Learning
Minghui Ma, Bin Guo, Mengqi Chen, Jingqi Liu, Yasan Ding,
Yan Liu and Ha"&amp;"n Wang
LoSemB: Logic-Guided Semantic Bridging for Inductive Tool Retrieval
Luyao Zhuang, Qinggang Zhang, Huachi Zhou, Yujing Zhang and
Xiao Huang
Beyond Factual Queries: A Novel Predictive Retrieval-Augmented Generation
Debo Cheng, Jianfeng Deng, Qingfe"&amp;"ng Chen, Jinyi Jie and
Jiangzhang Gan
Generalized Incremental Learning under Concept Drift across Evolving Data Streams
En Yu, Jie Lu and Guangquan Zhang
")</f>
        <v>Lifting Manifolds to Mitigate Pseudo-Alignment in LLM4TS
Liangwei Nathan Zheng, Wenhao Liang, Wei Emma Zhang, Miao
Xu, Olaf Maennel and Weitong Chen
MePe: Rethinking Multimodal Chinese Idiom Reading Comprehension from a Metaphorical Perspective
Tongguan Wang, Junkai Li, Feiyue Xue, Hui Liu, Dongyu Su,
Wangjun Huang and Ying Sha
PLIKD: Prompt Learning with Instance-aware Knowledge Distillation for Web-scale Semantic Image Classification
Jianye Xie, Chunhua Hu, Lianyong Qi, Fan Wang, Xiaolong Xu,
Haolong Xiang, Xuyun Zhang, Shichao Pei, Amin Beheshti,
Wanchun Dou and Xiaokang Zhou
Neuro-Sym Supporter: A Thoughtful Emotion Support Agent Integrating Neural and Symbolic Policy Learning
Minghui Ma, Bin Guo, Mengqi Chen, Jingqi Liu, Yasan Ding,
Yan Liu and Han Wang
LoSemB: Logic-Guided Semantic Bridging for Inductive Tool Retrieval
Luyao Zhuang, Qinggang Zhang, Huachi Zhou, Yujing Zhang and
Xiao Huang
Beyond Factual Queries: A Novel Predictive Retrieval-Augmented Generation
Debo Cheng, Jianfeng Deng, Qingfeng Chen, Jinyi Jie and
Jiangzhang Gan
Generalized Incremental Learning under Concept Drift across Evolving Data Streams
En Yu, Jie Lu and Guangquan Zhang
</v>
      </c>
      <c r="H49" s="22" t="str">
        <f>IFERROR(__xludf.DUMMYFUNCTION("TEXTJOIN(CHAR(10), TRUE,FILTER('Research assignment'!$D:$D,'Research assignment'!$I:$I=H48))"),"Red-Teaming Privacy-Protective Perturbations: Blind Face Restoration as an Attack Strategy
Zelin Li, Yifan Liu, Huimin Zeng, Yaokun Liu, Ruichen Yao,
Yang Zhang and Dong Wang
LLMQuA: Practical Backdoor Injection on Large Language Model Quantization
Xiang"&amp;"xiang Chen, Peixin Zhang, Jun Sun, Jin Song Dong,
Wenhai Wang and Jingyi Wang
Unveiling the Vulnerability of Graph-LLMs: An Interpretable Multi-Dimensional Adversarial Attack on TAGs
Bowen Fan, Zhilin Guo, Xunkai Li, Yihan Zhou, Bing Zhou,
Zhenjun Li, Ro"&amp;"ng-Hua Li and Guoren Wang
Robust LLM-Based Website Fingerprinting under Dynamic Real-World Conditions
Xiyuan Zhao, Xinhao Deng, Tianyu Cui, Yixiang Zhang, Ke Xu
and Qi Li
Breaking Cross-modal Alignment in Embodied Intelligence: A Multimodal Adversarial "&amp;"Attack Framework for Vision-Language-Action Models
Zhihui Zhao, Xiaorong Dong, Yaowen Zheng, Xiaohui Chen,
Yimo Ren, Hangbei Cheng, Yongle Chen and Limin Sun
TGweaver: Synthesizing Transaction Graphs for De-anonymization Analysis
Fajie Wu, Jiajing Wu, Zh"&amp;"iying Wu, Jun Chen, Tao Wang,
Longjian He, Bowen Song and Weiqiang Wang
Towards Practical LLM Unlearning: Efficient, Modular, and Retain-Free
Peng Liu, Peng-Fei Zhang, Jianfeng Qu, Ximing Li, Zhixu Li
and Pengpeng Zhao
The Promise vs. Reality of NFT Dec"&amp;"entralization: An Empirical Study of Storage Strategies and Defects
Yufang Wu, Siwen Chen, Chao Li, Yuan Weng and Wei Wang
PWAVEP: Purifying Imperceptible Adversarial Perturbations in 3D Point Clouds via Spectral Graph Wavelets
Li Haoran, Renyang Liu, Ho"&amp;"ngjia Liu, Chen Wang, Long Yin
and Jian Xu
Zelda: Feedback-driven Closed-box Fuzzing for Identifying Web Application Vulnerabilities
Soyoung Lee, Sunnyeo Park, Yonghwi Kwon and Sooel Son
")</f>
        <v>Red-Teaming Privacy-Protective Perturbations: Blind Face Restoration as an Attack Strategy
Zelin Li, Yifan Liu, Huimin Zeng, Yaokun Liu, Ruichen Yao,
Yang Zhang and Dong Wang
LLMQuA: Practical Backdoor Injection on Large Language Model Quantization
Xiangxiang Chen, Peixin Zhang, Jun Sun, Jin Song Dong,
Wenhai Wang and Jingyi Wang
Unveiling the Vulnerability of Graph-LLMs: An Interpretable Multi-Dimensional Adversarial Attack on TAGs
Bowen Fan, Zhilin Guo, Xunkai Li, Yihan Zhou, Bing Zhou,
Zhenjun Li, Rong-Hua Li and Guoren Wang
Robust LLM-Based Website Fingerprinting under Dynamic Real-World Conditions
Xiyuan Zhao, Xinhao Deng, Tianyu Cui, Yixiang Zhang, Ke Xu
and Qi Li
Breaking Cross-modal Alignment in Embodied Intelligence: A Multimodal Adversarial Attack Framework for Vision-Language-Action Models
Zhihui Zhao, Xiaorong Dong, Yaowen Zheng, Xiaohui Chen,
Yimo Ren, Hangbei Cheng, Yongle Chen and Limin Sun
TGweaver: Synthesizing Transaction Graphs for De-anonymization Analysis
Fajie Wu, Jiajing Wu, Zhiying Wu, Jun Chen, Tao Wang,
Longjian He, Bowen Song and Weiqiang Wang
Towards Practical LLM Unlearning: Efficient, Modular, and Retain-Free
Peng Liu, Peng-Fei Zhang, Jianfeng Qu, Ximing Li, Zhixu Li
and Pengpeng Zhao
The Promise vs. Reality of NFT Decentralization: An Empirical Study of Storage Strategies and Defects
Yufang Wu, Siwen Chen, Chao Li, Yuan Weng and Wei Wang
PWAVEP: Purifying Imperceptible Adversarial Perturbations in 3D Point Clouds via Spectral Graph Wavelets
Li Haoran, Renyang Liu, Hongjia Liu, Chen Wang, Long Yin
and Jian Xu
Zelda: Feedback-driven Closed-box Fuzzing for Identifying Web Application Vulnerabilities
Soyoung Lee, Sunnyeo Park, Yonghwi Kwon and Sooel Son
</v>
      </c>
      <c r="I49" s="22" t="str">
        <f>IFERROR(__xludf.DUMMYFUNCTION("TEXTJOIN(CHAR(10), TRUE,FILTER('Research assignment'!$D:$D,'Research assignment'!$I:$I=I48))"),"Social Event Prediction via Fourier Graph Learning
Mingjie Qiu, Zhiyi Tan and Bing-Kun Bao
FS_GPlib: Breaking the Web-Scale Barrier — A Unified Acceleration Framework for Graph Propagation Models
Chang Guo, Juyuan Zhang, Chang Su, Tianlong Fan and Linyua"&amp;"n
Lü
Source Localization in Continuous-Time Propagation via Spectral ODE Modeling
Dongpeng Hou, Yuchen Wang, Giulio Cimini, Roberto Benzi,
Huixiang Zhang, Zhen Wang and Chao Gao
TFWaveFormer: Temporal-Frequency Collaborative Multi-level Wavelet Transfor"&amp;"mer for Dynamic Link Prediction
Hantong Feng, Yonggang Wu, Duxin Chen and Wenwu Yu
CIFAD: Causal-Invariant Subspace Learning for Few-Shot Anomaly Detection on Dynamic Relational Graphs
Xiao Yu, Haolong Xiang, Xiaolong Xu, Qi Lianyong, Zhang
Xuyun, Fan We"&amp;"i and Dou Wanchun
Fair k-Center Clustering on Massive Social Network Data Streams
Longkun Guo, Chaoqi Jia and Chao Chen
")</f>
        <v>Social Event Prediction via Fourier Graph Learning
Mingjie Qiu, Zhiyi Tan and Bing-Kun Bao
FS_GPlib: Breaking the Web-Scale Barrier — A Unified Acceleration Framework for Graph Propagation Models
Chang Guo, Juyuan Zhang, Chang Su, Tianlong Fan and Linyuan
Lü
Source Localization in Continuous-Time Propagation via Spectral ODE Modeling
Dongpeng Hou, Yuchen Wang, Giulio Cimini, Roberto Benzi,
Huixiang Zhang, Zhen Wang and Chao Gao
TFWaveFormer: Temporal-Frequency Collaborative Multi-level Wavelet Transformer for Dynamic Link Prediction
Hantong Feng, Yonggang Wu, Duxin Chen and Wenwu Yu
CIFAD: Causal-Invariant Subspace Learning for Few-Shot Anomaly Detection on Dynamic Relational Graphs
Xiao Yu, Haolong Xiang, Xiaolong Xu, Qi Lianyong, Zhang
Xuyun, Fan Wei and Dou Wanchun
Fair k-Center Clustering on Massive Social Network Data Streams
Longkun Guo, Chaoqi Jia and Chao Chen
</v>
      </c>
      <c r="J49" s="22" t="str">
        <f>IFERROR(__xludf.DUMMYFUNCTION("TEXTJOIN(CHAR(10), TRUE,FILTER('Research assignment'!$D:$D,'Research assignment'!$I:$I=J48))"),"TraceLLM: Evaluating and Exploring Large Language Models on Trace Analysis in Microservice-based Web Applications
Tong Zhou, Xin Peng, Jie Zhang, Chaofeng Sha, Chenxi Zhang,
Zicheng Yuan and Senyu Xie
Broken Promise: Differential Analysis of Functional D"&amp;"iscrepancies Between WebAssembly and Native Binaries
Xiao Wu, Alan Romano, Liyan Huang, Qiwen Yan, Cai Fu and
Weihang Wang
Self-Speculative Decoding for On-device MoE Acceleration
Peirong Zheng, Wenchao Xu and Haozhao Wang
HeteroSim: Towards High-Fideli"&amp;"ty Heterogeneous LLM Training Simulation on GPUs
Xiaofei Yue, Fangming Zhao, Fulun Ye, Jiongchi Yu, Zhaoxuan
Li, Tingting Li, Ziming Zhao and Jianwei Yin
Curiosity Driven Knowledge Retrieval for Mobile Agents
Sijia Li, Xiaoyu Tan, Shahir Ali, Niels Schmi"&amp;"dt, Gengchen
Ma and Xihe Qiu
Prototype Augmentation-based Edge-end Heterogeneous Collaborative Learning
Enze Yu, Penghuan Cheng, Haipeng Dai, Haihan Zhang, Sujin
Hou, Meng Li, Zhenzhe Zheng, Qiang He and Guihai Chen
Octopus: Vehicle-to-Road Collaborativ"&amp;"e Perception for Autonomous Driving with Closed-Loop Fusion
Ruikun Luo, Jiadong Zhao, Peize Su, Jieming Yang, Jing
Yang, Yuan Gao, Minhui Xue and Xiaoyu Xia
")</f>
        <v>TraceLLM: Evaluating and Exploring Large Language Models on Trace Analysis in Microservice-based Web Applications
Tong Zhou, Xin Peng, Jie Zhang, Chaofeng Sha, Chenxi Zhang,
Zicheng Yuan and Senyu Xie
Broken Promise: Differential Analysis of Functional Discrepancies Between WebAssembly and Native Binaries
Xiao Wu, Alan Romano, Liyan Huang, Qiwen Yan, Cai Fu and
Weihang Wang
Self-Speculative Decoding for On-device MoE Acceleration
Peirong Zheng, Wenchao Xu and Haozhao Wang
HeteroSim: Towards High-Fidelity Heterogeneous LLM Training Simulation on GPUs
Xiaofei Yue, Fangming Zhao, Fulun Ye, Jiongchi Yu, Zhaoxuan
Li, Tingting Li, Ziming Zhao and Jianwei Yin
Curiosity Driven Knowledge Retrieval for Mobile Agents
Sijia Li, Xiaoyu Tan, Shahir Ali, Niels Schmidt, Gengchen
Ma and Xihe Qiu
Prototype Augmentation-based Edge-end Heterogeneous Collaborative Learning
Enze Yu, Penghuan Cheng, Haipeng Dai, Haihan Zhang, Sujin
Hou, Meng Li, Zhenzhe Zheng, Qiang He and Guihai Chen
Octopus: Vehicle-to-Road Collaborative Perception for Autonomous Driving with Closed-Loop Fusion
Ruikun Luo, Jiadong Zhao, Peize Su, Jieming Yang, Jing
Yang, Yuan Gao, Minhui Xue and Xiaoyu Xia
</v>
      </c>
      <c r="K49" s="22" t="str">
        <f>IFERROR(__xludf.DUMMYFUNCTION("TEXTJOIN(CHAR(10), TRUE,FILTER('Research assignment'!$D:$D,'Research assignment'!$I:$I=K48))"),"Optimizing Multi-Turn Interactive Recommendation Agents via Generative Intrinsic Motivation
Xueyang Feng, Jiakai Tang, Xu Chen, Quanyu Dai and Zhenhua
Dong
Unveiling and Simulating Short-Video Addiction Behaviors via Economic Addiction Theory
Chen Xu, Zh"&amp;"ipeng Yi, Ruizi Wang, Wenjie Wang, Jun Xu and
Maarten de Rijke
PRISM: Personalized Recommendation via Information Synergy Module
Yutong Li, Xinyi Zhang, Peijie Sun, Letian Sha and
Zhongxuan Han
Learning on Adaptive Manifolds for Graph Collaborative Filt"&amp;"ering
Guangzhi Qi, Guojun Liu and Qi Zhou
Room Matters: Dynamic Room-level Collaboration Information Modeling for Live Streaming Recommendation
Ke Guo, Changle Qu, Xiao Zhang, Liqin Zhao, Shijun Wang,
Yanan Niu and Jun Xu
ONE-PASS: Single Forward Pass D"&amp;"ecoding for Listwise Reranking
Yingpeng Du, Zhu Sun, Tianjun Wei and Jie Zhang
Personalized Learning Path Planning through Goal-Driven Learner State Modeling
Joy Jia Yin Lim, Ye He, Jifan Yu, Xin Cong, Daniel
Zhang-Li, Zhiyuan Liu, Huiqin Liu, Lei Hou, J"&amp;"uanzi Li and
Bin Xu
Bridging Time and Domains: A Time-aware Framework for Cross-Domain Sequential Recommendation
Zemu Liu, Zhida Qin, Pengzhan Zhou, Tianyu Huang and Gangyi
Ding
CC-OR-Net: A Unified Framework for LTV Prediction through Structural Decoup"&amp;"ling
Mingyu Zhao, Haoran Bai, Yu Tian, Bing Zhu and Hengliang Luo
KE-FedRS: Tackling Data Sparsity in Federated Recommendation via Knowledge Enhancement
Jiayu Bao, Hongjian Shi, Guanyu Zhang, Rui Zhou, Haozhao
Wang and Yuan Liu
Long Story Short: Auditin"&amp;"g U.S. Political Polarization in Recommendations for Long- vs. Short-form Videos on YouTube
Shaokang Jiang, Arshia Arya, Seoyoung Kweon, Ivan Liang,
Deepak Kumar and Kristen Vaccaro
")</f>
        <v>Optimizing Multi-Turn Interactive Recommendation Agents via Generative Intrinsic Motivation
Xueyang Feng, Jiakai Tang, Xu Chen, Quanyu Dai and Zhenhua
Dong
Unveiling and Simulating Short-Video Addiction Behaviors via Economic Addiction Theory
Chen Xu, Zhipeng Yi, Ruizi Wang, Wenjie Wang, Jun Xu and
Maarten de Rijke
PRISM: Personalized Recommendation via Information Synergy Module
Yutong Li, Xinyi Zhang, Peijie Sun, Letian Sha and
Zhongxuan Han
Learning on Adaptive Manifolds for Graph Collaborative Filtering
Guangzhi Qi, Guojun Liu and Qi Zhou
Room Matters: Dynamic Room-level Collaboration Information Modeling for Live Streaming Recommendation
Ke Guo, Changle Qu, Xiao Zhang, Liqin Zhao, Shijun Wang,
Yanan Niu and Jun Xu
ONE-PASS: Single Forward Pass Decoding for Listwise Reranking
Yingpeng Du, Zhu Sun, Tianjun Wei and Jie Zhang
Personalized Learning Path Planning through Goal-Driven Learner State Modeling
Joy Jia Yin Lim, Ye He, Jifan Yu, Xin Cong, Daniel
Zhang-Li, Zhiyuan Liu, Huiqin Liu, Lei Hou, Juanzi Li and
Bin Xu
Bridging Time and Domains: A Time-aware Framework for Cross-Domain Sequential Recommendation
Zemu Liu, Zhida Qin, Pengzhan Zhou, Tianyu Huang and Gangyi
Ding
CC-OR-Net: A Unified Framework for LTV Prediction through Structural Decoupling
Mingyu Zhao, Haoran Bai, Yu Tian, Bing Zhu and Hengliang Luo
KE-FedRS: Tackling Data Sparsity in Federated Recommendation via Knowledge Enhancement
Jiayu Bao, Hongjian Shi, Guanyu Zhang, Rui Zhou, Haozhao
Wang and Yuan Liu
Long Story Short: Auditing U.S. Political Polarization in Recommendations for Long- vs. Short-form Videos on YouTube
Shaokang Jiang, Arshia Arya, Seoyoung Kweon, Ivan Liang,
Deepak Kumar and Kristen Vaccaro
</v>
      </c>
      <c r="L49" s="22" t="str">
        <f>IFERROR(__xludf.DUMMYFUNCTION("TEXTJOIN(CHAR(10), TRUE,FILTER('Research assignment'!$D:$D,'Research assignment'!$I:$I=L48))"),"Thinking Bidirectionally: A Reasoning and Self-Correction Approach for Text-Based Event Prediction with Large Language Models
Liwei Qian, Hang Zhang, Yiheng Wu, Yanmin Li, Mengna Zhu,
Lihua Liu and Jibing Wu
Hyperbolic Multimodal Generative Representatio"&amp;"n Learning for Generalized Zero-Shot Multimodal Information Extraction
Baohang Zhou, Kehui Song, Rize Jin, Yu Zhao, Xuhui Sui,
Xinying Qian, Xingyue Guo and Ying Zhang
MIDE: Multimodal Dialogue Emotion Recognition via Mutual Information Enhancement and D"&amp;"ynamic Modality Selection
Zhibo Zhang, Jianjun Li and Zhiyuan Ma
GFMixer: Decoupled Temporal Gradient and Fourier-Aware Attention for Time Series Forecasting
Lin Zhang, Qing Li and Jingmei Zhao
MIGC-CMamba: Cross-Domain Mamba with Multi-Scale Imaging an"&amp;"d Granular-Ball Computing for Traffic Flow Prediction
Wenxia Chang, Chao Zhang, Wentao Li and Deyu Li
STaR: Towards Effective and Stable Table Reasoning via Slow-Thinking Large Language Models
Huajian Zhang, Mingyue Cheng, Yucong Luo and Xiaoyu Tao
Enha"&amp;"ncing Large Language Models for Time-Series Forecasting via Vector-Injected In-Context Learning
Jianqi Zhang, Jingyao Wang, Wenwen Qiang, Fanjiang Xu and
Changwen Zheng
")</f>
        <v>Thinking Bidirectionally: A Reasoning and Self-Correction Approach for Text-Based Event Prediction with Large Language Models
Liwei Qian, Hang Zhang, Yiheng Wu, Yanmin Li, Mengna Zhu,
Lihua Liu and Jibing Wu
Hyperbolic Multimodal Generative Representation Learning for Generalized Zero-Shot Multimodal Information Extraction
Baohang Zhou, Kehui Song, Rize Jin, Yu Zhao, Xuhui Sui,
Xinying Qian, Xingyue Guo and Ying Zhang
MIDE: Multimodal Dialogue Emotion Recognition via Mutual Information Enhancement and Dynamic Modality Selection
Zhibo Zhang, Jianjun Li and Zhiyuan Ma
GFMixer: Decoupled Temporal Gradient and Fourier-Aware Attention for Time Series Forecasting
Lin Zhang, Qing Li and Jingmei Zhao
MIGC-CMamba: Cross-Domain Mamba with Multi-Scale Imaging and Granular-Ball Computing for Traffic Flow Prediction
Wenxia Chang, Chao Zhang, Wentao Li and Deyu Li
STaR: Towards Effective and Stable Table Reasoning via Slow-Thinking Large Language Models
Huajian Zhang, Mingyue Cheng, Yucong Luo and Xiaoyu Tao
Enhancing Large Language Models for Time-Series Forecasting via Vector-Injected In-Context Learning
Jianqi Zhang, Jingyao Wang, Wenwen Qiang, Fanjiang Xu and
Changwen Zheng
</v>
      </c>
      <c r="M49" s="36" t="str">
        <f>IFERROR(__xludf.DUMMYFUNCTION("TEXTJOIN(CHAR(10), TRUE,FILTER('Industry assignment'!$D:$D,'Industry assignment'!$I:$I=M48))"),"GPU-accelerated Multi-relational Parallel Graph Retrieval for Web-scale Recommendations
Zhuoning Guo, Guangxing Chen, Qian Gao, Xiaochao Liao, Jianjia Zheng, Lu Shen and Hao Liu
Accurate and Efficient Personalized Query Rewriting in Baidu Search
Xu Chu, "&amp;"Angela Li, Jiaming Zhang, Wei Li, Zhijie Tan, Dawei Yin, Shuaiqiang Wang and Daiting Shi
PLUM: Adapting Pre-trained Language Models for Industrial-scale Generative Recommendations
Ruining He, Lukasz Heldt, Lichan Hong, Raghunandan Keshavan, Shifan Mao, N"&amp;"ikhil Mehta, Zhengyang Su, Alicia Tsai, Yueqi Wang, Shao-Chuan Wang, Xinyang Yi, Lexi Baugher, Baykal Cakici, Ed Chi, Cristos Goodrow, Ningren Han, He Ma, Romer Rosales, Abby Van Soest, Devansh Tandon, Su-Lin Wu, Weilong Yang and Yilin Zheng
A Creator-Aw"&amp;"are Recommendation System for Content Platforms
Wenjing Li, Jiang Rong, Yao Hu, Zhenzhe Zheng and Fan Wu
")</f>
        <v>GPU-accelerated Multi-relational Parallel Graph Retrieval for Web-scale Recommendations
Zhuoning Guo, Guangxing Chen, Qian Gao, Xiaochao Liao, Jianjia Zheng, Lu Shen and Hao Liu
Accurate and Efficient Personalized Query Rewriting in Baidu Search
Xu Chu, Angela Li, Jiaming Zhang, Wei Li, Zhijie Tan, Dawei Yin, Shuaiqiang Wang and Daiting Shi
PLUM: Adapting Pre-trained Language Models for Industrial-scale Generative Recommendations
Ruining He, Lukasz Heldt, Lichan Hong, Raghunandan Keshavan, Shifan Mao, Nikhil Mehta, Zhengyang Su, Alicia Tsai, Yueqi Wang, Shao-Chuan Wang, Xinyang Yi, Lexi Baugher, Baykal Cakici, Ed Chi, Cristos Goodrow, Ningren Han, He Ma, Romer Rosales, Abby Van Soest, Devansh Tandon, Su-Lin Wu, Weilong Yang and Yilin Zheng
A Creator-Aware Recommendation System for Content Platforms
Wenjing Li, Jiang Rong, Yao Hu, Zhenzhe Zheng and Fan Wu
</v>
      </c>
      <c r="N49" s="36" t="str">
        <f>IFERROR(__xludf.DUMMYFUNCTION("TEXTJOIN(CHAR(10), TRUE,FILTER('Web4Good assignment'!$D:$D,'Web4Good assignment'!$I:$I=N48))"),"Spiking Graph Predictive Coding for Reliable OOD Generalization
Jing Ren, Jiapeng Du, Bowen Li, Ziqi Xu, Xin Zheng, Hong Jia, Suyu Ma, Xiwei Xu and Feng Xia
Boosting Large Language Models for Mental Manipulation Detection via Data Augmentation and Distil"&amp;"lation
Yuansheng Gao, Peng Gao, Han Bao, Bin Li, Jixiang Luo, Zonghui Wang and Wenzhi Chen
ReRule: Temporal Rule-Augmented Language Modeling for Causal Event Chain Completion
Wei Zhang, Shufeng Hao, Chongyang Shi, Usman Naseem, Jinyan Liu and Ziyu Li
In"&amp;"dicAG: An Explainable Agentic Framework for Indic-Multilingual Multidimensional Aggression Detection
Swapnil Mane, Rajesh Sharma and Suman Kundu
GRAND: A Robust Diffusion Framework for Multi-Granularity Graph Anomaly Detection in Web Platforms
Maolin Wan"&amp;"g, Beining Bao, Hongyu Chen, Zichun Liu, Lang Fu, Jun Chu, Langzhang Liang and Zenglin Xu
Accurate Trajectory Recovery in Underserved Areas via Location Inference from Web Crowdsourced Data
Tangwei Ye, Liang Hu, Zhongyuan Lai, Qi Zhang, Yiming Wu, Jiaxin"&amp;"g Miao, Yijun Yang and Kun Yi
Modeling Multimodal Information Cascade on Social Media with Interpretable Mixture of Experts
Xin Jing, Zeyu Shi, Zhangtao Cheng, Yichen Jing, Yuhuan Lu, Bangchao Deng and Dingqi Yang
TheraMind: A Strategic and Adaptive Age"&amp;"nt for Longitudinal Psychological Counseling
He Hu, Chiyuan Ma, Qianning Wang, Liu Lin, Yucheng Zhou, Laizhong Cui, Fei Ma and Qi Tian
When Ads Become Profiles: Uncovering the Invisible Risk of Web Advertising at Scale with LLMs
Baiyu Chen, Benjamin Tag,"&amp;" Hao Xue, Daniel Angus and Flora Salim
TravelReasoner: Leveraging Large Reasoning Models to Address Mobility Data Gap
Peijie Liu, Fengli Xu and Yong Li
Longitudinal Trends in Global Climate Change Discourse on Facebook
Md. Rafiul Biswas, Mabrouka Bessgh"&amp;"aier, Shimaa Ibrahim, George Mikros and Wajdi Zaghouani
Bowling with ChatGPT: On the Evolving User Interactions with Conversational AI Systems
Sai Keerthana Karnam, Abhisek Dash, Krishna Gummadi, Animesh Mukherjee, Ingmar Weber and Savvas Zannettou
Invi"&amp;"sible Walls in Cities: Designing LLM Agent to Predict Urban Segregation Experience with Social Media Content
Bingbing Fan, Lin Chen, Songwei Li, Jian Yuan, Fengli Xu, Pan Hui and Yong Li
How Green Is Your Login? A Cross-Protocol Benchmark of Authenticati"&amp;"on Energy &amp; Latency
Weizheng Wang, Qipeng Xie, Shiyu Wang, Qingqing Ye, Kaishun Wu and Haibo Hu
MultiCheck: Strengthening Web Trust with Unified Multimodal Fact Verification
Aditya Kishore, Gaurav Kumar and Jasabanta Patro
")</f>
        <v>Spiking Graph Predictive Coding for Reliable OOD Generalization
Jing Ren, Jiapeng Du, Bowen Li, Ziqi Xu, Xin Zheng, Hong Jia, Suyu Ma, Xiwei Xu and Feng Xia
Boosting Large Language Models for Mental Manipulation Detection via Data Augmentation and Distillation
Yuansheng Gao, Peng Gao, Han Bao, Bin Li, Jixiang Luo, Zonghui Wang and Wenzhi Chen
ReRule: Temporal Rule-Augmented Language Modeling for Causal Event Chain Completion
Wei Zhang, Shufeng Hao, Chongyang Shi, Usman Naseem, Jinyan Liu and Ziyu Li
IndicAG: An Explainable Agentic Framework for Indic-Multilingual Multidimensional Aggression Detection
Swapnil Mane, Rajesh Sharma and Suman Kundu
GRAND: A Robust Diffusion Framework for Multi-Granularity Graph Anomaly Detection in Web Platforms
Maolin Wang, Beining Bao, Hongyu Chen, Zichun Liu, Lang Fu, Jun Chu, Langzhang Liang and Zenglin Xu
Accurate Trajectory Recovery in Underserved Areas via Location Inference from Web Crowdsourced Data
Tangwei Ye, Liang Hu, Zhongyuan Lai, Qi Zhang, Yiming Wu, Jiaxing Miao, Yijun Yang and Kun Yi
Modeling Multimodal Information Cascade on Social Media with Interpretable Mixture of Experts
Xin Jing, Zeyu Shi, Zhangtao Cheng, Yichen Jing, Yuhuan Lu, Bangchao Deng and Dingqi Yang
TheraMind: A Strategic and Adaptive Agent for Longitudinal Psychological Counseling
He Hu, Chiyuan Ma, Qianning Wang, Liu Lin, Yucheng Zhou, Laizhong Cui, Fei Ma and Qi Tian
When Ads Become Profiles: Uncovering the Invisible Risk of Web Advertising at Scale with LLMs
Baiyu Chen, Benjamin Tag, Hao Xue, Daniel Angus and Flora Salim
TravelReasoner: Leveraging Large Reasoning Models to Address Mobility Data Gap
Peijie Liu, Fengli Xu and Yong Li
Longitudinal Trends in Global Climate Change Discourse on Facebook
Md. Rafiul Biswas, Mabrouka Bessghaier, Shimaa Ibrahim, George Mikros and Wajdi Zaghouani
Bowling with ChatGPT: On the Evolving User Interactions with Conversational AI Systems
Sai Keerthana Karnam, Abhisek Dash, Krishna Gummadi, Animesh Mukherjee, Ingmar Weber and Savvas Zannettou
Invisible Walls in Cities: Designing LLM Agent to Predict Urban Segregation Experience with Social Media Content
Bingbing Fan, Lin Chen, Songwei Li, Jian Yuan, Fengli Xu, Pan Hui and Yong Li
How Green Is Your Login? A Cross-Protocol Benchmark of Authentication Energy &amp; Latency
Weizheng Wang, Qipeng Xie, Shiyu Wang, Qingqing Ye, Kaishun Wu and Haibo Hu
MultiCheck: Strengthening Web Trust with Unified Multimodal Fact Verification
Aditya Kishore, Gaurav Kumar and Jasabanta Patro
</v>
      </c>
      <c r="O49" s="30"/>
      <c r="P49" s="5"/>
      <c r="Q49" s="5"/>
      <c r="R49" s="5"/>
      <c r="S49" s="5"/>
      <c r="T49" s="5"/>
      <c r="U49" s="5"/>
      <c r="V49" s="5"/>
      <c r="W49" s="5"/>
      <c r="X49" s="5"/>
      <c r="Y49" s="5"/>
      <c r="Z49" s="5"/>
      <c r="AA49" s="5"/>
    </row>
    <row r="50">
      <c r="A50" s="10">
        <v>46205.0</v>
      </c>
      <c r="B50" s="11"/>
      <c r="C50" s="94"/>
      <c r="D50" s="94"/>
      <c r="E50" s="94"/>
      <c r="F50" s="94"/>
      <c r="G50" s="94"/>
      <c r="H50" s="94"/>
      <c r="I50" s="94"/>
      <c r="J50" s="94"/>
      <c r="K50" s="94"/>
      <c r="L50" s="95"/>
      <c r="M50" s="95"/>
      <c r="N50" s="94"/>
      <c r="O50" s="14"/>
      <c r="P50" s="5"/>
      <c r="Q50" s="5"/>
      <c r="R50" s="5"/>
      <c r="S50" s="5"/>
      <c r="T50" s="5"/>
      <c r="U50" s="5"/>
      <c r="V50" s="5"/>
      <c r="W50" s="5"/>
      <c r="X50" s="5"/>
      <c r="Y50" s="5"/>
      <c r="Z50" s="5"/>
      <c r="AA50" s="5"/>
    </row>
    <row r="51">
      <c r="A51" s="96" t="s">
        <v>125</v>
      </c>
      <c r="B51" s="97" t="s">
        <v>126</v>
      </c>
      <c r="O51" s="58"/>
      <c r="P51" s="22"/>
      <c r="Q51" s="22"/>
      <c r="R51" s="22"/>
      <c r="S51" s="22"/>
      <c r="T51" s="5"/>
      <c r="U51" s="5"/>
      <c r="V51" s="5"/>
      <c r="W51" s="5"/>
      <c r="X51" s="5"/>
      <c r="Y51" s="5"/>
      <c r="Z51" s="5"/>
      <c r="AA51" s="5"/>
    </row>
    <row r="52">
      <c r="A52" s="96"/>
      <c r="B52" s="59" t="str">
        <f>IFERROR(__xludf.DUMMYFUNCTION("CONCATENATE(""Session Chair: "",TEXTJOIN(CHAR(10), TRUE,FILTER('Session Chairs'!$C:$C,'Session Chairs'!$A:$A=B51)))"),"Session Chair: Ricardo-Baeza-Yates")</f>
        <v>Session Chair: Ricardo-Baeza-Yates</v>
      </c>
      <c r="C52" s="97"/>
      <c r="D52" s="97"/>
      <c r="E52" s="97"/>
      <c r="F52" s="97"/>
      <c r="G52" s="97"/>
      <c r="H52" s="97"/>
      <c r="I52" s="97"/>
      <c r="J52" s="97"/>
      <c r="K52" s="97"/>
      <c r="L52" s="97"/>
      <c r="M52" s="97"/>
      <c r="N52" s="97"/>
      <c r="O52" s="58"/>
      <c r="P52" s="38"/>
      <c r="Q52" s="38"/>
      <c r="R52" s="38"/>
      <c r="S52" s="38"/>
      <c r="T52" s="5"/>
      <c r="U52" s="5"/>
      <c r="V52" s="5"/>
      <c r="W52" s="5"/>
      <c r="X52" s="5"/>
      <c r="Y52" s="5"/>
      <c r="Z52" s="5"/>
      <c r="AA52" s="5"/>
    </row>
    <row r="53" outlineLevel="1">
      <c r="A53" s="96"/>
      <c r="B53" s="57" t="s">
        <v>127</v>
      </c>
      <c r="O53" s="58"/>
      <c r="P53" s="22"/>
      <c r="Q53" s="22"/>
      <c r="R53" s="22"/>
      <c r="S53" s="22"/>
      <c r="T53" s="5"/>
      <c r="U53" s="5"/>
      <c r="V53" s="5"/>
      <c r="W53" s="5"/>
      <c r="X53" s="5"/>
      <c r="Y53" s="5"/>
      <c r="Z53" s="5"/>
      <c r="AA53" s="5"/>
    </row>
    <row r="54" outlineLevel="1">
      <c r="A54" s="96"/>
      <c r="B54" s="97" t="s">
        <v>128</v>
      </c>
      <c r="O54" s="58"/>
      <c r="P54" s="38"/>
      <c r="Q54" s="38"/>
      <c r="R54" s="38"/>
      <c r="S54" s="38"/>
      <c r="T54" s="5"/>
      <c r="U54" s="5"/>
      <c r="V54" s="5"/>
      <c r="W54" s="5"/>
      <c r="X54" s="5"/>
      <c r="Y54" s="5"/>
      <c r="Z54" s="5"/>
      <c r="AA54" s="5"/>
    </row>
    <row r="55">
      <c r="A55" s="98" t="s">
        <v>129</v>
      </c>
      <c r="B55" s="33" t="s">
        <v>31</v>
      </c>
      <c r="O55" s="86"/>
      <c r="P55" s="65"/>
      <c r="Q55" s="65"/>
      <c r="R55" s="65"/>
      <c r="S55" s="65"/>
      <c r="T55" s="5"/>
      <c r="U55" s="5"/>
      <c r="V55" s="5"/>
      <c r="W55" s="5"/>
      <c r="X55" s="5"/>
      <c r="Y55" s="5"/>
      <c r="Z55" s="5"/>
      <c r="AA55" s="5"/>
    </row>
    <row r="56">
      <c r="A56" s="45" t="s">
        <v>130</v>
      </c>
      <c r="B56" s="91" t="s">
        <v>131</v>
      </c>
      <c r="C56" s="92" t="s">
        <v>132</v>
      </c>
      <c r="D56" s="92" t="s">
        <v>133</v>
      </c>
      <c r="E56" s="99" t="s">
        <v>134</v>
      </c>
      <c r="F56" s="99" t="s">
        <v>135</v>
      </c>
      <c r="G56" s="99" t="s">
        <v>136</v>
      </c>
      <c r="H56" s="99" t="s">
        <v>137</v>
      </c>
      <c r="I56" s="99" t="s">
        <v>138</v>
      </c>
      <c r="J56" s="99" t="s">
        <v>139</v>
      </c>
      <c r="K56" s="99" t="s">
        <v>140</v>
      </c>
      <c r="L56" s="100" t="s">
        <v>141</v>
      </c>
      <c r="M56" s="100" t="s">
        <v>142</v>
      </c>
      <c r="N56" s="92" t="s">
        <v>143</v>
      </c>
      <c r="O56" s="38"/>
      <c r="P56" s="38"/>
      <c r="Q56" s="38"/>
      <c r="R56" s="38"/>
      <c r="S56" s="38"/>
      <c r="T56" s="5"/>
      <c r="U56" s="5"/>
      <c r="V56" s="5"/>
      <c r="W56" s="5"/>
      <c r="X56" s="5"/>
      <c r="Y56" s="5"/>
      <c r="Z56" s="5"/>
      <c r="AA56" s="5"/>
    </row>
    <row r="57" ht="21.0" customHeight="1">
      <c r="A57" s="74"/>
      <c r="B57" s="101" t="str">
        <f>IFERROR(__xludf.DUMMYFUNCTION("TEXTJOIN(CHAR(10), TRUE,FILTER('Sessions Counts'!$B:$B,'Sessions Counts'!$A:$A=B56))"),"Economics of Generative AI")</f>
        <v>Economics of Generative AI</v>
      </c>
      <c r="C57" s="102" t="str">
        <f>IFERROR(__xludf.DUMMYFUNCTION("TEXTJOIN(CHAR(10), TRUE,FILTER('Sessions Counts'!$B:$B,'Sessions Counts'!$A:$A=C56))"),"Graph Neural Networks 1")</f>
        <v>Graph Neural Networks 1</v>
      </c>
      <c r="D57" s="102" t="str">
        <f>IFERROR(__xludf.DUMMYFUNCTION("TEXTJOIN(CHAR(10), TRUE,FILTER('Sessions Counts'!$B:$B,'Sessions Counts'!$A:$A=D56))"),"Graph Foundation Models 2")</f>
        <v>Graph Foundation Models 2</v>
      </c>
      <c r="E57" s="102" t="str">
        <f>IFERROR(__xludf.DUMMYFUNCTION("TEXTJOIN(CHAR(10), TRUE,FILTER('Sessions Counts'!$B:$B,'Sessions Counts'!$A:$A=E56))"),"Question Answering &amp; Knowledge Graphs")</f>
        <v>Question Answering &amp; Knowledge Graphs</v>
      </c>
      <c r="F57" s="102" t="str">
        <f>IFERROR(__xludf.DUMMYFUNCTION("TEXTJOIN(CHAR(10), TRUE,FILTER('Sessions Counts'!$B:$B,'Sessions Counts'!$A:$A=F56))"),"Multimodal Knowledge Graphs")</f>
        <v>Multimodal Knowledge Graphs</v>
      </c>
      <c r="G57" s="102" t="str">
        <f>IFERROR(__xludf.DUMMYFUNCTION("TEXTJOIN(CHAR(10), TRUE,FILTER('Sessions Counts'!$B:$B,'Sessions Counts'!$A:$A=G56))"),"Trust, Safety, and Content Moderation")</f>
        <v>Trust, Safety, and Content Moderation</v>
      </c>
      <c r="H57" s="102" t="str">
        <f>IFERROR(__xludf.DUMMYFUNCTION("TEXTJOIN(CHAR(10), TRUE,FILTER('Sessions Counts'!$B:$B,'Sessions Counts'!$A:$A=H56))"),"Cloud–Edge AI Systems")</f>
        <v>Cloud–Edge AI Systems</v>
      </c>
      <c r="I57" s="102" t="str">
        <f>IFERROR(__xludf.DUMMYFUNCTION("TEXTJOIN(CHAR(10), TRUE,FILTER('Sessions Counts'!$B:$B,'Sessions Counts'!$A:$A=I56))"),"Security &amp; Privacy for LLM I")</f>
        <v>Security &amp; Privacy for LLM I</v>
      </c>
      <c r="J57" s="102" t="str">
        <f>IFERROR(__xludf.DUMMYFUNCTION("TEXTJOIN(CHAR(10), TRUE,FILTER('Sessions Counts'!$B:$B,'Sessions Counts'!$A:$A=J56))"),"Misinformation, Content Authenticity, and Social Mining")</f>
        <v>Misinformation, Content Authenticity, and Social Mining</v>
      </c>
      <c r="K57" s="102" t="str">
        <f>IFERROR(__xludf.DUMMYFUNCTION("TEXTJOIN(CHAR(10), TRUE,FILTER('Sessions Counts'!$B:$B,'Sessions Counts'!$A:$A=K56))"),"Graph-Based Collaborative Filtering")</f>
        <v>Graph-Based Collaborative Filtering</v>
      </c>
      <c r="L57" s="76" t="str">
        <f>IFERROR(__xludf.DUMMYFUNCTION("TEXTJOIN(CHAR(10), TRUE,FILTER('Industry assignment'!$B:$B,'Industry assignment'!$A:$A=L56))"),"LLM Efficiency, Reasoning &amp; System Logs")</f>
        <v>LLM Efficiency, Reasoning &amp; System Logs</v>
      </c>
      <c r="M57" s="102" t="str">
        <f>IFERROR(__xludf.DUMMYFUNCTION("TEXTJOIN(CHAR(10), TRUE,FILTER('Sessions Counts'!$B:$B,'Sessions Counts'!$A:$A=M56))"),"Logistics, Travel &amp; Geospatial Services")</f>
        <v>Logistics, Travel &amp; Geospatial Services</v>
      </c>
      <c r="N57" s="103" t="str">
        <f>IFERROR(__xludf.DUMMYFUNCTION("TEXTJOIN(CHAR(10), TRUE,FILTER('Sessions Counts'!$B:$B,'Sessions Counts'!$A:$A=N56))"),"Trustworthy, Fair &amp; Safe Web AI")</f>
        <v>Trustworthy, Fair &amp; Safe Web AI</v>
      </c>
      <c r="O57" s="104"/>
      <c r="P57" s="104"/>
      <c r="Q57" s="104"/>
      <c r="R57" s="104"/>
      <c r="S57" s="104"/>
      <c r="T57" s="73"/>
      <c r="U57" s="73"/>
      <c r="V57" s="73"/>
      <c r="W57" s="73"/>
      <c r="X57" s="73"/>
      <c r="Y57" s="73"/>
      <c r="Z57" s="73"/>
      <c r="AA57" s="73"/>
    </row>
    <row r="58" collapsed="1">
      <c r="A58" s="67"/>
      <c r="B58" s="105" t="str">
        <f>IFERROR(__xludf.DUMMYFUNCTION("CONCATENATE(""Session Chair: "",TEXTJOIN(CHAR(10), TRUE,FILTER('Session Chairs'!$C:$C,'Session Chairs'!$A:$A=B56)))"),"Session Chair: Ido Guy")</f>
        <v>Session Chair: Ido Guy</v>
      </c>
      <c r="C58" s="106" t="str">
        <f>IFERROR(__xludf.DUMMYFUNCTION("CONCATENATE(""Session Chair: "",TEXTJOIN(CHAR(10), TRUE,FILTER('Session Chairs'!$C:$C,'Session Chairs'!$A:$A=C56)))"),"Session Chair: Tiehua Zhang")</f>
        <v>Session Chair: Tiehua Zhang</v>
      </c>
      <c r="D58" s="106" t="str">
        <f>IFERROR(__xludf.DUMMYFUNCTION("CONCATENATE(""Session Chair: "",TEXTJOIN(CHAR(10), TRUE,FILTER('Session Chairs'!$C:$C,'Session Chairs'!$A:$A=D56)))"),"Session Chair: Haonan Yuan")</f>
        <v>Session Chair: Haonan Yuan</v>
      </c>
      <c r="E58" s="106" t="str">
        <f>IFERROR(__xludf.DUMMYFUNCTION("CONCATENATE(""Session Chair: "",TEXTJOIN(CHAR(10), TRUE,FILTER('Session Chairs'!$C:$C,'Session Chairs'!$A:$A=E56)))"),"Session Chair: David Carmel")</f>
        <v>Session Chair: David Carmel</v>
      </c>
      <c r="F58" s="106" t="str">
        <f>IFERROR(__xludf.DUMMYFUNCTION("CONCATENATE(""Session Chair: "",TEXTJOIN(CHAR(10), TRUE,FILTER('Session Chairs'!$C:$C,'Session Chairs'!$A:$A=F56)))"),"Session Chair: Dongyu Zhang")</f>
        <v>Session Chair: Dongyu Zhang</v>
      </c>
      <c r="G58" s="106" t="str">
        <f>IFERROR(__xludf.DUMMYFUNCTION("CONCATENATE(""Session Chair: "",TEXTJOIN(CHAR(10), TRUE,FILTER('Session Chairs'!$C:$C,'Session Chairs'!$A:$A=G56)))"),"Session Chair: Tangila Islam Tanni")</f>
        <v>Session Chair: Tangila Islam Tanni</v>
      </c>
      <c r="H58" s="106" t="str">
        <f>IFERROR(__xludf.DUMMYFUNCTION("CONCATENATE(""Session Chair: "",TEXTJOIN(CHAR(10), TRUE,FILTER('Session Chairs'!$C:$C,'Session Chairs'!$A:$A=H56)))"),"Session Chair: Xiaoli Liu ")</f>
        <v>Session Chair: Xiaoli Liu </v>
      </c>
      <c r="I58" s="106" t="str">
        <f>IFERROR(__xludf.DUMMYFUNCTION("CONCATENATE(""Session Chair: "",TEXTJOIN(CHAR(10), TRUE,FILTER('Session Chairs'!$C:$C,'Session Chairs'!$A:$A=I56)))"),"Session Chair: Xiaoyan Zhao")</f>
        <v>Session Chair: Xiaoyan Zhao</v>
      </c>
      <c r="J58" s="106" t="str">
        <f>IFERROR(__xludf.DUMMYFUNCTION("CONCATENATE(""Session Chair: "",TEXTJOIN(CHAR(10), TRUE,FILTER('Session Chairs'!$C:$C,'Session Chairs'!$A:$A=J56)))"),"Session Chair: Akshar Prabhu Desai")</f>
        <v>Session Chair: Akshar Prabhu Desai</v>
      </c>
      <c r="K58" s="106" t="str">
        <f>IFERROR(__xludf.DUMMYFUNCTION("CONCATENATE(""Session Chair: "",TEXTJOIN(CHAR(10), TRUE,FILTER('Session Chairs'!$C:$C,'Session Chairs'!$A:$A=K56)))"),"Session Chair: Weigang Lu")</f>
        <v>Session Chair: Weigang Lu</v>
      </c>
      <c r="L58" s="106" t="str">
        <f>IFERROR(__xludf.DUMMYFUNCTION("CONCATENATE(""Session Chair: "",TEXTJOIN(CHAR(10), TRUE,FILTER('Session Chairs'!$C:$C,'Session Chairs'!$A:$A=L56)))"),"Session Chair: Elad Yom-Tov")</f>
        <v>Session Chair: Elad Yom-Tov</v>
      </c>
      <c r="M58" s="106" t="str">
        <f>IFERROR(__xludf.DUMMYFUNCTION("CONCATENATE(""Session Chair: "",TEXTJOIN(CHAR(10), TRUE,FILTER('Session Chairs'!$C:$C,'Session Chairs'!$A:$A=M56)))"),"Session Chair: Heng Chang")</f>
        <v>Session Chair: Heng Chang</v>
      </c>
      <c r="N58" s="106" t="str">
        <f>IFERROR(__xludf.DUMMYFUNCTION("CONCATENATE(""Session Chair: "",TEXTJOIN(CHAR(10), TRUE,FILTER('Session Chairs'!$C:$C,'Session Chairs'!$A:$A=N56)))"),"Session Chair: Roy Ka-Wei Lee")</f>
        <v>Session Chair: Roy Ka-Wei Lee</v>
      </c>
      <c r="O58" s="88"/>
      <c r="P58" s="88"/>
      <c r="Q58" s="88"/>
      <c r="R58" s="88"/>
      <c r="S58" s="88"/>
      <c r="T58" s="73"/>
      <c r="U58" s="73"/>
      <c r="V58" s="73"/>
      <c r="W58" s="73"/>
      <c r="X58" s="73"/>
      <c r="Y58" s="73"/>
      <c r="Z58" s="73"/>
      <c r="AA58" s="73"/>
    </row>
    <row r="59" hidden="1" outlineLevel="1">
      <c r="A59" s="49"/>
      <c r="B59" s="44" t="str">
        <f>IFERROR(__xludf.DUMMYFUNCTION("TEXTJOIN(CHAR(10), TRUE,FILTER('Research assignment'!$D:$D,'Research assignment'!$H:$H=B56))"),"PMIScore: An Unsupervised Approach to Quantify Dialogue Engagement
Yongkang Guo, Yuqing Kong and Zhihuan Huang
Strategic Content Creation with GenAI: To Share or Not to Share?
Gur Keinan and Omer Ben-Porat
Pay for The Second-Best Service: A Game-Theoret"&amp;"ic Approach against Dishonest LLM Providers
Yuhan Cao, Yu Wang, Sitong Liu, Miao Li, Yixin Tao and
Tianxing He
Position Auctions in AI-Generated Content
Santiago Balseiro, Kshipra Bhawalkar, Yuan Deng, Zhe Feng,
Jieming Mao, Aranyak Mehta, Vahab Mirrokni"&amp;", Renato Paes
Leme, Di Wang and Song Zuo
How to Strategize Human Content Creation in the Era of GenAI?
Seyed Esmaeili, Kevin Lim, Kshipra Bhawalkar, Zhe Feng, Di
Wang and Haifeng Xu
")</f>
        <v>PMIScore: An Unsupervised Approach to Quantify Dialogue Engagement
Yongkang Guo, Yuqing Kong and Zhihuan Huang
Strategic Content Creation with GenAI: To Share or Not to Share?
Gur Keinan and Omer Ben-Porat
Pay for The Second-Best Service: A Game-Theoretic Approach against Dishonest LLM Providers
Yuhan Cao, Yu Wang, Sitong Liu, Miao Li, Yixin Tao and
Tianxing He
Position Auctions in AI-Generated Content
Santiago Balseiro, Kshipra Bhawalkar, Yuan Deng, Zhe Feng,
Jieming Mao, Aranyak Mehta, Vahab Mirrokni, Renato Paes
Leme, Di Wang and Song Zuo
How to Strategize Human Content Creation in the Era of GenAI?
Seyed Esmaeili, Kevin Lim, Kshipra Bhawalkar, Zhe Feng, Di
Wang and Haifeng Xu
</v>
      </c>
      <c r="C59" s="20" t="str">
        <f>IFERROR(__xludf.DUMMYFUNCTION("TEXTJOIN(CHAR(10), TRUE,FILTER('Research assignment'!$D:$D,'Research assignment'!$H:$H=C56))"),"Heterophily-Agnostic Hypergraph Neural Networks with Riemannian Local Exchanger
Li Sun, Ming Zhang, Wenxin Jin, Zhongtian Sun, Zhenhao
Huang, Hao Peng, Sen Su and Philip Yu
IVQ-GNN: Mitigating Performance Gaps from Graph Connection Pattern Inconsistency "&amp;"via Vector Quantization
Di Jin, Yixuan Du, Cuiying Huo, Xiaotong Huang, Ruqiong
Zhang, Xiaobao Wang and Yawen Li
Frequency-Corrupt Based Graph Self-Supervised Learning
Haojie Li, Mengjiao Zhang, Guanfeng Liu, Qiang Hu, Yan Wang
and Junwei Du
Discrete Di"&amp;"ffusion-Based Model-Level Explanation of Heterogeneous GNNs with Node Features
Pallabee Das and Stefan Heindorf
SliceGX: Layer-wise GNN Explanation with Model-slicing
Cibo Yu, Tingting Zhu, Tingyang Chen, Yinghui Wu, Arijit
Khan and Xiangyu Ke
")</f>
        <v>Heterophily-Agnostic Hypergraph Neural Networks with Riemannian Local Exchanger
Li Sun, Ming Zhang, Wenxin Jin, Zhongtian Sun, Zhenhao
Huang, Hao Peng, Sen Su and Philip Yu
IVQ-GNN: Mitigating Performance Gaps from Graph Connection Pattern Inconsistency via Vector Quantization
Di Jin, Yixuan Du, Cuiying Huo, Xiaotong Huang, Ruqiong
Zhang, Xiaobao Wang and Yawen Li
Frequency-Corrupt Based Graph Self-Supervised Learning
Haojie Li, Mengjiao Zhang, Guanfeng Liu, Qiang Hu, Yan Wang
and Junwei Du
Discrete Diffusion-Based Model-Level Explanation of Heterogeneous GNNs with Node Features
Pallabee Das and Stefan Heindorf
SliceGX: Layer-wise GNN Explanation with Model-slicing
Cibo Yu, Tingting Zhu, Tingyang Chen, Yinghui Wu, Arijit
Khan and Xiangyu Ke
</v>
      </c>
      <c r="D59" s="20" t="str">
        <f>IFERROR(__xludf.DUMMYFUNCTION("TEXTJOIN(CHAR(10), TRUE,FILTER('Research assignment'!$D:$D,'Research assignment'!$H:$H=D56))"),"Toward Graph-Tokenizing Large Language Models with Reconstructive Graph Instruction Tuning
Zhongjian Zhang, Xiao Wang, Mengmei Zhang, Jiarui Tan and
Chuan Shi
Beyond Single-Granularity Prompts: A Multi-Scale Chain-of-Thought Prompt Learning for Graph
Ziy"&amp;"u Zheng, Yaming Yang, Ziyu Guan, Wei Zhao, Xinyan Huang
and Weigang Lu
Riemannian Graph Tokenizer for Structural Knowledge Transfer
Qimin Zhou, Haibo Liu, Yujie Wang, Li Sun and Chuan Shi
LEDA: Latent Semantic Distribution Alignment for Multi-domain Gra"&amp;"ph Pre-training
Lianze Shan, Jitao Zhao, Dongxiao He, Siqi Liu, Jiaxu Cui
and Weixiong Zhang
Towards A Universal Graph Structural Encoder
Jialin Chen, Haolan Zuo, Haoyu Wang, Siqi Miao, Pan Li and
Rex Ying
")</f>
        <v>Toward Graph-Tokenizing Large Language Models with Reconstructive Graph Instruction Tuning
Zhongjian Zhang, Xiao Wang, Mengmei Zhang, Jiarui Tan and
Chuan Shi
Beyond Single-Granularity Prompts: A Multi-Scale Chain-of-Thought Prompt Learning for Graph
Ziyu Zheng, Yaming Yang, Ziyu Guan, Wei Zhao, Xinyan Huang
and Weigang Lu
Riemannian Graph Tokenizer for Structural Knowledge Transfer
Qimin Zhou, Haibo Liu, Yujie Wang, Li Sun and Chuan Shi
LEDA: Latent Semantic Distribution Alignment for Multi-domain Graph Pre-training
Lianze Shan, Jitao Zhao, Dongxiao He, Siqi Liu, Jiaxu Cui
and Weixiong Zhang
Towards A Universal Graph Structural Encoder
Jialin Chen, Haolan Zuo, Haoyu Wang, Siqi Miao, Pan Li and
Rex Ying
</v>
      </c>
      <c r="E59" s="20" t="str">
        <f>IFERROR(__xludf.DUMMYFUNCTION("TEXTJOIN(CHAR(10), TRUE,FILTER('Research assignment'!$D:$D,'Research assignment'!$H:$H=E56))"),"CompactRAG: Reducing LLM Calls and Token Overhead in Multi-Hop Question Answering
Hao Yang, Zhiyu Yang, Xvpeng Zhang, Wei Wei, Yunjie Zhang
and Lin Yang
KEPo: Knowledge Evolution Poison on Graph-based Retrieval-Augmented Generation
Qizhi Chen, Chao Qi, Y"&amp;"ihong Huang, Muquan Li, Rongzheng
Wang, Dongyang Zhang, Ke Qin and Shuang Liang
Inferential Question Answering
Jamshid Mozafari, Hamed Zamani, Guido Zuccon and Adam Jatowt
RPO-RAG: Aligning Small LLMs with Relation-aware Preference Optimization for Know"&amp;"ledge Graph Question Answering
Kaehyun Um, Kyuhwan Yeom, Haerim Yang, Minyoung Choi,
Hyeongjun Yang and Kyong-Ho Lee
")</f>
        <v>CompactRAG: Reducing LLM Calls and Token Overhead in Multi-Hop Question Answering
Hao Yang, Zhiyu Yang, Xvpeng Zhang, Wei Wei, Yunjie Zhang
and Lin Yang
KEPo: Knowledge Evolution Poison on Graph-based Retrieval-Augmented Generation
Qizhi Chen, Chao Qi, Yihong Huang, Muquan Li, Rongzheng
Wang, Dongyang Zhang, Ke Qin and Shuang Liang
Inferential Question Answering
Jamshid Mozafari, Hamed Zamani, Guido Zuccon and Adam Jatowt
RPO-RAG: Aligning Small LLMs with Relation-aware Preference Optimization for Knowledge Graph Question Answering
Kaehyun Um, Kyuhwan Yeom, Haerim Yang, Minyoung Choi,
Hyeongjun Yang and Kyong-Ho Lee
</v>
      </c>
      <c r="F59" s="20" t="str">
        <f>IFERROR(__xludf.DUMMYFUNCTION("TEXTJOIN(CHAR(10), TRUE,FILTER('Research assignment'!$D:$D,'Research assignment'!$H:$H=F56))"),"Multi-Granularity Multi-Modal Knowledge Graph Representation Learning via Subgraph-Aware Adaptive Fusion and Hierarchical Relation Modeling
Peining Li, Meiyu Liang, Wei Huang, Junping Du, Zhe Xue,
Guanhua Ye, Wu Liu and Lei Shi
Grasp: Refining Semantic G"&amp;"raphs into Purified Knowledge for Cross-Modal Communication
Liang Chen, Xiaoding Wang, Limei Lin, Dajin Wang, Zhiquan
Liu and Jie Wu
Enhancing Multi-Modal Entity Alignment via Multi-Grained Decision Fusion
Yu Xing, Qizhuo Xie, You Lv, Ziyang Zhou, Qianzi"&amp;" Hou, Qing
Gu, Bin Chong and Tieke He
Relation-Aware Multimodal Analogical Reasoning with Modality Fingerprints and Adaptive Gating
Ruofan Wang, Zijian Huang, Qiqi Wang, Yuchen Su, Robert
Amor, Kaiqi Zhao and Meng-Fen Chiang
DyMRL: Dynamic Multispace Re"&amp;"presentation Learning for Multimodal Event Forecasting in Knowledge Graph
Feng Zhao, Kangzheng Liu, Teng Peng, Yu Yang and Guandong Xu
")</f>
        <v>Multi-Granularity Multi-Modal Knowledge Graph Representation Learning via Subgraph-Aware Adaptive Fusion and Hierarchical Relation Modeling
Peining Li, Meiyu Liang, Wei Huang, Junping Du, Zhe Xue,
Guanhua Ye, Wu Liu and Lei Shi
Grasp: Refining Semantic Graphs into Purified Knowledge for Cross-Modal Communication
Liang Chen, Xiaoding Wang, Limei Lin, Dajin Wang, Zhiquan
Liu and Jie Wu
Enhancing Multi-Modal Entity Alignment via Multi-Grained Decision Fusion
Yu Xing, Qizhuo Xie, You Lv, Ziyang Zhou, Qianzi Hou, Qing
Gu, Bin Chong and Tieke He
Relation-Aware Multimodal Analogical Reasoning with Modality Fingerprints and Adaptive Gating
Ruofan Wang, Zijian Huang, Qiqi Wang, Yuchen Su, Robert
Amor, Kaiqi Zhao and Meng-Fen Chiang
DyMRL: Dynamic Multispace Representation Learning for Multimodal Event Forecasting in Knowledge Graph
Feng Zhao, Kangzheng Liu, Teng Peng, Yu Yang and Guandong Xu
</v>
      </c>
      <c r="G59" s="20" t="str">
        <f>IFERROR(__xludf.DUMMYFUNCTION("TEXTJOIN(CHAR(10), TRUE,FILTER('Research assignment'!$D:$D,'Research assignment'!$H:$H=G56))"),"Open or Blocked Skies? Community Moderation Practices in Bluesky
Saidu Sokoto, Leonhard Balduf, Onur Ascigil, Gareth Tyson,
Ignacio Castro, Björn Scheuermann, Andrea Baronchelli and
Michał Król
Pattern-aware Illicit Account Detection based on User Behavi"&amp;"or Sequences
Zehao Wang, Lanjun Wang, Fuxia Guo and Yanjie Dong
Unmasking Bots in Higher Dimensions: Message Passing over Simplexes for Bot Detection
Fangfang Li, Huihui Zhang, Xin Zhang and Wei Wu
ContiGuard: A Framework for Continual Toxicity Detectio"&amp;"n Against Evolving Evasive Perturbations
Hankun Kang, Xin Miao, Jianhao Chen, Jintao Wen, Mayi Xu,
Weiyu Zhang, Wenpeng Lu and Tieyun Qian
They Said Memes Were Harmless --- We Found the Ones That Hurt: Decoding Jokes, Symbols, and Cultural References
Sah"&amp;"il Tripathi, Gautam Siddharth Kashyap, Mehwish Nasim,
Jian Yang, Jiechao Gao and Usman Naseem
")</f>
        <v>Open or Blocked Skies? Community Moderation Practices in Bluesky
Saidu Sokoto, Leonhard Balduf, Onur Ascigil, Gareth Tyson,
Ignacio Castro, Björn Scheuermann, Andrea Baronchelli and
Michał Król
Pattern-aware Illicit Account Detection based on User Behavior Sequences
Zehao Wang, Lanjun Wang, Fuxia Guo and Yanjie Dong
Unmasking Bots in Higher Dimensions: Message Passing over Simplexes for Bot Detection
Fangfang Li, Huihui Zhang, Xin Zhang and Wei Wu
ContiGuard: A Framework for Continual Toxicity Detection Against Evolving Evasive Perturbations
Hankun Kang, Xin Miao, Jianhao Chen, Jintao Wen, Mayi Xu,
Weiyu Zhang, Wenpeng Lu and Tieyun Qian
They Said Memes Were Harmless --- We Found the Ones That Hurt: Decoding Jokes, Symbols, and Cultural References
Sahil Tripathi, Gautam Siddharth Kashyap, Mehwish Nasim,
Jian Yang, Jiechao Gao and Usman Naseem
</v>
      </c>
      <c r="H59" s="20" t="str">
        <f>IFERROR(__xludf.DUMMYFUNCTION("TEXTJOIN(CHAR(10), TRUE,FILTER('Research assignment'!$D:$D,'Research assignment'!$H:$H=H56))"),"Wiseswap: Elastic Datacenter Network-Aware Disaggregated Memory for Multi-Tenant Cloud
Mingxuan Liu, Jianhua Gu, Tianhai Zhao and Dong Sun
LaTune: Lightweight and Adaptive Configuration Tuning for LLM Inference on Edge Devices
Siqi Zhong, Mugeng Liu, Hai"&amp;"yang Shen, Chongyang Pan and Yun
Ma
EdgeGen: Efficient LLM-Empowered Model Generation with Quantization-Aware NAS
Yingqi Peng, Wenhao Zhou, Kaijie Gong, Yang Liu, Yi Gao and
Wei Dong
BeeQoS: A Cloud-Native QoS System for Adaptive and Scalable Multi-Prio"&amp;"rity Bandwidth Guarantees
Jinyao Liu, Si Wu, Haoyuan Ma, Chaoqun Li, Hongjing Yu,
Dingyi Jia, Feng Li and Pengfei Hu
A Structure-Agnostic Co-Tuning Framework for LLMs and SLMs in Cloud-Edge Systems
Yuze Liu, Yunhan Wang, Tiehua Zhang, Zhishu Shen, Cheng
"&amp;"Peng, Libing Wu, Feng Xia and Jiong Jin
")</f>
        <v>Wiseswap: Elastic Datacenter Network-Aware Disaggregated Memory for Multi-Tenant Cloud
Mingxuan Liu, Jianhua Gu, Tianhai Zhao and Dong Sun
LaTune: Lightweight and Adaptive Configuration Tuning for LLM Inference on Edge Devices
Siqi Zhong, Mugeng Liu, Haiyang Shen, Chongyang Pan and Yun
Ma
EdgeGen: Efficient LLM-Empowered Model Generation with Quantization-Aware NAS
Yingqi Peng, Wenhao Zhou, Kaijie Gong, Yang Liu, Yi Gao and
Wei Dong
BeeQoS: A Cloud-Native QoS System for Adaptive and Scalable Multi-Priority Bandwidth Guarantees
Jinyao Liu, Si Wu, Haoyuan Ma, Chaoqun Li, Hongjing Yu,
Dingyi Jia, Feng Li and Pengfei Hu
A Structure-Agnostic Co-Tuning Framework for LLMs and SLMs in Cloud-Edge Systems
Yuze Liu, Yunhan Wang, Tiehua Zhang, Zhishu Shen, Cheng
Peng, Libing Wu, Feng Xia and Jiong Jin
</v>
      </c>
      <c r="I59" s="20" t="str">
        <f>IFERROR(__xludf.DUMMYFUNCTION("TEXTJOIN(CHAR(10), TRUE,FILTER('Research assignment'!$D:$D,'Research assignment'!$H:$H=I56))"),"ProvGuard: Logic-Aware Multi-View Contrastive Learning for Robust and Efficient Host Threat Detection
Anyuan Sang, Li Yang, Lu Zhou, Cheng Zhou, Junbo Jia and
Huipeng Yang
Re-understanding Graph Unlearning through Memorization
Pengfei Ding, Yan Wang and "&amp;"Guanfeng Liu
Towards Robust Detection of Chinese Toxic Variants via Dynamic Knowledge Graph–LLM Reasoning
Shaochen Yang, Kefei Zhou and Wei Xu
When Reasoning Leaks Membership: Membership Inference Attack on Black-box Large Reasoning Models
Ruihan Hu, Yu"&amp;"-Ming Shang, Wei Luo, Ye Tao and Xi Zhang
Unequal Vulnerability: The Differential Impact of Label Flipping Attacks Across Classes
Pinlong Zhao, Mengyang Li, Pengfei Jiao, Huijun Tang and Ou
Wu
")</f>
        <v>ProvGuard: Logic-Aware Multi-View Contrastive Learning for Robust and Efficient Host Threat Detection
Anyuan Sang, Li Yang, Lu Zhou, Cheng Zhou, Junbo Jia and
Huipeng Yang
Re-understanding Graph Unlearning through Memorization
Pengfei Ding, Yan Wang and Guanfeng Liu
Towards Robust Detection of Chinese Toxic Variants via Dynamic Knowledge Graph–LLM Reasoning
Shaochen Yang, Kefei Zhou and Wei Xu
When Reasoning Leaks Membership: Membership Inference Attack on Black-box Large Reasoning Models
Ruihan Hu, Yu-Ming Shang, Wei Luo, Ye Tao and Xi Zhang
Unequal Vulnerability: The Differential Impact of Label Flipping Attacks Across Classes
Pinlong Zhao, Mengyang Li, Pengfei Jiao, Huijun Tang and Ou
Wu
</v>
      </c>
      <c r="J59" s="20" t="str">
        <f>IFERROR(__xludf.DUMMYFUNCTION("TEXTJOIN(CHAR(10), TRUE,FILTER('Research assignment'!$D:$D,'Research assignment'!$H:$H=J56))"),"PAMAS: Self-Adaptive Multi-Agent System with Perspective Aggregation for Misinformation Detection
Zongwei Wang, Min Gao, Junliang Yu, Tong Chen and Chenghua
Lin
TrueLens: Video Fake News Detection with Dual Level Evidence Gathering and Consolidation
Juny"&amp;"i Chen, Qian Liu, Jing Sun and Yi Zhang
Is Misinformation More Open? A Study of robots.txt Gatekeeping on the Web
Nicolas Steinacker-Olsztyn, Devashish Gosain and Ha Dao
From Manipulation to Mistrust: Explaining Diverse Micro-Video Misinformation for Ro"&amp;"bust Debunking in the Wild
Zhi Zeng, Yifei Yang, Jiaying Wu, Xulang Zhang, Xiangzheng
Kong, Herun Wan, Zihan Ma and Minnan Luo
")</f>
        <v>PAMAS: Self-Adaptive Multi-Agent System with Perspective Aggregation for Misinformation Detection
Zongwei Wang, Min Gao, Junliang Yu, Tong Chen and Chenghua
Lin
TrueLens: Video Fake News Detection with Dual Level Evidence Gathering and Consolidation
Junyi Chen, Qian Liu, Jing Sun and Yi Zhang
Is Misinformation More Open? A Study of robots.txt Gatekeeping on the Web
Nicolas Steinacker-Olsztyn, Devashish Gosain and Ha Dao
From Manipulation to Mistrust: Explaining Diverse Micro-Video Misinformation for Robust Debunking in the Wild
Zhi Zeng, Yifei Yang, Jiaying Wu, Xulang Zhang, Xiangzheng
Kong, Herun Wan, Zihan Ma and Minnan Luo
</v>
      </c>
      <c r="K59" s="20" t="str">
        <f>IFERROR(__xludf.DUMMYFUNCTION("TEXTJOIN(CHAR(10), TRUE,FILTER('Research assignment'!$D:$D,'Research assignment'!$H:$H=K56))"),"Adaptive Graph Reweighting for Collaborative Filtering
Yijun Sheng, Ximing Chen, Pui Ieng Lei, Yanyan Liu and
Zhiguo Gong
IACLR: Intention Alignment via Contrastive Learning for Bipartite Graph Recommendation
Huiying Hu, Tuo Wang, Yixiao Zhou and Xiaoqin"&amp;"g Lyu
PULSE: Socially-Aware User Representation Modeling Toward Parameter-Efficient Graph Collaborative Filtering
Doyun Choi, Cheonwoo Lee, Biniyam Aschalew Tolera, Taewook
Ham, Chanyoung Park and Jaemin Yoo
Line Graphs Are Here! Unlock a Simple Solutio"&amp;"n for Data Sparsity and Class Imbalance in Recommender System
Junming Zhou, Hao Zhong, Shupeng Li, Zhengyang Wu, Yong
Tang and Ronghua Lin
Multi-modal Bipartite Graph Structure Learning with Information Bottleneck for Micro-video Recommendation
Ying He, "&amp;"Desheng Cai, Shengsheng Qian, Quan Fang, Yinwei
Wei and Changsheng Xu
")</f>
        <v>Adaptive Graph Reweighting for Collaborative Filtering
Yijun Sheng, Ximing Chen, Pui Ieng Lei, Yanyan Liu and
Zhiguo Gong
IACLR: Intention Alignment via Contrastive Learning for Bipartite Graph Recommendation
Huiying Hu, Tuo Wang, Yixiao Zhou and Xiaoqing Lyu
PULSE: Socially-Aware User Representation Modeling Toward Parameter-Efficient Graph Collaborative Filtering
Doyun Choi, Cheonwoo Lee, Biniyam Aschalew Tolera, Taewook
Ham, Chanyoung Park and Jaemin Yoo
Line Graphs Are Here! Unlock a Simple Solution for Data Sparsity and Class Imbalance in Recommender System
Junming Zhou, Hao Zhong, Shupeng Li, Zhengyang Wu, Yong
Tang and Ronghua Lin
Multi-modal Bipartite Graph Structure Learning with Information Bottleneck for Micro-video Recommendation
Ying He, Desheng Cai, Shengsheng Qian, Quan Fang, Yinwei
Wei and Changsheng Xu
</v>
      </c>
      <c r="L59" s="20" t="str">
        <f>IFERROR(__xludf.DUMMYFUNCTION("TEXTJOIN(CHAR(10), TRUE,FILTER('Industry assignment'!$D:$D,'Industry assignment'!$H:$H=L56))"),"Self-Evolving LLMs via Continual Instruction Tuning
Jiazheng Kang, Le Huang, Cheng Hou, Zhe Zhao, ZhenXiang Yan and Ting Bai
Large Reasoning Embedding Models: Towards Next-Generation Dense Retrieval Paradigm
Jianting Tang, Dongshuai Li, Tao Wen, Fuyu Lv,"&amp;" Dan Ou and Linli Xu
Probe-and-Fetch: Dynamic KV Cache Pruning for Accelerated Long-Context Inference in Web-Scale AI Search
Yuchen Li, Rui Kong, Xinran Chen, Chengzhe Zhang, Jiamin Chen, Cheng Deng, Xinyu Ma, Haojie Zhang, Tianhao Peng, Hengyi Cai, Shua"&amp;"iqiang Wang, Jiashu Zhao, Yongqi Zhang, Haoyi Xiong, Jimmy Xiangji Huang, Lei Chen, Jun Wang and Dawei Yin
DG-MCTS: Dual-Guidance Monte Carlo Tree Search for Adaptive Emotional Support Dialogue Planning
Benshuo Lin, Jiayu Ding, Yuelei Li, Peng Wu, Yun Xu"&amp;"e and Yiping Song
LaV-CoT: Language-Aware Visual CoT with Multi-Aspect Reward Optimization for Multilingual Text-Centric VQA
Jing Huang, Zhiya Tan, Shutao Gong, Fanwei Zeng, Joey Tianyi Zhou, Changtao Miao, Huazhe Tan, Weibin Yao and Jianshu Li
")</f>
        <v>Self-Evolving LLMs via Continual Instruction Tuning
Jiazheng Kang, Le Huang, Cheng Hou, Zhe Zhao, ZhenXiang Yan and Ting Bai
Large Reasoning Embedding Models: Towards Next-Generation Dense Retrieval Paradigm
Jianting Tang, Dongshuai Li, Tao Wen, Fuyu Lv, Dan Ou and Linli Xu
Probe-and-Fetch: Dynamic KV Cache Pruning for Accelerated Long-Context Inference in Web-Scale AI Search
Yuchen Li, Rui Kong, Xinran Chen, Chengzhe Zhang, Jiamin Chen, Cheng Deng, Xinyu Ma, Haojie Zhang, Tianhao Peng, Hengyi Cai, Shuaiqiang Wang, Jiashu Zhao, Yongqi Zhang, Haoyi Xiong, Jimmy Xiangji Huang, Lei Chen, Jun Wang and Dawei Yin
DG-MCTS: Dual-Guidance Monte Carlo Tree Search for Adaptive Emotional Support Dialogue Planning
Benshuo Lin, Jiayu Ding, Yuelei Li, Peng Wu, Yun Xue and Yiping Song
LaV-CoT: Language-Aware Visual CoT with Multi-Aspect Reward Optimization for Multilingual Text-Centric VQA
Jing Huang, Zhiya Tan, Shutao Gong, Fanwei Zeng, Joey Tianyi Zhou, Changtao Miao, Huazhe Tan, Weibin Yao and Jianshu Li
</v>
      </c>
      <c r="M59" s="20" t="str">
        <f>IFERROR(__xludf.DUMMYFUNCTION("TEXTJOIN(CHAR(10), TRUE,FILTER('Industry assignment'!$D:$D,'Industry assignment'!$H:$H=M56))"),"A Generative Contextual Comprehension Paradigm for Takeout Ranking Model
Ziheng Ni, Congcong Liu, Cai Shang, Yiming Sun, Junjie Li, Zhiwei Fang, Guangpeng Chen, Li Jian, Zehua Zhang, Changping Peng, Zhangang Lin, Ching Law and Jingping Shao
ARADD: An Aut"&amp;"omatic Real-World API Discovery and Deployment Framework for AI Guide Service in Baidu Map
Fuling Wang, Le Zhang, Jingbo Zhou, Jindong Han, Ying Sun, Chuan Qin, Hengshu Zhu and Hui Xiong
TRABL: A Unified Framework for Travel Domain Aspect-Based Sentiment"&amp;" Analysis Applications of Large Language Models
Omer Madmon, Shiran Golan, Eran Fainman, Ofri Kleinfeld and Moran Beladev
From Sold-Out to Sales Uplift: Causal Inference for Intelligent Inventory Management on Online Travel Platforms
Fanwei Zhu, Zhuoran "&amp;"Zhuang, Detao Lv, Manwei Li and Yao Yu
Enhancing Ride-Hailing Forecasting at DiDi with Multi-View Geospatial Representation Learning from the Web
Xixuan Hao, Guicheng Li, Daiqiang Wu, Xusen Guo, Yumeng Zhu, Zhichao Zou, Peng Zhen, Yao Yao and Yuxuan Lian"&amp;"g
")</f>
        <v>A Generative Contextual Comprehension Paradigm for Takeout Ranking Model
Ziheng Ni, Congcong Liu, Cai Shang, Yiming Sun, Junjie Li, Zhiwei Fang, Guangpeng Chen, Li Jian, Zehua Zhang, Changping Peng, Zhangang Lin, Ching Law and Jingping Shao
ARADD: An Automatic Real-World API Discovery and Deployment Framework for AI Guide Service in Baidu Map
Fuling Wang, Le Zhang, Jingbo Zhou, Jindong Han, Ying Sun, Chuan Qin, Hengshu Zhu and Hui Xiong
TRABL: A Unified Framework for Travel Domain Aspect-Based Sentiment Analysis Applications of Large Language Models
Omer Madmon, Shiran Golan, Eran Fainman, Ofri Kleinfeld and Moran Beladev
From Sold-Out to Sales Uplift: Causal Inference for Intelligent Inventory Management on Online Travel Platforms
Fanwei Zhu, Zhuoran Zhuang, Detao Lv, Manwei Li and Yao Yu
Enhancing Ride-Hailing Forecasting at DiDi with Multi-View Geospatial Representation Learning from the Web
Xixuan Hao, Guicheng Li, Daiqiang Wu, Xusen Guo, Yumeng Zhu, Zhichao Zou, Peng Zhen, Yao Yao and Yuxuan Liang
</v>
      </c>
      <c r="N59" s="20" t="str">
        <f>IFERROR(__xludf.DUMMYFUNCTION("TEXTJOIN(CHAR(10), TRUE,FILTER('Web4Good assignment'!$D:$D,'Web4Good assignment'!$H:$H=N56))"),"When to Invoke: Refining LLM Fairness with Toxicity Assessment
Jing Ren, Bowen Li, Ziqi Xu, Renqiang Luo, Shuo Yu, Xin Ye, Haytham Fayek, Xiaodong Li and Feng Xia
Trust in One Round: Confidence Estimation for Large Language Models via Structural Signals
"&amp;"Pengyue Yang, Jiawen Wen, Haolin Jin, Linghan Huang, Huaming Chen and Ling Chen
BalDRO: A Distributionally Robust Optimization based Framework for Large Language Model Unlearning
Pengyang Shao, Naixin Zhai, Lei Chen, Yonghui Yang, Fengbin Zhu, Xun Yang a"&amp;"nd Meng Wang
SEP-Attack: A Simple and Effective Paradigm for Transfer-Based Textual Adversarial Attack
Han Liu, Zhi Xu, Xiaotong Zhang, Feng Zhang, Xiaoming Xu, Wei Wang, Fenglong Ma and Hong Yu
Fine-Grained Traceability for Transparent ML Pipelines
Lip"&amp;"ing Chen, Mujie Liu and Haytham Fayek
")</f>
        <v>When to Invoke: Refining LLM Fairness with Toxicity Assessment
Jing Ren, Bowen Li, Ziqi Xu, Renqiang Luo, Shuo Yu, Xin Ye, Haytham Fayek, Xiaodong Li and Feng Xia
Trust in One Round: Confidence Estimation for Large Language Models via Structural Signals
Pengyue Yang, Jiawen Wen, Haolin Jin, Linghan Huang, Huaming Chen and Ling Chen
BalDRO: A Distributionally Robust Optimization based Framework for Large Language Model Unlearning
Pengyang Shao, Naixin Zhai, Lei Chen, Yonghui Yang, Fengbin Zhu, Xun Yang and Meng Wang
SEP-Attack: A Simple and Effective Paradigm for Transfer-Based Textual Adversarial Attack
Han Liu, Zhi Xu, Xiaotong Zhang, Feng Zhang, Xiaoming Xu, Wei Wang, Fenglong Ma and Hong Yu
Fine-Grained Traceability for Transparent ML Pipelines
Liping Chen, Mujie Liu and Haytham Fayek
</v>
      </c>
      <c r="O59" s="22"/>
      <c r="P59" s="22"/>
      <c r="Q59" s="22"/>
      <c r="R59" s="22"/>
      <c r="S59" s="22"/>
      <c r="T59" s="5"/>
      <c r="U59" s="5"/>
      <c r="V59" s="5"/>
      <c r="W59" s="5"/>
      <c r="X59" s="5"/>
      <c r="Y59" s="5"/>
      <c r="Z59" s="5"/>
      <c r="AA59" s="5"/>
    </row>
    <row r="60" collapsed="1">
      <c r="A60" s="80" t="s">
        <v>30</v>
      </c>
      <c r="B60" s="81" t="s">
        <v>144</v>
      </c>
      <c r="O60" s="107"/>
      <c r="P60" s="79"/>
      <c r="Q60" s="79"/>
      <c r="R60" s="79"/>
      <c r="S60" s="79"/>
      <c r="T60" s="5"/>
      <c r="U60" s="5"/>
      <c r="V60" s="5"/>
      <c r="W60" s="5"/>
      <c r="X60" s="5"/>
      <c r="Y60" s="5"/>
      <c r="Z60" s="5"/>
      <c r="AA60" s="5"/>
    </row>
    <row r="61" hidden="1" outlineLevel="1">
      <c r="A61" s="36"/>
      <c r="B61" s="108" t="s">
        <v>145</v>
      </c>
      <c r="C61" s="108" t="s">
        <v>146</v>
      </c>
      <c r="D61" s="108" t="str">
        <f>IFERROR(__xludf.DUMMYFUNCTION("TRANSPOSE(FILTER('All Counts'!B:B, RIGHT('All Counts'!B:B, 1)=""3""))"),"EconPoster3")</f>
        <v>EconPoster3</v>
      </c>
      <c r="E61" s="36" t="str">
        <f>IFERROR(__xludf.DUMMYFUNCTION("""COMPUTED_VALUE"""),"GraphPoster3")</f>
        <v>GraphPoster3</v>
      </c>
      <c r="F61" s="36" t="str">
        <f>IFERROR(__xludf.DUMMYFUNCTION("""COMPUTED_VALUE"""),"SearchPoster3")</f>
        <v>SearchPoster3</v>
      </c>
      <c r="G61" s="36" t="str">
        <f>IFERROR(__xludf.DUMMYFUNCTION("""COMPUTED_VALUE"""),"SemanticsPoster3")</f>
        <v>SemanticsPoster3</v>
      </c>
      <c r="H61" s="36" t="str">
        <f>IFERROR(__xludf.DUMMYFUNCTION("""COMPUTED_VALUE"""),"SecurityPoster3")</f>
        <v>SecurityPoster3</v>
      </c>
      <c r="I61" s="36" t="str">
        <f>IFERROR(__xludf.DUMMYFUNCTION("""COMPUTED_VALUE"""),"SocialPoster3")</f>
        <v>SocialPoster3</v>
      </c>
      <c r="J61" s="36" t="str">
        <f>IFERROR(__xludf.DUMMYFUNCTION("""COMPUTED_VALUE"""),"SystemsPoster3")</f>
        <v>SystemsPoster3</v>
      </c>
      <c r="K61" s="36" t="str">
        <f>IFERROR(__xludf.DUMMYFUNCTION("""COMPUTED_VALUE"""),"RecSysPoster3")</f>
        <v>RecSysPoster3</v>
      </c>
      <c r="L61" s="36" t="str">
        <f>IFERROR(__xludf.DUMMYFUNCTION("""COMPUTED_VALUE"""),"MiningPoster3")</f>
        <v>MiningPoster3</v>
      </c>
      <c r="M61" s="36" t="str">
        <f>IFERROR(__xludf.DUMMYFUNCTION("""COMPUTED_VALUE"""),"IndustryPoster3")</f>
        <v>IndustryPoster3</v>
      </c>
      <c r="N61" s="36" t="str">
        <f>IFERROR(__xludf.DUMMYFUNCTION("""COMPUTED_VALUE"""),"Web4GoodPoster3")</f>
        <v>Web4GoodPoster3</v>
      </c>
      <c r="O61" s="36">
        <f>IFERROR(__xludf.DUMMYFUNCTION("""COMPUTED_VALUE"""),113.0)</f>
        <v>113</v>
      </c>
      <c r="P61" s="109"/>
      <c r="Q61" s="109"/>
      <c r="R61" s="109"/>
      <c r="S61" s="109"/>
      <c r="T61" s="27"/>
      <c r="U61" s="27"/>
      <c r="V61" s="27"/>
      <c r="W61" s="27"/>
      <c r="X61" s="27"/>
      <c r="Y61" s="27"/>
      <c r="Z61" s="27"/>
      <c r="AA61" s="27"/>
    </row>
    <row r="62" hidden="1" outlineLevel="1">
      <c r="A62" s="83"/>
      <c r="B62" s="83" t="str">
        <f>IFERROR(__xludf.DUMMYFUNCTION("TEXTJOIN(CHAR(10), TRUE,FILTER('Demos assignment'!$D:$D,'Demos assignment'!$G:$G=B61))"),"CiteLLM: An Agentic Platform for Trustworthy Scientific Reference Discovery
Mengze Hong, Di Jiang, Chen Jason Zhang, Zichang Guo, Yawen Li, Jun Chen, Shaobo Cui and Zhiyang Su
A Framework for Continual Knowledge Graph Embedding
Gerard Pons, Besim Bilalli"&amp;" and Anna Queralt
Roamify: An Interactive Browser Extension for Real-Time LLM-Based Travel Itinerary Generation
Vikranth Udandarao, Muthuraj Vairamuthu, Noel Abraham Tiju, Harsh Mistry, Armaan Singh and Dhruv Kumar
PaperDebugger: A Plugin-Based Multi-Ag"&amp;"ent System for In-Editor Academic Writing, Review, and Editing
Junyi Hou, Andre Lin, Nuo Chen, Yiwei Gong and Bingsheng He
DriftNavi: Talk through Your Data Drift with LLMs
Zixin Wang, Junliang Yu, Tong Chen, Yadan Luo and Shazia Sadiq
Implementation of"&amp;" a Metacognition Framework for Self-Awareness and Self-Regulation in Ensembles of LLMs
Charles Courchaine, Ricky J. Sethi and Hefei Qiu
BaiJia: An Open Role-Playing Platform of Chinese Historical Characters
Ting Bai, Jiazheng Kang, Jiayang Fan, Hengzhi L"&amp;"an and Yutian Zhong
LegalKit: A Modular Toolkit for Efficient Legal AI Evaluation
Shuo Miao, Haitao Li, Yueyue Wu, Qingyao Ai and Yiqun Liu
")</f>
        <v>CiteLLM: An Agentic Platform for Trustworthy Scientific Reference Discovery
Mengze Hong, Di Jiang, Chen Jason Zhang, Zichang Guo, Yawen Li, Jun Chen, Shaobo Cui and Zhiyang Su
A Framework for Continual Knowledge Graph Embedding
Gerard Pons, Besim Bilalli and Anna Queralt
Roamify: An Interactive Browser Extension for Real-Time LLM-Based Travel Itinerary Generation
Vikranth Udandarao, Muthuraj Vairamuthu, Noel Abraham Tiju, Harsh Mistry, Armaan Singh and Dhruv Kumar
PaperDebugger: A Plugin-Based Multi-Agent System for In-Editor Academic Writing, Review, and Editing
Junyi Hou, Andre Lin, Nuo Chen, Yiwei Gong and Bingsheng He
DriftNavi: Talk through Your Data Drift with LLMs
Zixin Wang, Junliang Yu, Tong Chen, Yadan Luo and Shazia Sadiq
Implementation of a Metacognition Framework for Self-Awareness and Self-Regulation in Ensembles of LLMs
Charles Courchaine, Ricky J. Sethi and Hefei Qiu
BaiJia: An Open Role-Playing Platform of Chinese Historical Characters
Ting Bai, Jiazheng Kang, Jiayang Fan, Hengzhi Lan and Yutian Zhong
LegalKit: A Modular Toolkit for Efficient Legal AI Evaluation
Shuo Miao, Haitao Li, Yueyue Wu, Qingyao Ai and Yiqun Liu
</v>
      </c>
      <c r="C62" s="83" t="str">
        <f>IFERROR(__xludf.DUMMYFUNCTION("TEXTJOIN(CHAR(10), TRUE,FILTER('ShortPapers assignment'!$E:$E,'ShortPapers assignment'!$H:$H=C61))"),"ReFuGe: Feature Generation for Prediction Tasks on Relational Databases with LLM Agents
Kyungho Kim, Geon Lee, Juyeon Kim, Dongwon Choi, Shinhwan Kang and Kijung Shin
Suppression or Deletion: A Restoration-Based Representation-Level Analysis of Machine U"&amp;"nlearning
Yurim Jang, Jaeung Lee, Dohyun Kim, Jaemin Jo and Simon S Woo
C^2-SFL:Class-Balanced and Cost-Aware Split Federated Learning for Mobile Edge Computing
Kai Cheng, Zhengyu Zhang, Tong Wu, Huan Zhou and Xinggang Fan
SAGE-Prompt: Structured Attrib"&amp;"ution Guarded Explanation for Explainable Deepfake Question Answering
Jong-Chan Park, Myeongjun Kim, So-Hee Lim, Sang-Min Choi and Gun-Woo Kim
Multi-source Multi-level Multi-token Ethereum Dataset and Benchmark Platform
Haoyuan Li, Mengxiao Zhang, Maoyua"&amp;"n Li, Jianzheng Li, Zijian Zhang, Junyi Yang, Shuangyan Deng and Jiamou Liu
Is More Context Always Better? Examining LLM Reasoning Capability for Time Interval Prediction
Yanan Cao, Farnaz Fallahi, Murali Mohana Krishna Dandu, Lalitesh Morishetti, Kai Zh"&amp;"ao, Luyi Ma, Sinduja Subramaniam, Jianpeng Xu, Evren Korpeoglu, Kaushiki Nag, Sushant Kumar and Kannan Achan
Beyond Playtesting: A Generative Multi-Agent Simulation System for Massively Multiplayer Online Games
Zhang Ran, Kun Ouyang, Tiancheng Ma, Yida Y"&amp;"ang and Dong Fang
COINS: Semantic Ids Enhanced Cold Item Representation for Click-through Rate Prediction in E-commerce Search
Qihang Zhao, Zhongbo Sun, Xiaoyang Zheng, Xian Guo, Siyuan Wang, Zihan Liang, Mingcan Peng, Ben Chen and Chenyi Lei
AWMA-MoE: "&amp;"Attention-Guided Watermark Adapter with MoE for Latent Diffusion Models
Yicheng Huang, Xinyu Xiao, Jian Zhang, Shuhan Qi, Yulin Wu and Xuan Wang
Towards Responsible Recommendations: A Daily Updated Ranking Model for Content Issue Detection
Haoze Wu, Chen"&amp;"ghui Yu, Bingfeng Deng and Daniel Chen
ThinkTank-ME: A Multi-Expert Framework for Middle East Event Forecasting
Haoxuan Li, He Chang, Yunshan Ma, Yi Bin, Yang Yang, See-Kiong Ng and Tat-Seng Chua
An 8-Way Taxonomy for Multimodal Disinformation and Detec"&amp;"tion Benchmark
Shuhan Cui, Ruimin Chu, Hanrui Wang, Patrick H. Chen, Ching-Chun Chang and Isao Echizen
DTRec: Learning Dynamic Reasoning Trajectories for Sequential Recommendation
Yifan Shao, Peilin Zhou, Shoujin Wang, Weizhi Zhang, Sunghun Kim and Xu Ca"&amp;"i
Machine Learning as a Service (MLaaS) Dataset Generator Framework for IoT Environments
Deepak Kanneganti, Sajib Mistry, Sheik Mohammad Mostakim Fattah, Joshua Boland and Aneesh Krishna
Explainable Graph Sparsification with Shapley Values
Selahattin Ak"&amp;"kas and Ariful Azad
Coarse-Fine: A Novel VPA Strategy for Boosting Resource Utilization of Transient Offline Tasks
Yingying Wen, Yingzhi Chu, Zhongyu Wang, Zhecheng Lin, Fan Jiang, Wu Xiang and Rui Shi
PAOSC: Plug-and-play Attention Optimization for Sem"&amp;"antic Consistency in LLMs
Chang Li, Yawei Liu, Chun Long, Jing Zhao and Guanyao Du
Breaking Semantic-Aware Watermarks via LLM-Guided Coherence-Preserving Semantic Injection
Zheng Gao, Xiaoyu Li, Zhicheng Bao, Xiaoyan Feng and Jiaojiao Jiang
Anonymous Li"&amp;"near Bandits for Multi-User Systems
Mohammad Reza Badri, Hossein Esfandiari, Samira Hossein Ghorban and Alireza Rezaeimoghadam
Efficient Learning of Sparse Representations from Interactions
Vojtech Vancura, Martin Spišák, Rodrigo Alves and Ladislav Peska"&amp;"
Back to the Future: Look-ahead Augmentation and Parallel Self-Refinement for Time Series Forecasting
Sunho Kim and Susik Yoon
CGPT: Cluster-Guided Partial Tables with LLM-Generated Supervision for Table Retrieval
Tsung-Hsiang Chou, Chen-Jui Yu, Shui-Hs"&amp;"iang Hsu and Yao-Chung Fan
EDTF: A Plug-and-Play Learning Framework for Estimated Delivery Time Task
Yichen Song, Jianfeng Zhou, Renhao Cao and Jian-Ya Ding
Understanding Post-Exploit Laundering Behavior on Ethereum
Xihan Xiong and Junliang Luo
HAUTE: "&amp;"Harmonizing Action Units with Temporal-contextual Embeddings for Deepfake Detection
Chaewon Kang, Youjin Lee and Jinyoung Han
")</f>
        <v>ReFuGe: Feature Generation for Prediction Tasks on Relational Databases with LLM Agents
Kyungho Kim, Geon Lee, Juyeon Kim, Dongwon Choi, Shinhwan Kang and Kijung Shin
Suppression or Deletion: A Restoration-Based Representation-Level Analysis of Machine Unlearning
Yurim Jang, Jaeung Lee, Dohyun Kim, Jaemin Jo and Simon S Woo
C^2-SFL:Class-Balanced and Cost-Aware Split Federated Learning for Mobile Edge Computing
Kai Cheng, Zhengyu Zhang, Tong Wu, Huan Zhou and Xinggang Fan
SAGE-Prompt: Structured Attribution Guarded Explanation for Explainable Deepfake Question Answering
Jong-Chan Park, Myeongjun Kim, So-Hee Lim, Sang-Min Choi and Gun-Woo Kim
Multi-source Multi-level Multi-token Ethereum Dataset and Benchmark Platform
Haoyuan Li, Mengxiao Zhang, Maoyuan Li, Jianzheng Li, Zijian Zhang, Junyi Yang, Shuangyan Deng and Jiamou Liu
Is More Context Always Better? Examining LLM Reasoning Capability for Time Interval Prediction
Yanan Cao, Farnaz Fallahi, Murali Mohana Krishna Dandu, Lalitesh Morishetti, Kai Zhao, Luyi Ma, Sinduja Subramaniam, Jianpeng Xu, Evren Korpeoglu, Kaushiki Nag, Sushant Kumar and Kannan Achan
Beyond Playtesting: A Generative Multi-Agent Simulation System for Massively Multiplayer Online Games
Zhang Ran, Kun Ouyang, Tiancheng Ma, Yida Yang and Dong Fang
COINS: Semantic Ids Enhanced Cold Item Representation for Click-through Rate Prediction in E-commerce Search
Qihang Zhao, Zhongbo Sun, Xiaoyang Zheng, Xian Guo, Siyuan Wang, Zihan Liang, Mingcan Peng, Ben Chen and Chenyi Lei
AWMA-MoE: Attention-Guided Watermark Adapter with MoE for Latent Diffusion Models
Yicheng Huang, Xinyu Xiao, Jian Zhang, Shuhan Qi, Yulin Wu and Xuan Wang
Towards Responsible Recommendations: A Daily Updated Ranking Model for Content Issue Detection
Haoze Wu, Chenghui Yu, Bingfeng Deng and Daniel Chen
ThinkTank-ME: A Multi-Expert Framework for Middle East Event Forecasting
Haoxuan Li, He Chang, Yunshan Ma, Yi Bin, Yang Yang, See-Kiong Ng and Tat-Seng Chua
An 8-Way Taxonomy for Multimodal Disinformation and Detection Benchmark
Shuhan Cui, Ruimin Chu, Hanrui Wang, Patrick H. Chen, Ching-Chun Chang and Isao Echizen
DTRec: Learning Dynamic Reasoning Trajectories for Sequential Recommendation
Yifan Shao, Peilin Zhou, Shoujin Wang, Weizhi Zhang, Sunghun Kim and Xu Cai
Machine Learning as a Service (MLaaS) Dataset Generator Framework for IoT Environments
Deepak Kanneganti, Sajib Mistry, Sheik Mohammad Mostakim Fattah, Joshua Boland and Aneesh Krishna
Explainable Graph Sparsification with Shapley Values
Selahattin Akkas and Ariful Azad
Coarse-Fine: A Novel VPA Strategy for Boosting Resource Utilization of Transient Offline Tasks
Yingying Wen, Yingzhi Chu, Zhongyu Wang, Zhecheng Lin, Fan Jiang, Wu Xiang and Rui Shi
PAOSC: Plug-and-play Attention Optimization for Semantic Consistency in LLMs
Chang Li, Yawei Liu, Chun Long, Jing Zhao and Guanyao Du
Breaking Semantic-Aware Watermarks via LLM-Guided Coherence-Preserving Semantic Injection
Zheng Gao, Xiaoyu Li, Zhicheng Bao, Xiaoyan Feng and Jiaojiao Jiang
Anonymous Linear Bandits for Multi-User Systems
Mohammad Reza Badri, Hossein Esfandiari, Samira Hossein Ghorban and Alireza Rezaeimoghadam
Efficient Learning of Sparse Representations from Interactions
Vojtech Vancura, Martin Spišák, Rodrigo Alves and Ladislav Peska
Back to the Future: Look-ahead Augmentation and Parallel Self-Refinement for Time Series Forecasting
Sunho Kim and Susik Yoon
CGPT: Cluster-Guided Partial Tables with LLM-Generated Supervision for Table Retrieval
Tsung-Hsiang Chou, Chen-Jui Yu, Shui-Hsiang Hsu and Yao-Chung Fan
EDTF: A Plug-and-Play Learning Framework for Estimated Delivery Time Task
Yichen Song, Jianfeng Zhou, Renhao Cao and Jian-Ya Ding
Understanding Post-Exploit Laundering Behavior on Ethereum
Xihan Xiong and Junliang Luo
HAUTE: Harmonizing Action Units with Temporal-contextual Embeddings for Deepfake Detection
Chaewon Kang, Youjin Lee and Jinyoung Han
</v>
      </c>
      <c r="D62" s="83" t="str">
        <f>IFERROR(__xludf.DUMMYFUNCTION("TEXTJOIN(CHAR(10), TRUE,FILTER('Research assignment'!$D:$D,'Research assignment'!$I:$I=D61))"),"Marketing Hosting: From Fixed to Endogenous Budgets
Bingzhe Wang, Tianyu Wang, Qi Qi, Xiaoxuan Deng, Zhilin
Zhang and Chuan Yu
Efficient and Fair Allocation on Graphs: From Orientation to Position-Aware Valuations
Bo Li, Ankang Sun and Shiji Xing
Data P"&amp;"ricing via Competitive Equilibrium
Bhaskar Chaudhury, Jugal Garg, Aniket Murhekar and Jiaxin
Song
Single-Sample Bilateral Trade with a Broker
Mohammadtaghi Hajiaghayi, Gary Peng and Suho Shin
Differentially Private Anonymous Bandits for Multi-User Syste"&amp;"ms
Mohammad Reza Badri, Hossein Esfandiari, Samira
Hosseinghorban and Alireza Rezaeimoghadam
Understanding Strategic Platform Entry and Seller Exploration: A Stackelberg Model
Garrett Seo, Xintong Wang and David Parkes
Stochastic Wage Suppression on Gig"&amp;" Platforms and How to Organize Against It
Ana-Andreea Stoica, Celestine Mendler-Duenner and Moritz
Hardt
")</f>
        <v>Marketing Hosting: From Fixed to Endogenous Budgets
Bingzhe Wang, Tianyu Wang, Qi Qi, Xiaoxuan Deng, Zhilin
Zhang and Chuan Yu
Efficient and Fair Allocation on Graphs: From Orientation to Position-Aware Valuations
Bo Li, Ankang Sun and Shiji Xing
Data Pricing via Competitive Equilibrium
Bhaskar Chaudhury, Jugal Garg, Aniket Murhekar and Jiaxin
Song
Single-Sample Bilateral Trade with a Broker
Mohammadtaghi Hajiaghayi, Gary Peng and Suho Shin
Differentially Private Anonymous Bandits for Multi-User Systems
Mohammad Reza Badri, Hossein Esfandiari, Samira
Hosseinghorban and Alireza Rezaeimoghadam
Understanding Strategic Platform Entry and Seller Exploration: A Stackelberg Model
Garrett Seo, Xintong Wang and David Parkes
Stochastic Wage Suppression on Gig Platforms and How to Organize Against It
Ana-Andreea Stoica, Celestine Mendler-Duenner and Moritz
Hardt
</v>
      </c>
      <c r="E62" s="83" t="str">
        <f>IFERROR(__xludf.DUMMYFUNCTION("TEXTJOIN(CHAR(10), TRUE,FILTER('Research assignment'!$D:$D,'Research assignment'!$I:$I=E61))"),"A Unified Graph Clustering Network
Renda Han, Xiaobao Wang, Longbiao Wang, Wenxin Zhang,
Ronghao Fu, Kaiming Wang, Zeyu Zhang and Kuntharrgyal Khysru
E$^2$SGNN: Reconciling Expression and Efficiency in Spiking Graph Neural Network
Han Zhao, Xu Yang, Chen"&amp;"g Deng and Fan Liu
Graph-to-Tree: Topological Decomposition for Self-Supervised Learning
Yejiang Wang, Yuhai Zhao, Fangting Li, Jiapu Wang, Meixia
Wang, Ling Li, Miaomiao Huang, Zhengkui Wang and Shirui Pan
Revisiting Graph-Level Anomaly Detection: From"&amp;" Partially to Fully Unsupervised Learning
Zhenyu Yang, Ge Zhang, Shan Xue, Xiaoxiao Ma, Jian Yang,
Hao Peng, Amin Beheshti and Jia Wu
FedCND: Federated Graph-Level Clustering under Inter-Client Cluster Number Discrepancy
Junlong Wu, Renda Han, Wenxuan Tu"&amp;", Jingxin Liu, Haotian
Wang and Jieren Cheng
SCOUT: Structure-Aware Aspect and Anchor-Count Selection for Node Attribute Augmentation via Positional Information
Dong-Hyuk Seo, Sein Kim, Taeri Kim, Won-Yong Shin and
Sang-Wook Kim
Breaking the Scalability"&amp;" Barrier in Constrained Graph-Based Networked Control via Decision-Focused Learning
Zhaoxing Yang, Yuchen Guo, Wenlong Li, Guiyun Fan, Haiming
Jin and Linghe Kong
Invariant Learning on Heterogeneous Graphs via Subgraph Environment Inference
Yanghui Fu, Y"&amp;"unfei Wang, Hao Zou, Yue He, Haotian Wang,
Qing Cheng, Guangquan Cheng and Shixuan Liu
ScaleGNN: Towards Scalable Graph Neural Networks via Adaptive High-order Neighboring Feature Fusion
Xiang Li, Jianpeng Qi, Haobing Liu, Yuan Cao, Guoqing Chao,
Zhongyi"&amp;"ng Zhao, Junyu Dong, Xinwang Liu and Yanwei Yu
Weighted Graph Clustering via Scale Contraction and Graph Structure Learning
Haobing Liu, Yinuo Zhang, Tingting Wang, Ruobing Jiang and
Yanwei Yu
")</f>
        <v>A Unified Graph Clustering Network
Renda Han, Xiaobao Wang, Longbiao Wang, Wenxin Zhang,
Ronghao Fu, Kaiming Wang, Zeyu Zhang and Kuntharrgyal Khysru
E$^2$SGNN: Reconciling Expression and Efficiency in Spiking Graph Neural Network
Han Zhao, Xu Yang, Cheng Deng and Fan Liu
Graph-to-Tree: Topological Decomposition for Self-Supervised Learning
Yejiang Wang, Yuhai Zhao, Fangting Li, Jiapu Wang, Meixia
Wang, Ling Li, Miaomiao Huang, Zhengkui Wang and Shirui Pan
Revisiting Graph-Level Anomaly Detection: From Partially to Fully Unsupervised Learning
Zhenyu Yang, Ge Zhang, Shan Xue, Xiaoxiao Ma, Jian Yang,
Hao Peng, Amin Beheshti and Jia Wu
FedCND: Federated Graph-Level Clustering under Inter-Client Cluster Number Discrepancy
Junlong Wu, Renda Han, Wenxuan Tu, Jingxin Liu, Haotian
Wang and Jieren Cheng
SCOUT: Structure-Aware Aspect and Anchor-Count Selection for Node Attribute Augmentation via Positional Information
Dong-Hyuk Seo, Sein Kim, Taeri Kim, Won-Yong Shin and
Sang-Wook Kim
Breaking the Scalability Barrier in Constrained Graph-Based Networked Control via Decision-Focused Learning
Zhaoxing Yang, Yuchen Guo, Wenlong Li, Guiyun Fan, Haiming
Jin and Linghe Kong
Invariant Learning on Heterogeneous Graphs via Subgraph Environment Inference
Yanghui Fu, Yunfei Wang, Hao Zou, Yue He, Haotian Wang,
Qing Cheng, Guangquan Cheng and Shixuan Liu
ScaleGNN: Towards Scalable Graph Neural Networks via Adaptive High-order Neighboring Feature Fusion
Xiang Li, Jianpeng Qi, Haobing Liu, Yuan Cao, Guoqing Chao,
Zhongying Zhao, Junyu Dong, Xinwang Liu and Yanwei Yu
Weighted Graph Clustering via Scale Contraction and Graph Structure Learning
Haobing Liu, Yinuo Zhang, Tingting Wang, Ruobing Jiang and
Yanwei Yu
</v>
      </c>
      <c r="F62" s="83" t="str">
        <f>IFERROR(__xludf.DUMMYFUNCTION("TEXTJOIN(CHAR(10), TRUE,FILTER('Research assignment'!$D:$D,'Research assignment'!$I:$I=F61))"),"Are LLM Web Search Engines Sustainable? A Web-Measurement Study of Real-Time Fetching
Abdur-Rahman Ibrahim Sayyid-Ali, Daanish Uddin Khan and
Naveed Bhatti
A Fact-Checking Framework with Denoising Evidence Retrieval and LLM-Based Debate Verification
Jun "&amp;"Yang, Bai Yuhan, Dandan Song, Zhijing Wu and Yuhang Tian
Conflict-Aware RAG: Multi-Stage Learning with Conflict Signals for Robust Retrieval-Augmented Generation
Haiyan Wu, Chenchen Wang, Chaoqun Sun, Chengxiong Lu,
Zhiqiang Zhang and Yanhong Chen
IRAG:"&amp;" Robust Multimodal Retrieval-Augmented Generation via Hazard Separation
Ruikun Luo, Zixiao Feng, Lin Gu and Xiaoyu Xia
Towards Open-World Retrieval-Augmented Generation on Knowledge Graph: A Multi-Agent Collaboration Framework
Jiasheng Xu, Mingda Li, Yon"&amp;"gqiang Tang, Peijie Wang and
Wensheng Zhang
HL-CMR: Hypergraph Learning for Cross-Modal Retrieval
Guohui Ding, Jing Li, Yimin Xu and Rui Zhou
")</f>
        <v>Are LLM Web Search Engines Sustainable? A Web-Measurement Study of Real-Time Fetching
Abdur-Rahman Ibrahim Sayyid-Ali, Daanish Uddin Khan and
Naveed Bhatti
A Fact-Checking Framework with Denoising Evidence Retrieval and LLM-Based Debate Verification
Jun Yang, Bai Yuhan, Dandan Song, Zhijing Wu and Yuhang Tian
Conflict-Aware RAG: Multi-Stage Learning with Conflict Signals for Robust Retrieval-Augmented Generation
Haiyan Wu, Chenchen Wang, Chaoqun Sun, Chengxiong Lu,
Zhiqiang Zhang and Yanhong Chen
IRAG: Robust Multimodal Retrieval-Augmented Generation via Hazard Separation
Ruikun Luo, Zixiao Feng, Lin Gu and Xiaoyu Xia
Towards Open-World Retrieval-Augmented Generation on Knowledge Graph: A Multi-Agent Collaboration Framework
Jiasheng Xu, Mingda Li, Yongqiang Tang, Peijie Wang and
Wensheng Zhang
HL-CMR: Hypergraph Learning for Cross-Modal Retrieval
Guohui Ding, Jing Li, Yimin Xu and Rui Zhou
</v>
      </c>
      <c r="G62" s="83" t="str">
        <f>IFERROR(__xludf.DUMMYFUNCTION("TEXTJOIN(CHAR(10), TRUE,FILTER('Research assignment'!$D:$D,'Research assignment'!$I:$I=G61))"),"MARCH: Multi-Teacher Contrastive Hypergraph Distillation
Rongwei Xu, Zitai Qiu, Pengfei Ding, Jia Wu, Yan Wang, Amin
Beheshti and Guanfeng Liu
Missingness-aware Federated Contrastive Learning on Semantic Graphs
Shuo Yu, Zhuoyang Han, Guoqing Han, Tao Tan"&amp;"g, Feng Ding and
Qiang Zhang
Adaptive Multi-Interaction Web Semantic Graph Representation
Feng Ding, Tingting Wang, Ruolin Li, Ying Jin, Junxiang
Zhang, Shan Jin, Yicong Li and Xin Ye
Counterfactual Augmented Causal Reasoning for Aspect-Based Sentiment "&amp;"Analysis
Yiming Wu, Liang Hu, Mingzhu Zhou, Tangwei Ye, Xuejie Yang,
Xun Yang, Zhongyuan Lai, Qi Zhang and Usman Naseem
S-Path-RAG: Semantic-Aware Shortest-Path Retrieval Augmented Generation for Multi-Hop Knowledge Graph Question Answering
Rong Fu, Yemi"&amp;"n Wang, Tianxiang Xu, Yongtai Liu, Weizhi
Tang, Wangyu Wu, Xiaowen Ma and Simon Fong
Harnessing LLM for Noise-Robust Cognitive Diagnosis in Web-Based Intelligent Education Systems
Guixian Zhang, Guan Yuan, Ziqi Xu, Yanmei Zhang, Jing Ren,
Zhenyun Deng an"&amp;"d Debo Cheng
DTransKT: A Dual Transferable Knowledge Tracing Framework for Cross-Disciplinary Self-Adaptation
Kun Liang, Jiake Ge, Xin Wang and Yiying Zhang
DRMD: Explainable Depression Detection Based on Metaphorical Conceptual Mapping
Dongyu Zhang, Wa"&amp;"nqiu Liao, Weichen Hu and Hongfei Lin
")</f>
        <v>MARCH: Multi-Teacher Contrastive Hypergraph Distillation
Rongwei Xu, Zitai Qiu, Pengfei Ding, Jia Wu, Yan Wang, Amin
Beheshti and Guanfeng Liu
Missingness-aware Federated Contrastive Learning on Semantic Graphs
Shuo Yu, Zhuoyang Han, Guoqing Han, Tao Tang, Feng Ding and
Qiang Zhang
Adaptive Multi-Interaction Web Semantic Graph Representation
Feng Ding, Tingting Wang, Ruolin Li, Ying Jin, Junxiang
Zhang, Shan Jin, Yicong Li and Xin Ye
Counterfactual Augmented Causal Reasoning for Aspect-Based Sentiment Analysis
Yiming Wu, Liang Hu, Mingzhu Zhou, Tangwei Ye, Xuejie Yang,
Xun Yang, Zhongyuan Lai, Qi Zhang and Usman Naseem
S-Path-RAG: Semantic-Aware Shortest-Path Retrieval Augmented Generation for Multi-Hop Knowledge Graph Question Answering
Rong Fu, Yemin Wang, Tianxiang Xu, Yongtai Liu, Weizhi
Tang, Wangyu Wu, Xiaowen Ma and Simon Fong
Harnessing LLM for Noise-Robust Cognitive Diagnosis in Web-Based Intelligent Education Systems
Guixian Zhang, Guan Yuan, Ziqi Xu, Yanmei Zhang, Jing Ren,
Zhenyun Deng and Debo Cheng
DTransKT: A Dual Transferable Knowledge Tracing Framework for Cross-Disciplinary Self-Adaptation
Kun Liang, Jiake Ge, Xin Wang and Yiying Zhang
DRMD: Explainable Depression Detection Based on Metaphorical Conceptual Mapping
Dongyu Zhang, Wanqiu Liao, Weichen Hu and Hongfei Lin
</v>
      </c>
      <c r="H62" s="83" t="str">
        <f>IFERROR(__xludf.DUMMYFUNCTION("TEXTJOIN(CHAR(10), TRUE,FILTER('Research assignment'!$D:$D,'Research assignment'!$I:$I=H61))"),"Unveiling the Resilience of LLM-Enhanced Search Engines against Black-Hat SEO Manipulation
Pei Chen, Geng Hong, Xinyi Wu, Mengying Wu, Zixuan Zhu,
Mingxuan Liu, Baojun Liu, Mi Zhang and Min Yang
Beyond Detection: Autonomous Anomaly Remediation for MCP Ag"&amp;"ainst Tool Poisoning Attacks
Zhiqiang Wang, Guanquan Shi, Yanting Wang, Yichao Gao,
Hongsen Lang, Yunhao Yao, Haohua Du and Xiang-Yang Li
On the Effectiveness of Mempool-based Transaction Auditing
Jannik Albrecht and Ghassan Karame
Too Much Sharing, Too"&amp;" Little Security: Authentication Cookie Theft At Scale
Tobias Gattermayer and Haya Schulmann
DIARY: Differentially Private Recovery with Adaptive Privacy Budgets in Federated Unlearning
Hengzhi Wang, Lu Dai, Xianliang Zhang, Haoran Chen,
Juncheng Hu and "&amp;"Kun Yang
ShadowClone: Scalable Decentralized Identity with Cross-Domain Anonymity and Accountable Traceability
Yizhong Liu, Zedan Zhao, Boyu Zhao, Na Wang, Haojun Tan and
Jianwei Liu
DeepUL: Deep Unlearning via Model Sparsity
Zhigao Zheng, Kai Yin, Yaow"&amp;"en Kuang, Tao Wang, Yahong Chen,
Shihong Yao and Hao Huang
DSSmoothing: Toward Certified Dataset Ownership Verification for Pre-trained Language Models via Dual-Space Smoothing
Ting Qiao, Xing Liu, Wenke Huang, Jianbin Li, Zhaoxin Fan
and Yiming Li
ARul"&amp;"eCon: Agentic Security Rule Conversion
Ming Xu, Hongtai Wang, Yanpei Guo, Zhengmin Yu, Weili Han,
Hoon Wei Lim, Jin Song Dong and Jiaheng Zhang
")</f>
        <v>Unveiling the Resilience of LLM-Enhanced Search Engines against Black-Hat SEO Manipulation
Pei Chen, Geng Hong, Xinyi Wu, Mengying Wu, Zixuan Zhu,
Mingxuan Liu, Baojun Liu, Mi Zhang and Min Yang
Beyond Detection: Autonomous Anomaly Remediation for MCP Against Tool Poisoning Attacks
Zhiqiang Wang, Guanquan Shi, Yanting Wang, Yichao Gao,
Hongsen Lang, Yunhao Yao, Haohua Du and Xiang-Yang Li
On the Effectiveness of Mempool-based Transaction Auditing
Jannik Albrecht and Ghassan Karame
Too Much Sharing, Too Little Security: Authentication Cookie Theft At Scale
Tobias Gattermayer and Haya Schulmann
DIARY: Differentially Private Recovery with Adaptive Privacy Budgets in Federated Unlearning
Hengzhi Wang, Lu Dai, Xianliang Zhang, Haoran Chen,
Juncheng Hu and Kun Yang
ShadowClone: Scalable Decentralized Identity with Cross-Domain Anonymity and Accountable Traceability
Yizhong Liu, Zedan Zhao, Boyu Zhao, Na Wang, Haojun Tan and
Jianwei Liu
DeepUL: Deep Unlearning via Model Sparsity
Zhigao Zheng, Kai Yin, Yaowen Kuang, Tao Wang, Yahong Chen,
Shihong Yao and Hao Huang
DSSmoothing: Toward Certified Dataset Ownership Verification for Pre-trained Language Models via Dual-Space Smoothing
Ting Qiao, Xing Liu, Wenke Huang, Jianbin Li, Zhaoxin Fan
and Yiming Li
ARuleCon: Agentic Security Rule Conversion
Ming Xu, Hongtai Wang, Yanpei Guo, Zhengmin Yu, Weili Han,
Hoon Wei Lim, Jin Song Dong and Jiaheng Zhang
</v>
      </c>
      <c r="I62" s="83" t="str">
        <f>IFERROR(__xludf.DUMMYFUNCTION("TEXTJOIN(CHAR(10), TRUE,FILTER('Research assignment'!$D:$D,'Research assignment'!$I:$I=I61))"),"Unicoon: Hypergraph-based Multi-Agent Simulation of Information Cocoons
Chunyu Wei, Tu Yongsiqi and Yunhai Wang
Prism: Towards Lowering User Cognitive Load in LLMs via Complex Intent Understanding
Zenghua Liao, Jinzhi Liao and Xiang Zhao
TGSBM: Transfor"&amp;"mer-Guided Stochastic Block Model for Link Prediction
Zhejian Yang, Songwei Zhao, Zilin Zhao and Hechang Chen
LAPS: A Lightweight Privilege-Allocation Prompting Framework for Source Localization
Hengrui Cui, Yang Fang, Yuehang Cao and Xiang Zhao
Securin"&amp;"g Your Place in the Review Network: A Dynamic Embeddedness-aware Graph Neural Network for Restaurant Survival Prediction
Yilong Zang, Hengyun Li, Xinbo Yu and Liangfei Qiu
")</f>
        <v>Unicoon: Hypergraph-based Multi-Agent Simulation of Information Cocoons
Chunyu Wei, Tu Yongsiqi and Yunhai Wang
Prism: Towards Lowering User Cognitive Load in LLMs via Complex Intent Understanding
Zenghua Liao, Jinzhi Liao and Xiang Zhao
TGSBM: Transformer-Guided Stochastic Block Model for Link Prediction
Zhejian Yang, Songwei Zhao, Zilin Zhao and Hechang Chen
LAPS: A Lightweight Privilege-Allocation Prompting Framework for Source Localization
Hengrui Cui, Yang Fang, Yuehang Cao and Xiang Zhao
Securing Your Place in the Review Network: A Dynamic Embeddedness-aware Graph Neural Network for Restaurant Survival Prediction
Yilong Zang, Hengyun Li, Xinbo Yu and Liangfei Qiu
</v>
      </c>
      <c r="J62" s="83" t="str">
        <f>IFERROR(__xludf.DUMMYFUNCTION("TEXTJOIN(CHAR(10), TRUE,FILTER('Research assignment'!$D:$D,'Research assignment'!$I:$I=J61))"),"ViTs: Teaching Machines to See Time Series Anomalies Like Human Experts
Zexin Wang, Changhua Pei, Yang Liu, Hengyue Jiang, Quan
Zhou, Haotian Si, Hang Cui, Jianhui Li, Gaogang Xie,
Jingjing Li and Dan Pei
FSDI: Frequency-Shaped Diffusion For Time-Series "&amp;"Imputation
Wangmeng Shen, Hongfan Gao, Qingsong Zhong, Dingli Xu and
Jilin Hu
Automated Model Selection for Multivariate Time Series Forecasting
Xiaoxuan Fan, Jiaqi Sun, Xianjun Deng, Qiankun Zhang, Wei
Xiang, Shenghao Liu and Lingzhi Yi
Energy-Efficien"&amp;"t and Dequantization-Free Quantization of LLMs: A Spiking Neural Network Approach to Salient Value Mitigation
Chenyu Wang, Zhanglu Yan, Zhi Zhou, Xu Chen and Weng-Fai
Wong
Enhancing Federated Class-Incremental Learning via Spatial-Temporal Statistics Agg"&amp;"regation
Zenghao Guan, Guojun Zhu, Yucan Zhou, Wu Liu, Weiping Wang,
Jiebo Luo and Xiaoyan Gu
Starlink in the Wild: Multi-Perspective Measurements via DNS
Ruoxuan Xia, Bingyu Li, Zhenyu Chen, Pengyu Yuan, Yunjia
Wang, Xiaofeng Zheng and Jingqiang Lin
")</f>
        <v>ViTs: Teaching Machines to See Time Series Anomalies Like Human Experts
Zexin Wang, Changhua Pei, Yang Liu, Hengyue Jiang, Quan
Zhou, Haotian Si, Hang Cui, Jianhui Li, Gaogang Xie,
Jingjing Li and Dan Pei
FSDI: Frequency-Shaped Diffusion For Time-Series Imputation
Wangmeng Shen, Hongfan Gao, Qingsong Zhong, Dingli Xu and
Jilin Hu
Automated Model Selection for Multivariate Time Series Forecasting
Xiaoxuan Fan, Jiaqi Sun, Xianjun Deng, Qiankun Zhang, Wei
Xiang, Shenghao Liu and Lingzhi Yi
Energy-Efficient and Dequantization-Free Quantization of LLMs: A Spiking Neural Network Approach to Salient Value Mitigation
Chenyu Wang, Zhanglu Yan, Zhi Zhou, Xu Chen and Weng-Fai
Wong
Enhancing Federated Class-Incremental Learning via Spatial-Temporal Statistics Aggregation
Zenghao Guan, Guojun Zhu, Yucan Zhou, Wu Liu, Weiping Wang,
Jiebo Luo and Xiaoyan Gu
Starlink in the Wild: Multi-Perspective Measurements via DNS
Ruoxuan Xia, Bingyu Li, Zhenyu Chen, Pengyu Yuan, Yunjia
Wang, Xiaofeng Zheng and Jingqiang Lin
</v>
      </c>
      <c r="K62" s="83" t="str">
        <f>IFERROR(__xludf.DUMMYFUNCTION("TEXTJOIN(CHAR(10), TRUE,FILTER('Research assignment'!$D:$D,'Research assignment'!$I:$I=K61))"),"From Prediction to Understanding: Leveraging Reasoning in Large Language Model-based Recommendations
Zhi-Yuan Chen, Siyu Lu, Qiang Liu, Xingxing Wang and Yankai
Lin
Generative Regression Based Watch Time Prediction for Short-Video Recommendation
Hongxu M"&amp;"a, Kai Tian, Tao Zhang, Xuefeng Zhang, Han Zhou,
Chenghou Jin, Chunjie Chen, Han Li, Jihong Guan and
Shuigeng Zhou
FeDecider: An LLM-Based Framework for Federated Cross-Domain Recommendation
Xinrui He, Ting-Wei Li, Tianxin Wei, Xuying Ning, Xinyu He,
Wen"&amp;"xuan Bao, Hanghang Tong and Jingrui He
Joint Similar User Exploration and Informative Behavior Guidance for Multi-Modal New Item Recommendation
Jianye Xie, Lianyong Qi, Weiming Liu, Anqi Wang, Xiaolong
Xu, Haolong Xiang, Xuyun Zhang, Wenwen Gong, Yang Zh"&amp;"ang,
Amin Beheshti and Wanchun Dou
ScotRec: Social Chain-of-Thought LLM Reasoning for Recommendation
Kaibei Li, Jie Zou, Qika Lin, Weikang Guo, Qinyang He and
Yang Yang
Modeling Cascaded Delay Feedback for Online Net Conversion Rate Prediction: Benchmar"&amp;"k, Insights and Solutions
Mingxuan Luo, Guipeng Xv, Sishuo Chen, Xinyu Li, Li Zhang,
Zhangming Chan, Xiang-Rong Sheng, Han Zhu, Jian Xu, Bo
Zheng and Chen Lin
Diversity-Augmented Negative Sampling for Implicit Collaborative Filtering
Yueqing Xuan, Kacper"&amp;" Sokol, Mark Sanderson and Jeffrey Chan
Delayed Feedback Modeling for Post-Click Gross Merchandise Volume Prediction: Benchmark, Insights and Approaches
Xinyu Li, Sishuo Chen, Guipeng Xv, Li Zhang, Mingxuan Luo,
Zhangming Chan, Xiang-Rong Sheng, Han Zhu,"&amp;" Jian Xu and Chen
Lin
AlphaFree: Recommendation Free from Users, IDs, and GNNs
Minseo Jeon, Junwoo Jung, Daewon Gwak and Jinhong Jung
Same Last-Item Confusion Unveiled: A Unified Mitigation Framework for Graph Learning in Session-Based Recommendation
Ji"&amp;"npeng Chen, Jianxiang He, Yuan Cao, Huan Li, Zhenye Yang,
Kaimin Wei, Xiongnan Jin, Senzhang Wang and Weiping Tu
R2NS: Recall and Re-ranking of Negative Samples for Sequential Recommendation
Yuanzi Li, Xuri Ge, Jingyu Zhao, Yidan Wang, Jiyuan Yang,
Zhumi"&amp;"n Chen, Zhaochun Ren and Xin Xin
DynaMoLTV: A Cross-Game Dynamic Mixture Model with Weighted Sub-Distributions for Player Lifetime Value Prediction
Furen Xu, Jie Zhang, Kai Jiang, Chengxiang Zhuo and Zang Li
")</f>
        <v>From Prediction to Understanding: Leveraging Reasoning in Large Language Model-based Recommendations
Zhi-Yuan Chen, Siyu Lu, Qiang Liu, Xingxing Wang and Yankai
Lin
Generative Regression Based Watch Time Prediction for Short-Video Recommendation
Hongxu Ma, Kai Tian, Tao Zhang, Xuefeng Zhang, Han Zhou,
Chenghou Jin, Chunjie Chen, Han Li, Jihong Guan and
Shuigeng Zhou
FeDecider: An LLM-Based Framework for Federated Cross-Domain Recommendation
Xinrui He, Ting-Wei Li, Tianxin Wei, Xuying Ning, Xinyu He,
Wenxuan Bao, Hanghang Tong and Jingrui He
Joint Similar User Exploration and Informative Behavior Guidance for Multi-Modal New Item Recommendation
Jianye Xie, Lianyong Qi, Weiming Liu, Anqi Wang, Xiaolong
Xu, Haolong Xiang, Xuyun Zhang, Wenwen Gong, Yang Zhang,
Amin Beheshti and Wanchun Dou
ScotRec: Social Chain-of-Thought LLM Reasoning for Recommendation
Kaibei Li, Jie Zou, Qika Lin, Weikang Guo, Qinyang He and
Yang Yang
Modeling Cascaded Delay Feedback for Online Net Conversion Rate Prediction: Benchmark, Insights and Solutions
Mingxuan Luo, Guipeng Xv, Sishuo Chen, Xinyu Li, Li Zhang,
Zhangming Chan, Xiang-Rong Sheng, Han Zhu, Jian Xu, Bo
Zheng and Chen Lin
Diversity-Augmented Negative Sampling for Implicit Collaborative Filtering
Yueqing Xuan, Kacper Sokol, Mark Sanderson and Jeffrey Chan
Delayed Feedback Modeling for Post-Click Gross Merchandise Volume Prediction: Benchmark, Insights and Approaches
Xinyu Li, Sishuo Chen, Guipeng Xv, Li Zhang, Mingxuan Luo,
Zhangming Chan, Xiang-Rong Sheng, Han Zhu, Jian Xu and Chen
Lin
AlphaFree: Recommendation Free from Users, IDs, and GNNs
Minseo Jeon, Junwoo Jung, Daewon Gwak and Jinhong Jung
Same Last-Item Confusion Unveiled: A Unified Mitigation Framework for Graph Learning in Session-Based Recommendation
Jinpeng Chen, Jianxiang He, Yuan Cao, Huan Li, Zhenye Yang,
Kaimin Wei, Xiongnan Jin, Senzhang Wang and Weiping Tu
R2NS: Recall and Re-ranking of Negative Samples for Sequential Recommendation
Yuanzi Li, Xuri Ge, Jingyu Zhao, Yidan Wang, Jiyuan Yang,
Zhumin Chen, Zhaochun Ren and Xin Xin
DynaMoLTV: A Cross-Game Dynamic Mixture Model with Weighted Sub-Distributions for Player Lifetime Value Prediction
Furen Xu, Jie Zhang, Kai Jiang, Chengxiang Zhuo and Zang Li
</v>
      </c>
      <c r="L62" s="83" t="str">
        <f>IFERROR(__xludf.DUMMYFUNCTION("TEXTJOIN(CHAR(10), TRUE,FILTER('Research assignment'!$D:$D,'Research assignment'!$I:$I=L61))"),"Fusion Is Not A Simple Ensemble! Towards The Evolving Views in Insider Threat Detection
Chengyu Song, Lin Yang, Jianming Zheng, Jingjing Zhang,
Hongyu Kuang, Jinzhi Liao and Mengchun Zhao
Diffusion Generative Recommendation with Continuous Tokens
Haohao "&amp;"Qu, Shanru Lin, Yujuan Ding, Yiqi Wang and Wenqi Fan
EEO-TFV: Escape-Explore Optimizer for Web-Scale Time-Series Forecasting and Vision Analysis
Hua Wang, Jinghao Lu and Fan Zhang
Towards Multi-Label Text Interpretation with Chain-of-Thought Prompting a"&amp;"nd Contextualized Knowledge
Rui Wang, Ziang Li, Haiping Huang, Jialin Yu, Yuxiang Zhou
and Guozi Sun
Evolving Proxy Kills Drift: Data-Efficient Streaming Time Series Anomaly Detection
Qing Wei, Hao Miao, Yan Zhao, Kai Zheng, Bin Yang, Volker
Markl and Ch"&amp;"ristian S. Jensen
Shift-Resilient Diffusive Imputation for Variable Subset Forecasting
Haihua Xu, Qi Hao, He Zhang, Jianpeng Zhao, Ziyue Qiao, Lu
Jiang, Pengfei Wang, Yingjie Zhou and Pengyang Wang
Leveraging LLM and Multiscale Knowledge States to Impro"&amp;"ve Knowledge Tracing in Programming Tasks
Mingxing Shao, Tiancheng Zhang, Yifang Yin, Wenhui Wu,
Zikai Li, Minghe Yu, Fangling Leng and Ge Yu
Re-Diffusion: Modeling Latent Residuals with Diffusion for Time-Series Forecasting
Boning Zhang, Haishuai Wang, "&amp;"Zehong Hu, Jiajun Wang, Hongyi
Zhang and Jia Jia
")</f>
        <v>Fusion Is Not A Simple Ensemble! Towards The Evolving Views in Insider Threat Detection
Chengyu Song, Lin Yang, Jianming Zheng, Jingjing Zhang,
Hongyu Kuang, Jinzhi Liao and Mengchun Zhao
Diffusion Generative Recommendation with Continuous Tokens
Haohao Qu, Shanru Lin, Yujuan Ding, Yiqi Wang and Wenqi Fan
EEO-TFV: Escape-Explore Optimizer for Web-Scale Time-Series Forecasting and Vision Analysis
Hua Wang, Jinghao Lu and Fan Zhang
Towards Multi-Label Text Interpretation with Chain-of-Thought Prompting and Contextualized Knowledge
Rui Wang, Ziang Li, Haiping Huang, Jialin Yu, Yuxiang Zhou
and Guozi Sun
Evolving Proxy Kills Drift: Data-Efficient Streaming Time Series Anomaly Detection
Qing Wei, Hao Miao, Yan Zhao, Kai Zheng, Bin Yang, Volker
Markl and Christian S. Jensen
Shift-Resilient Diffusive Imputation for Variable Subset Forecasting
Haihua Xu, Qi Hao, He Zhang, Jianpeng Zhao, Ziyue Qiao, Lu
Jiang, Pengfei Wang, Yingjie Zhou and Pengyang Wang
Leveraging LLM and Multiscale Knowledge States to Improve Knowledge Tracing in Programming Tasks
Mingxing Shao, Tiancheng Zhang, Yifang Yin, Wenhui Wu,
Zikai Li, Minghe Yu, Fangling Leng and Ge Yu
Re-Diffusion: Modeling Latent Residuals with Diffusion for Time-Series Forecasting
Boning Zhang, Haishuai Wang, Zehong Hu, Jiajun Wang, Hongyi
Zhang and Jia Jia
</v>
      </c>
      <c r="M62" s="83" t="str">
        <f>IFERROR(__xludf.DUMMYFUNCTION("TEXTJOIN(CHAR(10), TRUE,FILTER('Industry assignment'!$D:$D,'Industry assignment'!$I:$I=M61))"),"LSIG: Long Semantic IDs for Generative Recommendation
Zhao Li, FengYang Qi, Chuanyu Xu, Tao Zhang, Chengfu Huo and Peng Zhang
iQ-Guard: An Effective and Noise-Resistant Framework for Graph Fraud Detection on iQIYI Platform
Yuting Huang, Ziquan Fang, Zhen"&amp;"gjie Zhou, Tinghui Luo, Lu Chen, Surun Ji, Huimei Zheng, Mingfan Lu, Fangshu Chen and Yunjun Gao
Warmer for Less: A Cost-Efficient Strategy for Cold-Start Recommendations at Pinterest
Saeed Ebrahimi, Weijie Jiang, Jaewon Yang, Olafur Gudmundsson, Yucheng"&amp;" Tu and Huizhong Duan
")</f>
        <v>LSIG: Long Semantic IDs for Generative Recommendation
Zhao Li, FengYang Qi, Chuanyu Xu, Tao Zhang, Chengfu Huo and Peng Zhang
iQ-Guard: An Effective and Noise-Resistant Framework for Graph Fraud Detection on iQIYI Platform
Yuting Huang, Ziquan Fang, Zhengjie Zhou, Tinghui Luo, Lu Chen, Surun Ji, Huimei Zheng, Mingfan Lu, Fangshu Chen and Yunjun Gao
Warmer for Less: A Cost-Efficient Strategy for Cold-Start Recommendations at Pinterest
Saeed Ebrahimi, Weijie Jiang, Jaewon Yang, Olafur Gudmundsson, Yucheng Tu and Huizhong Duan
</v>
      </c>
      <c r="N62" s="83" t="str">
        <f>IFERROR(__xludf.DUMMYFUNCTION("TEXTJOIN(CHAR(10), TRUE,FILTER('Web4Good assignment'!$D:$D,'Web4Good assignment'!$I:$I=N61))"),"STPWR: A Spatiotemporal Prediction-based Worker Pre-Recruitment Framework for Mobile Crowd Sensing
Guisong Yang, Yuchen Yang, Yunbo Shen, Xingyu He, Jianheng Tang, Yunhuai Liu and Chengji Xu
SAGE: Sustainable Agent-Guided Expert-tuning for Culturally Att"&amp;"uned Translation in Low-Resource Southeast Asia
Zhixiang Lu, Chong Zhang, Yulong Li, Angelos Stefanidis, Anh Nguyen, Imran Razzak, Jionglong Su and Zhengyong Jiang
Genomic-Informed Heterogeneous Graph Learning for Spatiotemporal Avian Influenza Outbreak "&amp;"Forecasting
Jing Du, Haley Stone, Yang Yang, Ashna Desai, Hao Xue, Andreas Züfle, C. Raina MacIntyre and Flora D. Salim
LEAP: LLM-Enhanced E-commerce Demand Prediction under Emergent Events
Shuxin Zhong, Hongyu Lin, Yan Fang, Jun Chen and Kaishun Wu
Fro"&amp;"m Native Memes to Global Moderation: Cross-Cultural Evaluation of Vision–Language Models for Hateful Meme Detection
Mo Wang, Kaixuan Ren, Pratik Jalan, Ahmed Ashraf, Tuong Vy Vu, Rahul Seetharaman, Shah Nawaz and Usman Naseem
Kardia-R1: Unleashing LLMs t"&amp;"o Reason toward Understanding and Empathy for Emotional Support via Rubric-as-Judge Reinforcement Learning
Jiahao Yuan, Zhiqing Cui, Hanqing Wang, Yuansheng Gao, Yucheng Zhou and Usman Naseem
AgriGPT-Omni: A Unified Speech–Vision–Text Framework for Multi"&amp;"lingual Agricultural Intelligence
Bo Yang, Lanfei Feng, Yunkui Chen, Yu Zhang, Jianyu Zhang, Xiao Xu, Nueraili Aierken and Shijian Li
S²KT:Modeling Uncertainty in Knowledge Tracing via Semantic-aware Structured Gaussian Distributions
Wenhui Wu, Tiancheng"&amp;" Zhang, Hengyu Liu, Lun Du, Zikai Li, Mingxing Shao, Minghe Yu, Yifang Yin and Ge Yu
WED-Net: A Weather-Effect Disentanglement Network with Causal Augmentation for Urban Flow Prediction
Qian Hong, Siyuan Chang and Xiao Zhou
Enhancing Content Moderation "&amp;"with LLMs: A Reddit Case Study on Evaluating and Refining Human Decisions
Jiahui He, Yiluo Wei and Gareth Tyson
Mitigating Fine-tuning Bias: A Parameter-Efficient Debiasing Framework for Large Language Models
Qiuyu Li, Kun Zhang, Le Wu, Hao Liu, Hefei Xu"&amp;", Xin Li and Si Wei
AlignCP: Noise-Aware Preference Alignment for LLMs via Confidence and Polarity Reweighting
Chen Cheng, Hefei Xu and Le Wu
Bringing Reasoning to Generative Recommendation Through the Lens of Cascaded Ranking
Xinyu Lin, Pengyuan Liu, W"&amp;"enjie Wang, Yicheng Hu, Chen Xu, Fuli Feng, Qifan Wang and Tat-Seng Chua
AMID: Model-Agnostic Dataset Distillation by Adversarial Mutual Information Minimization
Aoqi Wu, Junming Liu, Yuwei Zhang, Weiquan Huang, Liang Hu, Yifan Yang, Qi Zhang, Jiaxing Mi"&amp;"ao, Yuhan Tang and Zhongyuan Lai
From Insight to Intervention: Interpretable Neuron Steering for Controlling Popularity Bias in Recommender Systems
Parviz Ahmadov and Masoud Mansoury
")</f>
        <v>STPWR: A Spatiotemporal Prediction-based Worker Pre-Recruitment Framework for Mobile Crowd Sensing
Guisong Yang, Yuchen Yang, Yunbo Shen, Xingyu He, Jianheng Tang, Yunhuai Liu and Chengji Xu
SAGE: Sustainable Agent-Guided Expert-tuning for Culturally Attuned Translation in Low-Resource Southeast Asia
Zhixiang Lu, Chong Zhang, Yulong Li, Angelos Stefanidis, Anh Nguyen, Imran Razzak, Jionglong Su and Zhengyong Jiang
Genomic-Informed Heterogeneous Graph Learning for Spatiotemporal Avian Influenza Outbreak Forecasting
Jing Du, Haley Stone, Yang Yang, Ashna Desai, Hao Xue, Andreas Züfle, C. Raina MacIntyre and Flora D. Salim
LEAP: LLM-Enhanced E-commerce Demand Prediction under Emergent Events
Shuxin Zhong, Hongyu Lin, Yan Fang, Jun Chen and Kaishun Wu
From Native Memes to Global Moderation: Cross-Cultural Evaluation of Vision–Language Models for Hateful Meme Detection
Mo Wang, Kaixuan Ren, Pratik Jalan, Ahmed Ashraf, Tuong Vy Vu, Rahul Seetharaman, Shah Nawaz and Usman Naseem
Kardia-R1: Unleashing LLMs to Reason toward Understanding and Empathy for Emotional Support via Rubric-as-Judge Reinforcement Learning
Jiahao Yuan, Zhiqing Cui, Hanqing Wang, Yuansheng Gao, Yucheng Zhou and Usman Naseem
AgriGPT-Omni: A Unified Speech–Vision–Text Framework for Multilingual Agricultural Intelligence
Bo Yang, Lanfei Feng, Yunkui Chen, Yu Zhang, Jianyu Zhang, Xiao Xu, Nueraili Aierken and Shijian Li
S²KT:Modeling Uncertainty in Knowledge Tracing via Semantic-aware Structured Gaussian Distributions
Wenhui Wu, Tiancheng Zhang, Hengyu Liu, Lun Du, Zikai Li, Mingxing Shao, Minghe Yu, Yifang Yin and Ge Yu
WED-Net: A Weather-Effect Disentanglement Network with Causal Augmentation for Urban Flow Prediction
Qian Hong, Siyuan Chang and Xiao Zhou
Enhancing Content Moderation with LLMs: A Reddit Case Study on Evaluating and Refining Human Decisions
Jiahui He, Yiluo Wei and Gareth Tyson
Mitigating Fine-tuning Bias: A Parameter-Efficient Debiasing Framework for Large Language Models
Qiuyu Li, Kun Zhang, Le Wu, Hao Liu, Hefei Xu, Xin Li and Si Wei
AlignCP: Noise-Aware Preference Alignment for LLMs via Confidence and Polarity Reweighting
Chen Cheng, Hefei Xu and Le Wu
Bringing Reasoning to Generative Recommendation Through the Lens of Cascaded Ranking
Xinyu Lin, Pengyuan Liu, Wenjie Wang, Yicheng Hu, Chen Xu, Fuli Feng, Qifan Wang and Tat-Seng Chua
AMID: Model-Agnostic Dataset Distillation by Adversarial Mutual Information Minimization
Aoqi Wu, Junming Liu, Yuwei Zhang, Weiquan Huang, Liang Hu, Yifan Yang, Qi Zhang, Jiaxing Miao, Yuhan Tang and Zhongyuan Lai
From Insight to Intervention: Interpretable Neuron Steering for Controlling Popularity Bias in Recommender Systems
Parviz Ahmadov and Masoud Mansoury
</v>
      </c>
      <c r="O62" s="25"/>
      <c r="P62" s="25"/>
      <c r="Q62" s="25"/>
      <c r="R62" s="25"/>
      <c r="S62" s="25"/>
      <c r="T62" s="5"/>
      <c r="U62" s="5"/>
      <c r="V62" s="5"/>
      <c r="W62" s="5"/>
      <c r="X62" s="5"/>
      <c r="Y62" s="5"/>
      <c r="Z62" s="5"/>
      <c r="AA62" s="5"/>
    </row>
    <row r="63" ht="20.25" customHeight="1">
      <c r="A63" s="110" t="s">
        <v>147</v>
      </c>
      <c r="B63" s="57" t="s">
        <v>148</v>
      </c>
      <c r="O63" s="22"/>
      <c r="P63" s="22"/>
      <c r="Q63" s="22"/>
      <c r="R63" s="22"/>
      <c r="S63" s="22"/>
      <c r="T63" s="5"/>
      <c r="U63" s="5"/>
      <c r="V63" s="5"/>
      <c r="W63" s="5"/>
      <c r="X63" s="5"/>
      <c r="Y63" s="5"/>
      <c r="Z63" s="5"/>
      <c r="AA63" s="5"/>
    </row>
    <row r="64" ht="21.75" customHeight="1">
      <c r="A64" s="110"/>
      <c r="B64" s="111" t="s">
        <v>149</v>
      </c>
      <c r="C64" s="57"/>
      <c r="D64" s="57"/>
      <c r="E64" s="57"/>
      <c r="F64" s="57"/>
      <c r="G64" s="57"/>
      <c r="H64" s="57"/>
      <c r="I64" s="57"/>
      <c r="J64" s="57"/>
      <c r="K64" s="57"/>
      <c r="L64" s="57"/>
      <c r="M64" s="57"/>
      <c r="N64" s="57"/>
      <c r="O64" s="38"/>
      <c r="P64" s="38"/>
      <c r="Q64" s="38"/>
      <c r="R64" s="38"/>
      <c r="S64" s="38"/>
      <c r="T64" s="5"/>
      <c r="U64" s="5"/>
      <c r="V64" s="5"/>
      <c r="W64" s="5"/>
      <c r="X64" s="5"/>
      <c r="Y64" s="5"/>
      <c r="Z64" s="5"/>
      <c r="AA64" s="5"/>
    </row>
    <row r="65" ht="21.75" customHeight="1">
      <c r="A65" s="110"/>
      <c r="B65" s="59" t="str">
        <f>IFERROR(__xludf.DUMMYFUNCTION("CONCATENATE(""Session Chairs: "",TEXTJOIN(CHAR(10), TRUE,FILTER('Session Chairs'!$C:$C,'Session Chairs'!$A:$A=B63)))"),"Session Chairs: Hakim Hacid, Yoelle Maarek")</f>
        <v>Session Chairs: Hakim Hacid, Yoelle Maarek</v>
      </c>
      <c r="C65" s="57"/>
      <c r="D65" s="57"/>
      <c r="E65" s="57"/>
      <c r="F65" s="57"/>
      <c r="G65" s="57"/>
      <c r="H65" s="57"/>
      <c r="I65" s="57"/>
      <c r="J65" s="57"/>
      <c r="K65" s="57"/>
      <c r="L65" s="57"/>
      <c r="M65" s="57"/>
      <c r="N65" s="57"/>
      <c r="O65" s="22"/>
      <c r="P65" s="22"/>
      <c r="Q65" s="22"/>
      <c r="R65" s="22"/>
      <c r="S65" s="22"/>
      <c r="T65" s="5"/>
      <c r="U65" s="5"/>
      <c r="V65" s="5"/>
      <c r="W65" s="5"/>
      <c r="X65" s="5"/>
      <c r="Y65" s="5"/>
      <c r="Z65" s="5"/>
      <c r="AA65" s="5"/>
    </row>
    <row r="66" ht="21.75" customHeight="1" collapsed="1">
      <c r="A66" s="110"/>
      <c r="B66" s="59" t="str">
        <f>IFERROR(__xludf.DUMMYFUNCTION("CONCATENATE(""Presenters: "",TEXTJOIN(CHAR(10), TRUE,FILTER('Session Chairs'!$C:$C,'Session Chairs'!$A:$A=CONCATENATE(B63, "" Presenters""))))"),"Presenters:  Philipp Christmann,Taylor Lynn Curtis, Giorgio Maria Di Nunzio, Dame Wendy Hall , Mounia Lalmas")</f>
        <v>Presenters:  Philipp Christmann,Taylor Lynn Curtis, Giorgio Maria Di Nunzio, Dame Wendy Hall , Mounia Lalmas</v>
      </c>
      <c r="C66" s="57"/>
      <c r="D66" s="57"/>
      <c r="E66" s="57"/>
      <c r="F66" s="57"/>
      <c r="G66" s="57"/>
      <c r="H66" s="57"/>
      <c r="I66" s="57"/>
      <c r="J66" s="57"/>
      <c r="K66" s="57"/>
      <c r="L66" s="57"/>
      <c r="M66" s="57"/>
      <c r="N66" s="57"/>
      <c r="O66" s="38"/>
      <c r="P66" s="38"/>
      <c r="Q66" s="38"/>
      <c r="R66" s="38"/>
      <c r="S66" s="38"/>
      <c r="T66" s="5"/>
      <c r="U66" s="5"/>
      <c r="V66" s="5"/>
      <c r="W66" s="5"/>
      <c r="X66" s="5"/>
      <c r="Y66" s="5"/>
      <c r="Z66" s="5"/>
      <c r="AA66" s="5"/>
    </row>
    <row r="67" ht="111.0" hidden="1" customHeight="1" outlineLevel="1">
      <c r="A67" s="110"/>
      <c r="B67" s="57" t="s">
        <v>150</v>
      </c>
      <c r="C67" s="57"/>
      <c r="D67" s="57"/>
      <c r="E67" s="57"/>
      <c r="F67" s="57"/>
      <c r="G67" s="57"/>
      <c r="H67" s="57"/>
      <c r="I67" s="57"/>
      <c r="J67" s="57"/>
      <c r="K67" s="57"/>
      <c r="L67" s="57"/>
      <c r="M67" s="57"/>
      <c r="N67" s="57"/>
      <c r="O67" s="22"/>
      <c r="P67" s="22"/>
      <c r="Q67" s="22"/>
      <c r="R67" s="22"/>
      <c r="S67" s="22"/>
      <c r="T67" s="5"/>
      <c r="U67" s="5"/>
      <c r="V67" s="5"/>
      <c r="W67" s="5"/>
      <c r="X67" s="5"/>
      <c r="Y67" s="5"/>
      <c r="Z67" s="5"/>
      <c r="AA67" s="5"/>
    </row>
    <row r="68">
      <c r="A68" s="32" t="s">
        <v>151</v>
      </c>
      <c r="B68" s="33" t="s">
        <v>31</v>
      </c>
      <c r="O68" s="34"/>
      <c r="P68" s="38"/>
      <c r="Q68" s="38"/>
      <c r="R68" s="38"/>
      <c r="S68" s="38"/>
      <c r="T68" s="5"/>
      <c r="U68" s="5"/>
      <c r="V68" s="5"/>
      <c r="W68" s="5"/>
      <c r="X68" s="5"/>
      <c r="Y68" s="5"/>
      <c r="Z68" s="5"/>
      <c r="AA68" s="5"/>
    </row>
    <row r="69">
      <c r="A69" s="49" t="s">
        <v>152</v>
      </c>
      <c r="B69" s="108" t="s">
        <v>153</v>
      </c>
      <c r="C69" s="61" t="s">
        <v>154</v>
      </c>
      <c r="D69" s="61" t="s">
        <v>155</v>
      </c>
      <c r="E69" s="62" t="s">
        <v>156</v>
      </c>
      <c r="F69" s="62" t="s">
        <v>157</v>
      </c>
      <c r="G69" s="62" t="s">
        <v>158</v>
      </c>
      <c r="H69" s="62" t="s">
        <v>159</v>
      </c>
      <c r="I69" s="62" t="s">
        <v>160</v>
      </c>
      <c r="J69" s="62" t="s">
        <v>161</v>
      </c>
      <c r="K69" s="62" t="s">
        <v>162</v>
      </c>
      <c r="L69" s="87" t="s">
        <v>163</v>
      </c>
      <c r="M69" s="87" t="s">
        <v>164</v>
      </c>
      <c r="N69" s="61" t="s">
        <v>165</v>
      </c>
      <c r="O69" s="22"/>
      <c r="P69" s="22"/>
      <c r="Q69" s="22"/>
      <c r="R69" s="22"/>
      <c r="S69" s="22"/>
      <c r="T69" s="5"/>
      <c r="U69" s="5"/>
      <c r="V69" s="5"/>
      <c r="W69" s="5"/>
      <c r="X69" s="5"/>
      <c r="Y69" s="5"/>
      <c r="Z69" s="5"/>
      <c r="AA69" s="5"/>
    </row>
    <row r="70" ht="22.5" customHeight="1">
      <c r="A70" s="67"/>
      <c r="B70" s="68" t="str">
        <f>IFERROR(__xludf.DUMMYFUNCTION("TEXTJOIN(CHAR(10), TRUE,FILTER('Sessions Counts'!$B:$B,'Sessions Counts'!$A:$A=B69))"),"Bias Detection, Auditing, and Monitoring")</f>
        <v>Bias Detection, Auditing, and Monitoring</v>
      </c>
      <c r="C70" s="69" t="str">
        <f>IFERROR(__xludf.DUMMYFUNCTION("TEXTJOIN(CHAR(10), TRUE,FILTER('Sessions Counts'!$B:$B,'Sessions Counts'!$A:$A=C69))"),"Contrastive Learning 1")</f>
        <v>Contrastive Learning 1</v>
      </c>
      <c r="D70" s="69" t="str">
        <f>IFERROR(__xludf.DUMMYFUNCTION("TEXTJOIN(CHAR(10), TRUE,FILTER('Sessions Counts'!$B:$B,'Sessions Counts'!$A:$A=D69))"),"Graphs - Miscellanea")</f>
        <v>Graphs - Miscellanea</v>
      </c>
      <c r="E70" s="69" t="str">
        <f>IFERROR(__xludf.DUMMYFUNCTION("TEXTJOIN(CHAR(10), TRUE,FILTER('Sessions Counts'!$B:$B,'Sessions Counts'!$A:$A=E69))"),"Efficient &amp; Multimodal Retrieval")</f>
        <v>Efficient &amp; Multimodal Retrieval</v>
      </c>
      <c r="F70" s="69" t="str">
        <f>IFERROR(__xludf.DUMMYFUNCTION("TEXTJOIN(CHAR(10), TRUE,FILTER('Sessions Counts'!$B:$B,'Sessions Counts'!$A:$A=F69))"),"Knowledge Integration &amp; Transfer")</f>
        <v>Knowledge Integration &amp; Transfer</v>
      </c>
      <c r="G70" s="69" t="str">
        <f>IFERROR(__xludf.DUMMYFUNCTION("TEXTJOIN(CHAR(10), TRUE,FILTER('Sessions Counts'!$B:$B,'Sessions Counts'!$A:$A=G69))"),"Social Events and User-Centric Analysis")</f>
        <v>Social Events and User-Centric Analysis</v>
      </c>
      <c r="H70" s="69" t="str">
        <f>IFERROR(__xludf.DUMMYFUNCTION("TEXTJOIN(CHAR(10), TRUE,FILTER('Sessions Counts'!$B:$B,'Sessions Counts'!$A:$A=H69))"),"AI Systems for Time Series and Vision")</f>
        <v>AI Systems for Time Series and Vision</v>
      </c>
      <c r="I70" s="69" t="str">
        <f>IFERROR(__xludf.DUMMYFUNCTION("TEXTJOIN(CHAR(10), TRUE,FILTER('Sessions Counts'!$B:$B,'Sessions Counts'!$A:$A=I69))"),"Security &amp; Privacy for LLM II")</f>
        <v>Security &amp; Privacy for LLM II</v>
      </c>
      <c r="J70" s="69" t="str">
        <f>IFERROR(__xludf.DUMMYFUNCTION("TEXTJOIN(CHAR(10), TRUE,FILTER('Sessions Counts'!$B:$B,'Sessions Counts'!$A:$A=J69))"),"Robustness, Anomaly Detection, and Web Data Quality")</f>
        <v>Robustness, Anomaly Detection, and Web Data Quality</v>
      </c>
      <c r="K70" s="69" t="str">
        <f>IFERROR(__xludf.DUMMYFUNCTION("TEXTJOIN(CHAR(10), TRUE,FILTER('Sessions Counts'!$B:$B,'Sessions Counts'!$A:$A=K69))"),"Advanced Sequential Recommendation")</f>
        <v>Advanced Sequential Recommendation</v>
      </c>
      <c r="L70" s="69" t="str">
        <f>IFERROR(__xludf.DUMMYFUNCTION("TEXTJOIN(CHAR(10), TRUE,FILTER('Sessions Counts'!$B:$B,'Sessions Counts'!$A:$A=L69))"),"Intent Modeling &amp; CTR Prediction")</f>
        <v>Intent Modeling &amp; CTR Prediction</v>
      </c>
      <c r="M70" s="69" t="str">
        <f>IFERROR(__xludf.DUMMYFUNCTION("TEXTJOIN(CHAR(10), TRUE,FILTER('Sessions Counts'!$B:$B,'Sessions Counts'!$A:$A=M69))"),"E-Commerce Search &amp; Semantic Relevance")</f>
        <v>E-Commerce Search &amp; Semantic Relevance</v>
      </c>
      <c r="N70" s="112" t="str">
        <f>IFERROR(__xludf.DUMMYFUNCTION("TEXTJOIN(CHAR(10), TRUE,FILTER('Sessions Counts'!$B:$B,'Sessions Counts'!$A:$A=N69))"),"AI for Social Good: Health &amp; Vulnerable Populations")</f>
        <v>AI for Social Good: Health &amp; Vulnerable Populations</v>
      </c>
      <c r="O70" s="88"/>
      <c r="P70" s="88"/>
      <c r="Q70" s="88"/>
      <c r="R70" s="88"/>
      <c r="S70" s="88"/>
      <c r="T70" s="73"/>
      <c r="U70" s="73"/>
      <c r="V70" s="73"/>
      <c r="W70" s="73"/>
      <c r="X70" s="73"/>
      <c r="Y70" s="73"/>
      <c r="Z70" s="73"/>
      <c r="AA70" s="73"/>
    </row>
    <row r="71">
      <c r="A71" s="74"/>
      <c r="B71" s="113" t="str">
        <f>IFERROR(__xludf.DUMMYFUNCTION("CONCATENATE(""Session Chair: "",TEXTJOIN(CHAR(10), TRUE,FILTER('Session Chairs'!$C:$C,'Session Chairs'!$A:$A=B69)))"),"Session Chair: Svetlana Churina")</f>
        <v>Session Chair: Svetlana Churina</v>
      </c>
      <c r="C71" s="103" t="str">
        <f>IFERROR(__xludf.DUMMYFUNCTION("CONCATENATE(""Session Chair: "",TEXTJOIN(CHAR(10), TRUE,FILTER('Session Chairs'!$C:$C,'Session Chairs'!$A:$A=C69)))"),"Session Chair: Anchen Li")</f>
        <v>Session Chair: Anchen Li</v>
      </c>
      <c r="D71" s="103" t="str">
        <f>IFERROR(__xludf.DUMMYFUNCTION("CONCATENATE(""Session Chair: "",TEXTJOIN(CHAR(10), TRUE,FILTER('Session Chairs'!$C:$C,'Session Chairs'!$A:$A=D69)))"),"Session Chair: Sunwoo Kim")</f>
        <v>Session Chair: Sunwoo Kim</v>
      </c>
      <c r="E71" s="103" t="str">
        <f>IFERROR(__xludf.DUMMYFUNCTION("CONCATENATE(""Session Chair: "",TEXTJOIN(CHAR(10), TRUE,FILTER('Session Chairs'!$C:$C,'Session Chairs'!$A:$A=E69)))"),"Session Chair: Haoyu Han")</f>
        <v>Session Chair: Haoyu Han</v>
      </c>
      <c r="F71" s="103" t="str">
        <f>IFERROR(__xludf.DUMMYFUNCTION("CONCATENATE(""Session Chair: "",TEXTJOIN(CHAR(10), TRUE,FILTER('Session Chairs'!$C:$C,'Session Chairs'!$A:$A=F69)))"),"Session Chair: Yufan (Tina) Kang")</f>
        <v>Session Chair: Yufan (Tina) Kang</v>
      </c>
      <c r="G71" s="103" t="str">
        <f>IFERROR(__xludf.DUMMYFUNCTION("CONCATENATE(""Session Chair: "",TEXTJOIN(CHAR(10), TRUE,FILTER('Session Chairs'!$C:$C,'Session Chairs'!$A:$A=G69)))"),"Session Chair: Zitai Qiu")</f>
        <v>Session Chair: Zitai Qiu</v>
      </c>
      <c r="H71" s="103" t="str">
        <f>IFERROR(__xludf.DUMMYFUNCTION("CONCATENATE(""Session Chair: "",TEXTJOIN(CHAR(10), TRUE,FILTER('Session Chairs'!$C:$C,'Session Chairs'!$A:$A=H69)))"),"Session Chair: Dr. Tieke He ")</f>
        <v>Session Chair: Dr. Tieke He </v>
      </c>
      <c r="I71" s="103" t="str">
        <f>IFERROR(__xludf.DUMMYFUNCTION("CONCATENATE(""Session Chair: "",TEXTJOIN(CHAR(10), TRUE,FILTER('Session Chairs'!$C:$C,'Session Chairs'!$A:$A=I69)))"),"Session Chair: Min Gao")</f>
        <v>Session Chair: Min Gao</v>
      </c>
      <c r="J71" s="103" t="str">
        <f>IFERROR(__xludf.DUMMYFUNCTION("CONCATENATE(""Session Chair: "",TEXTJOIN(CHAR(10), TRUE,FILTER('Session Chairs'!$C:$C,'Session Chairs'!$A:$A=J69)))"),"Session Chair: Marialena Kyriakidi")</f>
        <v>Session Chair: Marialena Kyriakidi</v>
      </c>
      <c r="K71" s="103" t="str">
        <f>IFERROR(__xludf.DUMMYFUNCTION("CONCATENATE(""Session Chair: "",TEXTJOIN(CHAR(10), TRUE,FILTER('Session Chairs'!$C:$C,'Session Chairs'!$A:$A=K69)))"),"Session Chair: Zhu Sun")</f>
        <v>Session Chair: Zhu Sun</v>
      </c>
      <c r="L71" s="103" t="str">
        <f>IFERROR(__xludf.DUMMYFUNCTION("CONCATENATE(""Session Chair: "",TEXTJOIN(CHAR(10), TRUE,FILTER('Session Chairs'!$C:$C,'Session Chairs'!$A:$A=L69)))"),"Session Chair: Xingyu Tan")</f>
        <v>Session Chair: Xingyu Tan</v>
      </c>
      <c r="M71" s="103" t="str">
        <f>IFERROR(__xludf.DUMMYFUNCTION("CONCATENATE(""Session Chair: "",TEXTJOIN(CHAR(10), TRUE,FILTER('Session Chairs'!$C:$C,'Session Chairs'!$A:$A=M69)))"),"Session Chair: Yufei Cui")</f>
        <v>Session Chair: Yufei Cui</v>
      </c>
      <c r="N71" s="103" t="str">
        <f>IFERROR(__xludf.DUMMYFUNCTION("CONCATENATE(""Session Chair: "",TEXTJOIN(CHAR(10), TRUE,FILTER('Session Chairs'!$C:$C,'Session Chairs'!$A:$A=N69)))"),"Session Chair: Daniela Paolotti")</f>
        <v>Session Chair: Daniela Paolotti</v>
      </c>
      <c r="O71" s="104"/>
      <c r="P71" s="104"/>
      <c r="Q71" s="104"/>
      <c r="R71" s="104"/>
      <c r="S71" s="104"/>
      <c r="T71" s="73"/>
      <c r="U71" s="73"/>
      <c r="V71" s="73"/>
      <c r="W71" s="73"/>
      <c r="X71" s="73"/>
      <c r="Y71" s="73"/>
      <c r="Z71" s="73"/>
      <c r="AA71" s="73"/>
    </row>
    <row r="72" outlineLevel="1">
      <c r="A72" s="45"/>
      <c r="B72" s="43" t="str">
        <f>IFERROR(__xludf.DUMMYFUNCTION("TEXTJOIN(CHAR(10), TRUE,FILTER('Research assignment'!$D:$D,'Research assignment'!$H:$H=B69))"),"Trireme: A Tripartite Regulation Scheme for Diffusion Models
Hengtong Zhang, Chen Ye and Hongzhi Wang
BiasEdit: A Training-Free Bias-Detect-and-Edit Framework for Learning Fair Visual Classifiers
Jungwook Seo, Yoonsik Park, Changmin Lee and Sungyong Baik"&amp;"
Question the Questions: Auditing Representation in Online Deliberative Processes
Soham De, Lodewijk Gelauff, Ashish Goel, Smitha Milli,
Ariel Procaccia and Alice Siu
Digital Skin, Digital Bias: Uncovering Tone-Based Biases in LLMs and Emoji Embeddings
"&amp;"Mingchen Li, Wajdi Aljedaani, Yingjie Liu, Navyasri Meka,
Xuan Lu, Xinyue Ye, Junhua Ding and Yunhe Feng
Be Responsible in Your Answers! Monitoring Out-of-Domain Behaviors in Domain-Specific LLMs
Boquan Li, Chenzhe Lou, Zhe Ren, Peixin Zhang, Zirui Fu,
J"&amp;"un Sun and Yaowen Zheng
")</f>
        <v>Trireme: A Tripartite Regulation Scheme for Diffusion Models
Hengtong Zhang, Chen Ye and Hongzhi Wang
BiasEdit: A Training-Free Bias-Detect-and-Edit Framework for Learning Fair Visual Classifiers
Jungwook Seo, Yoonsik Park, Changmin Lee and Sungyong Baik
Question the Questions: Auditing Representation in Online Deliberative Processes
Soham De, Lodewijk Gelauff, Ashish Goel, Smitha Milli,
Ariel Procaccia and Alice Siu
Digital Skin, Digital Bias: Uncovering Tone-Based Biases in LLMs and Emoji Embeddings
Mingchen Li, Wajdi Aljedaani, Yingjie Liu, Navyasri Meka,
Xuan Lu, Xinyue Ye, Junhua Ding and Yunhe Feng
Be Responsible in Your Answers! Monitoring Out-of-Domain Behaviors in Domain-Specific LLMs
Boquan Li, Chenzhe Lou, Zhe Ren, Peixin Zhang, Zirui Fu,
Jun Sun and Yaowen Zheng
</v>
      </c>
      <c r="C72" s="78" t="str">
        <f>IFERROR(__xludf.DUMMYFUNCTION("TEXTJOIN(CHAR(10), TRUE,FILTER('Research assignment'!$D:$D,'Research assignment'!$H:$H=C69))"),"Graph Cross-Domain Continual Fine-Tuning via Orthogonal LoRA Routing with Contrastive Expert Specialization
Qianyi Cai, Ziyue Qiao, Minghao Yang, Xiao Luo and Hui Xiong
Multi-view Hierarchical Graph Contrastive Learning based on Asynchronous Asymmetric S"&amp;"tructure
Chuangui Cao, Shifei Ding, Jian Zhang, Lili Guo and Xuan Li
SPGCL: Subgraph Pattern-Aware Graph Contrastive Learning for High-Order Structural Representation
Zhe Zhan, Xiangshi Li, Tingting Wang, Shuo Yu and Henan Lei
Unifying Graph Out-of-Dist"&amp;"ribution Generalization and Detection through Spectral Contrastive Invariant learning
Tianyin Liao, Ge Lan, Rui Chen, Ran Zhang, Zhiming Chen,
Xiao Wang and Ziwei Zhang
CLGNN: A Contrastive Learning-based GNN for Temporal Betweenness Prediction under Ext"&amp;"reme Value Imbalance
Tianming Zhang, Renbo Zhang, Zhengyi Yang, Yunjun Gao, Bin
Cao and Jing Fan
")</f>
        <v>Graph Cross-Domain Continual Fine-Tuning via Orthogonal LoRA Routing with Contrastive Expert Specialization
Qianyi Cai, Ziyue Qiao, Minghao Yang, Xiao Luo and Hui Xiong
Multi-view Hierarchical Graph Contrastive Learning based on Asynchronous Asymmetric Structure
Chuangui Cao, Shifei Ding, Jian Zhang, Lili Guo and Xuan Li
SPGCL: Subgraph Pattern-Aware Graph Contrastive Learning for High-Order Structural Representation
Zhe Zhan, Xiangshi Li, Tingting Wang, Shuo Yu and Henan Lei
Unifying Graph Out-of-Distribution Generalization and Detection through Spectral Contrastive Invariant learning
Tianyin Liao, Ge Lan, Rui Chen, Ran Zhang, Zhiming Chen,
Xiao Wang and Ziwei Zhang
CLGNN: A Contrastive Learning-based GNN for Temporal Betweenness Prediction under Extreme Value Imbalance
Tianming Zhang, Renbo Zhang, Zhengyi Yang, Yunjun Gao, Bin
Cao and Jing Fan
</v>
      </c>
      <c r="D72" s="78" t="str">
        <f>IFERROR(__xludf.DUMMYFUNCTION("TEXTJOIN(CHAR(10), TRUE,FILTER('Research assignment'!$D:$D,'Research assignment'!$H:$H=D69))"),"Multi-Source Information Driven Spatio-Temporal Hypergraph Learning for Traffic Forecasting
Ping Zhang, Jiayu Leng, Liang Yang, Anchen Li, Xiaochun Cao
and Riting Xia
SGExplainer: Balanced Path-based Signed Graph Neural Network Explanation for Link Sign "&amp;"Prediction
Jie Gao, Jia Hu, Geyong Min and Fei Hao
Dir-GD: Directed Graph Distillation
Ce Yang, Fei Hao, Jie Gao, Jianrui Chen, Jia Hu and Geyong
Min
STG-DGR: Fraud Detection on Streaming Transaction Graphs with Diffusion-based Generative Replay
Rui Ou,"&amp;" Kun Zhu, Nana Zhang, Jiangtong Li, Chaochao Chen
and Changjun Jiang
Controllable Graph Generation with Diffusion Models via Inference-Time Tree Search Guidance
Jiachi Zhao, Zehong Wang, Yamei Liao, Chuxu Zhang and
Yanfang Ye
")</f>
        <v>Multi-Source Information Driven Spatio-Temporal Hypergraph Learning for Traffic Forecasting
Ping Zhang, Jiayu Leng, Liang Yang, Anchen Li, Xiaochun Cao
and Riting Xia
SGExplainer: Balanced Path-based Signed Graph Neural Network Explanation for Link Sign Prediction
Jie Gao, Jia Hu, Geyong Min and Fei Hao
Dir-GD: Directed Graph Distillation
Ce Yang, Fei Hao, Jie Gao, Jianrui Chen, Jia Hu and Geyong
Min
STG-DGR: Fraud Detection on Streaming Transaction Graphs with Diffusion-based Generative Replay
Rui Ou, Kun Zhu, Nana Zhang, Jiangtong Li, Chaochao Chen
and Changjun Jiang
Controllable Graph Generation with Diffusion Models via Inference-Time Tree Search Guidance
Jiachi Zhao, Zehong Wang, Yamei Liao, Chuxu Zhang and
Yanfang Ye
</v>
      </c>
      <c r="E72" s="78" t="str">
        <f>IFERROR(__xludf.DUMMYFUNCTION("TEXTJOIN(CHAR(10), TRUE,FILTER('Research assignment'!$D:$D,'Research assignment'!$H:$H=E69))"),"PruneRAG: Confidence-Guided Query Decomposition Trees for Efficient Retrieval-Augmented Generation
Shuguang Jiao, Xinyu Xiao, Yunfan Wei, Shuhan Qi, Chengkai
Huang, Quan Z. Michael Sheng and Lina Yao
Model Editing for New Document Integration in Generati"&amp;"ve Information Retrieval
Zhen Zhang, Zihan Wang, Xinyu Ma, Shuaiqiang Wang, Dawei
Yin, Xin Xin, Pengjie Ren, Maarten de Rijke and Zhaochun Ren
DMAP: Human-Aligned Structural Document Map for Multimodal Document Understanding
Shunliang Fu, Yanxin Zhang, Y"&amp;"ixin Xiang, Xiaoyu Du and
Jinhui Tang
Evidential Matching, Uncertainty Calibration: Towards Robust Composed Video Retrieval with Noisy Triplets
Zhangtao Cheng, Bozhu Zheng, Ting Zhong and Fan Zhou
PairSem: LLM-Guided Pairwise Semantic Matching for Scien"&amp;"tific Document Retrieval
Wonbin Kweon, Runchu Tian, Seongku Kang, Pengcheng Jiang,
Zhiyong Lu, Jiawei Han and Hwanjo Yu
")</f>
        <v>PruneRAG: Confidence-Guided Query Decomposition Trees for Efficient Retrieval-Augmented Generation
Shuguang Jiao, Xinyu Xiao, Yunfan Wei, Shuhan Qi, Chengkai
Huang, Quan Z. Michael Sheng and Lina Yao
Model Editing for New Document Integration in Generative Information Retrieval
Zhen Zhang, Zihan Wang, Xinyu Ma, Shuaiqiang Wang, Dawei
Yin, Xin Xin, Pengjie Ren, Maarten de Rijke and Zhaochun Ren
DMAP: Human-Aligned Structural Document Map for Multimodal Document Understanding
Shunliang Fu, Yanxin Zhang, Yixin Xiang, Xiaoyu Du and
Jinhui Tang
Evidential Matching, Uncertainty Calibration: Towards Robust Composed Video Retrieval with Noisy Triplets
Zhangtao Cheng, Bozhu Zheng, Ting Zhong and Fan Zhou
PairSem: LLM-Guided Pairwise Semantic Matching for Scientific Document Retrieval
Wonbin Kweon, Runchu Tian, Seongku Kang, Pengcheng Jiang,
Zhiyong Lu, Jiawei Han and Hwanjo Yu
</v>
      </c>
      <c r="F72" s="78" t="str">
        <f>IFERROR(__xludf.DUMMYFUNCTION("TEXTJOIN(CHAR(10), TRUE,FILTER('Research assignment'!$D:$D,'Research assignment'!$H:$H=F69))"),"Aligning Multiple Knowledge Graphs in A Single Pass
Yaming Yang, Zhe Wang, Ziyu Guan, Wei Zhao, Weigang Lu,
Xinyan Huang, Jiangtao Cui and Xiaofei He
CausalSKyHop: Knowledge-Aware Causal Explanation of Dynamic GNNs via Higher-Order Semantic Reasoning
Jix"&amp;"uan Wu, Limei Lin, Xiaoding Wang, Kunpeng Xu and Jie Wu
Conditional Diffusion Guided Knowledge Transfer for Multi-Domain Knowledge Graph Completion
Jiawei Sheng, Taoyu Su, Xixun Lin, Xiaodong Li and Tingwen
Liu
How Human Experts Educate Specialized LLMs"&amp;": Filling Knowledge Gaps in KG-Augmented Generation through Hallucination Detection
Chaofan Li, Lixing Chen, Junhua Tang, Yang Bai, Yutong
Zhang, Zhi Zheng, Pan Zhou and Zhe Qu
A Unified Framework for Rule Learning: Integrating Commonsense Knowledge from"&amp;" LLMs with Structured Knowledge from Knowledge Graphs
Qirui Hao, Kewei Cheng, Tongze Zhang, Hongyuan Liu, Junming
Shao and Carl Yang
")</f>
        <v>Aligning Multiple Knowledge Graphs in A Single Pass
Yaming Yang, Zhe Wang, Ziyu Guan, Wei Zhao, Weigang Lu,
Xinyan Huang, Jiangtao Cui and Xiaofei He
CausalSKyHop: Knowledge-Aware Causal Explanation of Dynamic GNNs via Higher-Order Semantic Reasoning
Jixuan Wu, Limei Lin, Xiaoding Wang, Kunpeng Xu and Jie Wu
Conditional Diffusion Guided Knowledge Transfer for Multi-Domain Knowledge Graph Completion
Jiawei Sheng, Taoyu Su, Xixun Lin, Xiaodong Li and Tingwen
Liu
How Human Experts Educate Specialized LLMs: Filling Knowledge Gaps in KG-Augmented Generation through Hallucination Detection
Chaofan Li, Lixing Chen, Junhua Tang, Yang Bai, Yutong
Zhang, Zhi Zheng, Pan Zhou and Zhe Qu
A Unified Framework for Rule Learning: Integrating Commonsense Knowledge from LLMs with Structured Knowledge from Knowledge Graphs
Qirui Hao, Kewei Cheng, Tongze Zhang, Hongyuan Liu, Junming
Shao and Carl Yang
</v>
      </c>
      <c r="G72" s="78" t="str">
        <f>IFERROR(__xludf.DUMMYFUNCTION("TEXTJOIN(CHAR(10), TRUE,FILTER('Research assignment'!$D:$D,'Research assignment'!$H:$H=G69))"),"Effective and Unsupervised Social Event Detection and Evolution via RAG and Structural Entropy
Qitong Liu, Hao Peng, Zuchen Li, Xihang Meng, Ziyu Yang,
Jiting Li, Li Sun and Philip Yu
Towards Rare Social Event Prediction via Mediator Learning
Mingjie Qiu"&amp;", Zhiyi Tan and Bing-Kun Bao
Beyond Words: Enhancing Desire, Emotion, and Sentiment Recognition with Non-Verbal Cues
Wei Chen, Tongguan Wang, Feiyue Xue, Junkai Li, Hui Liu and
Ying Sha
How Social Media Peer Comments Influence Privacy Decisions in Photo"&amp;" Sharing: Context and Individual Differences Cause Comments to Backfire
Tangila Islam Tanni, Renita Washburn, Yan Solihin and Mary
Jean Amon
From Social Media to Psychological Scale: An Adaptive Framework with Two-Hop Retrieval for Depression Screening
Y"&amp;"angyang Xu, Jinpeng Hu, Peipei Song, Zhangling Duan and
Xun Yang
")</f>
        <v>Effective and Unsupervised Social Event Detection and Evolution via RAG and Structural Entropy
Qitong Liu, Hao Peng, Zuchen Li, Xihang Meng, Ziyu Yang,
Jiting Li, Li Sun and Philip Yu
Towards Rare Social Event Prediction via Mediator Learning
Mingjie Qiu, Zhiyi Tan and Bing-Kun Bao
Beyond Words: Enhancing Desire, Emotion, and Sentiment Recognition with Non-Verbal Cues
Wei Chen, Tongguan Wang, Feiyue Xue, Junkai Li, Hui Liu and
Ying Sha
How Social Media Peer Comments Influence Privacy Decisions in Photo Sharing: Context and Individual Differences Cause Comments to Backfire
Tangila Islam Tanni, Renita Washburn, Yan Solihin and Mary
Jean Amon
From Social Media to Psychological Scale: An Adaptive Framework with Two-Hop Retrieval for Depression Screening
Yangyang Xu, Jinpeng Hu, Peipei Song, Zhangling Duan and
Xun Yang
</v>
      </c>
      <c r="H72" s="78" t="str">
        <f>IFERROR(__xludf.DUMMYFUNCTION("TEXTJOIN(CHAR(10), TRUE,FILTER('Research assignment'!$D:$D,'Research assignment'!$H:$H=H69))"),"Cross-city Time Series Forecasting with Retrieval-Augmented Large Language Models
Yue Jiang, Chenxi Liu, Yile Chen, Qin Chao, Shuai Liu,
Cheng Long and Gao Cong
Glasses: Enabling Fast Environment-aware Few-Shot Learning via Device-Cloud Collaboration
Qia"&amp;"ng He, Sheng Zhong, Jiazhen Yang, Feifei Chen, Hai Jin
and Yun Yang
TimeMar: Multi-Scale Autoregressive Modeling for Unconditional Time Series Generation
Xiangyu Xu, Qingsong Zhong and Jilin Hu
Augmenting Cross-View Geo-Localization with Spatial Semanti"&amp;"cs from Vision Foundation Models
Ji Shen, Lixing Chen, Yang Bai, Zhongqi Miao, Zhe Qu, Pan
Zhou and Jianhua Li
SEMixer: Semantics Enhanced MLP-Mixer for Multiscale Mixing and Long-term Time Series Forecasting
Xu Zhang, Qitong Wang, Peng Wang and Wei Wang"&amp;"
")</f>
        <v>Cross-city Time Series Forecasting with Retrieval-Augmented Large Language Models
Yue Jiang, Chenxi Liu, Yile Chen, Qin Chao, Shuai Liu,
Cheng Long and Gao Cong
Glasses: Enabling Fast Environment-aware Few-Shot Learning via Device-Cloud Collaboration
Qiang He, Sheng Zhong, Jiazhen Yang, Feifei Chen, Hai Jin
and Yun Yang
TimeMar: Multi-Scale Autoregressive Modeling for Unconditional Time Series Generation
Xiangyu Xu, Qingsong Zhong and Jilin Hu
Augmenting Cross-View Geo-Localization with Spatial Semantics from Vision Foundation Models
Ji Shen, Lixing Chen, Yang Bai, Zhongqi Miao, Zhe Qu, Pan
Zhou and Jianhua Li
SEMixer: Semantics Enhanced MLP-Mixer for Multiscale Mixing and Long-term Time Series Forecasting
Xu Zhang, Qitong Wang, Peng Wang and Wei Wang
</v>
      </c>
      <c r="I72" s="78" t="str">
        <f>IFERROR(__xludf.DUMMYFUNCTION("TEXTJOIN(CHAR(10), TRUE,FILTER('Research assignment'!$D:$D,'Research assignment'!$H:$H=I69))"),"Has the Two-Decade-Old Prophecy Come True? Artificial Bad Intelligence Triggered by Merely a Single-Bit Flip in Large Language Models
Yu Yan, Siqi Lu, Yang Gao, Zhaoxuan Li, Ziming Zhao,
Qingjun Yuan and Yongjuan Wang
Combating Knowledge Corruption in Ag"&amp;"ent Systems: A Byzantine-Tolerant Secure Collaborative RAG Framework
Zhaoqi Wang, Daqing He, Zijian Zhang, Ye Liu, Jiamou Liu,
Zhirui Zeng, Zhan Qin, Zhen Li, Xin Li, Hongwei Yao,
Jincheng An, Yong Liu, Yi Li, Qi Sun, Xiulei Liu and
Liehuang Zhu
ICL-EVAD"&amp;"ER: Zero-Query Black-Box Evasion Attacks on In-Context Learning and Their Defenses
Ningyuan He, Ronghong Huang, Qianqian Tang, Hongyu Wang,
Xianghang Mi and Shanqing Guo
Resisting Manipulative Bots in Meme Coin Copy Trading: A Multi-Agent Approach with C"&amp;"hain-of-Thought Reasoning
Yichen Luo, Yebo Feng, Jiahua Xu and Yang Liu
The Algorithmic Self-Portrait:Deconstructing Memory in ChatGPT
Abhisek Dash, Soumi Das, Elisabeth Kirsten, Qinyuan Wu, Sai
Keerthana Karnam, Krishna P. Gummadi, Thorsten Holz,
Muhamm"&amp;"ad Bilal Zafar and Savvas Zannettou
")</f>
        <v>Has the Two-Decade-Old Prophecy Come True? Artificial Bad Intelligence Triggered by Merely a Single-Bit Flip in Large Language Models
Yu Yan, Siqi Lu, Yang Gao, Zhaoxuan Li, Ziming Zhao,
Qingjun Yuan and Yongjuan Wang
Combating Knowledge Corruption in Agent Systems: A Byzantine-Tolerant Secure Collaborative RAG Framework
Zhaoqi Wang, Daqing He, Zijian Zhang, Ye Liu, Jiamou Liu,
Zhirui Zeng, Zhan Qin, Zhen Li, Xin Li, Hongwei Yao,
Jincheng An, Yong Liu, Yi Li, Qi Sun, Xiulei Liu and
Liehuang Zhu
ICL-EVADER: Zero-Query Black-Box Evasion Attacks on In-Context Learning and Their Defenses
Ningyuan He, Ronghong Huang, Qianqian Tang, Hongyu Wang,
Xianghang Mi and Shanqing Guo
Resisting Manipulative Bots in Meme Coin Copy Trading: A Multi-Agent Approach with Chain-of-Thought Reasoning
Yichen Luo, Yebo Feng, Jiahua Xu and Yang Liu
The Algorithmic Self-Portrait:Deconstructing Memory in ChatGPT
Abhisek Dash, Soumi Das, Elisabeth Kirsten, Qinyuan Wu, Sai
Keerthana Karnam, Krishna P. Gummadi, Thorsten Holz,
Muhammad Bilal Zafar and Savvas Zannettou
</v>
      </c>
      <c r="J72" s="78" t="str">
        <f>IFERROR(__xludf.DUMMYFUNCTION("TEXTJOIN(CHAR(10), TRUE,FILTER('Research assignment'!$D:$D,'Research assignment'!$H:$H=J69))"),"Multi-Aspect Mining and Anomaly Detection for Heterogeneous Tensor Streams
Soshi Kakio, Yasuko Matsubara, Ren Fujiwara and Yasushi
Sakurai
JitterSketch: Finding Jittery Flows in Network Streams
Zhongxian Liang, Qilong Shi, Xiyan Liang, Zihan Li, Wenjun
L"&amp;"i, Tong Yang, Yangyang Wang, Mingwei Xu and Weizhe Zhang
We Need a More Robust Classifier: Dual Causal Learning Empowers Domain-Incremental Time Series Classification
Zhipeng Liu, Peibo Duan, Xuan Tang, Haodong Jing, Mingyang
Geng, Yongsheng Huang, Jialu"&amp;" Xu, Bin Zhang and Binwu Wang
Byte-token Enhanced Language Models for Temporal Point Processes Analysis
Quyu Kong, Yixuan Zhang, Yang Liu, Panrong Tong, Enqi Liu
and Feng Zhou
An In-depth Analysis of the Linguistic Characteristics of Science Claims on t"&amp;"he Web and their Impact on Fact-checking 
Salim Hafid, Sebastian Schellhammer, Yavuz Selim Kartal, Thomas Papastergiou, Stefan Dietze, Sandra Bringay and Konstantin Todorov
")</f>
        <v>Multi-Aspect Mining and Anomaly Detection for Heterogeneous Tensor Streams
Soshi Kakio, Yasuko Matsubara, Ren Fujiwara and Yasushi
Sakurai
JitterSketch: Finding Jittery Flows in Network Streams
Zhongxian Liang, Qilong Shi, Xiyan Liang, Zihan Li, Wenjun
Li, Tong Yang, Yangyang Wang, Mingwei Xu and Weizhe Zhang
We Need a More Robust Classifier: Dual Causal Learning Empowers Domain-Incremental Time Series Classification
Zhipeng Liu, Peibo Duan, Xuan Tang, Haodong Jing, Mingyang
Geng, Yongsheng Huang, Jialu Xu, Bin Zhang and Binwu Wang
Byte-token Enhanced Language Models for Temporal Point Processes Analysis
Quyu Kong, Yixuan Zhang, Yang Liu, Panrong Tong, Enqi Liu
and Feng Zhou
An In-depth Analysis of the Linguistic Characteristics of Science Claims on the Web and their Impact on Fact-checking 
Salim Hafid, Sebastian Schellhammer, Yavuz Selim Kartal, Thomas Papastergiou, Stefan Dietze, Sandra Bringay and Konstantin Todorov
</v>
      </c>
      <c r="K72" s="78" t="str">
        <f>IFERROR(__xludf.DUMMYFUNCTION("TEXTJOIN(CHAR(10), TRUE,FILTER('Research assignment'!$D:$D,'Research assignment'!$H:$H=K69))"),"Lifelong Sequential Recommendation with Adaptive Subsequence Compression and Contextual Fusion
Fei Li, Xiaoming Liu, Jiayi Luo, Guibing Guo, Jianzhe Zhao
and Xingwei Wang
Temporal-Series-Aware Adaptive Positional Encoding for Transformer-based Sequential"&amp;" Recommendation
Rongbo Qi, Yaqi Zhang, Chunyao Song and Tingjian Ge
BlossomRec: Block-level Fused Sparse Attention Mechanism for Sequential Recommendations
Mengyang Ma, Xiaopeng Li, Wanyu Wang, Zhaocheng Du,
Jingtong Gao, Pengyue Jia, Yuyang Ye, Yiqi Wan"&amp;"g, Yunpeng
Weng, Weihong Luo, Xiao Han and Xiangyu Zhao
Mixture of Sequence: Theme-Aware Mixture-of-Experts for Long-Sequence Recommendation
Xiao Lin, Zhicheng Tang, Weilin Cong, Mengyue Hang, Kai
Wang, Yajuan Wang, Zhichen Zeng, Ting-Wei Li, Hyunsik Yoo"&amp;",
Zhining Liu, Xuying Ning, Ruizhong Qiu, Wen-Yen Chen, Shuo
Chang, Rong Jin, Huayu Li and Hanghang Tong
Hyena Operator for Fast Sequential Recommendation
Jiahao Liu, Lin Li, Zhiyuan Li, Kaixi Hu, Kaize Shi and
Jingling Yuan
")</f>
        <v>Lifelong Sequential Recommendation with Adaptive Subsequence Compression and Contextual Fusion
Fei Li, Xiaoming Liu, Jiayi Luo, Guibing Guo, Jianzhe Zhao
and Xingwei Wang
Temporal-Series-Aware Adaptive Positional Encoding for Transformer-based Sequential Recommendation
Rongbo Qi, Yaqi Zhang, Chunyao Song and Tingjian Ge
BlossomRec: Block-level Fused Sparse Attention Mechanism for Sequential Recommendations
Mengyang Ma, Xiaopeng Li, Wanyu Wang, Zhaocheng Du,
Jingtong Gao, Pengyue Jia, Yuyang Ye, Yiqi Wang, Yunpeng
Weng, Weihong Luo, Xiao Han and Xiangyu Zhao
Mixture of Sequence: Theme-Aware Mixture-of-Experts for Long-Sequence Recommendation
Xiao Lin, Zhicheng Tang, Weilin Cong, Mengyue Hang, Kai
Wang, Yajuan Wang, Zhichen Zeng, Ting-Wei Li, Hyunsik Yoo,
Zhining Liu, Xuying Ning, Ruizhong Qiu, Wen-Yen Chen, Shuo
Chang, Rong Jin, Huayu Li and Hanghang Tong
Hyena Operator for Fast Sequential Recommendation
Jiahao Liu, Lin Li, Zhiyuan Li, Kaixi Hu, Kaize Shi and
Jingling Yuan
</v>
      </c>
      <c r="L72" s="78" t="str">
        <f>IFERROR(__xludf.DUMMYFUNCTION("TEXTJOIN(CHAR(10), TRUE,FILTER('Research assignment'!$D:$D,'Research assignment'!$H:$H=L69))"),"Guiding Generative Recommender Systems with Structured Human Priors via Multi-head Decoding
Yunkai Zhang, Qiang Zhang, Diji Yang, Ryan Lin, Ruizhong
Qiu, Benyu Zhang, Hanchao Yu, Jason Liu, Yinglong Xia,
Zhuokai Zhao, Lizhu Zhang, Xiangjun Fan, Zhuoran Yu"&amp;",
Abhishek Kumar and Zeyu Zheng
Bridging Explicit and Implicit Intent: Unified Interest Generative Method for Joint Search-Recommendation Modeling
Dongliang Liao, Chenxing Wang and Yawen Zeng
Field Matters: A Lightweight LLM-enhanced Method for CTR Pred"&amp;"iction
Yu Cui, Feng Liu, Jiawei Chen, Xingyu Lou, Changwang Zhang,
Jun Wang, Yuegang Sun, Xiaohu Yang and Can Wang
Towards Context-aware Reasoning-enhanced Generative Searching in E-commerce
Zhiding Liu, Ben Chen, Mingyue Cheng, Enhong Chen, Li Li,
Cheny"&amp;"i Lei, Wenwu Ou, Han Li and Kun Gai
GenCI: Generative Modeling of User Interest Shift via Cohort-based Intent Learning for CTR Prediction
Kesha Ou, Zhen Tian, Wayne Xin Zhao, Hongyu Lu and Ji-Rong
Wen
")</f>
        <v>Guiding Generative Recommender Systems with Structured Human Priors via Multi-head Decoding
Yunkai Zhang, Qiang Zhang, Diji Yang, Ryan Lin, Ruizhong
Qiu, Benyu Zhang, Hanchao Yu, Jason Liu, Yinglong Xia,
Zhuokai Zhao, Lizhu Zhang, Xiangjun Fan, Zhuoran Yu,
Abhishek Kumar and Zeyu Zheng
Bridging Explicit and Implicit Intent: Unified Interest Generative Method for Joint Search-Recommendation Modeling
Dongliang Liao, Chenxing Wang and Yawen Zeng
Field Matters: A Lightweight LLM-enhanced Method for CTR Prediction
Yu Cui, Feng Liu, Jiawei Chen, Xingyu Lou, Changwang Zhang,
Jun Wang, Yuegang Sun, Xiaohu Yang and Can Wang
Towards Context-aware Reasoning-enhanced Generative Searching in E-commerce
Zhiding Liu, Ben Chen, Mingyue Cheng, Enhong Chen, Li Li,
Chenyi Lei, Wenwu Ou, Han Li and Kun Gai
GenCI: Generative Modeling of User Interest Shift via Cohort-based Intent Learning for CTR Prediction
Kesha Ou, Zhen Tian, Wayne Xin Zhao, Hongyu Lu and Ji-Rong
Wen
</v>
      </c>
      <c r="M72" s="78" t="str">
        <f>IFERROR(__xludf.DUMMYFUNCTION("TEXTJOIN(CHAR(10), TRUE,FILTER('Industry assignment'!$D:$D,'Industry assignment'!$H:$H=M69))"),"ARCHER: Shooting Straight in Multimodal E-Commerce Search at Alibaba with Progressive Alignment
Maolin Wang, Lang Fu, Jun Chu, Kai Guo, Chenjie Qin, Xinxin Wang, Siyu Wu, Wen Jiang and Xiangyu Zhao
Aligning Query Rewriting with Human Cognition and Prefer"&amp;"ence in E-Commerce Search
Ruize Ou, Kai Wang, Jianzhi Shao, Tao Zhang and Chengfu Huo
TaoSR-AGRL: Adaptive Guided Reinforcement Learning Framework for E-commerce Search Relevance
Jianhui Yang, Yiming Jin, Pengkun Jiao, Chenhe Dong, Zerui Huang, Shaowei Y"&amp;"ao, Xiaojiang Zhou, Dan Ou and Haihong Tang
Thinking Broad, Acting Fast: Latent Reasoning Distillation from Multi-Perspective Chain-of-Thought for E-Commerce Relevance
Baopu Qiu, Hao Chen, Yuanrong Wu, Changtong Zan, Chao Wei, Weiru Zhang and Xiaoyi Zeng"&amp;"
From Reasoning LLMs to BERT: A Two-Stage Distillation Framework for Search Relevance
Runze Xia, Yupeng Ji, Yuxi Zhou, Haodong Liu, Teng Zhang and Piji Li
")</f>
        <v>ARCHER: Shooting Straight in Multimodal E-Commerce Search at Alibaba with Progressive Alignment
Maolin Wang, Lang Fu, Jun Chu, Kai Guo, Chenjie Qin, Xinxin Wang, Siyu Wu, Wen Jiang and Xiangyu Zhao
Aligning Query Rewriting with Human Cognition and Preference in E-Commerce Search
Ruize Ou, Kai Wang, Jianzhi Shao, Tao Zhang and Chengfu Huo
TaoSR-AGRL: Adaptive Guided Reinforcement Learning Framework for E-commerce Search Relevance
Jianhui Yang, Yiming Jin, Pengkun Jiao, Chenhe Dong, Zerui Huang, Shaowei Yao, Xiaojiang Zhou, Dan Ou and Haihong Tang
Thinking Broad, Acting Fast: Latent Reasoning Distillation from Multi-Perspective Chain-of-Thought for E-Commerce Relevance
Baopu Qiu, Hao Chen, Yuanrong Wu, Changtong Zan, Chao Wei, Weiru Zhang and Xiaoyi Zeng
From Reasoning LLMs to BERT: A Two-Stage Distillation Framework for Search Relevance
Runze Xia, Yupeng Ji, Yuxi Zhou, Haodong Liu, Teng Zhang and Piji Li
</v>
      </c>
      <c r="N72" s="78" t="str">
        <f>IFERROR(__xludf.DUMMYFUNCTION("TEXTJOIN(CHAR(10), TRUE,FILTER('Web4Good assignment'!$D:$D,'Web4Good assignment'!$H:$H=N69))"),"Concept Relationship Embedding-Based Interactive Web Application for Explainable Medical Diagnosis
Lei Zhao, Xingguo Lv, Qika Lin, Kaize Shi, Xiaoming Qi, Bin Pu and Kenli Li
Towards Glaucoma Screening in Decentralized Clinics: A Dynamic Expert-Assisted "&amp;"Domain-Incremental Approach
Chenglong Fu, Jian Yao, Pengjiang Qian, Weiwei Fu, Chuang Wang and Guisong Yang
XInsight: Integrative Stage-Consistent Psychological Counseling Support Agents for Digital Well-Being
Fei Wang, Jiangnan Yang, Junjie Chen, Yuxin "&amp;"Liu, Kun Li, Yanyan Wei, Dan Guo and Meng Wang
(Mis-)Informed Consent: Predatory Apps and the Exploitation of Populations with Limited Literacy
Muhammad Muneeb Pervez, Muhammad Qasim Atiq Ullah, Ibrahim Ahmed Khan, Roshnik Rahat, Muhammad Fareed Zaffar, "&amp;"Rashid Tahir, Talal Rahwan and Yasir Zaki
LLM Use for Mental Health: Crowdsourcing Users’ Sentiment-based Perspectives and Values from Social Discussions
Lingyao Li, Xiaoshan Huang, Renkai Ma, Ben Zefeng Zhang, Haolun Wu, Fan Yang and Chen Chen
")</f>
        <v>Concept Relationship Embedding-Based Interactive Web Application for Explainable Medical Diagnosis
Lei Zhao, Xingguo Lv, Qika Lin, Kaize Shi, Xiaoming Qi, Bin Pu and Kenli Li
Towards Glaucoma Screening in Decentralized Clinics: A Dynamic Expert-Assisted Domain-Incremental Approach
Chenglong Fu, Jian Yao, Pengjiang Qian, Weiwei Fu, Chuang Wang and Guisong Yang
XInsight: Integrative Stage-Consistent Psychological Counseling Support Agents for Digital Well-Being
Fei Wang, Jiangnan Yang, Junjie Chen, Yuxin Liu, Kun Li, Yanyan Wei, Dan Guo and Meng Wang
(Mis-)Informed Consent: Predatory Apps and the Exploitation of Populations with Limited Literacy
Muhammad Muneeb Pervez, Muhammad Qasim Atiq Ullah, Ibrahim Ahmed Khan, Roshnik Rahat, Muhammad Fareed Zaffar, Rashid Tahir, Talal Rahwan and Yasir Zaki
LLM Use for Mental Health: Crowdsourcing Users’ Sentiment-based Perspectives and Values from Social Discussions
Lingyao Li, Xiaoshan Huang, Renkai Ma, Ben Zefeng Zhang, Haolun Wu, Fan Yang and Chen Chen
</v>
      </c>
      <c r="O72" s="38"/>
      <c r="P72" s="38"/>
      <c r="Q72" s="38"/>
      <c r="R72" s="38"/>
      <c r="S72" s="38"/>
      <c r="T72" s="5"/>
      <c r="U72" s="5"/>
      <c r="V72" s="5"/>
      <c r="W72" s="5"/>
      <c r="X72" s="5"/>
      <c r="Y72" s="5"/>
      <c r="Z72" s="5"/>
      <c r="AA72" s="5"/>
    </row>
    <row r="73" collapsed="1">
      <c r="A73" s="80" t="s">
        <v>166</v>
      </c>
      <c r="B73" s="81" t="s">
        <v>167</v>
      </c>
      <c r="O73" s="22"/>
      <c r="P73" s="22"/>
      <c r="Q73" s="22"/>
      <c r="R73" s="22"/>
      <c r="S73" s="22"/>
      <c r="T73" s="5"/>
      <c r="U73" s="5"/>
      <c r="V73" s="5"/>
      <c r="W73" s="5"/>
      <c r="X73" s="5"/>
      <c r="Y73" s="5"/>
      <c r="Z73" s="5"/>
      <c r="AA73" s="5"/>
    </row>
    <row r="74" hidden="1" outlineLevel="1">
      <c r="A74" s="37"/>
      <c r="B74" s="84" t="s">
        <v>168</v>
      </c>
      <c r="C74" s="92" t="s">
        <v>169</v>
      </c>
      <c r="D74" s="114" t="str">
        <f>IFERROR(__xludf.DUMMYFUNCTION("TRANSPOSE(FILTER('All Counts'!B:B, RIGHT('All Counts'!B:B, 1)=""4""))"),"GraphPoster4")</f>
        <v>GraphPoster4</v>
      </c>
      <c r="E74" s="115" t="str">
        <f>IFERROR(__xludf.DUMMYFUNCTION("""COMPUTED_VALUE"""),"RespWebPoster4")</f>
        <v>RespWebPoster4</v>
      </c>
      <c r="F74" s="115" t="str">
        <f>IFERROR(__xludf.DUMMYFUNCTION("""COMPUTED_VALUE"""),"SearchPoster4")</f>
        <v>SearchPoster4</v>
      </c>
      <c r="G74" s="115" t="str">
        <f>IFERROR(__xludf.DUMMYFUNCTION("""COMPUTED_VALUE"""),"SemanticsPoster4")</f>
        <v>SemanticsPoster4</v>
      </c>
      <c r="H74" s="115" t="str">
        <f>IFERROR(__xludf.DUMMYFUNCTION("""COMPUTED_VALUE"""),"SecurityPoster4")</f>
        <v>SecurityPoster4</v>
      </c>
      <c r="I74" s="115" t="str">
        <f>IFERROR(__xludf.DUMMYFUNCTION("""COMPUTED_VALUE"""),"SocialPoster4")</f>
        <v>SocialPoster4</v>
      </c>
      <c r="J74" s="115" t="str">
        <f>IFERROR(__xludf.DUMMYFUNCTION("""COMPUTED_VALUE"""),"SystemsPoster4")</f>
        <v>SystemsPoster4</v>
      </c>
      <c r="K74" s="115" t="str">
        <f>IFERROR(__xludf.DUMMYFUNCTION("""COMPUTED_VALUE"""),"RecSysPoster4")</f>
        <v>RecSysPoster4</v>
      </c>
      <c r="L74" s="116" t="str">
        <f>IFERROR(__xludf.DUMMYFUNCTION("""COMPUTED_VALUE"""),"MiningPoster4")</f>
        <v>MiningPoster4</v>
      </c>
      <c r="M74" s="38" t="str">
        <f>IFERROR(__xludf.DUMMYFUNCTION("""COMPUTED_VALUE"""),"IndustryPoster4")</f>
        <v>IndustryPoster4</v>
      </c>
      <c r="N74" s="38" t="str">
        <f>IFERROR(__xludf.DUMMYFUNCTION("""COMPUTED_VALUE"""),"Web4GoodPoster4")</f>
        <v>Web4GoodPoster4</v>
      </c>
      <c r="O74" s="93">
        <f>IFERROR(__xludf.DUMMYFUNCTION("""COMPUTED_VALUE"""),114.0)</f>
        <v>114</v>
      </c>
      <c r="P74" s="117">
        <f>IFERROR(__xludf.DUMMYFUNCTION("""COMPUTED_VALUE"""),114.0)</f>
        <v>114</v>
      </c>
      <c r="Q74" s="117"/>
      <c r="R74" s="117"/>
      <c r="S74" s="117"/>
      <c r="T74" s="5"/>
      <c r="U74" s="5"/>
      <c r="V74" s="5"/>
      <c r="W74" s="5"/>
      <c r="X74" s="5"/>
      <c r="Y74" s="5"/>
      <c r="Z74" s="5"/>
      <c r="AA74" s="5"/>
    </row>
    <row r="75" hidden="1" outlineLevel="1">
      <c r="A75" s="16"/>
      <c r="B75" s="30" t="str">
        <f>IFERROR(__xludf.DUMMYFUNCTION("TEXTJOIN(CHAR(10), TRUE,FILTER('Demos assignment'!$D:$D,'Demos assignment'!$G:$G=B74))"),"ECLAD: An Edge-Cloud Collaborative Agentic Framework for Interpretable Anomaly Detection in Predictive Maintenance
Songyuan Sui, Zhanqi Deng, Yamin Zhuang, Serena Liu, Leisheng Yu, Alfredo Costilla Reyes and Xia Hu
PeeriScope: A Multi-Faceted Framework f"&amp;"or Evaluating Peer Review Quality
Sajad Ebrahimi, Soroush Sadeghian, Ali Ghorbanpour, Negar Arabzadeh, Sara Salamat, Seyed Mohammad Hosseini, Hai Son Le, Mahdi Bashari and Ebrahim Bagheri
ARC: A Tool to Rate AI Models for Robustness Through a Causal Lens"&amp;" for Enabling Trustworthy Model Selection
Kausik Lakkaraju, Siva Likitha Valluru, Biplav Srivastava and Marco Valtorta
IntraAI: Bridging Human-AI Understanding Through Intelligent Interface Design
Han Bao, Yue Huang, Xiangliang Zhang and Yanfang Ye
Sumo"&amp;" x PyPSA: Interactive Web Demo of Real-Time Urban Power-Traffic Co-Simulation with Vehicle-to-Grid
Marouane Benbrahim, Xin Fang and Zhiqian Chen
GreenWebInspector: A Tool for Real-Time Web Energy Efficiency Assessment
Muhammad Sohaib Ayub, Umair ul Hassa"&amp;"n, Imdad Ullah Khan and Edward Curry
Swen: A Cross‑Platform Desktop Assistant for Instant and Personalized Large‑Language‑Model Interaction
Wenjun Feng, Rui Li, Zheng Zhang, Zhenya Huang and Qi Liu
Click-to-Ask: An AI Live Streaming Assistant with Offli"&amp;"ne Copywriting and Online Interactive Q&amp;A
Ruizhi Yu, Keyang Zhong, Peng Liu, Qi Wu, Haoran Zhang, Yanhao Zhang, Chen Chen and Haonan Lu
")</f>
        <v>ECLAD: An Edge-Cloud Collaborative Agentic Framework for Interpretable Anomaly Detection in Predictive Maintenance
Songyuan Sui, Zhanqi Deng, Yamin Zhuang, Serena Liu, Leisheng Yu, Alfredo Costilla Reyes and Xia Hu
PeeriScope: A Multi-Faceted Framework for Evaluating Peer Review Quality
Sajad Ebrahimi, Soroush Sadeghian, Ali Ghorbanpour, Negar Arabzadeh, Sara Salamat, Seyed Mohammad Hosseini, Hai Son Le, Mahdi Bashari and Ebrahim Bagheri
ARC: A Tool to Rate AI Models for Robustness Through a Causal Lens for Enabling Trustworthy Model Selection
Kausik Lakkaraju, Siva Likitha Valluru, Biplav Srivastava and Marco Valtorta
IntraAI: Bridging Human-AI Understanding Through Intelligent Interface Design
Han Bao, Yue Huang, Xiangliang Zhang and Yanfang Ye
Sumo x PyPSA: Interactive Web Demo of Real-Time Urban Power-Traffic Co-Simulation with Vehicle-to-Grid
Marouane Benbrahim, Xin Fang and Zhiqian Chen
GreenWebInspector: A Tool for Real-Time Web Energy Efficiency Assessment
Muhammad Sohaib Ayub, Umair ul Hassan, Imdad Ullah Khan and Edward Curry
Swen: A Cross‑Platform Desktop Assistant for Instant and Personalized Large‑Language‑Model Interaction
Wenjun Feng, Rui Li, Zheng Zhang, Zhenya Huang and Qi Liu
Click-to-Ask: An AI Live Streaming Assistant with Offline Copywriting and Online Interactive Q&amp;A
Ruizhi Yu, Keyang Zhong, Peng Liu, Qi Wu, Haoran Zhang, Yanhao Zhang, Chen Chen and Haonan Lu
</v>
      </c>
      <c r="C75" s="22" t="str">
        <f>IFERROR(__xludf.DUMMYFUNCTION("TEXTJOIN(CHAR(10), TRUE,FILTER('ShortPapers assignment'!$E:$E,'ShortPapers assignment'!$H:$H=C74))"),"Auditing Textual Context in Sequence-Aware Explainable Recommendation
Alejandro Ariza-Casabona, Maria Salamó and Ludovico Boratto
MACA: A Multi-Agent Cognitive Adaptation Framework for Human–Agent Collaborative Decision Making
Youn Jun Seong and Ha Young"&amp;" Oh
Rethinking MoE with Retrieval-Memory Synergy: Towards Efficient Expert Coordination
Wanjie Tao, Qun Dai, Yantong Lv, Quan Lu, Ning Jiang and Zulong Chen
Exploring Fine-Tuning for Tabular Foundation Models
Aditya Tanna, Pratinav Seth, Mohamed Bouadi "&amp;"and Vinay Kumar Sankarapu
MGK-RAG: Multi-Granularity Knowledge Guided Retrieval-Augmented Generation for Radiology Report
Jiaqing Ma, Xiaodong Yue, Yufei Chen, Jie Shi, Zhipeng Wei and Zeyu Jia
Do You Trust Me? Cognitive–Affective Signatures of Trustwor"&amp;"thiness in Large Language Models
Gerard C. Yeo, Svetlana Churina and Kokil Jaidka
Active Retrieval-Augmented Generation with Conflict-Fused Uncertainty Quantification
Tao Tang, Xiaodong Yue, Yufei Chen, Jie Shi and Shijie Ding
Fact-Checking Strategies i"&amp;"n Web: Lateral Navigation in the Browser Boosts Health Misinformation Detection Even Under Confirmation Bias
Elena Artemenko, Olessia Koltsova, Maksim Terpilovskii and Natalia Khazova
Revisiting IPS-based Algorithms for Off-Policy Evaluation of Contextua"&amp;"l Bandits
Daria Korovaitceva, Marina Sheshukova, Evgeny Frolov and Sergey Samsonov
SAGE-RAI: Design Patterns for Transparent RAG Systems
Joseph Kwarteng, Aisling Third, Alexander Mikroyannidis, David Tarrant and John Domingue
Towards Efficient and Inter"&amp;"pretable Medical Concept Representation via Ontology-driven Residual Vector Quantization
Hang Lv, Kaisong Zhang, Yanchao Tan and Xing Chen
Multi-Agent Collaborative Filtering: Orchestrating Users and Items for Agentic Recommendations
Yu Xia, Sungchul Kim"&amp;", Tong Yu, Ryan A. Rossi and Julian McAuley
Tuning Qwen2.5-VL to Improve Its Web Interaction Skills
Alexandra Yakovleva, Henrik Pärssinen, Harri Valpola, Juho Kannala and Alexander Ilin
VK-LSVD: A Large-Scale Industrial Dataset for Short-Video Recommend"&amp;"ation
Aleksandr Poslavsky, Alexander D'yakonov, Yuriy Dorn and Andrey Zimovnov
NERdME: A Named Entity Recognition Dataset for Indexing Research Artifacts in Code Repositories
Genet Asefa Gesese, Zongxiong Chen, Shufan Jiang, Mary Ann Tan, Zhaotai Liu, So"&amp;"nja Schimmler and Harald Sack
Beyond Item-Level Prediction: Fine-Grained CVR Modeling with Price SKU in E-Commerce Recommendation
Huiling Wu, Ao Zhang, Junwei Xu, Boya Du, Jialin Zhu, Yuning Jiang and Dakai Zhai
Enhancing Trusted Multi-View Classificati"&amp;"on via Adaptive Regularization Guided by View-Specific Biases
Zhiyuan Liu, Xiaodong Yue, Yufei Chen, Shijie Ding and Jie Shi
Orion-Bix: Bi-Axial Attention for Tabular In-Context Learning
Mohamed Bouadi, Pratinav Seth, Aditya Tanna and Vinay Kumar Sankara"&amp;"pu
Truth with a Twist: The Rhetoric of Persuasion in Professional vs. Community-Authored Fact-Checks
Olesya Razuvayevskaya and Kalina Bontcheva
Multi-Behavior Sequential Modeling with Transition-Aware Graph Attention Network for E-Commerce Recommendatio"&amp;"n
Hanqi Jin, Gaoming Yang, Zhangming Chan, Yapeng Yuan, Longbin Li, Fei Sun, Yeqiu Yang, Jian Wu, Yuning Jiang and Bo Zheng
Vertical Semi-Federated Learning for Efficient Online Advertising
Wenjie Li, Shu-Tao Xia, Jiangke Fan, Teng Zhang and Xingxing Wan"&amp;"g
MiniAMIE: Quick and Dirty Rule Mining on Knowledge Graphs
Luis Galárraga, Julianne Guerbette, Isseïnie Sinouvassane and Paul Viallard
How Graphs Can Help You Stay Informed in an Evolving World
MohammadHossein Bateni, Lin Chen, Hossein Esfandiari and S"&amp;"asan Tavakkol
What Is Your AI Agent Buying? Evaluation, Biases, Model Dependence, &amp; Emerging Implications of Agentic E-Commerce
Amine Allouah, Omar Besbes, Josué D. Figueroa, Yash Kanoria and Akshit Kumar
")</f>
        <v>Auditing Textual Context in Sequence-Aware Explainable Recommendation
Alejandro Ariza-Casabona, Maria Salamó and Ludovico Boratto
MACA: A Multi-Agent Cognitive Adaptation Framework for Human–Agent Collaborative Decision Making
Youn Jun Seong and Ha Young Oh
Rethinking MoE with Retrieval-Memory Synergy: Towards Efficient Expert Coordination
Wanjie Tao, Qun Dai, Yantong Lv, Quan Lu, Ning Jiang and Zulong Chen
Exploring Fine-Tuning for Tabular Foundation Models
Aditya Tanna, Pratinav Seth, Mohamed Bouadi and Vinay Kumar Sankarapu
MGK-RAG: Multi-Granularity Knowledge Guided Retrieval-Augmented Generation for Radiology Report
Jiaqing Ma, Xiaodong Yue, Yufei Chen, Jie Shi, Zhipeng Wei and Zeyu Jia
Do You Trust Me? Cognitive–Affective Signatures of Trustworthiness in Large Language Models
Gerard C. Yeo, Svetlana Churina and Kokil Jaidka
Active Retrieval-Augmented Generation with Conflict-Fused Uncertainty Quantification
Tao Tang, Xiaodong Yue, Yufei Chen, Jie Shi and Shijie Ding
Fact-Checking Strategies in Web: Lateral Navigation in the Browser Boosts Health Misinformation Detection Even Under Confirmation Bias
Elena Artemenko, Olessia Koltsova, Maksim Terpilovskii and Natalia Khazova
Revisiting IPS-based Algorithms for Off-Policy Evaluation of Contextual Bandits
Daria Korovaitceva, Marina Sheshukova, Evgeny Frolov and Sergey Samsonov
SAGE-RAI: Design Patterns for Transparent RAG Systems
Joseph Kwarteng, Aisling Third, Alexander Mikroyannidis, David Tarrant and John Domingue
Towards Efficient and Interpretable Medical Concept Representation via Ontology-driven Residual Vector Quantization
Hang Lv, Kaisong Zhang, Yanchao Tan and Xing Chen
Multi-Agent Collaborative Filtering: Orchestrating Users and Items for Agentic Recommendations
Yu Xia, Sungchul Kim, Tong Yu, Ryan A. Rossi and Julian McAuley
Tuning Qwen2.5-VL to Improve Its Web Interaction Skills
Alexandra Yakovleva, Henrik Pärssinen, Harri Valpola, Juho Kannala and Alexander Ilin
VK-LSVD: A Large-Scale Industrial Dataset for Short-Video Recommendation
Aleksandr Poslavsky, Alexander D'yakonov, Yuriy Dorn and Andrey Zimovnov
NERdME: A Named Entity Recognition Dataset for Indexing Research Artifacts in Code Repositories
Genet Asefa Gesese, Zongxiong Chen, Shufan Jiang, Mary Ann Tan, Zhaotai Liu, Sonja Schimmler and Harald Sack
Beyond Item-Level Prediction: Fine-Grained CVR Modeling with Price SKU in E-Commerce Recommendation
Huiling Wu, Ao Zhang, Junwei Xu, Boya Du, Jialin Zhu, Yuning Jiang and Dakai Zhai
Enhancing Trusted Multi-View Classification via Adaptive Regularization Guided by View-Specific Biases
Zhiyuan Liu, Xiaodong Yue, Yufei Chen, Shijie Ding and Jie Shi
Orion-Bix: Bi-Axial Attention for Tabular In-Context Learning
Mohamed Bouadi, Pratinav Seth, Aditya Tanna and Vinay Kumar Sankarapu
Truth with a Twist: The Rhetoric of Persuasion in Professional vs. Community-Authored Fact-Checks
Olesya Razuvayevskaya and Kalina Bontcheva
Multi-Behavior Sequential Modeling with Transition-Aware Graph Attention Network for E-Commerce Recommendation
Hanqi Jin, Gaoming Yang, Zhangming Chan, Yapeng Yuan, Longbin Li, Fei Sun, Yeqiu Yang, Jian Wu, Yuning Jiang and Bo Zheng
Vertical Semi-Federated Learning for Efficient Online Advertising
Wenjie Li, Shu-Tao Xia, Jiangke Fan, Teng Zhang and Xingxing Wang
MiniAMIE: Quick and Dirty Rule Mining on Knowledge Graphs
Luis Galárraga, Julianne Guerbette, Isseïnie Sinouvassane and Paul Viallard
How Graphs Can Help You Stay Informed in an Evolving World
MohammadHossein Bateni, Lin Chen, Hossein Esfandiari and Sasan Tavakkol
What Is Your AI Agent Buying? Evaluation, Biases, Model Dependence, &amp; Emerging Implications of Agentic E-Commerce
Amine Allouah, Omar Besbes, Josué D. Figueroa, Yash Kanoria and Akshit Kumar
</v>
      </c>
      <c r="D75" s="36" t="str">
        <f>IFERROR(__xludf.DUMMYFUNCTION("TEXTJOIN(CHAR(10), TRUE,FILTER('Research assignment'!$D:$D,'Research assignment'!$I:$I=D74))"),"Generalizable Graph-level Anomaly Detection via Prompted Anomaly Expansion and Normality Extraction
Ge Zhang, Jiapei Chen, Guohao Sun, Xiu Fang, Zhenyu Yang,
Xixun Lin and Liang Yang
Meta-Learning Driven Few-Shot Knowledge Transfer with Dual-Stage Adapti"&amp;"ve Data Replay for Cross-Domain Recommendation
Yilei Qiu, Fei Xiong, Jun Hu, Shirui Pan and Liang Wang
VecFormer: Towards Efficient and Generalizable Graph Transformer with Graph Token Attention
Jingbo Zhou, Jun Xia, Siyuan Li, Yunfan Liu, Wenjun Wang,
Y"&amp;"ufei Huang, Changxi Chi, Mutian Hong, Zhuoli Ouyang, Shu
Wang, Zhongqi Wang, Xingyu Wu, Chang Yu and Stan Z. Li
Mitigating Homophily Disparity in Graph Anomaly Detection: A Scalable and Adaptive Approach
Yunhui Liu, Qizhuo Xie, Yinfeng Chen, Xudong Jin, "&amp;"Tao
Zheng, Bin Chong and Tieke He
Disentangled Graph LLM for Molecule Graph Editing under Distribution Shifts
Yang Yao, Xin Wang, Yuan Meng, Zeyang Zhang, Hong Mei and
Wenwu Zhu
KEGOD: Kernel-enhanced Latent Substructure Learning for Graph Out-Of-Distri"&amp;"bution Detection
Yifan Wang, Haodong Zhang, Zhiping Xiao, Yusheng Zhao, Siyu
Yi, Nan Yin, Xinwang Liu, Ming Zhang and Wei Ju
Hi-GMAE: Hierarchical Graph Masked Autoencoders
Chuang Liu, Zelin Yao, Xueqi Ma, Mukun Chen, Luzhi Wang,
Jia Wu and Wenbin Hu
Lo"&amp;"ng-Tailed Recognition of Evidential Experts for Graph-level Classification
Wei Ju, Siyu Yi, Zhengyang Mao, Yifang Qin, Yifan Wang,
Zhiping Xiao, Yiwei Fu, Ziyue Qiao and Ming Zhang
OFA-MAS: One-for-All Multi-Agent System Topology Design based on Mixture-"&amp;"of-Experts Graph Generative Models
Shiyuan Li, Yixin Liu, Yu Zheng, Mei Li, Quoc Viet Hung
Nguyen and Shirui Pan
LLM-enhanced Federated Graph Learning with Geometry-aware Graph Projection and Shared Subspace Aggregation
Pengyang Zhou, Zhihao Huang, Jiahe"&amp;" Xu, Wu Wen, Xiaolin
Zheng, Chaochao Chen and Jianwei Yin
")</f>
        <v>Generalizable Graph-level Anomaly Detection via Prompted Anomaly Expansion and Normality Extraction
Ge Zhang, Jiapei Chen, Guohao Sun, Xiu Fang, Zhenyu Yang,
Xixun Lin and Liang Yang
Meta-Learning Driven Few-Shot Knowledge Transfer with Dual-Stage Adaptive Data Replay for Cross-Domain Recommendation
Yilei Qiu, Fei Xiong, Jun Hu, Shirui Pan and Liang Wang
VecFormer: Towards Efficient and Generalizable Graph Transformer with Graph Token Attention
Jingbo Zhou, Jun Xia, Siyuan Li, Yunfan Liu, Wenjun Wang,
Yufei Huang, Changxi Chi, Mutian Hong, Zhuoli Ouyang, Shu
Wang, Zhongqi Wang, Xingyu Wu, Chang Yu and Stan Z. Li
Mitigating Homophily Disparity in Graph Anomaly Detection: A Scalable and Adaptive Approach
Yunhui Liu, Qizhuo Xie, Yinfeng Chen, Xudong Jin, Tao
Zheng, Bin Chong and Tieke He
Disentangled Graph LLM for Molecule Graph Editing under Distribution Shifts
Yang Yao, Xin Wang, Yuan Meng, Zeyang Zhang, Hong Mei and
Wenwu Zhu
KEGOD: Kernel-enhanced Latent Substructure Learning for Graph Out-Of-Distribution Detection
Yifan Wang, Haodong Zhang, Zhiping Xiao, Yusheng Zhao, Siyu
Yi, Nan Yin, Xinwang Liu, Ming Zhang and Wei Ju
Hi-GMAE: Hierarchical Graph Masked Autoencoders
Chuang Liu, Zelin Yao, Xueqi Ma, Mukun Chen, Luzhi Wang,
Jia Wu and Wenbin Hu
Long-Tailed Recognition of Evidential Experts for Graph-level Classification
Wei Ju, Siyu Yi, Zhengyang Mao, Yifang Qin, Yifan Wang,
Zhiping Xiao, Yiwei Fu, Ziyue Qiao and Ming Zhang
OFA-MAS: One-for-All Multi-Agent System Topology Design based on Mixture-of-Experts Graph Generative Models
Shiyuan Li, Yixin Liu, Yu Zheng, Mei Li, Quoc Viet Hung
Nguyen and Shirui Pan
LLM-enhanced Federated Graph Learning with Geometry-aware Graph Projection and Shared Subspace Aggregation
Pengyang Zhou, Zhihao Huang, Jiahe Xu, Wu Wen, Xiaolin
Zheng, Chaochao Chen and Jianwei Yin
</v>
      </c>
      <c r="E75" s="36" t="str">
        <f>IFERROR(__xludf.DUMMYFUNCTION("TEXTJOIN(CHAR(10), TRUE,FILTER('Research assignment'!$D:$D,'Research assignment'!$I:$I=E74))"),"Rethinking Implicit Hate Speech Detection: Focusing on Latent Hate Components via Dual-Process Argumentation
Shiqi Sun, Du Su, Wei Chen and Xueqi Cheng
PIXEL: Adaptive Steering Via Position-wise Injection with eXact Estimated Levels under a Subspace Cali"&amp;"bration
Manjiang Yu, Hongji Li, Priyanka Singh, Xue Li, Di Wang and
Lijie Hu
Doxing-as-a-Service: Demystifying the Chinese Online Doxing Ecosystem
Yiran Gao, Pengcheng Xia, Liu Wang, Tianming Liu and Haoyu
Wang
From Navigation to Intention: Reframing th"&amp;"e Web Experience through Goal-Driven Interfaces
Luca Cordioli and Maristella Matera
Read as You See: Guiding Unimodal LLMs for Low-Resource Explainable Harmful Meme Detection
Fengjun Pan, Xiaobao Wu, Tho Quan and Anh Tuan Luu
BIND: A Bidirectionally Ali"&amp;"gned Next-token Denoising Framework for Fast and Lightweight Deobfuscation of Harmful Web Text
Jinwoo Jung and Misuk Kim
")</f>
        <v>Rethinking Implicit Hate Speech Detection: Focusing on Latent Hate Components via Dual-Process Argumentation
Shiqi Sun, Du Su, Wei Chen and Xueqi Cheng
PIXEL: Adaptive Steering Via Position-wise Injection with eXact Estimated Levels under a Subspace Calibration
Manjiang Yu, Hongji Li, Priyanka Singh, Xue Li, Di Wang and
Lijie Hu
Doxing-as-a-Service: Demystifying the Chinese Online Doxing Ecosystem
Yiran Gao, Pengcheng Xia, Liu Wang, Tianming Liu and Haoyu
Wang
From Navigation to Intention: Reframing the Web Experience through Goal-Driven Interfaces
Luca Cordioli and Maristella Matera
Read as You See: Guiding Unimodal LLMs for Low-Resource Explainable Harmful Meme Detection
Fengjun Pan, Xiaobao Wu, Tho Quan and Anh Tuan Luu
BIND: A Bidirectionally Aligned Next-token Denoising Framework for Fast and Lightweight Deobfuscation of Harmful Web Text
Jinwoo Jung and Misuk Kim
</v>
      </c>
      <c r="F75" s="36" t="str">
        <f>IFERROR(__xludf.DUMMYFUNCTION("TEXTJOIN(CHAR(10), TRUE,FILTER('Research assignment'!$D:$D,'Research assignment'!$I:$I=F74))"),"ToolBox-RL: Learning to Generalize Tool Use Across Massive Repositories
Xinyan Shi, Renzhi Wang, Haodong Liu and Piji Li
Facilitating Generative Retrieval with Logical Denoising for Interpretable Conversational Search
Qichuan Liu, Chentao Zhang, Yuxuan H"&amp;"u, Chenfeng Zheng,
Qinggang Zhang and Zhihong Zhang
Beyond More Context: Retrieval Diversity Boosts Multi-Turn Intent Understanding
Zhiming Lin, Canran Xiao and Kai Zhao
PaperAsk: A Benchmark for Reliability Evaluation of LLMs in Paper Search and Readin"&amp;"g
Yutao Wu, Xiao Liu, Yunhao Feng, Jiale Ding and Xingjun Ma
SeaRAG: Reducing Hallucination in Retrieval-Augmented Generation via Statement-Entity Adaptive Ranking
Xiaosong Yuan, Xiaofeng Zhang, Di Zhao, Yijia Zhang and
Ying Wang
Experience is the Best "&amp;"Teacher: Augmenting LLM Reasoning with Knowledge Learned from the Past
Mingjun Zhou, Weixin Zeng and Xiang Zhao
")</f>
        <v>ToolBox-RL: Learning to Generalize Tool Use Across Massive Repositories
Xinyan Shi, Renzhi Wang, Haodong Liu and Piji Li
Facilitating Generative Retrieval with Logical Denoising for Interpretable Conversational Search
Qichuan Liu, Chentao Zhang, Yuxuan Hu, Chenfeng Zheng,
Qinggang Zhang and Zhihong Zhang
Beyond More Context: Retrieval Diversity Boosts Multi-Turn Intent Understanding
Zhiming Lin, Canran Xiao and Kai Zhao
PaperAsk: A Benchmark for Reliability Evaluation of LLMs in Paper Search and Reading
Yutao Wu, Xiao Liu, Yunhao Feng, Jiale Ding and Xingjun Ma
SeaRAG: Reducing Hallucination in Retrieval-Augmented Generation via Statement-Entity Adaptive Ranking
Xiaosong Yuan, Xiaofeng Zhang, Di Zhao, Yijia Zhang and
Ying Wang
Experience is the Best Teacher: Augmenting LLM Reasoning with Knowledge Learned from the Past
Mingjun Zhou, Weixin Zeng and Xiang Zhao
</v>
      </c>
      <c r="G75" s="36" t="str">
        <f>IFERROR(__xludf.DUMMYFUNCTION("TEXTJOIN(CHAR(10), TRUE,FILTER('Research assignment'!$D:$D,'Research assignment'!$I:$I=G74))"),"Spectral Disentanglement and Enhancement: A Dual-domain Contrastive Framework for Representation Learning
Jinjin Guo, Yexin Li, Zhichao Huang, Jun Fang, Zhiyuan Liu,
Chao Liu, Pengzhang Liu and Qixia Jiang
Verifiable Federated Representation Learning for"&amp;" Cross-domain Sequential Recommendation
Tao Tang, Botao Liu, Ciyuan Peng, Ivan Lee and Xiangjie Kong
Kleene Closure Property Path Query Optimization  Based on Node Clustered Index
Tenglong Ren, Lulu Yang, Xiaowang Zhang and Zhiyong Feng
AgentPRM: Proces"&amp;"s Reward Models for LLM Agents via Step-Wise Promise and Progress
Zhiheng Xi, Chenyang Liao, Guanyu Li, Zhihao Zhang,
Wenxiang Chen, Binghai Wang, Senjie Jin, Yuhao Zhou, Jian
Guan, Wei Wu, Tao Ji, Tao Gui, Qi Zhang and Xuanjing Huang
A Simplex Approach "&amp;"to Synthetic Knowledge Graph Generation
Ana Alexandra Morim da Silva, Atul Bhopalsing Pundir,
Michael Röder and Axel-Cyrille Ngonga Ngomo
Detecting Miscitation on the Scholarly Web through LLM-Augmented Text-Rich Graph Learning
Huidong Wu, Haojia Xiang, "&amp;"Jingtong Gao, Xiangyu Zhao,
Dengsheng Wu and Jianping Li
Empowering LLMs for Structure-Based Drug Design via Exploration-Augmented Latent Inference
Xuanning Hu, Anchen Li, Qianli Xing, Jinglong Ji, Hao Tuo
and Bo Yang
A Unified and Time-Efficient Multi-"&amp;"Agent Framework for Data Discovery
Yunhao Xiao, Ying Wang, Michael Bewong, Selasi Kwashie,
Xiaoxia Li and Zaiwen Feng
")</f>
        <v>Spectral Disentanglement and Enhancement: A Dual-domain Contrastive Framework for Representation Learning
Jinjin Guo, Yexin Li, Zhichao Huang, Jun Fang, Zhiyuan Liu,
Chao Liu, Pengzhang Liu and Qixia Jiang
Verifiable Federated Representation Learning for Cross-domain Sequential Recommendation
Tao Tang, Botao Liu, Ciyuan Peng, Ivan Lee and Xiangjie Kong
Kleene Closure Property Path Query Optimization  Based on Node Clustered Index
Tenglong Ren, Lulu Yang, Xiaowang Zhang and Zhiyong Feng
AgentPRM: Process Reward Models for LLM Agents via Step-Wise Promise and Progress
Zhiheng Xi, Chenyang Liao, Guanyu Li, Zhihao Zhang,
Wenxiang Chen, Binghai Wang, Senjie Jin, Yuhao Zhou, Jian
Guan, Wei Wu, Tao Ji, Tao Gui, Qi Zhang and Xuanjing Huang
A Simplex Approach to Synthetic Knowledge Graph Generation
Ana Alexandra Morim da Silva, Atul Bhopalsing Pundir,
Michael Röder and Axel-Cyrille Ngonga Ngomo
Detecting Miscitation on the Scholarly Web through LLM-Augmented Text-Rich Graph Learning
Huidong Wu, Haojia Xiang, Jingtong Gao, Xiangyu Zhao,
Dengsheng Wu and Jianping Li
Empowering LLMs for Structure-Based Drug Design via Exploration-Augmented Latent Inference
Xuanning Hu, Anchen Li, Qianli Xing, Jinglong Ji, Hao Tuo
and Bo Yang
A Unified and Time-Efficient Multi-Agent Framework for Data Discovery
Yunhao Xiao, Ying Wang, Michael Bewong, Selasi Kwashie,
Xiaoxia Li and Zaiwen Feng
</v>
      </c>
      <c r="H75" s="36" t="str">
        <f>IFERROR(__xludf.DUMMYFUNCTION("TEXTJOIN(CHAR(10), TRUE,FILTER('Research assignment'!$D:$D,'Research assignment'!$I:$I=H74))"),"SentinelNet: Safeguarding Multi-Agent Collaboration Through Credit-Based Dynamic Threat Detection
Yang Feng and Xudong Pan
Anti-Phishing Training (Still) Does Not Work: A Reproduction of Phishing Training Inefficacy Grounded in the NIST Phish Scale
Andre"&amp;"w Rozema and James Davis
Real or Rogue? Detecting Malicious Miniapps with Deceptive Reporting Interface
Yuqing Yang and Zhiqiang Lin
Reliable Non-Leveled Homomorphic Encryption for Web Services
Baigang Chen and Dongfang Zhao
Acting Flatterers via LLMs "&amp;"Sycophancy: Combating Clickbait with LLMs Opposing-Stance Reasoning
Chaowei Zhang, Xiansheng Luo, Zewei Zhang, Yi Zhu, Jipeng
Qiang and Longwei Wang
DeepSVU: Towards In-depth Security-oriented Video Understanding via Unified Physical-world Regularized Mo"&amp;"E
Yujie Jin, Wenxin Zhang, Jingjing Wang and Guodong Zhou
SPCA: Stream Parser Confusion Attack for Web Application Firewall Evasion in HTTP/2
Kyungrok Choi, Woonghee Lee and Junbeom Hur
SemFuzz: A Semantics-Aware Fuzzing Framework for Network Protocol I"&amp;"mplementations
Yanbang Sun, Quan Luo, Yuelin Wang, Qian Chen, Benjin Liu,
Ruiqi Chen, Qing Huang, Xiaohong Li and Junjie Wang
DRGW: Learning Disentangled Representations for Robust Graph Watermarking
Jiasen Li, Yanwei Liu, Zhuoyi Shang, Xiaoyan Gu and We"&amp;"iping
Wang
PrivSniffer: Graph-based Contextual Privacy Leakage Detection for User-Generated Texts
Hangyu Ye, Liyao Xiang, Naixuan Huang, Dongyue Yu, Lijun
Zhang and Gang Wang
")</f>
        <v>SentinelNet: Safeguarding Multi-Agent Collaboration Through Credit-Based Dynamic Threat Detection
Yang Feng and Xudong Pan
Anti-Phishing Training (Still) Does Not Work: A Reproduction of Phishing Training Inefficacy Grounded in the NIST Phish Scale
Andrew Rozema and James Davis
Real or Rogue? Detecting Malicious Miniapps with Deceptive Reporting Interface
Yuqing Yang and Zhiqiang Lin
Reliable Non-Leveled Homomorphic Encryption for Web Services
Baigang Chen and Dongfang Zhao
Acting Flatterers via LLMs Sycophancy: Combating Clickbait with LLMs Opposing-Stance Reasoning
Chaowei Zhang, Xiansheng Luo, Zewei Zhang, Yi Zhu, Jipeng
Qiang and Longwei Wang
DeepSVU: Towards In-depth Security-oriented Video Understanding via Unified Physical-world Regularized MoE
Yujie Jin, Wenxin Zhang, Jingjing Wang and Guodong Zhou
SPCA: Stream Parser Confusion Attack for Web Application Firewall Evasion in HTTP/2
Kyungrok Choi, Woonghee Lee and Junbeom Hur
SemFuzz: A Semantics-Aware Fuzzing Framework for Network Protocol Implementations
Yanbang Sun, Quan Luo, Yuelin Wang, Qian Chen, Benjin Liu,
Ruiqi Chen, Qing Huang, Xiaohong Li and Junjie Wang
DRGW: Learning Disentangled Representations for Robust Graph Watermarking
Jiasen Li, Yanwei Liu, Zhuoyi Shang, Xiaoyan Gu and Weiping
Wang
PrivSniffer: Graph-based Contextual Privacy Leakage Detection for User-Generated Texts
Hangyu Ye, Liyao Xiang, Naixuan Huang, Dongyue Yu, Lijun
Zhang and Gang Wang
</v>
      </c>
      <c r="I75" s="36" t="str">
        <f>IFERROR(__xludf.DUMMYFUNCTION("TEXTJOIN(CHAR(10), TRUE,FILTER('Research assignment'!$D:$D,'Research assignment'!$I:$I=I74))"),"Emergent Coordinated Behaviors in Networked LLM Agents: Modeling the Strategic Dynamics of Information Operations
Gian Marco Orlando, Jinyi Ye, Valerio La Gatta, Mahdi
Saeedi, Vincenzo Moscato, Emilio Ferrara and Luca Luceri
Fairness in Opinion-Formation"&amp;" Dynamics
Nikos Theologis, Evaggelia Pitoura, Evimaria Terzi and
Panayiotis Tsaparas
SoftHateBench: Evaluating Moderation Models Against Reasoning-Driven, Policy-Compliant Hostility
Xuanyu Su, Diana Inkpen and Nathalie Japkowicz
Relational Database Dist"&amp;"illation: From Structured Tables to Condensed Graph Data
Xinyi Gao, Jingxi Zhang, Lijian Chen, Tong Chen, Lizhen Cui
and Hongzhi Yin
LLMs Killed Q&amp;A Stars? Analyzing the Impact of LLM-Generated Answers on an Online Q&amp;A Platform
Dongwon Shin and Sooel Son"&amp;"
")</f>
        <v>Emergent Coordinated Behaviors in Networked LLM Agents: Modeling the Strategic Dynamics of Information Operations
Gian Marco Orlando, Jinyi Ye, Valerio La Gatta, Mahdi
Saeedi, Vincenzo Moscato, Emilio Ferrara and Luca Luceri
Fairness in Opinion-Formation Dynamics
Nikos Theologis, Evaggelia Pitoura, Evimaria Terzi and
Panayiotis Tsaparas
SoftHateBench: Evaluating Moderation Models Against Reasoning-Driven, Policy-Compliant Hostility
Xuanyu Su, Diana Inkpen and Nathalie Japkowicz
Relational Database Distillation: From Structured Tables to Condensed Graph Data
Xinyi Gao, Jingxi Zhang, Lijian Chen, Tong Chen, Lizhen Cui
and Hongzhi Yin
LLMs Killed Q&amp;A Stars? Analyzing the Impact of LLM-Generated Answers on an Online Q&amp;A Platform
Dongwon Shin and Sooel Son
</v>
      </c>
      <c r="J75" s="36" t="str">
        <f>IFERROR(__xludf.DUMMYFUNCTION("TEXTJOIN(CHAR(10), TRUE,FILTER('Research assignment'!$D:$D,'Research assignment'!$I:$I=J74))"),"Can Multimodal LLMs Perform Time Series Anomaly Detection?
Xiongxiao Xu, Haoran Wang, Yueqing Liang, Philip S. Yu, Yue
Zhao and Kai Shu
MF^3: Multimodal Federated Learning with Dual-Path Mamba-Transformer for Metro Flow Prediction
Bingjie Wang, Chao Zhan"&amp;"g, Wentao Li and Deyu Li
An LLM-Powered Cooperative Framework for Large-Scale Multi-Vehicle Navigation
Yuping Zhou, Siqi Lai, Jindong Han and Hao Liu
Alzo: Auto-Tuning with Reinforcement Learning for DAG-based Blockchains
Qiuyu Ding, Rongkai Zhang, Qinn"&amp;"an Zhang, Zhen Xiao, Jieyi
Long, Mingchao Wan, Sen Liu and Jin Dong
Concordia: Enabling Low-Conflict Distributed Transaction Scheduling in Sharding Blockchain via Cooperative Perception
Yanxiu Liu, Linpeng Jia, Xiaohu Yang, Zhongcheng Li and Yi
Sun
Secu"&amp;"reSplit: Mitigating Backdoor Attacks in Split Learning
Zhihao Dou, Dongfei Cui, Weida Wang, Anjun Gao, Yueyang
Quan, Mengyao Ma, Viet Vo, Guangdong Bai, Zhuqing Liu and
Minghong Fang
Predictability-Aware Compression and Decompression Framework for Multic"&amp;"hannel Time Series Data with Latent Seasonality
Ziqi Liu, Pei Zeng and Yi Ding
")</f>
        <v>Can Multimodal LLMs Perform Time Series Anomaly Detection?
Xiongxiao Xu, Haoran Wang, Yueqing Liang, Philip S. Yu, Yue
Zhao and Kai Shu
MF^3: Multimodal Federated Learning with Dual-Path Mamba-Transformer for Metro Flow Prediction
Bingjie Wang, Chao Zhang, Wentao Li and Deyu Li
An LLM-Powered Cooperative Framework for Large-Scale Multi-Vehicle Navigation
Yuping Zhou, Siqi Lai, Jindong Han and Hao Liu
Alzo: Auto-Tuning with Reinforcement Learning for DAG-based Blockchains
Qiuyu Ding, Rongkai Zhang, Qinnan Zhang, Zhen Xiao, Jieyi
Long, Mingchao Wan, Sen Liu and Jin Dong
Concordia: Enabling Low-Conflict Distributed Transaction Scheduling in Sharding Blockchain via Cooperative Perception
Yanxiu Liu, Linpeng Jia, Xiaohu Yang, Zhongcheng Li and Yi
Sun
SecureSplit: Mitigating Backdoor Attacks in Split Learning
Zhihao Dou, Dongfei Cui, Weida Wang, Anjun Gao, Yueyang
Quan, Mengyao Ma, Viet Vo, Guangdong Bai, Zhuqing Liu and
Minghong Fang
Predictability-Aware Compression and Decompression Framework for Multichannel Time Series Data with Latent Seasonality
Ziqi Liu, Pei Zeng and Yi Ding
</v>
      </c>
      <c r="K75" s="36" t="str">
        <f>IFERROR(__xludf.DUMMYFUNCTION("TEXTJOIN(CHAR(10), TRUE,FILTER('Research assignment'!$D:$D,'Research assignment'!$I:$I=K74))"),"From Criteria to Ranking: Targeting-Aware Tripartite Graph Learning for Multi-Criteria Recommendation
Zhenhua Meng and Fanshen Meng
SAGE: Global Semantic Alignment with LLMs for Long-Tail Sequential Recommendation
Maolin Wang, Tongshu Bian, Ziyan Wang, X"&amp;"iaotong Jiang,
Binhao Wang, Derong Xu, Wanyu Wang, Ruocheng Guo and
Xiangyu Zhao
Relation-aware Diffusion-Asymmetric Graph Contrastive Learning for Recommendation
Yixuan Huang, Jiawei Chen, Shengfan Zhang and Zane Cao
Adaptive Location Hierarchy Learnin"&amp;"g for Long-Tailed Mobility Prediction
Yu Wang, Junshu Dai, Yuchen Ying, Hanyang Yuan, Zunlei
Feng, Tongya Zheng and Mingli Song
Scaling Collaborative Filtering with Multimodal Contrastive Fine-tuning
Liwei Jin, Dan Luo, Lixin Zou, Chenliang Li, Xiangyang"&amp;" Luo,
Xixun Lin, Liming Dong and Yifan Zhang
Embedding Enhancement via Fine-Tuned Language Models for Learner-Item Cognitive Modeling
Yuanhao Liu, Zihan Zhou, Kaiying Wu, Shuo Liu, Yiyang
Huang, Jiajun Guo, Aimin Zhou and Hong Qian
Spattack: Subgroup Po"&amp;"isoning Attacks on Federated Recommender Systems
Bo Yan, Yurong Hao, Dingqi Liu, Huabin Sun, Pengpeng Qiao,
Wei Yang Bryan Lim, Yang Cao and Chuan Shi
Quantifying User Coherence: A Unified Framework for Analyzing Recommender Systems Across Domains
Michae"&amp;"l Soumm, Alexandre Fournier-Montgieux, Adrian Popescu
and Bertrand Delezoide
ONeRec: Towards Openness-Aware and Adaptive Proactive News Recommendation
Jie Li, Zhen Cui and Linmei Hu
Sharpness-Consistent Cross-Domain Recommendation for Cold-Start Items
K"&amp;"e Fei, Jingjing Li, Zhekai Du and Hongbo Chen
Sharpness-Aware Minimization for Generalized Embedding Learning in Federated Recommendation
Fengyuan Yu, Xiaohua Feng, Yuyuan Li, Changwang Zhang, Jun
Wang and Chaochao Chen
Dynamic Experts Synergy for Multi"&amp;"-Task Recommendation
Haotian Wu, Yingpeng Du, Zhu Sun, Jie Zhang and Puay Siew
Tan
")</f>
        <v>From Criteria to Ranking: Targeting-Aware Tripartite Graph Learning for Multi-Criteria Recommendation
Zhenhua Meng and Fanshen Meng
SAGE: Global Semantic Alignment with LLMs for Long-Tail Sequential Recommendation
Maolin Wang, Tongshu Bian, Ziyan Wang, Xiaotong Jiang,
Binhao Wang, Derong Xu, Wanyu Wang, Ruocheng Guo and
Xiangyu Zhao
Relation-aware Diffusion-Asymmetric Graph Contrastive Learning for Recommendation
Yixuan Huang, Jiawei Chen, Shengfan Zhang and Zane Cao
Adaptive Location Hierarchy Learning for Long-Tailed Mobility Prediction
Yu Wang, Junshu Dai, Yuchen Ying, Hanyang Yuan, Zunlei
Feng, Tongya Zheng and Mingli Song
Scaling Collaborative Filtering with Multimodal Contrastive Fine-tuning
Liwei Jin, Dan Luo, Lixin Zou, Chenliang Li, Xiangyang Luo,
Xixun Lin, Liming Dong and Yifan Zhang
Embedding Enhancement via Fine-Tuned Language Models for Learner-Item Cognitive Modeling
Yuanhao Liu, Zihan Zhou, Kaiying Wu, Shuo Liu, Yiyang
Huang, Jiajun Guo, Aimin Zhou and Hong Qian
Spattack: Subgroup Poisoning Attacks on Federated Recommender Systems
Bo Yan, Yurong Hao, Dingqi Liu, Huabin Sun, Pengpeng Qiao,
Wei Yang Bryan Lim, Yang Cao and Chuan Shi
Quantifying User Coherence: A Unified Framework for Analyzing Recommender Systems Across Domains
Michael Soumm, Alexandre Fournier-Montgieux, Adrian Popescu
and Bertrand Delezoide
ONeRec: Towards Openness-Aware and Adaptive Proactive News Recommendation
Jie Li, Zhen Cui and Linmei Hu
Sharpness-Consistent Cross-Domain Recommendation for Cold-Start Items
Ke Fei, Jingjing Li, Zhekai Du and Hongbo Chen
Sharpness-Aware Minimization for Generalized Embedding Learning in Federated Recommendation
Fengyuan Yu, Xiaohua Feng, Yuyuan Li, Changwang Zhang, Jun
Wang and Chaochao Chen
Dynamic Experts Synergy for Multi-Task Recommendation
Haotian Wu, Yingpeng Du, Zhu Sun, Jie Zhang and Puay Siew
Tan
</v>
      </c>
      <c r="L75" s="36" t="str">
        <f>IFERROR(__xludf.DUMMYFUNCTION("TEXTJOIN(CHAR(10), TRUE,FILTER('Research assignment'!$D:$D,'Research assignment'!$I:$I=L74))"),"Mitigating Cognitive Vulnerabilities in Code Generation via Multi-Agent Adversarial Debate
Shuofu Liu, Quanjiang Guo, Xiao Liu and Ying Liu
E2PL: Effective and Efficient Prompt Learning for Incomplete Multi-view Multi-Label Class Incremental Learning
Jia"&amp;"jun Chen, Yue Wu, Kai Huang, Wenxi Zhao, Wu Yangyang,
Xiaoye Miao, Mengying Zhu, Meng Xi and Guanjie Cheng
CIDC: Cluster Identification-Guided Dual Correction for Robust Short Text Clustering
Yuhua Zhao, Zhixin Han, Xuan Li, Peiyu Xu, Hang Gao,
Mengting "&amp;"Hu and Tiegang Gao
Mamba Hawkes Process for Event Sequence Modeling
Shan Dai, Yuyang Shen, Yuyang Liang, Chenhao Ma and
Anningzhe Gao
StreamFP: Fingerprint-guided Data Selection for Efficient Stream Learning
Changwu Li, Tongjun Shi, Shuhao Zhang, Binbin"&amp;" Chen,
Bingsheng He, Xiaofei Liao and Hai Jin
Interpretable Dynamic Network Modeling of Tensor Time Series via Kronecker Time-Varying Graphical Lasso
Shingo Higashiguchi, Koki Kawabata, Yasuko Matsubara and
Yasushi Sakurai
Bias Mitigation for Harmful Me"&amp;"me Detection using Front-door Adjustment
Jiangfeng Zeng, Cheng Xiong, Xiao Ma and Jialin Qin
VL-KGE: Vision–Language Models Meet Knowledge Graph Embeddings
Athanasios Efthymiou, Stevan Rudinac, Monika Kackovic,
Nachoem Wijnberg and Marcel Worring
")</f>
        <v>Mitigating Cognitive Vulnerabilities in Code Generation via Multi-Agent Adversarial Debate
Shuofu Liu, Quanjiang Guo, Xiao Liu and Ying Liu
E2PL: Effective and Efficient Prompt Learning for Incomplete Multi-view Multi-Label Class Incremental Learning
Jiajun Chen, Yue Wu, Kai Huang, Wenxi Zhao, Wu Yangyang,
Xiaoye Miao, Mengying Zhu, Meng Xi and Guanjie Cheng
CIDC: Cluster Identification-Guided Dual Correction for Robust Short Text Clustering
Yuhua Zhao, Zhixin Han, Xuan Li, Peiyu Xu, Hang Gao,
Mengting Hu and Tiegang Gao
Mamba Hawkes Process for Event Sequence Modeling
Shan Dai, Yuyang Shen, Yuyang Liang, Chenhao Ma and
Anningzhe Gao
StreamFP: Fingerprint-guided Data Selection for Efficient Stream Learning
Changwu Li, Tongjun Shi, Shuhao Zhang, Binbin Chen,
Bingsheng He, Xiaofei Liao and Hai Jin
Interpretable Dynamic Network Modeling of Tensor Time Series via Kronecker Time-Varying Graphical Lasso
Shingo Higashiguchi, Koki Kawabata, Yasuko Matsubara and
Yasushi Sakurai
Bias Mitigation for Harmful Meme Detection using Front-door Adjustment
Jiangfeng Zeng, Cheng Xiong, Xiao Ma and Jialin Qin
VL-KGE: Vision–Language Models Meet Knowledge Graph Embeddings
Athanasios Efthymiou, Stevan Rudinac, Monika Kackovic,
Nachoem Wijnberg and Marcel Worring
</v>
      </c>
      <c r="M75" s="36" t="str">
        <f>IFERROR(__xludf.DUMMYFUNCTION("TEXTJOIN(CHAR(10), TRUE,FILTER('Industry assignment'!$D:$D,'Industry assignment'!$I:$I=M74))"),"GRank: Towards Target-Aware and Streamlined Industrial Retrieval with a Generate-Rank Framework
Yijia Sun, Shanshan Huang, Zhiyuan Guan, Qiang Luo, Ruiming Tang, Kun Gai and Guorui Zhou
Delay-Aware Graph Neural Stochastic Differential Equations for Finan"&amp;"cial Time Series Modeling and Forecasting
Mingjie You, Dawei Cheng, Meilin Zhang, Peng Zhu and Yuqi Liang
AFE-Master: Enhancing LLM-Driven Autonomous Feature Engineering with Domain-Specific Language Parsing and Guided Local Search
Hebin Liang, Jianye Ha"&amp;"o, Jinyi Liu, Yi Ma, Zilin Cao, Jing Liang, Kun Shao, Zhaocheng Du, Fei Ni, Yifu Yuan and Yan Zheng
")</f>
        <v>GRank: Towards Target-Aware and Streamlined Industrial Retrieval with a Generate-Rank Framework
Yijia Sun, Shanshan Huang, Zhiyuan Guan, Qiang Luo, Ruiming Tang, Kun Gai and Guorui Zhou
Delay-Aware Graph Neural Stochastic Differential Equations for Financial Time Series Modeling and Forecasting
Mingjie You, Dawei Cheng, Meilin Zhang, Peng Zhu and Yuqi Liang
AFE-Master: Enhancing LLM-Driven Autonomous Feature Engineering with Domain-Specific Language Parsing and Guided Local Search
Hebin Liang, Jianye Hao, Jinyi Liu, Yi Ma, Zilin Cao, Jing Liang, Kun Shao, Zhaocheng Du, Fei Ni, Yifu Yuan and Yan Zheng
</v>
      </c>
      <c r="N75" s="36" t="str">
        <f>IFERROR(__xludf.DUMMYFUNCTION("TEXTJOIN(CHAR(10), TRUE,FILTER('Web4Good assignment'!$D:$D,'Web4Good assignment'!$I:$I=N74))"),"StreamSense: Streaming Social Task Detection with Selective Vision–Language Model Routing
Han Wang, Deyi Ji, Lanyun Zhu, Jiebo Luo and Roy Ka-Wei Lee
FairFRL: Fairness-aware Federated Representation Learning for Cross-domain Sequential Recommendation
Tao"&amp;" Tang, Mujie Liu, Botao Liu, Wei Du, Liping Chen, Xinrui Cheng, Jiaxin Du and Xiangjie Kong
CEAT: Context-Emotion Adversarial Training Framework for Robust Emotion-Driven Fraud Detection
Chaoqun Li, Si Wu, Yijun Lu, Yuyin Ma, Jinyao Liu, Dingyi Jia, Ming"&amp;"da Han, Feng Li and Pengfei Hu
HCSL: Rumor Detection by Integrating Intra-Sample Curriculum Learning and Hierarchical Semantic Learning
Ping Liu, Hui Song, Shufeng Hao, Xiaoning Hao, Zexu Zhang and Usman Naseem
Physics-Aware Multimodal Urban Heat Mappin"&amp;"g with Open Web Imagery and Mobility Data
Yuanyi You, Yunke Zhang and Yong Li
Safeguarding Children at Scale: Cost-Effective Multimodal LLM Detection of Inappropriate YouTube Advertising
Eman Nabeel, Haleema Jamil, Shizza Asher, Zaeem Mohtashim Khan, Nid"&amp;"a Tanveer, Ihsan Ayyub Qazi and Zafar Ayyub Qazi
Credit and Power Co-evolution Modeling with Dynamic Graph Learning
Wenhao Ying, Peng Zhu, Mingzhe Li, Ziyan Wang and Dawei Cheng
Mind the Ambiguity: Aleatoric Uncertainty Quantification in LLMs for Safe M"&amp;"edical Question Answering
Yaokun Liu, Yifan Liu, Phoebe Mbuvi, Zelin Li, Ruichen Yao, Gawon Lim and Dong Wang
SMART: A Social Movement Analysis &amp; Reasoning Tool with Case Studies on #MeToo and #BlackLivesMatter
Valerio La Gatta, Marco Postiglione, Jeremy"&amp;" Gilbert, Daniel W. Linna Jr., Morgan Manella Greenfield, Aaron Shaw and V.S. Subrahmanian
FUSED: Toward Federated Multimodal Retrieval across Sovereign Data Domains
Chi Xu, Jiaxing Li, Mengdi Jin, William I. Atlas, Mark A. Spoljaric, Edith C.H. Ngai and"&amp;" Jiangchuan Liu
Cross-Domain Fake News Detection on Unseen Domains via LLM-Based Domain-Aware User Modeling
Xuankai Yang, Yan Wang, Jiajie Zhu, Pengfei Ding, Hongyang Liu, Xiuzhen Zhang and Huan Liu
COMA: A Collaborative Multi-Role Agent Framework for A"&amp;"utomated Lesson Plan Generation
Xiaoli Zeng, Ying Zheng, Shuyan Huang, Zitao Liu, Mi Tian, Mingliang Hou, Jiaqi Zheng and Wenzhou Dou
From Words to Worlds: Measuring Cultural Narrative Bias in LLMs via a Structural–Value Pipeline
Fangjian Shen, Yifan Zen"&amp;"g, Dechen Lyu and Wushao Wen
CompTox Ontology: Leveraging Knowledge Graphs for PFAS Monitoring and Decision-Making
Yinglun Zhang, Sonia Moavenzadeh, Jarrar Amjad, Onur Apul, Adrita Barua, Fatih Evrendilek, Torsten Hahmann, Ganga Hettiarachchi, Pascal Hit"&amp;"zler, David Kedrowski, Vasu Kilaru, Prayas Lashkari, Katrina Schweikert, Antony Williams and Hande McGinty
RegimeGuard: Continual Learning Queue Scheduling for Socially Critical Web Services
Zhipeng Liu, Ziming Zhao and Fan Zhang
")</f>
        <v>StreamSense: Streaming Social Task Detection with Selective Vision–Language Model Routing
Han Wang, Deyi Ji, Lanyun Zhu, Jiebo Luo and Roy Ka-Wei Lee
FairFRL: Fairness-aware Federated Representation Learning for Cross-domain Sequential Recommendation
Tao Tang, Mujie Liu, Botao Liu, Wei Du, Liping Chen, Xinrui Cheng, Jiaxin Du and Xiangjie Kong
CEAT: Context-Emotion Adversarial Training Framework for Robust Emotion-Driven Fraud Detection
Chaoqun Li, Si Wu, Yijun Lu, Yuyin Ma, Jinyao Liu, Dingyi Jia, Mingda Han, Feng Li and Pengfei Hu
HCSL: Rumor Detection by Integrating Intra-Sample Curriculum Learning and Hierarchical Semantic Learning
Ping Liu, Hui Song, Shufeng Hao, Xiaoning Hao, Zexu Zhang and Usman Naseem
Physics-Aware Multimodal Urban Heat Mapping with Open Web Imagery and Mobility Data
Yuanyi You, Yunke Zhang and Yong Li
Safeguarding Children at Scale: Cost-Effective Multimodal LLM Detection of Inappropriate YouTube Advertising
Eman Nabeel, Haleema Jamil, Shizza Asher, Zaeem Mohtashim Khan, Nida Tanveer, Ihsan Ayyub Qazi and Zafar Ayyub Qazi
Credit and Power Co-evolution Modeling with Dynamic Graph Learning
Wenhao Ying, Peng Zhu, Mingzhe Li, Ziyan Wang and Dawei Cheng
Mind the Ambiguity: Aleatoric Uncertainty Quantification in LLMs for Safe Medical Question Answering
Yaokun Liu, Yifan Liu, Phoebe Mbuvi, Zelin Li, Ruichen Yao, Gawon Lim and Dong Wang
SMART: A Social Movement Analysis &amp; Reasoning Tool with Case Studies on #MeToo and #BlackLivesMatter
Valerio La Gatta, Marco Postiglione, Jeremy Gilbert, Daniel W. Linna Jr., Morgan Manella Greenfield, Aaron Shaw and V.S. Subrahmanian
FUSED: Toward Federated Multimodal Retrieval across Sovereign Data Domains
Chi Xu, Jiaxing Li, Mengdi Jin, William I. Atlas, Mark A. Spoljaric, Edith C.H. Ngai and Jiangchuan Liu
Cross-Domain Fake News Detection on Unseen Domains via LLM-Based Domain-Aware User Modeling
Xuankai Yang, Yan Wang, Jiajie Zhu, Pengfei Ding, Hongyang Liu, Xiuzhen Zhang and Huan Liu
COMA: A Collaborative Multi-Role Agent Framework for Automated Lesson Plan Generation
Xiaoli Zeng, Ying Zheng, Shuyan Huang, Zitao Liu, Mi Tian, Mingliang Hou, Jiaqi Zheng and Wenzhou Dou
From Words to Worlds: Measuring Cultural Narrative Bias in LLMs via a Structural–Value Pipeline
Fangjian Shen, Yifan Zeng, Dechen Lyu and Wushao Wen
CompTox Ontology: Leveraging Knowledge Graphs for PFAS Monitoring and Decision-Making
Yinglun Zhang, Sonia Moavenzadeh, Jarrar Amjad, Onur Apul, Adrita Barua, Fatih Evrendilek, Torsten Hahmann, Ganga Hettiarachchi, Pascal Hitzler, David Kedrowski, Vasu Kilaru, Prayas Lashkari, Katrina Schweikert, Antony Williams and Hande McGinty
RegimeGuard: Continual Learning Queue Scheduling for Socially Critical Web Services
Zhipeng Liu, Ziming Zhao and Fan Zhang
</v>
      </c>
      <c r="O75" s="36"/>
      <c r="P75" s="36" t="str">
        <f>IFERROR(__xludf.DUMMYFUNCTION("TEXTJOIN(CHAR(10), TRUE,FILTER('Research assignment'!$D:$D,'Research assignment'!$I:$I=P74))"),"#N/A")</f>
        <v>#N/A</v>
      </c>
      <c r="Q75" s="36" t="str">
        <f>IFERROR(__xludf.DUMMYFUNCTION("TEXTJOIN(CHAR(10), TRUE,FILTER('Research assignment'!$D:$D,'Research assignment'!$I:$I=Q74))"),"#VALUE!")</f>
        <v>#VALUE!</v>
      </c>
      <c r="R75" s="36" t="str">
        <f>IFERROR(__xludf.DUMMYFUNCTION("TEXTJOIN(CHAR(10), TRUE,FILTER('Research assignment'!$D:$D,'Research assignment'!$I:$I=R74))"),"#VALUE!")</f>
        <v>#VALUE!</v>
      </c>
      <c r="S75" s="36" t="str">
        <f>IFERROR(__xludf.DUMMYFUNCTION("TEXTJOIN(CHAR(10), TRUE,FILTER('Research assignment'!$D:$D,'Research assignment'!$I:$I=S74))"),"#VALUE!")</f>
        <v>#VALUE!</v>
      </c>
      <c r="T75" s="5"/>
      <c r="U75" s="5"/>
      <c r="V75" s="5"/>
      <c r="W75" s="5"/>
      <c r="X75" s="5"/>
      <c r="Y75" s="5"/>
      <c r="Z75" s="5"/>
      <c r="AA75" s="5"/>
    </row>
    <row r="76">
      <c r="A76" s="45"/>
      <c r="B76" s="118"/>
      <c r="C76" s="119"/>
      <c r="D76" s="119"/>
      <c r="E76" s="119"/>
      <c r="F76" s="119"/>
      <c r="G76" s="119"/>
      <c r="H76" s="119"/>
      <c r="I76" s="119"/>
      <c r="J76" s="119"/>
      <c r="K76" s="119"/>
      <c r="L76" s="119"/>
      <c r="M76" s="119"/>
      <c r="N76" s="119"/>
      <c r="O76" s="38"/>
      <c r="P76" s="38"/>
      <c r="Q76" s="38"/>
      <c r="R76" s="38"/>
      <c r="S76" s="38"/>
      <c r="T76" s="5"/>
      <c r="U76" s="5"/>
      <c r="V76" s="5"/>
      <c r="W76" s="5"/>
      <c r="X76" s="5"/>
      <c r="Y76" s="5"/>
      <c r="Z76" s="5"/>
      <c r="AA76" s="5"/>
    </row>
    <row r="77">
      <c r="A77" s="120">
        <v>46206.0</v>
      </c>
      <c r="B77" s="121"/>
      <c r="C77" s="122"/>
      <c r="D77" s="122"/>
      <c r="E77" s="122"/>
      <c r="F77" s="122"/>
      <c r="G77" s="122"/>
      <c r="H77" s="122"/>
      <c r="I77" s="122"/>
      <c r="J77" s="122"/>
      <c r="K77" s="122"/>
      <c r="L77" s="123"/>
      <c r="M77" s="123"/>
      <c r="N77" s="122"/>
      <c r="O77" s="122"/>
      <c r="P77" s="5"/>
      <c r="Q77" s="5"/>
      <c r="R77" s="5"/>
      <c r="S77" s="5"/>
      <c r="T77" s="5"/>
      <c r="U77" s="5"/>
      <c r="V77" s="5"/>
      <c r="W77" s="5"/>
      <c r="X77" s="5"/>
      <c r="Y77" s="5"/>
      <c r="Z77" s="5"/>
      <c r="AA77" s="5"/>
    </row>
    <row r="78" collapsed="1">
      <c r="A78" s="110" t="s">
        <v>125</v>
      </c>
      <c r="B78" s="57" t="s">
        <v>170</v>
      </c>
      <c r="O78" s="65"/>
      <c r="P78" s="66"/>
      <c r="Q78" s="66"/>
      <c r="R78" s="66"/>
      <c r="S78" s="5"/>
      <c r="T78" s="5"/>
      <c r="U78" s="5"/>
      <c r="V78" s="5"/>
      <c r="W78" s="5"/>
      <c r="X78" s="5"/>
      <c r="Y78" s="5"/>
      <c r="Z78" s="5"/>
      <c r="AA78" s="5"/>
    </row>
    <row r="79" hidden="1" outlineLevel="1">
      <c r="A79" s="110"/>
      <c r="B79" s="57" t="s">
        <v>171</v>
      </c>
      <c r="O79" s="79"/>
      <c r="P79" s="66"/>
      <c r="Q79" s="66"/>
      <c r="R79" s="66"/>
      <c r="S79" s="5"/>
      <c r="T79" s="5"/>
      <c r="U79" s="5"/>
      <c r="V79" s="5"/>
      <c r="W79" s="5"/>
      <c r="X79" s="5"/>
      <c r="Y79" s="5"/>
      <c r="Z79" s="5"/>
      <c r="AA79" s="5"/>
    </row>
    <row r="80" collapsed="1">
      <c r="A80" s="110"/>
      <c r="B80" s="59" t="str">
        <f>IFERROR(__xludf.DUMMYFUNCTION("CONCATENATE(""Session Chair: "",TEXTJOIN(CHAR(10), TRUE,FILTER('Session Chairs'!$C:$C,'Session Chairs'!$A:$A=B78)))"),"Session Chair: Yoelle Maarek")</f>
        <v>Session Chair: Yoelle Maarek</v>
      </c>
      <c r="C80" s="57"/>
      <c r="D80" s="57"/>
      <c r="E80" s="57"/>
      <c r="F80" s="57"/>
      <c r="G80" s="57"/>
      <c r="H80" s="57"/>
      <c r="I80" s="57"/>
      <c r="J80" s="57"/>
      <c r="K80" s="57"/>
      <c r="L80" s="57"/>
      <c r="M80" s="57"/>
      <c r="N80" s="57"/>
      <c r="O80" s="65"/>
      <c r="P80" s="66"/>
      <c r="Q80" s="66"/>
      <c r="R80" s="66"/>
      <c r="S80" s="5"/>
      <c r="T80" s="5"/>
      <c r="U80" s="5"/>
      <c r="V80" s="5"/>
      <c r="W80" s="5"/>
      <c r="X80" s="5"/>
      <c r="Y80" s="5"/>
      <c r="Z80" s="5"/>
      <c r="AA80" s="5"/>
    </row>
    <row r="81" hidden="1" outlineLevel="1">
      <c r="A81" s="110"/>
      <c r="B81" s="57" t="s">
        <v>172</v>
      </c>
      <c r="O81" s="79"/>
      <c r="P81" s="66"/>
      <c r="Q81" s="66"/>
      <c r="R81" s="66"/>
      <c r="S81" s="5"/>
      <c r="T81" s="5"/>
      <c r="U81" s="5"/>
      <c r="V81" s="5"/>
      <c r="W81" s="5"/>
      <c r="X81" s="5"/>
      <c r="Y81" s="5"/>
      <c r="Z81" s="5"/>
      <c r="AA81" s="5"/>
    </row>
    <row r="82">
      <c r="A82" s="32" t="s">
        <v>129</v>
      </c>
      <c r="B82" s="33" t="s">
        <v>31</v>
      </c>
      <c r="O82" s="22"/>
      <c r="P82" s="5"/>
      <c r="Q82" s="5"/>
      <c r="R82" s="5"/>
      <c r="S82" s="5"/>
      <c r="T82" s="5"/>
      <c r="U82" s="5"/>
      <c r="V82" s="5"/>
      <c r="W82" s="5"/>
      <c r="X82" s="5"/>
      <c r="Y82" s="5"/>
      <c r="Z82" s="5"/>
      <c r="AA82" s="5"/>
    </row>
    <row r="83">
      <c r="A83" s="124" t="s">
        <v>130</v>
      </c>
      <c r="B83" s="84" t="s">
        <v>173</v>
      </c>
      <c r="C83" s="92" t="s">
        <v>174</v>
      </c>
      <c r="D83" s="99" t="s">
        <v>175</v>
      </c>
      <c r="E83" s="99" t="s">
        <v>176</v>
      </c>
      <c r="F83" s="99" t="s">
        <v>177</v>
      </c>
      <c r="G83" s="99" t="s">
        <v>178</v>
      </c>
      <c r="H83" s="99" t="s">
        <v>179</v>
      </c>
      <c r="I83" s="99" t="s">
        <v>180</v>
      </c>
      <c r="J83" s="99" t="s">
        <v>181</v>
      </c>
      <c r="K83" s="99" t="s">
        <v>182</v>
      </c>
      <c r="L83" s="100" t="s">
        <v>183</v>
      </c>
      <c r="M83" s="125" t="s">
        <v>184</v>
      </c>
      <c r="N83" s="92" t="s">
        <v>185</v>
      </c>
      <c r="O83" s="79"/>
      <c r="P83" s="66"/>
      <c r="Q83" s="66"/>
      <c r="R83" s="66"/>
      <c r="S83" s="5"/>
      <c r="T83" s="5"/>
      <c r="U83" s="5"/>
      <c r="V83" s="5"/>
      <c r="W83" s="5"/>
      <c r="X83" s="5"/>
      <c r="Y83" s="5"/>
      <c r="Z83" s="5"/>
      <c r="AA83" s="5"/>
    </row>
    <row r="84" ht="19.5" customHeight="1">
      <c r="A84" s="74"/>
      <c r="B84" s="101" t="str">
        <f>IFERROR(__xludf.DUMMYFUNCTION("TEXTJOIN(CHAR(10), TRUE,FILTER('Sessions Counts'!$B:$B,'Sessions Counts'!$A:$A=B83))"),"Privacy, Consent, and User Control")</f>
        <v>Privacy, Consent, and User Control</v>
      </c>
      <c r="C84" s="102" t="str">
        <f>IFERROR(__xludf.DUMMYFUNCTION("TEXTJOIN(CHAR(10), TRUE,FILTER('Sessions Counts'!$B:$B,'Sessions Counts'!$A:$A=C83))"),"Contrastive Learning 2")</f>
        <v>Contrastive Learning 2</v>
      </c>
      <c r="D84" s="102" t="str">
        <f>IFERROR(__xludf.DUMMYFUNCTION("TEXTJOIN(CHAR(10), TRUE,FILTER('Sessions Counts'!$B:$B,'Sessions Counts'!$A:$A=D83))"),"Multimodal Semantic Understanding")</f>
        <v>Multimodal Semantic Understanding</v>
      </c>
      <c r="E84" s="102" t="str">
        <f>IFERROR(__xludf.DUMMYFUNCTION("TEXTJOIN(CHAR(10), TRUE,FILTER('Sessions Counts'!$B:$B,'Sessions Counts'!$A:$A=E83))"),"Long-Context &amp; Document Understanding")</f>
        <v>Long-Context &amp; Document Understanding</v>
      </c>
      <c r="F84" s="102" t="str">
        <f>IFERROR(__xludf.DUMMYFUNCTION("TEXTJOIN(CHAR(10), TRUE,FILTER('Sessions Counts'!$B:$B,'Sessions Counts'!$A:$A=F83))"),"Continual &amp; Dynamic Knowledge")</f>
        <v>Continual &amp; Dynamic Knowledge</v>
      </c>
      <c r="G84" s="102" t="str">
        <f>IFERROR(__xludf.DUMMYFUNCTION("TEXTJOIN(CHAR(10), TRUE,FILTER('Sessions Counts'!$B:$B,'Sessions Counts'!$A:$A=G83))"),"Security and Network Intrusion")</f>
        <v>Security and Network Intrusion</v>
      </c>
      <c r="H84" s="102" t="str">
        <f>IFERROR(__xludf.DUMMYFUNCTION("TEXTJOIN(CHAR(10), TRUE,FILTER('Sessions Counts'!$B:$B,'Sessions Counts'!$A:$A=H83))"),"Real-Time Web and Mobile Systems")</f>
        <v>Real-Time Web and Mobile Systems</v>
      </c>
      <c r="I84" s="102" t="str">
        <f>IFERROR(__xludf.DUMMYFUNCTION("TEXTJOIN(CHAR(10), TRUE,FILTER('Sessions Counts'!$B:$B,'Sessions Counts'!$A:$A=I83))"),"Web Platform and Device Vulnerability")</f>
        <v>Web Platform and Device Vulnerability</v>
      </c>
      <c r="J84" s="102" t="str">
        <f>IFERROR(__xludf.DUMMYFUNCTION("TEXTJOIN(CHAR(10), TRUE,FILTER('Sessions Counts'!$B:$B,'Sessions Counts'!$A:$A=J83))"),"Learning, Representation, and Model Augmentation for Web Data")</f>
        <v>Learning, Representation, and Model Augmentation for Web Data</v>
      </c>
      <c r="K84" s="102" t="str">
        <f>IFERROR(__xludf.DUMMYFUNCTION("TEXTJOIN(CHAR(10), TRUE,FILTER('Sessions Counts'!$B:$B,'Sessions Counts'!$A:$A=K83))"),"Long-Term Preferences &amp; Continual Personalization")</f>
        <v>Long-Term Preferences &amp; Continual Personalization</v>
      </c>
      <c r="L84" s="102" t="str">
        <f>IFERROR(__xludf.DUMMYFUNCTION("TEXTJOIN(CHAR(10), TRUE,FILTER('Sessions Counts'!$B:$B,'Sessions Counts'!$A:$A=L83))"),"Multimodal Recommendation Methods")</f>
        <v>Multimodal Recommendation Methods</v>
      </c>
      <c r="M84" s="102" t="str">
        <f>IFERROR(__xludf.DUMMYFUNCTION("TEXTJOIN(CHAR(10), TRUE,FILTER('Sessions Counts'!$B:$B,'Sessions Counts'!$A:$A=M83))"),"Content Platforms, Video &amp; Moderation")</f>
        <v>Content Platforms, Video &amp; Moderation</v>
      </c>
      <c r="N84" s="103" t="str">
        <f>IFERROR(__xludf.DUMMYFUNCTION("TEXTJOIN(CHAR(10), TRUE,FILTER('Sessions Counts'!$B:$B,'Sessions Counts'!$A:$A=N83))"),"Sustainable &amp; Energy-Efficient Web/AI Systems")</f>
        <v>Sustainable &amp; Energy-Efficient Web/AI Systems</v>
      </c>
      <c r="O84" s="104"/>
      <c r="P84" s="73"/>
      <c r="Q84" s="73"/>
      <c r="R84" s="73"/>
      <c r="S84" s="73"/>
      <c r="T84" s="73"/>
      <c r="U84" s="73"/>
      <c r="V84" s="73"/>
      <c r="W84" s="73"/>
      <c r="X84" s="73"/>
      <c r="Y84" s="73"/>
      <c r="Z84" s="73"/>
      <c r="AA84" s="73"/>
    </row>
    <row r="85">
      <c r="A85" s="124"/>
      <c r="B85" s="126" t="str">
        <f>IFERROR(__xludf.DUMMYFUNCTION("CONCATENATE(""Session Chair: "",TEXTJOIN(CHAR(10), TRUE,FILTER('Session Chairs'!$C:$C,'Session Chairs'!$A:$A=B83)))"),"Session Chair: Basma Boussaha")</f>
        <v>Session Chair: Basma Boussaha</v>
      </c>
      <c r="C85" s="112" t="str">
        <f>IFERROR(__xludf.DUMMYFUNCTION("CONCATENATE(""Session Chair: "",TEXTJOIN(CHAR(10), TRUE,FILTER('Session Chairs'!$C:$C,'Session Chairs'!$A:$A=C83)))"),"Session Chair: LI Ni")</f>
        <v>Session Chair: LI Ni</v>
      </c>
      <c r="D85" s="112" t="str">
        <f>IFERROR(__xludf.DUMMYFUNCTION("CONCATENATE(""Session Chair: "",TEXTJOIN(CHAR(10), TRUE,FILTER('Session Chairs'!$C:$C,'Session Chairs'!$A:$A=D83)))"),"Session Chair: Leslie F Sikos")</f>
        <v>Session Chair: Leslie F Sikos</v>
      </c>
      <c r="E85" s="112" t="str">
        <f>IFERROR(__xludf.DUMMYFUNCTION("CONCATENATE(""Session Chair: "",TEXTJOIN(CHAR(10), TRUE,FILTER('Session Chairs'!$C:$C,'Session Chairs'!$A:$A=E83)))"),"Session Chair: Hao Liang")</f>
        <v>Session Chair: Hao Liang</v>
      </c>
      <c r="F85" s="112" t="str">
        <f>IFERROR(__xludf.DUMMYFUNCTION("CONCATENATE(""Session Chair: "",TEXTJOIN(CHAR(10), TRUE,FILTER('Session Chairs'!$C:$C,'Session Chairs'!$A:$A=F83)))"),"Session Chair: Luis Galárraga")</f>
        <v>Session Chair: Luis Galárraga</v>
      </c>
      <c r="G85" s="112" t="str">
        <f>IFERROR(__xludf.DUMMYFUNCTION("CONCATENATE(""Session Chair: "",TEXTJOIN(CHAR(10), TRUE,FILTER('Session Chairs'!$C:$C,'Session Chairs'!$A:$A=G83)))"),"Session Chair: Eleana Kafeza")</f>
        <v>Session Chair: Eleana Kafeza</v>
      </c>
      <c r="H85" s="112" t="str">
        <f>IFERROR(__xludf.DUMMYFUNCTION("CONCATENATE(""Session Chair: "",TEXTJOIN(CHAR(10), TRUE,FILTER('Session Chairs'!$C:$C,'Session Chairs'!$A:$A=H83)))"),"Session Chair: Xianghang Mi ")</f>
        <v>Session Chair: Xianghang Mi </v>
      </c>
      <c r="I85" s="112" t="str">
        <f>IFERROR(__xludf.DUMMYFUNCTION("CONCATENATE(""Session Chair: "",TEXTJOIN(CHAR(10), TRUE,FILTER('Session Chairs'!$C:$C,'Session Chairs'!$A:$A=I83)))"),"Session Chair: Ido Guy")</f>
        <v>Session Chair: Ido Guy</v>
      </c>
      <c r="J85" s="112" t="str">
        <f>IFERROR(__xludf.DUMMYFUNCTION("CONCATENATE(""Session Chair: "",TEXTJOIN(CHAR(10), TRUE,FILTER('Session Chairs'!$C:$C,'Session Chairs'!$A:$A=J83)))"),"Session Chair: Yuanyuan Xu")</f>
        <v>Session Chair: Yuanyuan Xu</v>
      </c>
      <c r="K85" s="112" t="str">
        <f>IFERROR(__xludf.DUMMYFUNCTION("CONCATENATE(""Session Chair: "",TEXTJOIN(CHAR(10), TRUE,FILTER('Session Chairs'!$C:$C,'Session Chairs'!$A:$A=K83)))"),"Session Chair: Oren Somekh")</f>
        <v>Session Chair: Oren Somekh</v>
      </c>
      <c r="L85" s="112" t="str">
        <f>IFERROR(__xludf.DUMMYFUNCTION("CONCATENATE(""Session Chair: "",TEXTJOIN(CHAR(10), TRUE,FILTER('Session Chairs'!$C:$C,'Session Chairs'!$A:$A=L83)))"),"Session Chair: Xingyu Tan")</f>
        <v>Session Chair: Xingyu Tan</v>
      </c>
      <c r="M85" s="112" t="str">
        <f>IFERROR(__xludf.DUMMYFUNCTION("CONCATENATE(""Session Chair: "",TEXTJOIN(CHAR(10), TRUE,FILTER('Session Chairs'!$C:$C,'Session Chairs'!$A:$A=M83)))"),"Session Chair: Xixuan Hao")</f>
        <v>Session Chair: Xixuan Hao</v>
      </c>
      <c r="N85" s="112" t="str">
        <f>IFERROR(__xludf.DUMMYFUNCTION("CONCATENATE(""Session Chair: "",TEXTJOIN(CHAR(10), TRUE,FILTER('Session Chairs'!$C:$C,'Session Chairs'!$A:$A=N83)))"),"Session Chair: Shah Nawaz")</f>
        <v>Session Chair: Shah Nawaz</v>
      </c>
      <c r="O85" s="79"/>
      <c r="P85" s="66"/>
      <c r="Q85" s="66"/>
      <c r="R85" s="66"/>
      <c r="S85" s="5"/>
      <c r="T85" s="5"/>
      <c r="U85" s="5"/>
      <c r="V85" s="5"/>
      <c r="W85" s="5"/>
      <c r="X85" s="5"/>
      <c r="Y85" s="5"/>
      <c r="Z85" s="5"/>
      <c r="AA85" s="5"/>
    </row>
    <row r="86" outlineLevel="1">
      <c r="A86" s="49"/>
      <c r="B86" s="44" t="str">
        <f>IFERROR(__xludf.DUMMYFUNCTION("TEXTJOIN(CHAR(10), TRUE,FILTER('Research assignment'!$D:$D,'Research assignment'!$H:$H=B83))"),"Does This Button Work? Investigating YouTube's Ineffective User Controls
Jesse McCrosky, Ranadheer Malla, Aapo Tanskanen and Chico
Camargo
Users Pay Twice: The Hidden Energy Cost of Web Advertising
Samuel Pélissier, Naif Mehanna, Sterenn Roux, Quentin
Pe"&amp;"rez, Walter Rudametkin, Johann Bourcier and Pierre
Laperdrix
Towards LLM-centric Affective Visual Customization via Efficient and Precise Emotion Manipulating
Jiamin Luo, Xuqian Gu, Jingjing Wang and Jiahong Lu
D-Models and E-Models: Diversity-Stability"&amp;" Trade-offs in the Sampling Behavior of Large Language Models
Jia Gu, Liang Pang, Huawei Shen and Xueqi Cheng
Dynamics of Human-AI Collective Knowledge on the Web: A Scalable Model and Insights for Sustainable Growth
Buddhika Nettasinghe and Kang Zhao
")</f>
        <v>Does This Button Work? Investigating YouTube's Ineffective User Controls
Jesse McCrosky, Ranadheer Malla, Aapo Tanskanen and Chico
Camargo
Users Pay Twice: The Hidden Energy Cost of Web Advertising
Samuel Pélissier, Naif Mehanna, Sterenn Roux, Quentin
Perez, Walter Rudametkin, Johann Bourcier and Pierre
Laperdrix
Towards LLM-centric Affective Visual Customization via Efficient and Precise Emotion Manipulating
Jiamin Luo, Xuqian Gu, Jingjing Wang and Jiahong Lu
D-Models and E-Models: Diversity-Stability Trade-offs in the Sampling Behavior of Large Language Models
Jia Gu, Liang Pang, Huawei Shen and Xueqi Cheng
Dynamics of Human-AI Collective Knowledge on the Web: A Scalable Model and Insights for Sustainable Growth
Buddhika Nettasinghe and Kang Zhao
</v>
      </c>
      <c r="C86" s="20" t="str">
        <f>IFERROR(__xludf.DUMMYFUNCTION("TEXTJOIN(CHAR(10), TRUE,FILTER('Research assignment'!$D:$D,'Research assignment'!$H:$H=C83))"),"Hierarchical Graph-Bag-Network for Self-Supervised Multi-Graph Learning
Meixia Wang, Yuhai Zhao, Zhengkui Wang, Fenglong Ma,
Yejiang Wang, Miaomiao Huang, Fazal Wahab, Wen Shan and
Xingwei Wang
From Representation to Clusters: A Contrastive Learning Appr"&amp;"oach for Attributed Hypergraph Clustering
Li Ni, Shuaikang Zeng, Lin Mu and Longlong Lin
AC$^2$L-GAD: Active Counterfactual Contrastive Learning for Graph Anomaly Detection
Kamal Berahmand, Saman Forouzandeh, Mehrnoush Mohammadi,
Parham Moradi and Mahdi "&amp;"Jalili
A Dual-Channel Contrastive Learning Framework for Anomaly Detection in Dynamic Graph Structures
Runshuo Liu, Chao Li, Zhongying Zhao, Hui Zhou and Qingtian
Zeng
Structure-Semantic Synergized Deep Contrastive Graph Clustering
Shifei Ding, Zhe Li, "&amp;"Xiao Xu and Chao Li
")</f>
        <v>Hierarchical Graph-Bag-Network for Self-Supervised Multi-Graph Learning
Meixia Wang, Yuhai Zhao, Zhengkui Wang, Fenglong Ma,
Yejiang Wang, Miaomiao Huang, Fazal Wahab, Wen Shan and
Xingwei Wang
From Representation to Clusters: A Contrastive Learning Approach for Attributed Hypergraph Clustering
Li Ni, Shuaikang Zeng, Lin Mu and Longlong Lin
AC$^2$L-GAD: Active Counterfactual Contrastive Learning for Graph Anomaly Detection
Kamal Berahmand, Saman Forouzandeh, Mehrnoush Mohammadi,
Parham Moradi and Mahdi Jalili
A Dual-Channel Contrastive Learning Framework for Anomaly Detection in Dynamic Graph Structures
Runshuo Liu, Chao Li, Zhongying Zhao, Hui Zhou and Qingtian
Zeng
Structure-Semantic Synergized Deep Contrastive Graph Clustering
Shifei Ding, Zhe Li, Xiao Xu and Chao Li
</v>
      </c>
      <c r="D86" s="20" t="str">
        <f>IFERROR(__xludf.DUMMYFUNCTION("TEXTJOIN(CHAR(10), TRUE,FILTER('Research assignment'!$D:$D,'Research assignment'!$H:$H=D83))"),"Multimodal Graph Conditioned Diffusion Model for Video Captioning
Benhui Zhang, Junyu Gao and Yuan Yuan
MMTableBench: A Multi-level Multimodal Benchmark for Reasoning and Layout Complexity in Table QA
Xianjie Wu, Xiaohang Xu, Tingyu Jiang, Jian Yang, Di "&amp;"Liang,
Xianfu Cheng, Zhenhe Wu, Linzheng Chai, Wei Zhang, Jiaheng
Liu, Ge Zhang, Bob Simons, Tongliang Li and Zhoujun Li
Adaptive Task Balancing for Visual Instruction Tuning via Inter-Task Contribution and Intra-Task Difficulty
Yanqi Dai, Yong Wang, Zeb"&amp;"in You, Dong Jing, Xiangxiang Chu
and Zhiwu Lu
Multimodal Trajectory Representation Learning for Travel Time Estimation
Zhi Liu, Xuyuan Hu, Xiao Han, Zhehao Dai, Zhaolin Deng,
Guojiang Shen and Xiangjie Kong
Towards Foundation Models for MMKG: Multi-Tas"&amp;"k Inductive Generalization via Task-Aware Routing
Shundong Yang, Jing Yang, Xiaowen Jiang, Xiaofen Wang,
Laurence T. Yang, Yuan Gao, Xinfa Jiang, Jie Chen and
Chaojun Zhang
")</f>
        <v>Multimodal Graph Conditioned Diffusion Model for Video Captioning
Benhui Zhang, Junyu Gao and Yuan Yuan
MMTableBench: A Multi-level Multimodal Benchmark for Reasoning and Layout Complexity in Table QA
Xianjie Wu, Xiaohang Xu, Tingyu Jiang, Jian Yang, Di Liang,
Xianfu Cheng, Zhenhe Wu, Linzheng Chai, Wei Zhang, Jiaheng
Liu, Ge Zhang, Bob Simons, Tongliang Li and Zhoujun Li
Adaptive Task Balancing for Visual Instruction Tuning via Inter-Task Contribution and Intra-Task Difficulty
Yanqi Dai, Yong Wang, Zebin You, Dong Jing, Xiangxiang Chu
and Zhiwu Lu
Multimodal Trajectory Representation Learning for Travel Time Estimation
Zhi Liu, Xuyuan Hu, Xiao Han, Zhehao Dai, Zhaolin Deng,
Guojiang Shen and Xiangjie Kong
Towards Foundation Models for MMKG: Multi-Task Inductive Generalization via Task-Aware Routing
Shundong Yang, Jing Yang, Xiaowen Jiang, Xiaofen Wang,
Laurence T. Yang, Yuan Gao, Xinfa Jiang, Jie Chen and
Chaojun Zhang
</v>
      </c>
      <c r="E86" s="20" t="str">
        <f>IFERROR(__xludf.DUMMYFUNCTION("TEXTJOIN(CHAR(10), TRUE,FILTER('Research assignment'!$D:$D,'Research assignment'!$H:$H=E83))"),"LoVR: A Benchmark for Long Video Retrieval in Multimodal Contexts
Hao Liang, Qifeng Cai, Zhaoyang Han, Hejun Dong, Meiyi
Qiang, Ruichuan An, Quanqing Xu, Bin Cui and Wentao Zhang
LongRanker: Efficient One-Pass Document Reranking with Long-Context Large L"&amp;"anguage Models
Changjiang Zhou, Ruqing Zhang, Jiafeng Guo, Maarten de
Rijke, Fan Yixing and Xueqi Cheng
Breaking the Single-Reference-Vector Barrier in Approximate Nearest Neighbor Search
Jiadong Xie, Jeffrey Liang, Siyi Teng, Jeffrey Xu Yu and
Yingfan L"&amp;"iu
OpenDecoder: Open Large Language Model Decoding to Incorporate Document Quality in RAG
Fengran Mo, Zhan Su, Yuchen Hui, Jinghan Zhang, Jia Ao Sun,
Zheyuan Liu, Chao Zhang, Tetsuya Sakai and Jian-Yun Nie
DocResearcher: A Unified System for Multimodal "&amp;"Document Parsing and Deep Research
Kuicai Dong, Shurui Huang, Fangda Ye, Wei Han, Zhi Zhang,
Dexun Li, Wenjun Li, Qu Yang, Gang Wang, Yichao Wang, Chen
Zhang and Yong Liu
")</f>
        <v>LoVR: A Benchmark for Long Video Retrieval in Multimodal Contexts
Hao Liang, Qifeng Cai, Zhaoyang Han, Hejun Dong, Meiyi
Qiang, Ruichuan An, Quanqing Xu, Bin Cui and Wentao Zhang
LongRanker: Efficient One-Pass Document Reranking with Long-Context Large Language Models
Changjiang Zhou, Ruqing Zhang, Jiafeng Guo, Maarten de
Rijke, Fan Yixing and Xueqi Cheng
Breaking the Single-Reference-Vector Barrier in Approximate Nearest Neighbor Search
Jiadong Xie, Jeffrey Liang, Siyi Teng, Jeffrey Xu Yu and
Yingfan Liu
OpenDecoder: Open Large Language Model Decoding to Incorporate Document Quality in RAG
Fengran Mo, Zhan Su, Yuchen Hui, Jinghan Zhang, Jia Ao Sun,
Zheyuan Liu, Chao Zhang, Tetsuya Sakai and Jian-Yun Nie
DocResearcher: A Unified System for Multimodal Document Parsing and Deep Research
Kuicai Dong, Shurui Huang, Fangda Ye, Wei Han, Zhi Zhang,
Dexun Li, Wenjun Li, Qu Yang, Gang Wang, Yichao Wang, Chen
Zhang and Yong Liu
</v>
      </c>
      <c r="F86" s="20" t="str">
        <f>IFERROR(__xludf.DUMMYFUNCTION("TEXTJOIN(CHAR(10), TRUE,FILTER('Research assignment'!$D:$D,'Research assignment'!$H:$H=F83))"),"Dual History Enhancement with Hybrid Hypergraph-Graph Networks for Temporal Knowledge Graph Reasoning
Kailun Ye, Xiangjie Kong, Yuchao Zhang, Xuan Wang, Linan
Zhu, Jiaxin Du, Guojiang Shen and Jianxin Li
STARK: Structure-Aware and Adaptive Representation"&amp;" Learning for Continual Knowledge Graph Embedding
Kyunghwan Lee and Dong-Wan Choi
Unlearning of Knowledge Graph Embedding via Preference Optimization
Jiajun Liu, Wenjun Ke, Peng Wang, Yao He, Ziyu Shang,
Guozheng Li, Zijie Xu and Ke Ji
Conditional Infor"&amp;"mation Extraction with Diffusion Model on Fact-Condition Star Graph
Yunxiao Yang, Jianting Chen, Xiaoying Gao, Zaiyuan Di and
Yang Xiang
Learning to Evolve: Bayesian-Guided Continual Knowledge Graph Embedding
Linyu Li, Zhi Jin, Yuanpeng He, Dongming Jin,"&amp;" Yichi Zhang,
Haoran Duan, Xuan Zhang, Zhengwei Tao and Tashi Nyima
")</f>
        <v>Dual History Enhancement with Hybrid Hypergraph-Graph Networks for Temporal Knowledge Graph Reasoning
Kailun Ye, Xiangjie Kong, Yuchao Zhang, Xuan Wang, Linan
Zhu, Jiaxin Du, Guojiang Shen and Jianxin Li
STARK: Structure-Aware and Adaptive Representation Learning for Continual Knowledge Graph Embedding
Kyunghwan Lee and Dong-Wan Choi
Unlearning of Knowledge Graph Embedding via Preference Optimization
Jiajun Liu, Wenjun Ke, Peng Wang, Yao He, Ziyu Shang,
Guozheng Li, Zijie Xu and Ke Ji
Conditional Information Extraction with Diffusion Model on Fact-Condition Star Graph
Yunxiao Yang, Jianting Chen, Xiaoying Gao, Zaiyuan Di and
Yang Xiang
Learning to Evolve: Bayesian-Guided Continual Knowledge Graph Embedding
Linyu Li, Zhi Jin, Yuanpeng He, Dongming Jin, Yichi Zhang,
Haoran Duan, Xuan Zhang, Zhengwei Tao and Tashi Nyima
</v>
      </c>
      <c r="G86" s="20" t="str">
        <f>IFERROR(__xludf.DUMMYFUNCTION("TEXTJOIN(CHAR(10), TRUE,FILTER('Research assignment'!$D:$D,'Research assignment'!$H:$H=G83))"),"Eclipse Attacks on Ethereum’s Peer-to-Peer Network
Ruisheng Shi, Yuxuan Liang, Zijun Guo, Qin Wang, Lina Lan,
Chenfeng Wang and Zhuoyi Zheng
Proteus: Towards Accurate and Low-overhead In-Network Malicious Traffic Detection
Longlong Zhu, Linying Zheng, Qi"&amp;"ng Shu, Zedi Chen, Jiashuo
Yu, Yuhan Wu, Shaopeng Zhou, Hongyan Liu, Dong Zhang,
Chunming Wu and Xiang Chen
Tracking the Stray Sheep: Understanding DNS Response Manipulation in the Wild
Wenhao Wu, Zhaohua Wang, Zihan Li, Qinxin Li, Yiming Xia,
Chuan Gao,"&amp;" Guangxing Zhang and Zhenyu Li
Sybil Attacks on Centrality Measures
Marcin Waniek
GIANT: Structure-Agnostic Practical Adversarial Attacks for Graph-based Network Intrusion Detection Systems
Jianjin Zhao, Dongqi Han, Chao Ma, Qi Li, Zhiwei Cui,
Hongliang"&amp;" Zhu, Hua Zhang, Mingshu He, Yijun Lu, Jiong Dong,
Yuyin Ma and Meng Shen
")</f>
        <v>Eclipse Attacks on Ethereum’s Peer-to-Peer Network
Ruisheng Shi, Yuxuan Liang, Zijun Guo, Qin Wang, Lina Lan,
Chenfeng Wang and Zhuoyi Zheng
Proteus: Towards Accurate and Low-overhead In-Network Malicious Traffic Detection
Longlong Zhu, Linying Zheng, Qing Shu, Zedi Chen, Jiashuo
Yu, Yuhan Wu, Shaopeng Zhou, Hongyan Liu, Dong Zhang,
Chunming Wu and Xiang Chen
Tracking the Stray Sheep: Understanding DNS Response Manipulation in the Wild
Wenhao Wu, Zhaohua Wang, Zihan Li, Qinxin Li, Yiming Xia,
Chuan Gao, Guangxing Zhang and Zhenyu Li
Sybil Attacks on Centrality Measures
Marcin Waniek
GIANT: Structure-Agnostic Practical Adversarial Attacks for Graph-based Network Intrusion Detection Systems
Jianjin Zhao, Dongqi Han, Chao Ma, Qi Li, Zhiwei Cui,
Hongliang Zhu, Hua Zhang, Mingshu He, Yijun Lu, Jiong Dong,
Yuyin Ma and Meng Shen
</v>
      </c>
      <c r="H86" s="20" t="str">
        <f>IFERROR(__xludf.DUMMYFUNCTION("TEXTJOIN(CHAR(10), TRUE,FILTER('Research assignment'!$D:$D,'Research assignment'!$H:$H=H83))"),"Investigating Web Content Delivery Performance over Starlink
Rohan Bose, Jinwei Zhao, Tanya Shreedhar, Jianping Pan and
Nitinder Mohan
Breath: Adaptive Protection Boundary in FEC Encoding for Mobile Real-Time Video Streaming
Shiyang Huang, Gerui Lv, Yuan"&amp;"kang Zhao, Jiaxing Zhang,
Qingyue Tan, Congkai An, Huanhuan Zhang, Xinyi Zhang,
Qinghua Wu and Zhenyu Li
Camel: Frame-Level Bandwidth Estimation for Low-Latency Live Streaming under Video Bitrate Undershooting
Liming Liu, Zhidong Jia, Li Jiang, Wei Zhang"&amp;", Lan Xie, Feng
Qian, Leju Yan, Bing Yan, Qiang Ma, Zhou Sha, Wei Yang,
Yixuan Ban and Xinggong Zhang
DualDis: A Dual Disentanglement Network for Vehicle Re-identification
Wenying He, Feiyu Wang, Guangquan Xu, Yude Bai and Fei Guo
FediScan: Collaborativ"&amp;"e Social Bot Detection in the Fediverse
Min Gao, Wen Wen, Haoran Du, Qiang Duan, Yu Xiao, Yupeng
Li, Xin Wang, Pan Hui and Yang Chen
")</f>
        <v>Investigating Web Content Delivery Performance over Starlink
Rohan Bose, Jinwei Zhao, Tanya Shreedhar, Jianping Pan and
Nitinder Mohan
Breath: Adaptive Protection Boundary in FEC Encoding for Mobile Real-Time Video Streaming
Shiyang Huang, Gerui Lv, Yuankang Zhao, Jiaxing Zhang,
Qingyue Tan, Congkai An, Huanhuan Zhang, Xinyi Zhang,
Qinghua Wu and Zhenyu Li
Camel: Frame-Level Bandwidth Estimation for Low-Latency Live Streaming under Video Bitrate Undershooting
Liming Liu, Zhidong Jia, Li Jiang, Wei Zhang, Lan Xie, Feng
Qian, Leju Yan, Bing Yan, Qiang Ma, Zhou Sha, Wei Yang,
Yixuan Ban and Xinggong Zhang
DualDis: A Dual Disentanglement Network for Vehicle Re-identification
Wenying He, Feiyu Wang, Guangquan Xu, Yude Bai and Fei Guo
FediScan: Collaborative Social Bot Detection in the Fediverse
Min Gao, Wen Wen, Haoran Du, Qiang Duan, Yu Xiao, Yupeng
Li, Xin Wang, Pan Hui and Yang Chen
</v>
      </c>
      <c r="I86" s="20" t="str">
        <f>IFERROR(__xludf.DUMMYFUNCTION("TEXTJOIN(CHAR(10), TRUE,FILTER('Research assignment'!$D:$D,'Research assignment'!$H:$H=I83))"),"WAMO: Toward Secure Browser Inference via Web Model Obfuscation in WebAssembly
Yitong Wang, Pengfei Yu, Hao Han, Jingjing Gu, Fengyuan Xu
and Xinyi Huang
WebGeoInfer: Structure-Free Multi-Stage Framework for Geolocation Inference from Exposed Device Web "&amp;"Interfaces
Huipeng Yang, Li Yang, Lu Zhou, Lichuan Ma, Xinyue Wang,
Junbo Jia and Anyuan Sang
FalconScope: Effective and Efficient Detection of Hidden Web Interfaces in IoT Devices
Jiaming Guo, Haoran Yang, Kuihao Yan, Jiekang Hu, Xiaoqi
Jia, Haichao Du "&amp;"and Qihang Zhou
Bento: Fine-Grained Memory Isolation for COTS WebAssembly Binaries
Oussama Draissi and Lucas Davi
Risk-free Selfish Mining in Hybrid Predictability Model. A Case Study on Polkadot’s NPoS
Mingfei Zhang, Rujia Li, Xinyu Lei and Sisi Duan
")</f>
        <v>WAMO: Toward Secure Browser Inference via Web Model Obfuscation in WebAssembly
Yitong Wang, Pengfei Yu, Hao Han, Jingjing Gu, Fengyuan Xu
and Xinyi Huang
WebGeoInfer: Structure-Free Multi-Stage Framework for Geolocation Inference from Exposed Device Web Interfaces
Huipeng Yang, Li Yang, Lu Zhou, Lichuan Ma, Xinyue Wang,
Junbo Jia and Anyuan Sang
FalconScope: Effective and Efficient Detection of Hidden Web Interfaces in IoT Devices
Jiaming Guo, Haoran Yang, Kuihao Yan, Jiekang Hu, Xiaoqi
Jia, Haichao Du and Qihang Zhou
Bento: Fine-Grained Memory Isolation for COTS WebAssembly Binaries
Oussama Draissi and Lucas Davi
Risk-free Selfish Mining in Hybrid Predictability Model. A Case Study on Polkadot’s NPoS
Mingfei Zhang, Rujia Li, Xinyu Lei and Sisi Duan
</v>
      </c>
      <c r="J86" s="20" t="str">
        <f>IFERROR(__xludf.DUMMYFUNCTION("TEXTJOIN(CHAR(10), TRUE,FILTER('Research assignment'!$D:$D,'Research assignment'!$H:$H=J83))"),"Anchor Drift No More: Hierarchical Consistency-Guided Prompt Distillation for Incomplete Multimodal Learning
Ruiting Dai, Zesen Cai, Lisi Mo, Guiduo Duan, Keren Shi and
Tao He
LoRA-E^2: Effective and Efficient Low-rank Adaptation
Shengkun Zhu, Jinshan Ze"&amp;"ng, Yiming Wang, Sheng Wang, Yuan
Sun, Shangfeng Chen, Yuan Yao and Qiang Yang
Reinforcement Learning with Verbalized Probabilities for LLM Classification
Liyao Li, Hao Chen, Jiaming Tian, Wentao Ye, Lirong Gao,
Chao Ye, Ningtao Wang, Xing Fu, Yu Cheng, "&amp;"Haobo Wang, Gang
Chen and Junbo Zhao
Multistage Feedback-Driven Causal Discovery from Textual Data with Large Language Models
Juntao Yang, Dayuan Cao, Kui Yu, Xiang Wang, Jing Yang, Lin
Liu and Jiuyong Li
Inference Cost Attacks for Retrieval-Augmented L"&amp;"arge Language Models
Chengliang Liu, Liangbo Ning, Yujuan Ding and Wenqi Fan
")</f>
        <v>Anchor Drift No More: Hierarchical Consistency-Guided Prompt Distillation for Incomplete Multimodal Learning
Ruiting Dai, Zesen Cai, Lisi Mo, Guiduo Duan, Keren Shi and
Tao He
LoRA-E^2: Effective and Efficient Low-rank Adaptation
Shengkun Zhu, Jinshan Zeng, Yiming Wang, Sheng Wang, Yuan
Sun, Shangfeng Chen, Yuan Yao and Qiang Yang
Reinforcement Learning with Verbalized Probabilities for LLM Classification
Liyao Li, Hao Chen, Jiaming Tian, Wentao Ye, Lirong Gao,
Chao Ye, Ningtao Wang, Xing Fu, Yu Cheng, Haobo Wang, Gang
Chen and Junbo Zhao
Multistage Feedback-Driven Causal Discovery from Textual Data with Large Language Models
Juntao Yang, Dayuan Cao, Kui Yu, Xiang Wang, Jing Yang, Lin
Liu and Jiuyong Li
Inference Cost Attacks for Retrieval-Augmented Large Language Models
Chengliang Liu, Liangbo Ning, Yujuan Ding and Wenqi Fan
</v>
      </c>
      <c r="K86" s="20" t="str">
        <f>IFERROR(__xludf.DUMMYFUNCTION("TEXTJOIN(CHAR(10), TRUE,FILTER('Research assignment'!$D:$D,'Research assignment'!$H:$H=K83))"),"ES-MemEval: Benchmarking Conversational Agents on Personalized Long-Term Emotional Support
Tiantian Chen, Jiaqi Lu, Ying Shen and Lin Zhang
Learning Evolving Preferences: A Federated Continual Framework for User-Centric Recommendation
Chunxu Zhang, Zhihe"&amp;"ng Xue, Guodong Long, Weipeng Zhang and
Bo Yang
Prototype-Aligned Federated Soft-Prompts for Continual Web Personalization
Canran Xiao and Liwei Hou
Modeling Stage-wise Evolution of User Interests for News Recommendation
Zhiyong Cheng, Yike Jin, Zhijie "&amp;"Zhang, Huilin Chen,
Zhangling Duan and Meng Wang
MemWeaver: A Hierarchical Memory from Textual Interactive Behaviors for Personalized Generation
Shuo Yu, Mingyue Cheng, Daoyu Wang, Qi Liu, Zirui Liu, Ze
Guo and Xiaoyu Tao
")</f>
        <v>ES-MemEval: Benchmarking Conversational Agents on Personalized Long-Term Emotional Support
Tiantian Chen, Jiaqi Lu, Ying Shen and Lin Zhang
Learning Evolving Preferences: A Federated Continual Framework for User-Centric Recommendation
Chunxu Zhang, Zhiheng Xue, Guodong Long, Weipeng Zhang and
Bo Yang
Prototype-Aligned Federated Soft-Prompts for Continual Web Personalization
Canran Xiao and Liwei Hou
Modeling Stage-wise Evolution of User Interests for News Recommendation
Zhiyong Cheng, Yike Jin, Zhijie Zhang, Huilin Chen,
Zhangling Duan and Meng Wang
MemWeaver: A Hierarchical Memory from Textual Interactive Behaviors for Personalized Generation
Shuo Yu, Mingyue Cheng, Daoyu Wang, Qi Liu, Zirui Liu, Ze
Guo and Xiaoyu Tao
</v>
      </c>
      <c r="L86" s="20" t="str">
        <f>IFERROR(__xludf.DUMMYFUNCTION("TEXTJOIN(CHAR(10), TRUE,FILTER('Research assignment'!$D:$D,'Research assignment'!$H:$H=L83))"),"Personalized Parameter-Efficient Fine-Tuning of Foundation Models for Multimodal Recommendation
Sunwoo Kim, Hyunjin Hwang and Kijung Shin
MCRec: Few-Shot Multimodal Cover Recommendation via User Interest Profiles
Weixin Zheng, Chunyao Song and Tingjian G"&amp;"e
Drifting with Intent: Generative Interest Trajectories for Multimodal Web Recommendation
Weilin Zhou, Hao Zhang and Guangxin Wu
TargetMR: Learning Modality Target for Multimodal Recommendation
Gu Tang, Jinghe Wang, Jiang Bo, Ze Zhao, Jianping Zhou,
Xi"&amp;"aoying Gan, Luoyi Fu, Xinbing Wang and Chenghu Zhou
Multimodal-enhanced Federated Recommendation: A Group-wise Fusion Approach
Chunxu Zhang, Weipeng Zhang, Guodong Long, Zhiheng Xue,
Riting Xia and Bo Yang
")</f>
        <v>Personalized Parameter-Efficient Fine-Tuning of Foundation Models for Multimodal Recommendation
Sunwoo Kim, Hyunjin Hwang and Kijung Shin
MCRec: Few-Shot Multimodal Cover Recommendation via User Interest Profiles
Weixin Zheng, Chunyao Song and Tingjian Ge
Drifting with Intent: Generative Interest Trajectories for Multimodal Web Recommendation
Weilin Zhou, Hao Zhang and Guangxin Wu
TargetMR: Learning Modality Target for Multimodal Recommendation
Gu Tang, Jinghe Wang, Jiang Bo, Ze Zhao, Jianping Zhou,
Xiaoying Gan, Luoyi Fu, Xinbing Wang and Chenghu Zhou
Multimodal-enhanced Federated Recommendation: A Group-wise Fusion Approach
Chunxu Zhang, Weipeng Zhang, Guodong Long, Zhiheng Xue,
Riting Xia and Bo Yang
</v>
      </c>
      <c r="M86" s="20" t="str">
        <f>IFERROR(__xludf.DUMMYFUNCTION("TEXTJOIN(CHAR(10), TRUE,FILTER('Industry assignment'!$D:$D,'Industry assignment'!$H:$H=M83))"),"A Long-term Value Prediction Framework In Video Ranking
Huabin Chen, Xinao Wang, Huiping Chu, Keqin Xu, Chenhao Zhai, Chenyi Wang, Kai Meng and Yuning Jiang
GAM: A Generative Auto-Marketing Framework in Online E-commerce Platforms
Yuejia Dou, Shuai Dou, "&amp;"Yuchao Ma, Bingzhe Wang, Tianyu Wang, Zhilin Zhang, Chuan Yu, Jian Xu and Qi Qi
Make It Long, Keep It Fast: End-to-End 10k-Sequence Modeling at Billion Scale on Douyin
Lin Guan, Jia-Qi Yang, Zhishan Zhao, Beichuan Zhang, Bo Sun, Xuanyuan Luo, Jinan Ni, X"&amp;"iaowen Li, Yuhang Qi, Zhifang Fan, Hangyu Wang, Qiwei Chen, Yi Cheng, Feng Zhang and Xiao Yang
When Rules Fall Short: Agent-Driven Discovery of Emerging Content Issues in Short Video Platforms
Chenghui Yu, Hongwei Wang, Junwen Chen, Zixuan Wang, Bingfeng"&amp;" Deng, Zhuolin Hao, Hongyu Xiong and Yang Song
Visual Content Moderation in Messaging Systems
Maria Ljubičić, Emanuel Lacić and Denis Helić
")</f>
        <v>A Long-term Value Prediction Framework In Video Ranking
Huabin Chen, Xinao Wang, Huiping Chu, Keqin Xu, Chenhao Zhai, Chenyi Wang, Kai Meng and Yuning Jiang
GAM: A Generative Auto-Marketing Framework in Online E-commerce Platforms
Yuejia Dou, Shuai Dou, Yuchao Ma, Bingzhe Wang, Tianyu Wang, Zhilin Zhang, Chuan Yu, Jian Xu and Qi Qi
Make It Long, Keep It Fast: End-to-End 10k-Sequence Modeling at Billion Scale on Douyin
Lin Guan, Jia-Qi Yang, Zhishan Zhao, Beichuan Zhang, Bo Sun, Xuanyuan Luo, Jinan Ni, Xiaowen Li, Yuhang Qi, Zhifang Fan, Hangyu Wang, Qiwei Chen, Yi Cheng, Feng Zhang and Xiao Yang
When Rules Fall Short: Agent-Driven Discovery of Emerging Content Issues in Short Video Platforms
Chenghui Yu, Hongwei Wang, Junwen Chen, Zixuan Wang, Bingfeng Deng, Zhuolin Hao, Hongyu Xiong and Yang Song
Visual Content Moderation in Messaging Systems
Maria Ljubičić, Emanuel Lacić and Denis Helić
</v>
      </c>
      <c r="N86" s="20" t="str">
        <f>IFERROR(__xludf.DUMMYFUNCTION("TEXTJOIN(CHAR(10), TRUE,FILTER('Web4Good assignment'!$D:$D,'Web4Good assignment'!$H:$H=N83))"),"Fairer AI Carbon Accounting: Incorporating Market-based Attribution and Uncertainty in Embodied and Operational Carbon Footprint
Xiaoyang Zhang, Yang Deng, Fang He and Dan Wang
EcoThink: A Green Adaptive Inference Framework for Sustainable and Accessible"&amp;" Agents
Linxiao Li and Zhixiang Lu
GreenTune: Energy-Efficient Low-Rank Tuning of LLMs with ThreeE Evaluation under 4-/8-bit Quantization
Xingrao Ma, Zongxi Li, Chengzu Dong, Kai Fang and Shao Di
Route-and-Reason: Energy-Efficient Scaling of LLM Reasoni"&amp;"ng via Reinforced Model Routing
Chenyang Shao, Xinyang Liu, Yutang Lin, Fengli Xu and Yong Li
Online GPU Energy Optimization with Switching-Aware Bandits
Xiongxiao Xu, Solomon Abera Bekele, Brice Videau and Kai Shu
")</f>
        <v>Fairer AI Carbon Accounting: Incorporating Market-based Attribution and Uncertainty in Embodied and Operational Carbon Footprint
Xiaoyang Zhang, Yang Deng, Fang He and Dan Wang
EcoThink: A Green Adaptive Inference Framework for Sustainable and Accessible Agents
Linxiao Li and Zhixiang Lu
GreenTune: Energy-Efficient Low-Rank Tuning of LLMs with ThreeE Evaluation under 4-/8-bit Quantization
Xingrao Ma, Zongxi Li, Chengzu Dong, Kai Fang and Shao Di
Route-and-Reason: Energy-Efficient Scaling of LLM Reasoning via Reinforced Model Routing
Chenyang Shao, Xinyang Liu, Yutang Lin, Fengli Xu and Yong Li
Online GPU Energy Optimization with Switching-Aware Bandits
Xiongxiao Xu, Solomon Abera Bekele, Brice Videau and Kai Shu
</v>
      </c>
      <c r="O86" s="22"/>
      <c r="P86" s="5"/>
      <c r="Q86" s="5"/>
      <c r="R86" s="5"/>
      <c r="S86" s="5"/>
      <c r="T86" s="5"/>
      <c r="U86" s="5"/>
      <c r="V86" s="5"/>
      <c r="W86" s="5"/>
      <c r="X86" s="5"/>
      <c r="Y86" s="5"/>
      <c r="Z86" s="5"/>
      <c r="AA86" s="5"/>
    </row>
    <row r="87" collapsed="1">
      <c r="A87" s="80" t="s">
        <v>30</v>
      </c>
      <c r="B87" s="81" t="s">
        <v>186</v>
      </c>
      <c r="O87" s="38"/>
      <c r="P87" s="5"/>
      <c r="Q87" s="5"/>
      <c r="R87" s="5"/>
      <c r="S87" s="5"/>
      <c r="T87" s="5"/>
      <c r="U87" s="5"/>
      <c r="V87" s="5"/>
      <c r="W87" s="5"/>
      <c r="X87" s="5"/>
      <c r="Y87" s="5"/>
      <c r="Z87" s="5"/>
      <c r="AA87" s="5"/>
    </row>
    <row r="88" hidden="1" outlineLevel="1">
      <c r="A88" s="36"/>
      <c r="B88" s="36" t="s">
        <v>187</v>
      </c>
      <c r="C88" s="36" t="s">
        <v>188</v>
      </c>
      <c r="D88" s="36" t="s">
        <v>189</v>
      </c>
      <c r="E88" s="36" t="s">
        <v>190</v>
      </c>
      <c r="F88" s="36" t="s">
        <v>191</v>
      </c>
      <c r="G88" s="36" t="s">
        <v>192</v>
      </c>
      <c r="H88" s="36" t="s">
        <v>193</v>
      </c>
      <c r="I88" s="36" t="s">
        <v>194</v>
      </c>
      <c r="J88" s="36" t="s">
        <v>195</v>
      </c>
      <c r="K88" s="36" t="s">
        <v>196</v>
      </c>
      <c r="L88" s="21" t="s">
        <v>197</v>
      </c>
      <c r="M88" s="21" t="s">
        <v>198</v>
      </c>
      <c r="N88" s="36"/>
      <c r="O88" s="30"/>
      <c r="P88" s="27"/>
      <c r="Q88" s="27"/>
      <c r="R88" s="27"/>
      <c r="S88" s="27"/>
      <c r="T88" s="27"/>
      <c r="U88" s="27"/>
      <c r="V88" s="27"/>
      <c r="W88" s="27"/>
      <c r="X88" s="27"/>
      <c r="Y88" s="27"/>
      <c r="Z88" s="27"/>
      <c r="AA88" s="27"/>
    </row>
    <row r="89" hidden="1" outlineLevel="1">
      <c r="A89" s="83"/>
      <c r="B89" s="83" t="str">
        <f>IFERROR(__xludf.DUMMYFUNCTION("TEXTJOIN(CHAR(10), TRUE,FILTER('Demos assignment'!$D:$D,'Demos assignment'!$G:$G=B88))"),"QueryGym: A Toolkit for Reproducible LLM-Based Query Reformulation
Amin Bigdeli, Radin Hamidi Rad, Mert Incesu, Negar Arabzadeh, Charles Clarke and Ebrahim Bagheri
MetriKG: Profiling Static and Evolving Knowledge Graphs
Hasan Hüseyin Günes, Milos Jovanov"&amp;"ik and Katja Hose
TabTune: A Unified Library for Inference and Fine-Tuning Tabular Foundation Models
Aditya Tanna, Pratinav Seth, Mohamed Bouadi and Vinay Kumar Kumar Sankarapu
RobustReviewAI: A Robustness Evaluation System for AI-Powered Peer Review
Si"&amp;"ming Yuan, Yuchen Liu, Qinan Zheng, Wangze Ni, Shimin Di, Lei Chen and Kui Ren
LLM-Powered Structurer: Normalizing Natural Language to Information Delivery Specification for Industrial Data Exchange
Jiqian Yang, Sujie Yan, Zhi Li, Mingyu Liu, Yousheng Wa"&amp;"ng and Wei He
OwlerLite: Scope- and Freshness-Aware Web Retrieval for LLM Assistants
Saber Zerhoudi, Michael Dinzinger, Michael Granitzer and Jelena Mitrovic
Weakly Supervised Multimodal Claim Verification with Entity-Graph Inference
Kiana Bagheri-Lotfa"&amp;"bad, Amin Beheshti, Milad Mosharraf, Min Li, Pooyan Asgari and Guanfeng Liu
BLURR: A Boosted Low-Resource Inference for Vision-Language-Action Model
Xiaoyu Ma, Zhengqing Yuan, Zheyuan Zhang, Kaiwen Shi, Lichao Sun and Yanfang Ye
")</f>
        <v>QueryGym: A Toolkit for Reproducible LLM-Based Query Reformulation
Amin Bigdeli, Radin Hamidi Rad, Mert Incesu, Negar Arabzadeh, Charles Clarke and Ebrahim Bagheri
MetriKG: Profiling Static and Evolving Knowledge Graphs
Hasan Hüseyin Günes, Milos Jovanovik and Katja Hose
TabTune: A Unified Library for Inference and Fine-Tuning Tabular Foundation Models
Aditya Tanna, Pratinav Seth, Mohamed Bouadi and Vinay Kumar Kumar Sankarapu
RobustReviewAI: A Robustness Evaluation System for AI-Powered Peer Review
Siming Yuan, Yuchen Liu, Qinan Zheng, Wangze Ni, Shimin Di, Lei Chen and Kui Ren
LLM-Powered Structurer: Normalizing Natural Language to Information Delivery Specification for Industrial Data Exchange
Jiqian Yang, Sujie Yan, Zhi Li, Mingyu Liu, Yousheng Wang and Wei He
OwlerLite: Scope- and Freshness-Aware Web Retrieval for LLM Assistants
Saber Zerhoudi, Michael Dinzinger, Michael Granitzer and Jelena Mitrovic
Weakly Supervised Multimodal Claim Verification with Entity-Graph Inference
Kiana Bagheri-Lotfabad, Amin Beheshti, Milad Mosharraf, Min Li, Pooyan Asgari and Guanfeng Liu
BLURR: A Boosted Low-Resource Inference for Vision-Language-Action Model
Xiaoyu Ma, Zhengqing Yuan, Zheyuan Zhang, Kaiwen Shi, Lichao Sun and Yanfang Ye
</v>
      </c>
      <c r="C89" s="38" t="str">
        <f>IFERROR(__xludf.DUMMYFUNCTION("TEXTJOIN(CHAR(10), TRUE,FILTER('ShortPapers assignment'!$E:$E,'ShortPapers assignment'!$H:$H=C88))"),"Linguistic Signatures for Enhanced Emotion Detection
Florian Lecourt, Madalina Croitoru and Konstantin Todorov
PRISM: LLM-Guided Semantic Clustering for High-Precision Topics
Connor Douglas, Utkucan Balci and Joseph Aylett-Bullock
CitiLink-Summ: A Datas"&amp;"et of Discussion Subjects Summaries in European Portuguese Municipal Meeting Minutes
Miguel Marques, Ana Luísa Fernandes, Ana Filipa Pacheco, Rute Rebouças, Inês Cantante, José Isidro, Luís Filipe Cunha, Alípio Jorge, Nuno Guimarães, Sérgio Nunes, António"&amp;" Leal, Purificação Silvano and Ricardo Campos
Multi-Modal Enhanced Graph Transfer Learning for Digital Finance Fraud Detection
Yuxin Liu, Stephen Chan, Jeffrey Chu, Yuanyuan Zhang, Chenguang Yang, Zihao Wang, Yulia R. Gel and Yuzhou Chen
Designing for t"&amp;"he Next Click: Bandits for Real-Time Page Layout
Bhavtosh Rath, Harshith Narasimhamurthy, Bob Eisinger, Cole Stiegler, Adnan Awow and Amit Pande
Deepfakes in the 2025 Canadian Election: Prevalence, Partisanship, and Platform Dynamics
Victor Livernoche, A"&amp;"ndreea Musulan, Zachary Yang, Jean-François Godbout and Reihaneh Rabbany
Edit-Level Tracking of Narrative Changes in 10-K Filings
Xiao Li, Changhong Jin, Yingjie Niu, Jingyi Wang and Ruihai Dong
Real-Time Trend Prediction via Continually-Aligned LLM Que"&amp;"ry Generation
Zijing Hui, Wenhan Lyu, Shusen Wang, Li Chen and Chu Wang
Uncertainty-Aware Web-Conditioned Scientific Fact-Checking
Ashwin Vinod and Katrin Erk
Towards Token-Level Text Anomaly Detection
Yang Cao, Bicheng Yu, Sikun Yang, Ming Liu and Yuji"&amp;"u Yang
llm-tuna - Hyperparameter Optimization for LLM Inference
Thameem Abbas Ibrahim Bathusha, Aanya Sharma, Andy Huynh, Rehan Samaratunga and Ashish Kamra
From Random Forget-Sets to Realistic Natural-Language Deletion Requests
Imran Ahsan, Jinsung Kim"&amp;" and Mucheol Kim
Retrieval Collapses When AI Pollutes the Web
Hongyeon Yu, Dongchan Kim and Young-Bum Kim
Multimodal Topic Discovery in Web Media via von Mises-Fisher Mixture Neural Topic Models
Dayu Guo, Zhiwen Luo, Nizar Bouguila and Wentao Fan
Predi"&amp;"cting Expectancy Violations Using Eye-Tracking Features: A Machine Learning Approach
Sakrapee Paisalnan and Yashar Moshfeghi
SEER: Set Encoding for Efficient Representation in Large-Scale E-commerce
Yining Lin, Yuming Shen, Yipeng Zhang and Canran Xu
Re"&amp;"SuMe: Retriever-Summarizer Mutual Enhancement via Reinforcement Learning
Owais Makroo, Nikhil Pattisapu, Karan Gupta, Ankit Gandhi, Vijay Huddar and Atul Saroop
Agent-Enhanced Heterogeneous Graph RAG for Academic Question Answering
Runsong Jia, Mengjia W"&amp;"u, Ying Ding, Jie Lu and Yi Zhang
Causal Pre-training Under the Fairness Lens: An Empirical Study of TabPFN
Qinyi Liu, Mohammad Khalil and Naman Goel
STAR: Semantic Table Representation with Header-Aware Clustering and Adaptive Weighted Fusion
Shui-Hsia"&amp;"ng Hsu, Tsung-Hsiang Chou, Chen-Jui Yu and Yao-Chung Fan
ULoR: Uncertainty-Aware Leave-One-Out Refinement Framework for Diagnosis Prediction
Jie Zhang, Wanzi Shao and Tan Yanchao
Lurkers, Interactors, Creators: Modeling Behavioral and Ideological Divers"&amp;"ity on X
Cai Yang, Kokil Jaidka, Yphtach Lelkes and Subhayan Mukerjee
Tabular Foundation Models are Strong Graph Anomaly Detectors
Yunhui Liu, Tieke He, Yongchao Liu, Can Yi, Hong Jin and Chuntao Hong
Weighted Reservoir Sampling with Replacement from Da"&amp;"ta Streams
Adriano Meligrana and Adriano Fazzone
Multi-field Balance-aware Calibration of Predictions in Online Advertising
Zi-Kang Wang, Lei Gong, Shu-Ting Shi, Lan-Zhe Guo and Mu-Yu Zhang
")</f>
        <v>Linguistic Signatures for Enhanced Emotion Detection
Florian Lecourt, Madalina Croitoru and Konstantin Todorov
PRISM: LLM-Guided Semantic Clustering for High-Precision Topics
Connor Douglas, Utkucan Balci and Joseph Aylett-Bullock
CitiLink-Summ: A Dataset of Discussion Subjects Summaries in European Portuguese Municipal Meeting Minutes
Miguel Marques, Ana Luísa Fernandes, Ana Filipa Pacheco, Rute Rebouças, Inês Cantante, José Isidro, Luís Filipe Cunha, Alípio Jorge, Nuno Guimarães, Sérgio Nunes, António Leal, Purificação Silvano and Ricardo Campos
Multi-Modal Enhanced Graph Transfer Learning for Digital Finance Fraud Detection
Yuxin Liu, Stephen Chan, Jeffrey Chu, Yuanyuan Zhang, Chenguang Yang, Zihao Wang, Yulia R. Gel and Yuzhou Chen
Designing for the Next Click: Bandits for Real-Time Page Layout
Bhavtosh Rath, Harshith Narasimhamurthy, Bob Eisinger, Cole Stiegler, Adnan Awow and Amit Pande
Deepfakes in the 2025 Canadian Election: Prevalence, Partisanship, and Platform Dynamics
Victor Livernoche, Andreea Musulan, Zachary Yang, Jean-François Godbout and Reihaneh Rabbany
Edit-Level Tracking of Narrative Changes in 10-K Filings
Xiao Li, Changhong Jin, Yingjie Niu, Jingyi Wang and Ruihai Dong
Real-Time Trend Prediction via Continually-Aligned LLM Query Generation
Zijing Hui, Wenhan Lyu, Shusen Wang, Li Chen and Chu Wang
Uncertainty-Aware Web-Conditioned Scientific Fact-Checking
Ashwin Vinod and Katrin Erk
Towards Token-Level Text Anomaly Detection
Yang Cao, Bicheng Yu, Sikun Yang, Ming Liu and Yujiu Yang
llm-tuna - Hyperparameter Optimization for LLM Inference
Thameem Abbas Ibrahim Bathusha, Aanya Sharma, Andy Huynh, Rehan Samaratunga and Ashish Kamra
From Random Forget-Sets to Realistic Natural-Language Deletion Requests
Imran Ahsan, Jinsung Kim and Mucheol Kim
Retrieval Collapses When AI Pollutes the Web
Hongyeon Yu, Dongchan Kim and Young-Bum Kim
Multimodal Topic Discovery in Web Media via von Mises-Fisher Mixture Neural Topic Models
Dayu Guo, Zhiwen Luo, Nizar Bouguila and Wentao Fan
Predicting Expectancy Violations Using Eye-Tracking Features: A Machine Learning Approach
Sakrapee Paisalnan and Yashar Moshfeghi
SEER: Set Encoding for Efficient Representation in Large-Scale E-commerce
Yining Lin, Yuming Shen, Yipeng Zhang and Canran Xu
ReSuMe: Retriever-Summarizer Mutual Enhancement via Reinforcement Learning
Owais Makroo, Nikhil Pattisapu, Karan Gupta, Ankit Gandhi, Vijay Huddar and Atul Saroop
Agent-Enhanced Heterogeneous Graph RAG for Academic Question Answering
Runsong Jia, Mengjia Wu, Ying Ding, Jie Lu and Yi Zhang
Causal Pre-training Under the Fairness Lens: An Empirical Study of TabPFN
Qinyi Liu, Mohammad Khalil and Naman Goel
STAR: Semantic Table Representation with Header-Aware Clustering and Adaptive Weighted Fusion
Shui-Hsiang Hsu, Tsung-Hsiang Chou, Chen-Jui Yu and Yao-Chung Fan
ULoR: Uncertainty-Aware Leave-One-Out Refinement Framework for Diagnosis Prediction
Jie Zhang, Wanzi Shao and Tan Yanchao
Lurkers, Interactors, Creators: Modeling Behavioral and Ideological Diversity on X
Cai Yang, Kokil Jaidka, Yphtach Lelkes and Subhayan Mukerjee
Tabular Foundation Models are Strong Graph Anomaly Detectors
Yunhui Liu, Tieke He, Yongchao Liu, Can Yi, Hong Jin and Chuntao Hong
Weighted Reservoir Sampling with Replacement from Data Streams
Adriano Meligrana and Adriano Fazzone
Multi-field Balance-aware Calibration of Predictions in Online Advertising
Zi-Kang Wang, Lei Gong, Shu-Ting Shi, Lan-Zhe Guo and Mu-Yu Zhang
</v>
      </c>
      <c r="D89" s="83" t="str">
        <f>IFERROR(__xludf.DUMMYFUNCTION("TEXTJOIN(CHAR(10), TRUE,FILTER('Research assignment'!$D:$D,'Research assignment'!$I:$I=D88))"),"SLFM: Semi-Supervised Local Community Detection Based on Hyperbolic Flow Matching
Haixu Xiong, Li Sun, Yun Xiong, Suyang Zhou, Hongrun Ren
and Yangyong Zhu
Contextual Structure-Enhanced Selective Graph Convolutional Network
Shifei Ding, Fangchen Li, Lili"&amp;" Guo and Jian Zhang
WPIS: From In-the-Wild Web Images to Physics-Aware 3D Scene Graphs for Physical Reasoning
Ke Ma, Cong Fu, Jianing Wang, Yifei Wang, Wenyuan Li,
Xinggang Wang, Meng Wang and Tian Xia
Revisiting and Enhancing Graph Neural Networks thro"&amp;"ugh the Lens of Amortized Flows
Minjie Cheng, Bokai Yan, Dixin Luo and Hongteng Xu
STELA: Spatiotemporal Forecasting via Graph Learning and Entropy-Guided LLM Adaptation
Tiantian Huang, Yue Li, Wei Shao, Ziqi Xu, Qipeng Song and
Hui Li
Towards Geometry-"&amp;"Consistent Federated Graph Learning
Yuecen Wei, Zhiyu Zhuang, Yisen Gao, Xingcheng Fu, Qingyun
Sun, Ziwei Zhang, Tianyu Wo and Chunming Hu
Stuart-Landau Oscillatory Graph Neural Network
Kaicheng Zhang, David N Reynolds, Piero Deidda and
Francesco Tudisco"&amp;"
Rethinking Graph Generalization through the Lens of Sharpness-Aware Minimization
Yang Qiu, Yixiong Zou and Jun Wang
RARD: Rationale-First Blockwise Autoregressive Diffusion in Rationale‑Dominated Graph Generation
Xu Fan, Zhang Yijun, Zhang Sibo, Ding J"&amp;"iaxin, Fu Luoyi and
Wang Xinbing
Space-based Parameter Evolving with Lightweight Optimization for Graph Adaptation to Evolving Shifts
Junyu Luo, Zixuan Ouyang, Xiao Luo, Hourun Li, Zhiping
Xiao, Yifan Wang and Ming Zhang
")</f>
        <v>SLFM: Semi-Supervised Local Community Detection Based on Hyperbolic Flow Matching
Haixu Xiong, Li Sun, Yun Xiong, Suyang Zhou, Hongrun Ren
and Yangyong Zhu
Contextual Structure-Enhanced Selective Graph Convolutional Network
Shifei Ding, Fangchen Li, Lili Guo and Jian Zhang
WPIS: From In-the-Wild Web Images to Physics-Aware 3D Scene Graphs for Physical Reasoning
Ke Ma, Cong Fu, Jianing Wang, Yifei Wang, Wenyuan Li,
Xinggang Wang, Meng Wang and Tian Xia
Revisiting and Enhancing Graph Neural Networks through the Lens of Amortized Flows
Minjie Cheng, Bokai Yan, Dixin Luo and Hongteng Xu
STELA: Spatiotemporal Forecasting via Graph Learning and Entropy-Guided LLM Adaptation
Tiantian Huang, Yue Li, Wei Shao, Ziqi Xu, Qipeng Song and
Hui Li
Towards Geometry-Consistent Federated Graph Learning
Yuecen Wei, Zhiyu Zhuang, Yisen Gao, Xingcheng Fu, Qingyun
Sun, Ziwei Zhang, Tianyu Wo and Chunming Hu
Stuart-Landau Oscillatory Graph Neural Network
Kaicheng Zhang, David N Reynolds, Piero Deidda and
Francesco Tudisco
Rethinking Graph Generalization through the Lens of Sharpness-Aware Minimization
Yang Qiu, Yixiong Zou and Jun Wang
RARD: Rationale-First Blockwise Autoregressive Diffusion in Rationale‑Dominated Graph Generation
Xu Fan, Zhang Yijun, Zhang Sibo, Ding Jiaxin, Fu Luoyi and
Wang Xinbing
Space-based Parameter Evolving with Lightweight Optimization for Graph Adaptation to Evolving Shifts
Junyu Luo, Zixuan Ouyang, Xiao Luo, Hourun Li, Zhiping
Xiao, Yifan Wang and Ming Zhang
</v>
      </c>
      <c r="E89" s="83" t="str">
        <f>IFERROR(__xludf.DUMMYFUNCTION("TEXTJOIN(CHAR(10), TRUE,FILTER('Research assignment'!$D:$D,'Research assignment'!$I:$I=E88))"),"Robust Fake News Detection using Large Language Models under Adversarial Sentiment Attacks
Sahar Tahmasebi, Eric Müller-Budack and Ralph Ewerth
MultiFPT: Towards Multi-Attribute Fairness in Pre-Trained Graph Neural Networks via Prompt Tuning
Meng Cao, Mi"&amp;"ngcai Chen, Shuangjie Li, Hualei Yu, Shuai Feng
and Demin Gao
Is Contextual Advertising Safe? Analyzing Systemic Risks with Ads on YouTube
Asmaa El Fraihi, Ines Abdelaziz and Oana Goga
Unifying Diversity and Fairness in Re-ranking via Economic Growth Th"&amp;"eory
Zhaofeng Li, Chen Xu, Xinyu Lin, Wenjie Wang and Xiaokui
Xiao
Emergence of Structural Disparities in the Web of Scientific Citations
Buddhika Nettasinghe, Nazanin Alipourfard, Vikram
Krishnamurthy and Kristina Lerman
IO-X: Detecting and Attributing"&amp;" Content-Duplicating Influence Operations on X (Twitter)
Ashfaq Ali Shafin, Md Nahid Siddique and Bogdan Carbunar
Characterizing Iran's Phased National Internet Shutdown in 2025: A Progressive and Distributed Action
Shibo Cui, Mingxuan Liu, Baojun Liu, H"&amp;"aixin Duan, Ruixuan
Li, Chaoyi Lu, Jin Zhang, Zhicheng Wang and Jinghua Bai
")</f>
        <v>Robust Fake News Detection using Large Language Models under Adversarial Sentiment Attacks
Sahar Tahmasebi, Eric Müller-Budack and Ralph Ewerth
MultiFPT: Towards Multi-Attribute Fairness in Pre-Trained Graph Neural Networks via Prompt Tuning
Meng Cao, Mingcai Chen, Shuangjie Li, Hualei Yu, Shuai Feng
and Demin Gao
Is Contextual Advertising Safe? Analyzing Systemic Risks with Ads on YouTube
Asmaa El Fraihi, Ines Abdelaziz and Oana Goga
Unifying Diversity and Fairness in Re-ranking via Economic Growth Theory
Zhaofeng Li, Chen Xu, Xinyu Lin, Wenjie Wang and Xiaokui
Xiao
Emergence of Structural Disparities in the Web of Scientific Citations
Buddhika Nettasinghe, Nazanin Alipourfard, Vikram
Krishnamurthy and Kristina Lerman
IO-X: Detecting and Attributing Content-Duplicating Influence Operations on X (Twitter)
Ashfaq Ali Shafin, Md Nahid Siddique and Bogdan Carbunar
Characterizing Iran's Phased National Internet Shutdown in 2025: A Progressive and Distributed Action
Shibo Cui, Mingxuan Liu, Baojun Liu, Haixin Duan, Ruixuan
Li, Chaoyi Lu, Jin Zhang, Zhicheng Wang and Jinghua Bai
</v>
      </c>
      <c r="F89" s="83" t="str">
        <f>IFERROR(__xludf.DUMMYFUNCTION("TEXTJOIN(CHAR(10), TRUE,FILTER('Research assignment'!$D:$D,'Research assignment'!$I:$I=F88))"),"Rethinking Soft Compression in Retrieval-Augmented Generation: A Query-Conditioned Selector Perspective
Yunhao Liu, Zian Jia, Xinyu Gao, Kanjun Xu and Yun Xiong
SketchMind: Understanding Abstract Sketches with MLLMs for Fine-Grained Sketch-Based Image Re"&amp;"trieval
Li Changxing, Donglin Zhang, Zhikai Hu, Xiao-Jun Wu and
Josef Kittler
A Unified Framework for Context-Aware and Relation-Aware Graph Retrieval-Augmented Generation
Haoyang Zhong, Yifei Sun, Antong Zhang, Chunping Wang, Lei
Chen and Yang Yang
Age"&amp;"nticShop: Benchmarking Agentic Product Curation for Personalized Web Shopping
Sunghwan Kim, Ryang Heo, Yongsik Seo, Jinyoung Yeo and
Dongha Lee
CFVBench: A Comprehensive Video Benchmark for Fine-grained Multimodal Retrieval-Augmented Generation
Kaiwen We"&amp;"i, Xiao Liu, Jie Zhang, Zijian Wang, Ruida Liu,
Yuming Yang, Xin Xiao, Xiao Sun, Haoyang Zeng, Changzai
Pan, Yidan Zhang, Jiang Zhong, Peijin Wang and Yingchao Feng
TRACE: Trajectory-Aware Comprehensive Evaluation for Deep Research Agents
Yanyu Chen, Jiy"&amp;"ue Jiang, Jiahong Liu, Yifei Zhang, Xiao Guo
and Irwin King
")</f>
        <v>Rethinking Soft Compression in Retrieval-Augmented Generation: A Query-Conditioned Selector Perspective
Yunhao Liu, Zian Jia, Xinyu Gao, Kanjun Xu and Yun Xiong
SketchMind: Understanding Abstract Sketches with MLLMs for Fine-Grained Sketch-Based Image Retrieval
Li Changxing, Donglin Zhang, Zhikai Hu, Xiao-Jun Wu and
Josef Kittler
A Unified Framework for Context-Aware and Relation-Aware Graph Retrieval-Augmented Generation
Haoyang Zhong, Yifei Sun, Antong Zhang, Chunping Wang, Lei
Chen and Yang Yang
AgenticShop: Benchmarking Agentic Product Curation for Personalized Web Shopping
Sunghwan Kim, Ryang Heo, Yongsik Seo, Jinyoung Yeo and
Dongha Lee
CFVBench: A Comprehensive Video Benchmark for Fine-grained Multimodal Retrieval-Augmented Generation
Kaiwen Wei, Xiao Liu, Jie Zhang, Zijian Wang, Ruida Liu,
Yuming Yang, Xin Xiao, Xiao Sun, Haoyang Zeng, Changzai
Pan, Yidan Zhang, Jiang Zhong, Peijin Wang and Yingchao Feng
TRACE: Trajectory-Aware Comprehensive Evaluation for Deep Research Agents
Yanyu Chen, Jiyue Jiang, Jiahong Liu, Yifei Zhang, Xiao Guo
and Irwin King
</v>
      </c>
      <c r="G89" s="83" t="str">
        <f>IFERROR(__xludf.DUMMYFUNCTION("TEXTJOIN(CHAR(10), TRUE,FILTER('Research assignment'!$D:$D,'Research assignment'!$I:$I=G88))"),"Expectation-Guided Self-Verification for Aligning Large Reasoning Models with Domain Knowledge
Han Zhang, Chen Zhao, Shasha Wang, Gang Chen and Chenghong
Zhang
Incentivizing Agentic Reasoning Capability with Outcome Supervision for Knowledge Base Questio"&amp;"n Answering
Zhuo Chen, Fei Wang, Zixuan Li, Zhao Zhang, Weiwei Ding,
Chuanguang Yang, Yongjun Xu and Xiaolong Jin
Learning to Route: A Rule-Driven Agent Framework for Hybrid-Source Retrieval-Augmented Generation
Haoyue Bai, Haoyu Wang, Shengyu Chen, Zhen"&amp;"gzhang Chen,
Lu-An Tang, Wei Cheng, Yanjie Fu and Haifeng Chen
MixRAG : Mixture-of-Experts Retrieval-Augmented Generation for Textual Graph Understanding and Question Answering
Lihui Liu, Jiayuan Ding, Subhabrata Mukherjee and Carl Yang
AdaQE-CG: Adapti"&amp;"ve Query Expansion for Web-Scale Generative AI Model and Data Card Generation
Haoxuan Zhang, Ruochi Li, Zhenni Liang, Sattari Mehri, Phat
Vo, Collin Qu, Ting Xiao, Junhua Ding, Yang Zhang and
Haihua Chen
Dual-View Hypercube Alignment Framework for Open-W"&amp;"orld Entity Typing
Hu Chen, Yu Zhu and Wei Shen
Counterfactual Meta-task Augmentation for Few-shot Graph Node Classification
Zhiqiang Wang, Jiaxin Zhang, Chenchao Zhang, Shiying Cheng,
Jianqing Liang and Peng Song
Knowledge-Enhanced Multimodal Fake News"&amp;" Detection: Semantic Visual and Priority Fusion
Qin Zhang, Jiaying Liu, Qian Tao, Zhiwei Guo, Qiyue Zhong,
Yifan Zhang and Ziyan Huang
BLEND: Balanced and Leaf-Enhanced Dual Fine-Tuning for Taxonomy Completion
Pankaj Iiitd, Dhruv Kumar, Vinayak Abrol and"&amp;" Vikram Goyal
")</f>
        <v>Expectation-Guided Self-Verification for Aligning Large Reasoning Models with Domain Knowledge
Han Zhang, Chen Zhao, Shasha Wang, Gang Chen and Chenghong
Zhang
Incentivizing Agentic Reasoning Capability with Outcome Supervision for Knowledge Base Question Answering
Zhuo Chen, Fei Wang, Zixuan Li, Zhao Zhang, Weiwei Ding,
Chuanguang Yang, Yongjun Xu and Xiaolong Jin
Learning to Route: A Rule-Driven Agent Framework for Hybrid-Source Retrieval-Augmented Generation
Haoyue Bai, Haoyu Wang, Shengyu Chen, Zhengzhang Chen,
Lu-An Tang, Wei Cheng, Yanjie Fu and Haifeng Chen
MixRAG : Mixture-of-Experts Retrieval-Augmented Generation for Textual Graph Understanding and Question Answering
Lihui Liu, Jiayuan Ding, Subhabrata Mukherjee and Carl Yang
AdaQE-CG: Adaptive Query Expansion for Web-Scale Generative AI Model and Data Card Generation
Haoxuan Zhang, Ruochi Li, Zhenni Liang, Sattari Mehri, Phat
Vo, Collin Qu, Ting Xiao, Junhua Ding, Yang Zhang and
Haihua Chen
Dual-View Hypercube Alignment Framework for Open-World Entity Typing
Hu Chen, Yu Zhu and Wei Shen
Counterfactual Meta-task Augmentation for Few-shot Graph Node Classification
Zhiqiang Wang, Jiaxin Zhang, Chenchao Zhang, Shiying Cheng,
Jianqing Liang and Peng Song
Knowledge-Enhanced Multimodal Fake News Detection: Semantic Visual and Priority Fusion
Qin Zhang, Jiaying Liu, Qian Tao, Zhiwei Guo, Qiyue Zhong,
Yifan Zhang and Ziyan Huang
BLEND: Balanced and Leaf-Enhanced Dual Fine-Tuning for Taxonomy Completion
Pankaj Iiitd, Dhruv Kumar, Vinayak Abrol and Vikram Goyal
</v>
      </c>
      <c r="H89" s="83" t="str">
        <f>IFERROR(__xludf.DUMMYFUNCTION("TEXTJOIN(CHAR(10), TRUE,FILTER('Research assignment'!$D:$D,'Research assignment'!$I:$I=H88))"),"Does Ad-Free Mean Less Data Collection? An Empirical Study of Platform Data Practices and User Expectations
Sepehr Mousavi, Abhisek Dash, Savvas Zannettou and Krishna
P. Gummadi
Balancing Privacy and Security of QNAME Minimisation
Qinxin Li, Zhaohua Wang"&amp;", Wenhao Wu, Zihan Li, Yiming Xia,
Chuan Gao and Zhenyu Li
Do You Really Know What I Am Doing? Backdoor Attacks on Provenance-Based Intrusion Detection Systems
Shaodi Xie, Wei Yuan, Haoyu Jiang, Zhu Gong, Haoran Wang,
Heng Li and Tiejun Wu
Trust on Relo"&amp;"ad: Securing Browser-Based End-to-End Encryption
Simon Schwarz, Florian Bauckholt and Leon Trampert
Fast or Secure? Push the Limit of Privacy Leakage Threat via Charging Side-Channel Attacks
Jiaxin Jiang, Xutong Zhang, Jiahao Li, Leqi Zhao, Zhengxin
Guo,"&amp;" Kaiyan Cui, Ming Gao, Jinsong Han and Fu Xiao
PeriNet: Periodic Deep Learning Framework for Modality-Agnostic Privacy Preserving
Yan Zhang, Yihong Song, Manzhou Li, Qiushi Li, Qi Li and Ju
Ren
CogAgent: Self-Evolving Cognitive Agents for Multi-Source F"&amp;"raud Detection in Heterogeneous Financial Networks
Qianyu Wang, Weiyou Tian, Rong Wang, Wei-Tek Tsai, Tianyu
Shi, Zhuang Liu and Tianze Xia
Evasion Under Blockchain Sanctions
Endong Liu, Mark Ryan, Liyi Zhou and Pascal Berrang
Unveiling the Underground "&amp;"Phishing Ecosystem: A 12-Year Longitudinal Study of Deep and Dark Web Forums
Dohee Kim, Zhao Hui, Doowon Kim and Sungjae Hwang
YouChoose: A Lightweight Anonymous Proof of Account Ownership
Aarav Varshney, Prashant Agrawal and Mahabir Prasad Jhanwar
")</f>
        <v>Does Ad-Free Mean Less Data Collection? An Empirical Study of Platform Data Practices and User Expectations
Sepehr Mousavi, Abhisek Dash, Savvas Zannettou and Krishna
P. Gummadi
Balancing Privacy and Security of QNAME Minimisation
Qinxin Li, Zhaohua Wang, Wenhao Wu, Zihan Li, Yiming Xia,
Chuan Gao and Zhenyu Li
Do You Really Know What I Am Doing? Backdoor Attacks on Provenance-Based Intrusion Detection Systems
Shaodi Xie, Wei Yuan, Haoyu Jiang, Zhu Gong, Haoran Wang,
Heng Li and Tiejun Wu
Trust on Reload: Securing Browser-Based End-to-End Encryption
Simon Schwarz, Florian Bauckholt and Leon Trampert
Fast or Secure? Push the Limit of Privacy Leakage Threat via Charging Side-Channel Attacks
Jiaxin Jiang, Xutong Zhang, Jiahao Li, Leqi Zhao, Zhengxin
Guo, Kaiyan Cui, Ming Gao, Jinsong Han and Fu Xiao
PeriNet: Periodic Deep Learning Framework for Modality-Agnostic Privacy Preserving
Yan Zhang, Yihong Song, Manzhou Li, Qiushi Li, Qi Li and Ju
Ren
CogAgent: Self-Evolving Cognitive Agents for Multi-Source Fraud Detection in Heterogeneous Financial Networks
Qianyu Wang, Weiyou Tian, Rong Wang, Wei-Tek Tsai, Tianyu
Shi, Zhuang Liu and Tianze Xia
Evasion Under Blockchain Sanctions
Endong Liu, Mark Ryan, Liyi Zhou and Pascal Berrang
Unveiling the Underground Phishing Ecosystem: A 12-Year Longitudinal Study of Deep and Dark Web Forums
Dohee Kim, Zhao Hui, Doowon Kim and Sungjae Hwang
YouChoose: A Lightweight Anonymous Proof of Account Ownership
Aarav Varshney, Prashant Agrawal and Mahabir Prasad Jhanwar
</v>
      </c>
      <c r="I89" s="83" t="str">
        <f>IFERROR(__xludf.DUMMYFUNCTION("TEXTJOIN(CHAR(10), TRUE,FILTER('Research assignment'!$D:$D,'Research assignment'!$I:$I=I88))"),"Fate: Fast Edge Inference of Mixture-of-Experts Models via Cross-Layer Gate
Zhiyuan Fang, Xingfan Yu, Yuegui Huang, Zicong Hong, Yufeng
Lyu, Wuhui Chen, Yue Yu and Fan Yu
BIND: Enabling Continuous Transaction Processing During Account Migration in Sharde"&amp;"d Blockchains
Jiahao Qi, Dian Ding, Jie Li, Jiannong Cao, Yi-Chao Chen,
Guangtao Xue and Shengyun Liu
Adaptive Model and Strategy Routing for Cost-Efficient LLM Services
Zhihong Pan, Kai Zhang, Yuze Zhao and Yupeng Han
MetaKube: An Experience-Aware LLM "&amp;"Framework for Kubernetes Failure Diagnosis
Wei Sun, Ting Wang, Xinran Tian, Wanshun Lan, Xuhan Feng,
Haoyue Li and Fangxin Wang
Amortized Predictability-aware Training Framework for Time Series Forecasting and Classification
Xu Zhang, Peng Wang, Yichen L"&amp;"i and Wei Wang
FovRL: Joint Foveation and Quality Control for Immersive VR Streaming Using Reinforcement Learning
Yuk Hang Tsui, Ze Wu, Ahmad Alhilal, Matti Siekkinen and
Pan Hui
SuperEar: Eavesdropping on Mobile Voice Calls via Stealthy Acoustic Metama"&amp;"terials
Zhiyuan Ning, Zhanyong Tang, Juan He, Weizhi Meng, Yuntian
Chen, Jie Zhang and Zheng Wang
FedMHO: Heterogeneous One-Shot Federated Learning Towards Resource-Constrained Clients
Dezhong Yao, Tongtong Liu, Yuexin Shi and Zhiqiang Xu
")</f>
        <v>Fate: Fast Edge Inference of Mixture-of-Experts Models via Cross-Layer Gate
Zhiyuan Fang, Xingfan Yu, Yuegui Huang, Zicong Hong, Yufeng
Lyu, Wuhui Chen, Yue Yu and Fan Yu
BIND: Enabling Continuous Transaction Processing During Account Migration in Sharded Blockchains
Jiahao Qi, Dian Ding, Jie Li, Jiannong Cao, Yi-Chao Chen,
Guangtao Xue and Shengyun Liu
Adaptive Model and Strategy Routing for Cost-Efficient LLM Services
Zhihong Pan, Kai Zhang, Yuze Zhao and Yupeng Han
MetaKube: An Experience-Aware LLM Framework for Kubernetes Failure Diagnosis
Wei Sun, Ting Wang, Xinran Tian, Wanshun Lan, Xuhan Feng,
Haoyue Li and Fangxin Wang
Amortized Predictability-aware Training Framework for Time Series Forecasting and Classification
Xu Zhang, Peng Wang, Yichen Li and Wei Wang
FovRL: Joint Foveation and Quality Control for Immersive VR Streaming Using Reinforcement Learning
Yuk Hang Tsui, Ze Wu, Ahmad Alhilal, Matti Siekkinen and
Pan Hui
SuperEar: Eavesdropping on Mobile Voice Calls via Stealthy Acoustic Metamaterials
Zhiyuan Ning, Zhanyong Tang, Juan He, Weizhi Meng, Yuntian
Chen, Jie Zhang and Zheng Wang
FedMHO: Heterogeneous One-Shot Federated Learning Towards Resource-Constrained Clients
Dezhong Yao, Tongtong Liu, Yuexin Shi and Zhiqiang Xu
</v>
      </c>
      <c r="J89" s="83" t="str">
        <f>IFERROR(__xludf.DUMMYFUNCTION("TEXTJOIN(CHAR(10), TRUE,FILTER('Research assignment'!$D:$D,'Research assignment'!$I:$I=J88))"),"Talos: Optimizing Top-K Accuracy in Recommender Systems
Shengjia Zhang, Weiqin Yang, Jiawei Chen, Peng Wu, Yuegang
Sun, Gang Wang, Qihao Shi and Can Wang
From Token to Item: Enhancing Large Language Models for Recommendation via Item-aware Attention Mech"&amp;"anism
Xiaokun Zhang, Bowei He, Jiamin Chen, Ziqiang Cui and Chen
Ma
Following the TRAIL: Predicting and Explaining Tomorrow’s Hits with a Fine-Tuned LLM
Yinan Zhang, Zhixi Chen, Jiazheng Jing and Zhiqi Shen
QDDR: Quality-Driven Intent Disentanglement wi"&amp;"th Dual-Path Modeling for Recommendation
Nengjun Zhu, Yixun Lu and Qi Zhang
IMPerSumm: Information-Modulated User Preference Modeling for Personalized Text Summarization
Parthiv Chatterjee, Dhara Jhaveri, Sourish Dasgupta and
Tanmoy Chakraborty
CCL-Diff"&amp;": Representation-Consistent Diffusion with Intrinsic Contrastive Learning for Recommender Systems
Lingyan Zhang, Wanyu Ling, Shuwen Daizhou, Li Kuang and
Kehua Guo
Exploration Sizing via Model-Predictive Control
Ethan Che, Hakan Ceylan, James McInerney a"&amp;"nd Nathan Kallus
Post-hoc Popularity Bias Correction in GNN-based Collaborative Filtering
Md Aminul Islam, Elena Zheleva and Ren Wang
Identifying and Upweighting Power-Niche Users to Mitigate Popularity Bias in Recommendations
David Liu, Erik Weis, Mori"&amp;"tz Laber, Tina Eliassi-Rad and
Brennan Klein
Efficient Content-based Recommendation Model Training via Noise-aware Coreset Selection
Hung V. Tran, Tong Chen, Hechuan Wen, Quoc Viet Hung
Nguyen, Bin Cui and Hongzhi Yin
DrunkAgent: Stealthy Memory Corrupt"&amp;"ion in LLM-Powered Recommender Agents
Shiyi Yang, Zhibo Hu, Xinshu Li, Chen Wang, Tong Yu, Xiwei
Xu, Liming Zhu and Lina Yao
TopKGAT: A Top-K Objective-Driven Architecture for Recommendation
Sirui Chen, Jiawei Chen, Canghong Jin, Sheng Zhou, Jingbang
Che"&amp;"n, Wujie Sun and Can Wang
Taming the Long Tail: Efficient Item-wise Sharpness-Aware Minimization for LLM-based Recommender Systems
Jiaming Zhang, Yuyuan Li, Xiaohua Feng, Li Zhang, Longfei
Li, Jun Zhou and Chaochao Chen
")</f>
        <v>Talos: Optimizing Top-K Accuracy in Recommender Systems
Shengjia Zhang, Weiqin Yang, Jiawei Chen, Peng Wu, Yuegang
Sun, Gang Wang, Qihao Shi and Can Wang
From Token to Item: Enhancing Large Language Models for Recommendation via Item-aware Attention Mechanism
Xiaokun Zhang, Bowei He, Jiamin Chen, Ziqiang Cui and Chen
Ma
Following the TRAIL: Predicting and Explaining Tomorrow’s Hits with a Fine-Tuned LLM
Yinan Zhang, Zhixi Chen, Jiazheng Jing and Zhiqi Shen
QDDR: Quality-Driven Intent Disentanglement with Dual-Path Modeling for Recommendation
Nengjun Zhu, Yixun Lu and Qi Zhang
IMPerSumm: Information-Modulated User Preference Modeling for Personalized Text Summarization
Parthiv Chatterjee, Dhara Jhaveri, Sourish Dasgupta and
Tanmoy Chakraborty
CCL-Diff: Representation-Consistent Diffusion with Intrinsic Contrastive Learning for Recommender Systems
Lingyan Zhang, Wanyu Ling, Shuwen Daizhou, Li Kuang and
Kehua Guo
Exploration Sizing via Model-Predictive Control
Ethan Che, Hakan Ceylan, James McInerney and Nathan Kallus
Post-hoc Popularity Bias Correction in GNN-based Collaborative Filtering
Md Aminul Islam, Elena Zheleva and Ren Wang
Identifying and Upweighting Power-Niche Users to Mitigate Popularity Bias in Recommendations
David Liu, Erik Weis, Moritz Laber, Tina Eliassi-Rad and
Brennan Klein
Efficient Content-based Recommendation Model Training via Noise-aware Coreset Selection
Hung V. Tran, Tong Chen, Hechuan Wen, Quoc Viet Hung
Nguyen, Bin Cui and Hongzhi Yin
DrunkAgent: Stealthy Memory Corruption in LLM-Powered Recommender Agents
Shiyi Yang, Zhibo Hu, Xinshu Li, Chen Wang, Tong Yu, Xiwei
Xu, Liming Zhu and Lina Yao
TopKGAT: A Top-K Objective-Driven Architecture for Recommendation
Sirui Chen, Jiawei Chen, Canghong Jin, Sheng Zhou, Jingbang
Chen, Wujie Sun and Can Wang
Taming the Long Tail: Efficient Item-wise Sharpness-Aware Minimization for LLM-based Recommender Systems
Jiaming Zhang, Yuyuan Li, Xiaohua Feng, Li Zhang, Longfei
Li, Jun Zhou and Chaochao Chen
</v>
      </c>
      <c r="K89" s="83" t="str">
        <f>IFERROR(__xludf.DUMMYFUNCTION("TEXTJOIN(CHAR(10), TRUE,FILTER('Research assignment'!$D:$D,'Research assignment'!$I:$I=K88))"),"GlassMiner: Mining Looking Glass Services via Structure-Semantics Fusion for Web Observability
Yunze Wei, Xingang Shi, Han Zhang, Tianyu Zhang, Yahui Li
and Xia Yin
From Newborn to Impact: Bias-Aware Citation Prediction
Mingfei Lu, Mengjia Wu, Jiawei Xu,"&amp;" Weikai Li, Feng Liu,
Ying Ding, Yizhou Sun, Jie Lu and Yi Zhang
FedRMamba: Federated Residual Mamba for Multivariate Time-Series Forecasting
Zhiwei Hu, Liang Zhang and Guangxu Zhu
Prompt-Induced Linguistic Fingerprints for LLM-Generated Fake News Detec"&amp;"tion
Chi Wang, Min Gao, Zongwei Wang, Junwei Yin, Kai Shu and
Chenghua Lin
BARouter: A Budget-adaptive Online Large Language Model Router Framework
Lingkai Zu, Xiyue Peng and Xin Liu
Moral Outrage Shapes Commitments Beyond Attention: Multimodal Moral Em"&amp;"otions on YouTube in Korea and the US
Seongchan Park, Jaehong Kim, Hyeonseung Kim, Heejin Bin,
Sue Moon and Wonjae Lee
Dynamic Multi-period Experts for Online Time Series Forecasting
Seungha Hong, Sukang Chae, Suyeon Kim, Sanghwan Jang and
Hwanjo Yu
Unl"&amp;"ocking the Multilingual Long-Tail Web: A Fused Macro-Micro Framework for Scalable Content Analysis
Jiarui Zhang, Yifan Deng and Qihao Wang
")</f>
        <v>GlassMiner: Mining Looking Glass Services via Structure-Semantics Fusion for Web Observability
Yunze Wei, Xingang Shi, Han Zhang, Tianyu Zhang, Yahui Li
and Xia Yin
From Newborn to Impact: Bias-Aware Citation Prediction
Mingfei Lu, Mengjia Wu, Jiawei Xu, Weikai Li, Feng Liu,
Ying Ding, Yizhou Sun, Jie Lu and Yi Zhang
FedRMamba: Federated Residual Mamba for Multivariate Time-Series Forecasting
Zhiwei Hu, Liang Zhang and Guangxu Zhu
Prompt-Induced Linguistic Fingerprints for LLM-Generated Fake News Detection
Chi Wang, Min Gao, Zongwei Wang, Junwei Yin, Kai Shu and
Chenghua Lin
BARouter: A Budget-adaptive Online Large Language Model Router Framework
Lingkai Zu, Xiyue Peng and Xin Liu
Moral Outrage Shapes Commitments Beyond Attention: Multimodal Moral Emotions on YouTube in Korea and the US
Seongchan Park, Jaehong Kim, Hyeonseung Kim, Heejin Bin,
Sue Moon and Wonjae Lee
Dynamic Multi-period Experts for Online Time Series Forecasting
Seungha Hong, Sukang Chae, Suyeon Kim, Sanghwan Jang and
Hwanjo Yu
Unlocking the Multilingual Long-Tail Web: A Fused Macro-Micro Framework for Scalable Content Analysis
Jiarui Zhang, Yifan Deng and Qihao Wang
</v>
      </c>
      <c r="L89" s="83" t="str">
        <f>IFERROR(__xludf.DUMMYFUNCTION("TEXTJOIN(CHAR(10), TRUE,FILTER('Industry assignment'!$D:$D,'Industry assignment'!$I:$I=L88))"),"Data-Driven Function Calling Improvements in Large Language Model for Online Financial QA
Xing Tang, Hao Chen, Shiwei Li, Fuyuan Lyu, Weijie Shi, Lingjie Li, Dugang Liu, Weihong Luo, Xiku Du and Xiuqiang He
CardRewriter: Leveraging Knowledge Cards for Lo"&amp;"ng-Tail Query Rewriting on Short-Video Platforms
Peiyuan Gong, Feiran Zhu, Yaqi Yin, ChengLei Dai, Chao Zhang, Kai Zheng, Wentian Bao, Jiaxin Mao and Yi Zhang
From Modularity to Unity: Towards Industrial-Scale Generative Recommendation
Xiaofeng Liu, Wenl"&amp;"iang Li, Tao Yu, Guanliang Song, Zhen Chen, Jing Zhou, Dongyue Wang, Xiwei Zhao and Sulong Xu
")</f>
        <v>Data-Driven Function Calling Improvements in Large Language Model for Online Financial QA
Xing Tang, Hao Chen, Shiwei Li, Fuyuan Lyu, Weijie Shi, Lingjie Li, Dugang Liu, Weihong Luo, Xiku Du and Xiuqiang He
CardRewriter: Leveraging Knowledge Cards for Long-Tail Query Rewriting on Short-Video Platforms
Peiyuan Gong, Feiran Zhu, Yaqi Yin, ChengLei Dai, Chao Zhang, Kai Zheng, Wentian Bao, Jiaxin Mao and Yi Zhang
From Modularity to Unity: Towards Industrial-Scale Generative Recommendation
Xiaofeng Liu, Wenliang Li, Tao Yu, Guanliang Song, Zhen Chen, Jing Zhou, Dongyue Wang, Xiwei Zhao and Sulong Xu
</v>
      </c>
      <c r="M89" s="83" t="str">
        <f>IFERROR(__xludf.DUMMYFUNCTION("TEXTJOIN(CHAR(10), TRUE,FILTER('Web4Good assignment'!$D:$D,'Web4Good assignment'!$I:$I=M88))"),"Bridging Cognitive Neuroscience and Graph Intelligence: Hippocampus-Inspired Multi-View Hypergraph Learning for Web Finance Fraud
Rongkun Cui, Nana Zhang, Kun Zhu and Qi Zhang
Energy-Efficient Training-Free Zero-Inflation Correction for Rainfall Forecast"&amp;"ing with Time-Series Foundation Models
Wentao Gao, Xiaojing Du, Xiongren Chen, Yifan Guo, Andres Mauricio Cifuentes-Bernal, Renqiang Luo and Ziqi Xu
HAAF: Hierarchical Adaptation and Alignment of Foundation Models for Few-Shot Pathology Anomaly Detection"&amp;"
Chunze Yang, Wenjie Zhao, Yue Tang, Junbo Lu, Jiusong Ge, Qidong Liu, Zeyu Gao and Chen Li
Language-Guided Game-Theoretic Fairness in Web-Enabled Energy Networks
Hao Wu, Yuhua Li, Yuntao Zou, Qianqi Zhang, Ruixuan Li, Zeling Xu and Wei Wang
Audit‑of‑Au"&amp;"dits for the Web: Bayesian Meta‑Evaluation that Yields Interval‑Valued, Threshold‑Aligned Fairness Claims
Dandan Liu, Aznul Qalid Md Sabri, Pan Lihu and Guangrui Fan
VC-Soup: Value-Consistency Guided Multi-Value Alignment for Large Language Models
Hefei "&amp;"Xu, Le Wu, Yu Wang, Min Hou, Han Wu, Zhen Zhang and Meng Wang
Communication-Efficient Federated Learning for Post-Flood Risk Assessment using UAV Swarms
Yongkang Zhao, Hailin Feng, Tingting Wang, Thippa Reddy Gadekallu, Kai Fang and Wei Wang
DAPWeb: Con"&amp;"struct-Aligned Evaluation of MLLMs for Web-Based Child Mental Screening
Rui Guo, Fengyi Wang, Ling-Yu Lin and Guolong Wang
Multimodal Spatiotemporal Forecasting of Deepfake Propagation on Social Media
Seoyoon Jeong, JeeEun Kim, S. Shyam Sundar and Jinyou"&amp;"ng Han
K&amp;L: Penetrating Backdoor Defense with Key and Locks
Xinyi Wang, Jiayu Zhang, Zhiyu Zhu, Zhibo Jin, Dong Yuan and Huaming Chen
EmeraldMind: A Knowledge Graph–Augmented Framework for Greenwashing Detection
Georgios Kaoukis, Ioannis-Aris Koufopoulo"&amp;"s, Eleni Psaroudaki, Danae Pla Karidi, Evaggelia Pitoura, George Papastefanatos and Panayiotis Tsaparas
Understanding the Consequences of VTuber Reincarnation
Yiluo Wei and Gareth Tyson
Intelli-Planner: Towards Customized Urban Planning via Large Langua"&amp;"ge Model Empowered Reinforcement Learning
Xixian Yong, Peilin Sun, Zihe Wang and Xiao Zhou
Cross-Modal Rationale Transfer for Explainable Humanitarian Classification on Social Media
Thi Huyen Nguyen, Koustav Rudra and Wolfgang Nejdl
")</f>
        <v>Bridging Cognitive Neuroscience and Graph Intelligence: Hippocampus-Inspired Multi-View Hypergraph Learning for Web Finance Fraud
Rongkun Cui, Nana Zhang, Kun Zhu and Qi Zhang
Energy-Efficient Training-Free Zero-Inflation Correction for Rainfall Forecasting with Time-Series Foundation Models
Wentao Gao, Xiaojing Du, Xiongren Chen, Yifan Guo, Andres Mauricio Cifuentes-Bernal, Renqiang Luo and Ziqi Xu
HAAF: Hierarchical Adaptation and Alignment of Foundation Models for Few-Shot Pathology Anomaly Detection
Chunze Yang, Wenjie Zhao, Yue Tang, Junbo Lu, Jiusong Ge, Qidong Liu, Zeyu Gao and Chen Li
Language-Guided Game-Theoretic Fairness in Web-Enabled Energy Networks
Hao Wu, Yuhua Li, Yuntao Zou, Qianqi Zhang, Ruixuan Li, Zeling Xu and Wei Wang
Audit‑of‑Audits for the Web: Bayesian Meta‑Evaluation that Yields Interval‑Valued, Threshold‑Aligned Fairness Claims
Dandan Liu, Aznul Qalid Md Sabri, Pan Lihu and Guangrui Fan
VC-Soup: Value-Consistency Guided Multi-Value Alignment for Large Language Models
Hefei Xu, Le Wu, Yu Wang, Min Hou, Han Wu, Zhen Zhang and Meng Wang
Communication-Efficient Federated Learning for Post-Flood Risk Assessment using UAV Swarms
Yongkang Zhao, Hailin Feng, Tingting Wang, Thippa Reddy Gadekallu, Kai Fang and Wei Wang
DAPWeb: Construct-Aligned Evaluation of MLLMs for Web-Based Child Mental Screening
Rui Guo, Fengyi Wang, Ling-Yu Lin and Guolong Wang
Multimodal Spatiotemporal Forecasting of Deepfake Propagation on Social Media
Seoyoon Jeong, JeeEun Kim, S. Shyam Sundar and Jinyoung Han
K&amp;L: Penetrating Backdoor Defense with Key and Locks
Xinyi Wang, Jiayu Zhang, Zhiyu Zhu, Zhibo Jin, Dong Yuan and Huaming Chen
EmeraldMind: A Knowledge Graph–Augmented Framework for Greenwashing Detection
Georgios Kaoukis, Ioannis-Aris Koufopoulos, Eleni Psaroudaki, Danae Pla Karidi, Evaggelia Pitoura, George Papastefanatos and Panayiotis Tsaparas
Understanding the Consequences of VTuber Reincarnation
Yiluo Wei and Gareth Tyson
Intelli-Planner: Towards Customized Urban Planning via Large Language Model Empowered Reinforcement Learning
Xixian Yong, Peilin Sun, Zihe Wang and Xiao Zhou
Cross-Modal Rationale Transfer for Explainable Humanitarian Classification on Social Media
Thi Huyen Nguyen, Koustav Rudra and Wolfgang Nejdl
</v>
      </c>
      <c r="N89" s="127"/>
      <c r="O89" s="38"/>
      <c r="P89" s="5"/>
      <c r="Q89" s="5"/>
      <c r="R89" s="5"/>
      <c r="S89" s="5"/>
      <c r="T89" s="5"/>
      <c r="U89" s="5"/>
      <c r="V89" s="5"/>
      <c r="W89" s="5"/>
      <c r="X89" s="5"/>
      <c r="Y89" s="5"/>
      <c r="Z89" s="5"/>
      <c r="AA89" s="5"/>
    </row>
    <row r="90">
      <c r="A90" s="61" t="s">
        <v>199</v>
      </c>
      <c r="B90" s="61" t="s">
        <v>199</v>
      </c>
      <c r="C90" s="61" t="s">
        <v>200</v>
      </c>
      <c r="D90" s="64" t="s">
        <v>201</v>
      </c>
      <c r="E90" s="64" t="s">
        <v>202</v>
      </c>
      <c r="F90" s="64" t="s">
        <v>203</v>
      </c>
      <c r="G90" s="64" t="s">
        <v>204</v>
      </c>
      <c r="H90" s="64" t="s">
        <v>205</v>
      </c>
      <c r="I90" s="64" t="s">
        <v>206</v>
      </c>
      <c r="J90" s="64" t="s">
        <v>207</v>
      </c>
      <c r="K90" s="64" t="s">
        <v>208</v>
      </c>
      <c r="L90" s="63" t="s">
        <v>209</v>
      </c>
      <c r="M90" s="63" t="s">
        <v>210</v>
      </c>
      <c r="N90" s="61" t="s">
        <v>211</v>
      </c>
      <c r="O90" s="21" t="s">
        <v>212</v>
      </c>
      <c r="P90" s="128"/>
      <c r="Q90" s="128"/>
      <c r="R90" s="128"/>
      <c r="S90" s="128"/>
      <c r="T90" s="128"/>
      <c r="U90" s="128"/>
      <c r="V90" s="128"/>
      <c r="W90" s="128"/>
      <c r="X90" s="128"/>
      <c r="Y90" s="128"/>
      <c r="Z90" s="128"/>
      <c r="AA90" s="128"/>
    </row>
    <row r="91">
      <c r="A91" s="67"/>
      <c r="B91" s="68"/>
      <c r="C91" s="69" t="str">
        <f>IFERROR(__xludf.DUMMYFUNCTION("TEXTJOIN(CHAR(10), TRUE,FILTER('Sessions Counts'!$B:$B,'Sessions Counts'!$A:$A=C90))"),"Graph Neural Networks 2")</f>
        <v>Graph Neural Networks 2</v>
      </c>
      <c r="D91" s="69" t="str">
        <f>IFERROR(__xludf.DUMMYFUNCTION("TEXTJOIN(CHAR(10), TRUE,FILTER('Sessions Counts'!$B:$B,'Sessions Counts'!$A:$A=D90))"),"Semantic Representation Learning")</f>
        <v>Semantic Representation Learning</v>
      </c>
      <c r="E91" s="69" t="str">
        <f>IFERROR(__xludf.DUMMYFUNCTION("TEXTJOIN(CHAR(10), TRUE,FILTER('Sessions Counts'!$B:$B,'Sessions Counts'!$A:$A=E90))"),"Adaptive &amp; Dynamic Retrieval")</f>
        <v>Adaptive &amp; Dynamic Retrieval</v>
      </c>
      <c r="F91" s="69" t="str">
        <f>IFERROR(__xludf.DUMMYFUNCTION("TEXTJOIN(CHAR(10), TRUE,FILTER('Sessions Counts'!$B:$B,'Sessions Counts'!$A:$A=F90))"),"Temporal Reasoning &amp; Planning")</f>
        <v>Temporal Reasoning &amp; Planning</v>
      </c>
      <c r="G91" s="69" t="str">
        <f>IFERROR(__xludf.DUMMYFUNCTION("TEXTJOIN(CHAR(10), TRUE,FILTER('Sessions Counts'!$B:$B,'Sessions Counts'!$A:$A=G90))"),"Privacy Awareness")</f>
        <v>Privacy Awareness</v>
      </c>
      <c r="H91" s="69" t="str">
        <f>IFERROR(__xludf.DUMMYFUNCTION("TEXTJOIN(CHAR(10), TRUE,FILTER('Sessions Counts'!$B:$B,'Sessions Counts'!$A:$A=H90))"),"Smart Urban and IoT Systems")</f>
        <v>Smart Urban and IoT Systems</v>
      </c>
      <c r="I91" s="69" t="str">
        <f>IFERROR(__xludf.DUMMYFUNCTION("TEXTJOIN(CHAR(10), TRUE,FILTER('Sessions Counts'!$B:$B,'Sessions Counts'!$A:$A=I90))"),"Attacks and Intrusion")</f>
        <v>Attacks and Intrusion</v>
      </c>
      <c r="J91" s="69" t="str">
        <f>IFERROR(__xludf.DUMMYFUNCTION("TEXTJOIN(CHAR(10), TRUE,FILTER('Sessions Counts'!$B:$B,'Sessions Counts'!$A:$A=J90))"),"Web Traffic, Logs, and Agent-Based Analytics")</f>
        <v>Web Traffic, Logs, and Agent-Based Analytics</v>
      </c>
      <c r="K91" s="69" t="str">
        <f>IFERROR(__xludf.DUMMYFUNCTION("TEXTJOIN(CHAR(10), TRUE,FILTER('Sessions Counts'!$B:$B,'Sessions Counts'!$A:$A=K90))"),"Generative &amp; Collaborative Alignment")</f>
        <v>Generative &amp; Collaborative Alignment</v>
      </c>
      <c r="L91" s="69" t="s">
        <v>213</v>
      </c>
      <c r="M91" s="69" t="str">
        <f>IFERROR(__xludf.DUMMYFUNCTION("TEXTJOIN(CHAR(10), TRUE,FILTER('Sessions Counts'!$B:$B,'Sessions Counts'!$A:$A=M90))"),"Automation, Security &amp; Knowledge Management")</f>
        <v>Automation, Security &amp; Knowledge Management</v>
      </c>
      <c r="N91" s="112" t="str">
        <f>IFERROR(__xludf.DUMMYFUNCTION("TEXTJOIN(CHAR(10), TRUE,FILTER('Sessions Counts'!$B:$B,'Sessions Counts'!$A:$A=N90))"),"Intelligent Web Systems &amp; Societal Dynamics")</f>
        <v>Intelligent Web Systems &amp; Societal Dynamics</v>
      </c>
      <c r="O91" s="112" t="str">
        <f>IFERROR(__xludf.DUMMYFUNCTION("TEXTJOIN(CHAR(10), TRUE,FILTER('Sessions Counts'!$B:$B,'Sessions Counts'!$A:$A=O90))"),"Mitigating Online Harms and Misinformation")</f>
        <v>Mitigating Online Harms and Misinformation</v>
      </c>
      <c r="P91" s="129"/>
      <c r="Q91" s="129"/>
      <c r="R91" s="129"/>
      <c r="S91" s="129"/>
      <c r="T91" s="129"/>
      <c r="U91" s="129"/>
      <c r="V91" s="129"/>
      <c r="W91" s="129"/>
      <c r="X91" s="129"/>
      <c r="Y91" s="129"/>
      <c r="Z91" s="129"/>
      <c r="AA91" s="129"/>
    </row>
    <row r="92">
      <c r="A92" s="74"/>
      <c r="B92" s="113" t="str">
        <f>IFERROR(__xludf.DUMMYFUNCTION("CONCATENATE(""Session Chair: "",TEXTJOIN(CHAR(10), TRUE,FILTER('Session Chairs'!$C:$C,'Session Chairs'!$A:$A=B90)))"),"Session Chair: Mounia Lalmas, Liane Lewin-Eytan")</f>
        <v>Session Chair: Mounia Lalmas, Liane Lewin-Eytan</v>
      </c>
      <c r="C92" s="103" t="str">
        <f>IFERROR(__xludf.DUMMYFUNCTION("CONCATENATE(""Session Chair: "",TEXTJOIN(CHAR(10), TRUE,FILTER('Session Chairs'!$C:$C,'Session Chairs'!$A:$A=C90)))"),"Session Chair: Yaming Yang")</f>
        <v>Session Chair: Yaming Yang</v>
      </c>
      <c r="D92" s="103" t="str">
        <f>IFERROR(__xludf.DUMMYFUNCTION("CONCATENATE(""Session Chair: "",TEXTJOIN(CHAR(10), TRUE,FILTER('Session Chairs'!$C:$C,'Session Chairs'!$A:$A=D90)))"),"Session Chair: Xinshu Li")</f>
        <v>Session Chair: Xinshu Li</v>
      </c>
      <c r="E92" s="103" t="str">
        <f>IFERROR(__xludf.DUMMYFUNCTION("CONCATENATE(""Session Chair: "",TEXTJOIN(CHAR(10), TRUE,FILTER('Session Chairs'!$C:$C,'Session Chairs'!$A:$A=E90)))"),"Session Chair: Jin Cheng")</f>
        <v>Session Chair: Jin Cheng</v>
      </c>
      <c r="F92" s="103" t="str">
        <f>IFERROR(__xludf.DUMMYFUNCTION("CONCATENATE(""Session Chair: "",TEXTJOIN(CHAR(10), TRUE,FILTER('Session Chairs'!$C:$C,'Session Chairs'!$A:$A=F90)))"),"Session Chair: Meng-Fen Chiang")</f>
        <v>Session Chair: Meng-Fen Chiang</v>
      </c>
      <c r="G92" s="103" t="str">
        <f>IFERROR(__xludf.DUMMYFUNCTION("CONCATENATE(""Session Chair: "",TEXTJOIN(CHAR(10), TRUE,FILTER('Session Chairs'!$C:$C,'Session Chairs'!$A:$A=G90)))"),"Session Chair: Mingfei Zhang")</f>
        <v>Session Chair: Mingfei Zhang</v>
      </c>
      <c r="H92" s="103" t="str">
        <f>IFERROR(__xludf.DUMMYFUNCTION("CONCATENATE(""Session Chair: "",TEXTJOIN(CHAR(10), TRUE,FILTER('Session Chairs'!$C:$C,'Session Chairs'!$A:$A=H90)))"),"Session Chair: Yang Chen (Fudan University)")</f>
        <v>Session Chair: Yang Chen (Fudan University)</v>
      </c>
      <c r="I92" s="103" t="str">
        <f>IFERROR(__xludf.DUMMYFUNCTION("CONCATENATE(""Session Chair: "",TEXTJOIN(CHAR(10), TRUE,FILTER('Session Chairs'!$C:$C,'Session Chairs'!$A:$A=I90)))"),"Session Chair: Renda Han")</f>
        <v>Session Chair: Renda Han</v>
      </c>
      <c r="J92" s="103" t="str">
        <f>IFERROR(__xludf.DUMMYFUNCTION("CONCATENATE(""Session Chair: "",TEXTJOIN(CHAR(10), TRUE,FILTER('Session Chairs'!$C:$C,'Session Chairs'!$A:$A=J90)))"),"Session Chair: Zijian Zhang")</f>
        <v>Session Chair: Zijian Zhang</v>
      </c>
      <c r="K92" s="103" t="str">
        <f>IFERROR(__xludf.DUMMYFUNCTION("CONCATENATE(""Session Chair: "",TEXTJOIN(CHAR(10), TRUE,FILTER('Session Chairs'!$C:$C,'Session Chairs'!$A:$A=K90)))"),"Session Chair: Jing Du")</f>
        <v>Session Chair: Jing Du</v>
      </c>
      <c r="L92" s="103" t="str">
        <f>IFERROR(__xludf.DUMMYFUNCTION("CONCATENATE(""Session Chair: "",TEXTJOIN(CHAR(10), TRUE,FILTER('Session Chairs'!$C:$C,'Session Chairs'!$A:$A=L90)))"),"Session Chair: Xinyu Lin")</f>
        <v>Session Chair: Xinyu Lin</v>
      </c>
      <c r="M92" s="103" t="str">
        <f>IFERROR(__xludf.DUMMYFUNCTION("CONCATENATE(""Session Chair: "",TEXTJOIN(CHAR(10), TRUE,FILTER('Session Chairs'!$C:$C,'Session Chairs'!$A:$A=M90)))"),"Session Chair: Ningren Han")</f>
        <v>Session Chair: Ningren Han</v>
      </c>
      <c r="N92" s="103" t="str">
        <f>IFERROR(__xludf.DUMMYFUNCTION("CONCATENATE(""Session Chair: "",TEXTJOIN(CHAR(10), TRUE,FILTER('Session Chairs'!$C:$C,'Session Chairs'!$A:$A=N90)))"),"Session Chair: Mehwish Nasim")</f>
        <v>Session Chair: Mehwish Nasim</v>
      </c>
      <c r="O92" s="103" t="str">
        <f>IFERROR(__xludf.DUMMYFUNCTION("CONCATENATE(""Session Chairs: "",TEXTJOIN(CHAR(10), TRUE,FILTER('Session Chairs'!$C:$C,'Session Chairs'!$A:$A=O90)))"),"Session Chairs: Ana-Andreea Stoica ")</f>
        <v>Session Chairs: Ana-Andreea Stoica </v>
      </c>
      <c r="P92" s="129"/>
      <c r="Q92" s="129"/>
      <c r="R92" s="129"/>
      <c r="S92" s="129"/>
      <c r="T92" s="129"/>
      <c r="U92" s="129"/>
      <c r="V92" s="129"/>
      <c r="W92" s="129"/>
      <c r="X92" s="129"/>
      <c r="Y92" s="129"/>
      <c r="Z92" s="129"/>
      <c r="AA92" s="129"/>
    </row>
    <row r="93" ht="290.25" customHeight="1" outlineLevel="1">
      <c r="A93" s="45"/>
      <c r="B93" s="43" t="str">
        <f>IFERROR(__xludf.DUMMYFUNCTION("TEXTJOIN(CHAR(10), TRUE,FILTER('Research assignment'!$D:$D,'Research assignment'!$I:$I=B90))"),"The Power of Penalties: Negativity-Aware Incentives for High-Quality Crowdsourced Data Labeling
Kai Wang, Runze Wu, Yu Xiong, Haifeng Sun, Anran Li,
Shaojie Tang, Changjie Fan and Xiang-Yang Li
From Retrieval to Generation: Unifying External and Parametr"&amp;"ic Knowledge for Medical Question Answering
Lei Li, Xiao Zhou, Yingying Zhang and Xian Wu
When to Trust: A Causality-Aware Calibration Framework for Accurate Knowledge Graph Retrieval-Augmented Generation
Jing Ren, Bowen Li, Ziqi Xu, Xikun Zhang, Haytham"&amp;" Fayek and
Xiaodong Li
")</f>
        <v>The Power of Penalties: Negativity-Aware Incentives for High-Quality Crowdsourced Data Labeling
Kai Wang, Runze Wu, Yu Xiong, Haifeng Sun, Anran Li,
Shaojie Tang, Changjie Fan and Xiang-Yang Li
From Retrieval to Generation: Unifying External and Parametric Knowledge for Medical Question Answering
Lei Li, Xiao Zhou, Yingying Zhang and Xian Wu
When to Trust: A Causality-Aware Calibration Framework for Accurate Knowledge Graph Retrieval-Augmented Generation
Jing Ren, Bowen Li, Ziqi Xu, Xikun Zhang, Haytham Fayek and
Xiaodong Li
</v>
      </c>
      <c r="C93" s="78" t="str">
        <f>IFERROR(__xludf.DUMMYFUNCTION("TEXTJOIN(CHAR(10), TRUE,FILTER('Research assignment'!$D:$D,'Research assignment'!$H:$H=C90))"),"Multi-Source Unsupervised Graph Domain Adaptation via Concise Propagation–Transformation Pipeline
Jiayi Wang, Yi Li, Xin Zheng, Junyang Chen, Yanqing Guo,
Alan Wee-Chung Liew and Shirui Pan
Graph Neural Network Model Transferability Estimation via Decomp"&amp;"osition-Augmented Discriminant Analysis
Huanchang Ma, Xin Zheng, Jianyu Li, Alan Wee-Chung Liew,
Wei Lan and Jian Gao
PIGCN: Physics-Inspired Graph Convolution Networks for Heterogeneous Social Event Detection
Yongsheng Yu, Congbo Ma, Zitai Qiu, Shan Xue"&amp;", Jian Yang and
Jia Wu
MessageShift: Fine-Grained Data Augmentation for Graph Neural Networks
Weigang Lu, Zheng Liang, Yaming Yang, Ziyu Zheng, Meng Yan,
Beilei Ling, Ziyu Guan and Wei Zhao
Collaborative Subgraph Learning based Spectrum Sensing under Pa"&amp;"rtial Observations
Zhaowei Liu, Chang Liu, Dong Yang, Weiqing Yan, Yongchao
Song and Anzuo Jiang
")</f>
        <v>Multi-Source Unsupervised Graph Domain Adaptation via Concise Propagation–Transformation Pipeline
Jiayi Wang, Yi Li, Xin Zheng, Junyang Chen, Yanqing Guo,
Alan Wee-Chung Liew and Shirui Pan
Graph Neural Network Model Transferability Estimation via Decomposition-Augmented Discriminant Analysis
Huanchang Ma, Xin Zheng, Jianyu Li, Alan Wee-Chung Liew,
Wei Lan and Jian Gao
PIGCN: Physics-Inspired Graph Convolution Networks for Heterogeneous Social Event Detection
Yongsheng Yu, Congbo Ma, Zitai Qiu, Shan Xue, Jian Yang and
Jia Wu
MessageShift: Fine-Grained Data Augmentation for Graph Neural Networks
Weigang Lu, Zheng Liang, Yaming Yang, Ziyu Zheng, Meng Yan,
Beilei Ling, Ziyu Guan and Wei Zhao
Collaborative Subgraph Learning based Spectrum Sensing under Partial Observations
Zhaowei Liu, Chang Liu, Dong Yang, Weiqing Yan, Yongchao
Song and Anzuo Jiang
</v>
      </c>
      <c r="D93" s="78" t="str">
        <f>IFERROR(__xludf.DUMMYFUNCTION("TEXTJOIN(CHAR(10), TRUE,FILTER('Research assignment'!$D:$D,'Research assignment'!$H:$H=D90))"),"ReaLM: Residual Quantization Bridges Knowledge Graph Embeddings and Large Language Models
Wenbin Guo, Xin Wang, Jiaoyan Chen, Lingbing Guo, Zhao Li
and Zirui Chen
Language Model Representations for Efficient Few-Shot Tabular Classification
Inwon Kang, Pa"&amp;"rikshit Ram, Yi Zhou, Horst Samulowitz and
Oshani Seneviratne
KG-BiLM: Knowledge Graph Embedding via Bidirectional Language Models
Zirui Chen, Xin Wang, Zhao Li, Wenbin Guo, Dongxiao He,
Yanbing Li and Wushour Silamu
TaxoBell: Gaussian Box Embeddings fo"&amp;"r Self-Supervised Taxonomy Expansion
Sahil Mishra, Srinitish Srinivasan, Srikanta Bedathur and
Tanmoy Chakraborty
Node Role-Guided LLMs for Dynamic Graph Clustering
Dongyuan Li, Ying Zhang, Yaozu Wu and Renhe Jiang
")</f>
        <v>ReaLM: Residual Quantization Bridges Knowledge Graph Embeddings and Large Language Models
Wenbin Guo, Xin Wang, Jiaoyan Chen, Lingbing Guo, Zhao Li
and Zirui Chen
Language Model Representations for Efficient Few-Shot Tabular Classification
Inwon Kang, Parikshit Ram, Yi Zhou, Horst Samulowitz and
Oshani Seneviratne
KG-BiLM: Knowledge Graph Embedding via Bidirectional Language Models
Zirui Chen, Xin Wang, Zhao Li, Wenbin Guo, Dongxiao He,
Yanbing Li and Wushour Silamu
TaxoBell: Gaussian Box Embeddings for Self-Supervised Taxonomy Expansion
Sahil Mishra, Srinitish Srinivasan, Srikanta Bedathur and
Tanmoy Chakraborty
Node Role-Guided LLMs for Dynamic Graph Clustering
Dongyuan Li, Ying Zhang, Yaozu Wu and Renhe Jiang
</v>
      </c>
      <c r="E93" s="78" t="str">
        <f>IFERROR(__xludf.DUMMYFUNCTION("TEXTJOIN(CHAR(10), TRUE,FILTER('Research assignment'!$D:$D,'Research assignment'!$H:$H=E90))"),"MCoT-MVS: Multi-level Vision Selection by Multi-modal Chain-of-Thought Reasoning for Composed Image Retrieval
Xuri Ge, Chunhao Wang, Xindi Wang, Zheyun Qin, Zhumin Chen
and Xin Xin
BANCO: Drift-Aware Batched Bandits for Adaptive Proximity Graph Pruning
J"&amp;"in Cheng, Xiangxiang Dai, Ningning Ding, John C.S. Lui and
Jianwei Huang
Enhancing Domain-Adaptive Hashing via Evidential Learning and Progressive Alignment
Junsheng Wang, Tiantian Gong, Yeyun Wu and Liyan Zhang
Diversifying Differentiable Graph Retriev"&amp;"al with Topic-Adaptive Multi-Intent Learning
Dongcheon Lee, Ji-Yeon Park, Hye-Yoon Baek, Jimyeung Seo,
Seyeong Kim and Byungkook Oh
Cost-Aware Retrieval-Augmentation Reasoning Models with Adaptive Retrieval Depth
Helia Hashemi, Victor Rühle and Saravan R"&amp;"ajmohan
")</f>
        <v>MCoT-MVS: Multi-level Vision Selection by Multi-modal Chain-of-Thought Reasoning for Composed Image Retrieval
Xuri Ge, Chunhao Wang, Xindi Wang, Zheyun Qin, Zhumin Chen
and Xin Xin
BANCO: Drift-Aware Batched Bandits for Adaptive Proximity Graph Pruning
Jin Cheng, Xiangxiang Dai, Ningning Ding, John C.S. Lui and
Jianwei Huang
Enhancing Domain-Adaptive Hashing via Evidential Learning and Progressive Alignment
Junsheng Wang, Tiantian Gong, Yeyun Wu and Liyan Zhang
Diversifying Differentiable Graph Retrieval with Topic-Adaptive Multi-Intent Learning
Dongcheon Lee, Ji-Yeon Park, Hye-Yoon Baek, Jimyeung Seo,
Seyeong Kim and Byungkook Oh
Cost-Aware Retrieval-Augmentation Reasoning Models with Adaptive Retrieval Depth
Helia Hashemi, Victor Rühle and Saravan Rajmohan
</v>
      </c>
      <c r="F93" s="78" t="str">
        <f>IFERROR(__xludf.DUMMYFUNCTION("TEXTJOIN(CHAR(10), TRUE,FILTER('Research assignment'!$D:$D,'Research assignment'!$H:$H=F90))"),"DSTAG: A Semantic Tag-Enhanced Dual-Graph Convolutional Network for Temporal Knowledge Graph Completion
Yuchao Zhang, Xiangjie Kong, Kailun Ye, Shangfei Zheng and
Guojiang Shen
Plan Then Retrieve: Reinforcement Learning-Guided Complex Reasoning over Know"&amp;"ledge Graphs
Yanlin Song, Ben Liu, Víctor Gutiérrez-Basulto, Zhiwei Hu,
Qianqian Xie, Min Peng, Sophia Ananiadou and Jeff Z. Pan
MemoTime: Memory-Augmented Temporal Knowledge Graph Enhanced Large Language Model Reasoning
Xingyu Tan, Xiaoyang Wang, Qing L"&amp;"iu, Xiwei Xu, Xin Yuan,
Liming Zhu and Wenjie Zhang
PRoH: Dynamic Planning and Reasoning over Knowledge Hypergraphs for Retrieval-Augmented Generation
Xiangjun Zai, Xingyu Tan, Xiaoyang Wang, Qing Liu, Xiwei Xu
and Wenjie Zhang
Beyond Single Pass, Loopi"&amp;"ng Through Time: KG-IRAG with Iterative Knowledge Retrieval
Ruiyi Yang, Hao Xue, Imran Razzak and Flora D. Salim
")</f>
        <v>DSTAG: A Semantic Tag-Enhanced Dual-Graph Convolutional Network for Temporal Knowledge Graph Completion
Yuchao Zhang, Xiangjie Kong, Kailun Ye, Shangfei Zheng and
Guojiang Shen
Plan Then Retrieve: Reinforcement Learning-Guided Complex Reasoning over Knowledge Graphs
Yanlin Song, Ben Liu, Víctor Gutiérrez-Basulto, Zhiwei Hu,
Qianqian Xie, Min Peng, Sophia Ananiadou and Jeff Z. Pan
MemoTime: Memory-Augmented Temporal Knowledge Graph Enhanced Large Language Model Reasoning
Xingyu Tan, Xiaoyang Wang, Qing Liu, Xiwei Xu, Xin Yuan,
Liming Zhu and Wenjie Zhang
PRoH: Dynamic Planning and Reasoning over Knowledge Hypergraphs for Retrieval-Augmented Generation
Xiangjun Zai, Xingyu Tan, Xiaoyang Wang, Qing Liu, Xiwei Xu
and Wenjie Zhang
Beyond Single Pass, Looping Through Time: KG-IRAG with Iterative Knowledge Retrieval
Ruiyi Yang, Hao Xue, Imran Razzak and Flora D. Salim
</v>
      </c>
      <c r="G93" s="78" t="str">
        <f>IFERROR(__xludf.DUMMYFUNCTION("TEXTJOIN(CHAR(10), TRUE,FILTER('Research assignment'!$D:$D,'Research assignment'!$H:$H=G90))"),"SaGD: A Node-Level Differentially Private Graph Learning Framework with Sensitivity-Aware Gradient Descent
Jianxin Wei, Ergute Bao, Xiaokui Xiao and Ting Yu
Mitigating Cumulative Privacy Risk in Continual Information Sharing: A Dynamic Stackelberg Game A"&amp;"pproach
Yuzi Yi, Weixuan Wang, Yehong Luo, Jinqiao Shi and Jiwei
Huang
Distribution-Aligned Synthetic Text Generation via Tail-Aware Enhancement
Yuan Fan, Xiaoyuan Liu, Bo Liu, Wubing Wang, Jia Sun,
Wenzhi Chen, Huaikang Fang, Lifeng Tao and Fan Mo
Infe"&amp;"rring Users’ Demographics and Sensitive Interests Using the Topics API
Athicha Srivirote, Muhammad Abu Bakar Aziz, Jeffrey
Gleason, Desheng Hu and Christo Wilson
AdVersa: Adversarially-Robust and Practical Ad and Tracker Blocking in the Wild
Chaejin Lim,"&amp;" Kiho Lee, Beomjin Jin, Heewon Baek and
Hyoungshick Kim
")</f>
        <v>SaGD: A Node-Level Differentially Private Graph Learning Framework with Sensitivity-Aware Gradient Descent
Jianxin Wei, Ergute Bao, Xiaokui Xiao and Ting Yu
Mitigating Cumulative Privacy Risk in Continual Information Sharing: A Dynamic Stackelberg Game Approach
Yuzi Yi, Weixuan Wang, Yehong Luo, Jinqiao Shi and Jiwei
Huang
Distribution-Aligned Synthetic Text Generation via Tail-Aware Enhancement
Yuan Fan, Xiaoyuan Liu, Bo Liu, Wubing Wang, Jia Sun,
Wenzhi Chen, Huaikang Fang, Lifeng Tao and Fan Mo
Inferring Users’ Demographics and Sensitive Interests Using the Topics API
Athicha Srivirote, Muhammad Abu Bakar Aziz, Jeffrey
Gleason, Desheng Hu and Christo Wilson
AdVersa: Adversarially-Robust and Practical Ad and Tracker Blocking in the Wild
Chaejin Lim, Kiho Lee, Beomjin Jin, Heewon Baek and
Hyoungshick Kim
</v>
      </c>
      <c r="H93" s="78" t="str">
        <f>IFERROR(__xludf.DUMMYFUNCTION("TEXTJOIN(CHAR(10), TRUE,FILTER('Research assignment'!$D:$D,'Research assignment'!$H:$H=H90))"),"Beyond Single view Decoding: Dual-view Map Inference from Trajectories via Primal-Dual Graphs Co-generation
Wenyu Wu, Jiafan Liu and Jiali Mao
ST-LEGO: Large Language Models as Modular Architects for Traffic Prediction
Shuhao Li, Weidong Yang, Yue Cui, L"&amp;"ipeng Ma, Yixuan Li,
Chaoteng Wu, Lu Qin and Fan Zhang
HALO: Hierarchical Reinforcement Learning for Large-Scale Adaptive Traffic Signal Control
Yaqiao Zhu, Hongkai Wen, Geyong Min and Man Luo
AgentSense: LLMs Empower Generalizable and Explainable Web-B"&amp;"ased Participatory Urban Sensing
Xusen Guo, Mingxing Peng, Xixuan Hao, Xingchen Zou,
Qiongyan Wang, Sijie Ruan and Yuxuan Liang
TRACE: Trajectory Recovery with State Propagation Diffusion for Urban Mobility
Jinming Wang, Hai Wang, Hongkai Wen, Geyong Min"&amp;" and Man Luo
")</f>
        <v>Beyond Single view Decoding: Dual-view Map Inference from Trajectories via Primal-Dual Graphs Co-generation
Wenyu Wu, Jiafan Liu and Jiali Mao
ST-LEGO: Large Language Models as Modular Architects for Traffic Prediction
Shuhao Li, Weidong Yang, Yue Cui, Lipeng Ma, Yixuan Li,
Chaoteng Wu, Lu Qin and Fan Zhang
HALO: Hierarchical Reinforcement Learning for Large-Scale Adaptive Traffic Signal Control
Yaqiao Zhu, Hongkai Wen, Geyong Min and Man Luo
AgentSense: LLMs Empower Generalizable and Explainable Web-Based Participatory Urban Sensing
Xusen Guo, Mingxing Peng, Xixuan Hao, Xingchen Zou,
Qiongyan Wang, Sijie Ruan and Yuxuan Liang
TRACE: Trajectory Recovery with State Propagation Diffusion for Urban Mobility
Jinming Wang, Hai Wang, Hongkai Wen, Geyong Min and Man Luo
</v>
      </c>
      <c r="I93" s="78" t="str">
        <f>IFERROR(__xludf.DUMMYFUNCTION("TEXTJOIN(CHAR(10), TRUE,FILTER('Research assignment'!$D:$D,'Research assignment'!$H:$H=I90))"),"Exploring and Exploiting Security Vulnerabilities in Self-Hosted LLM Services
Zhihuang Liu, Ling Hu, Yonghao Tang, Tongqing Zhou, Fang
Liu and Zhiping Cai
PADD: Prefix-based Attention Divergence Detector for LLM Jailbreaks
Ziqun Bao, Jiaqiang Niu, Yuchen"&amp;" Shao and Chengcheng Wan
The Asymmetric Vulnerability: Bypassing LLM Defenses via Guardrail-Model Mismatch
Junyi Wang, Zhibin Zhu and Chuanyi Liu
Greedy Attack: Breaking Finality against VeChain Proof-of-Authority Consensus Protocol
Rujia Li, Qin Wang, "&amp;"Haochen Wang, Xueqian Lu and Sisi Duan
JANUS: A Dual-Constraint Generative Framework for Stealthy Node Injection Attacks
Jiahao Zhang, Xiaobing Pei, Zhaokun Zhong, Wenqiang Hao and
Zhenghao Tang
")</f>
        <v>Exploring and Exploiting Security Vulnerabilities in Self-Hosted LLM Services
Zhihuang Liu, Ling Hu, Yonghao Tang, Tongqing Zhou, Fang
Liu and Zhiping Cai
PADD: Prefix-based Attention Divergence Detector for LLM Jailbreaks
Ziqun Bao, Jiaqiang Niu, Yuchen Shao and Chengcheng Wan
The Asymmetric Vulnerability: Bypassing LLM Defenses via Guardrail-Model Mismatch
Junyi Wang, Zhibin Zhu and Chuanyi Liu
Greedy Attack: Breaking Finality against VeChain Proof-of-Authority Consensus Protocol
Rujia Li, Qin Wang, Haochen Wang, Xueqian Lu and Sisi Duan
JANUS: A Dual-Constraint Generative Framework for Stealthy Node Injection Attacks
Jiahao Zhang, Xiaobing Pei, Zhaokun Zhong, Wenqiang Hao and
Zhenghao Tang
</v>
      </c>
      <c r="J93" s="78" t="str">
        <f>IFERROR(__xludf.DUMMYFUNCTION("TEXTJOIN(CHAR(10), TRUE,FILTER('Research assignment'!$D:$D,'Research assignment'!$H:$H=J90))"),"Beyond Patches: Superpixel Token-based Transformers for Attribute-Specific Fashion Retrieval
Shuili Zhang, Hongzhang Mu, Wenyuan Zhang, Duohe Ma and
Tingwen Liu
VarParser: Unleashing the Neglected Power of Variables for LLM-based Log Parsing
Jinrui Sun, "&amp;"Tong Jia, Minghua He and Ying Li
ColorBench: Benchmarking Mobile Agents with Graph-Structured Framework for Complex Long-Horizon Tasks
Yuanyi Song, Heyuan Huang, Qiqiang Lin, Yin Zhao, Xiangmou
Qu, Jun Wang, Xingyu Lou, Weiwen Liu, Zhuosheng Zhang, Jun
W"&amp;"ang, Zhaoxiang Wang, Yong Yu and Weinan Zhang
VisionST: Coordinating Cross-modal Traffic Prediction with Interactive Geo-image Encoding
Jinwen Chen, Hao Miao, Chenxi Liu, Yan Zhao and Kai Zheng
UrbanMoE: A Sparse Multi-Modal Mixture-of-Experts Framework"&amp;" for Multi-Task Urban Region Profiling
Pingping Liu, Jiamiao Liu, Zijian Zhang, Hao Miao, Qi
Jiang, Qingliang Li, Qiuzhan Zhou and Irwin King
")</f>
        <v>Beyond Patches: Superpixel Token-based Transformers for Attribute-Specific Fashion Retrieval
Shuili Zhang, Hongzhang Mu, Wenyuan Zhang, Duohe Ma and
Tingwen Liu
VarParser: Unleashing the Neglected Power of Variables for LLM-based Log Parsing
Jinrui Sun, Tong Jia, Minghua He and Ying Li
ColorBench: Benchmarking Mobile Agents with Graph-Structured Framework for Complex Long-Horizon Tasks
Yuanyi Song, Heyuan Huang, Qiqiang Lin, Yin Zhao, Xiangmou
Qu, Jun Wang, Xingyu Lou, Weiwen Liu, Zhuosheng Zhang, Jun
Wang, Zhaoxiang Wang, Yong Yu and Weinan Zhang
VisionST: Coordinating Cross-modal Traffic Prediction with Interactive Geo-image Encoding
Jinwen Chen, Hao Miao, Chenxi Liu, Yan Zhao and Kai Zheng
UrbanMoE: A Sparse Multi-Modal Mixture-of-Experts Framework for Multi-Task Urban Region Profiling
Pingping Liu, Jiamiao Liu, Zijian Zhang, Hao Miao, Qi
Jiang, Qingliang Li, Qiuzhan Zhou and Irwin King
</v>
      </c>
      <c r="K93" s="78" t="str">
        <f>IFERROR(__xludf.DUMMYFUNCTION("TEXTJOIN(CHAR(10), TRUE,FILTER('Research assignment'!$D:$D,'Research assignment'!$H:$H=K90))"),"SEAR: LLM-Powered Sequential Recommendation via Fusion of Collaborative, Semantic, and Rating Information
Wei Guan, Jian Cao, Qiqi Cai, Jianqi Gao, Jinyu Cai and
See-Kiong Ng
Retracing and Restoring: Chronological Context Preservation for Effective Dynam"&amp;"ic Recommendation
Min-Jeong Kim, Jiwon Son, Yeon-Chang Lee and Sang-Wook Kim
FCRLLM: Aligning LLM with Collaborative Filtering for Long-tailed Sequential Recommendation
Byungmoon Heo, Namjun Lee, Seonah Kim and Jaekwang Kim
Generative Archetype-Grounded"&amp;" Item Representations for Sequential Recommendation
Yifan Li, Jiahong Liu, Xinni Zhang, Hao Chen, Yankai Chen,
Wenhao Yu, Jianting Chen and Irwin King
Token-level Collaborative Alignment for LLM-based Generative Recommendation
Fake Lin, Binbin Hu, Zhi Zh"&amp;"eng, Xi Zhu, Ziqi Liu, Zhiqiang
Zhang, Jun Zhou and Tong Xu
")</f>
        <v>SEAR: LLM-Powered Sequential Recommendation via Fusion of Collaborative, Semantic, and Rating Information
Wei Guan, Jian Cao, Qiqi Cai, Jianqi Gao, Jinyu Cai and
See-Kiong Ng
Retracing and Restoring: Chronological Context Preservation for Effective Dynamic Recommendation
Min-Jeong Kim, Jiwon Son, Yeon-Chang Lee and Sang-Wook Kim
FCRLLM: Aligning LLM with Collaborative Filtering for Long-tailed Sequential Recommendation
Byungmoon Heo, Namjun Lee, Seonah Kim and Jaekwang Kim
Generative Archetype-Grounded Item Representations for Sequential Recommendation
Yifan Li, Jiahong Liu, Xinni Zhang, Hao Chen, Yankai Chen,
Wenhao Yu, Jianting Chen and Irwin King
Token-level Collaborative Alignment for LLM-based Generative Recommendation
Fake Lin, Binbin Hu, Zhi Zheng, Xi Zhu, Ziqi Liu, Zhiqiang
Zhang, Jun Zhou and Tong Xu
</v>
      </c>
      <c r="L93" s="78" t="str">
        <f>IFERROR(__xludf.DUMMYFUNCTION("TEXTJOIN(CHAR(10), TRUE,FILTER('Research assignment'!$D:$D,'Research assignment'!$H:$H=L90))"),"Pathways of Thoughts: Multi-Directional Thinking for Long-form Personalized Question Answering
Alireza Salemi, Cheng Li, Mingyang Zhang, Qiaozhu Mei,
Zhuowan Li, Spurthi Amba Hombaiah, Weize Kong, Tao Chen,
Hamed Zamani and Michael Bendersky
HyMiRec: A H"&amp;"ybrid Multi-interest Learning Framework for LLM-based Sequential Recommendation
Jingyi Zhou, Cheng Chen, Kai Zuo, Manjie Xu, Zhendong Fu,
Yibo Chen, Xu Tang and Yao Hu
Dynamic Routing-Based Adaptive Multi-LLM Collaboration: A Unified Recommendation Frame"&amp;"work with Decision Knowledge Complementation
Jiale Huang, Yingyuan Xiao, Likang Wu, Xu Cheng, Wengguang
Zheng, Qingbo Hao, Ming He and Hongke Zhao
AgentDR: Dynamic Recommendation with Implicit Item-Item Relations via LLM-based Agents
Mingdai Yang, Nurend"&amp;"ra Choudhary, Jiangshu Du, Edward W.
Huang, Philip Yu, Karthik Subbian and Danai Koutra
Does LLM Focus on the Right Words? Mitigating Context Bias in LLM-based Recommenders
Bohao Wang, Jiawei Chen, Feng Liu, Changwang Zhang, Jun
Wang, Canghong Jin, Chun "&amp;"Chen and Can Wang
")</f>
        <v>Pathways of Thoughts: Multi-Directional Thinking for Long-form Personalized Question Answering
Alireza Salemi, Cheng Li, Mingyang Zhang, Qiaozhu Mei,
Zhuowan Li, Spurthi Amba Hombaiah, Weize Kong, Tao Chen,
Hamed Zamani and Michael Bendersky
HyMiRec: A Hybrid Multi-interest Learning Framework for LLM-based Sequential Recommendation
Jingyi Zhou, Cheng Chen, Kai Zuo, Manjie Xu, Zhendong Fu,
Yibo Chen, Xu Tang and Yao Hu
Dynamic Routing-Based Adaptive Multi-LLM Collaboration: A Unified Recommendation Framework with Decision Knowledge Complementation
Jiale Huang, Yingyuan Xiao, Likang Wu, Xu Cheng, Wengguang
Zheng, Qingbo Hao, Ming He and Hongke Zhao
AgentDR: Dynamic Recommendation with Implicit Item-Item Relations via LLM-based Agents
Mingdai Yang, Nurendra Choudhary, Jiangshu Du, Edward W.
Huang, Philip Yu, Karthik Subbian and Danai Koutra
Does LLM Focus on the Right Words? Mitigating Context Bias in LLM-based Recommenders
Bohao Wang, Jiawei Chen, Feng Liu, Changwang Zhang, Jun
Wang, Canghong Jin, Chun Chen and Can Wang
</v>
      </c>
      <c r="M93" s="78" t="str">
        <f>IFERROR(__xludf.DUMMYFUNCTION("TEXTJOIN(CHAR(10), TRUE,FILTER('Industry assignment'!$D:$D,'Industry assignment'!$H:$H=M90))"),"Multi-Domain Marker Aggregation for Threat Detection in Cloud Environments
Junshen Xu, Jiayun Zhang and Yi Fan
Smart Eye: LLM-Guided Proposer-Verifier Framework for Industrial-Scale Log Anomaly Detection
Changhua Pei, Hang Cui, Jingjing Li, Yuxuan Li, Zi"&amp;"han Liu, Xinyuan Liao, Cenjie Hu, Jiabao Wang, Zheyuan Li, Zexin Wang, Haotian Si, Ke Xiang, Gaogang Xie and Dan Pei
URLBank: Data-Driven URL Discovery via Temporal Link Graphs
Felipe Marineli, Valerio Cetorelli, Valter Crescenzi, Tim Furche and Xiaonan "&amp;"Guo
Orchestration-Free Customer Service Automation: A Privacy-Preserving and Flowchart-Guided Framework
Mengze Hong, Chen Jason Zhang, Zichang Guo, Hanlin Gu, Di Jiang and Qing Li
Multilingual Reference Need Assessment System for Wikipedia
Aitolkyn Baig"&amp;"utanova, Francisco Navas, Pablo Aragon, Mykola Trokhymovych, Muniza Aslam, Ai-Jou Chou, Miriam Redi and Diego Saez Trumper
")</f>
        <v>Multi-Domain Marker Aggregation for Threat Detection in Cloud Environments
Junshen Xu, Jiayun Zhang and Yi Fan
Smart Eye: LLM-Guided Proposer-Verifier Framework for Industrial-Scale Log Anomaly Detection
Changhua Pei, Hang Cui, Jingjing Li, Yuxuan Li, Zihan Liu, Xinyuan Liao, Cenjie Hu, Jiabao Wang, Zheyuan Li, Zexin Wang, Haotian Si, Ke Xiang, Gaogang Xie and Dan Pei
URLBank: Data-Driven URL Discovery via Temporal Link Graphs
Felipe Marineli, Valerio Cetorelli, Valter Crescenzi, Tim Furche and Xiaonan Guo
Orchestration-Free Customer Service Automation: A Privacy-Preserving and Flowchart-Guided Framework
Mengze Hong, Chen Jason Zhang, Zichang Guo, Hanlin Gu, Di Jiang and Qing Li
Multilingual Reference Need Assessment System for Wikipedia
Aitolkyn Baigutanova, Francisco Navas, Pablo Aragon, Mykola Trokhymovych, Muniza Aslam, Ai-Jou Chou, Miriam Redi and Diego Saez Trumper
</v>
      </c>
      <c r="N93" s="78" t="str">
        <f>IFERROR(__xludf.DUMMYFUNCTION("TEXTJOIN(CHAR(10), TRUE,FILTER('Web4Good assignment'!$D:$D,'Web4Good assignment'!$H:$H=N90))"),"Belief-Driven Multi-Agent Collaboration via Approximate Perfect Bayesian Equilibrium for Social Simulation
Weiwei Fang, Lin Li, Kaize Shi, Yu Yang and Jianwei Zhang
Think Then Recommend: An LLM-Powered Multi-Agent Framework for Personalized Conversationa"&amp;"l Recommender System in E-Commerce
Yuankun Zu, Xiangyu Cai, Chuchu Yu, Hao Peng, Jia Duan, Long Chen, Kunyao Wang, Zehua Zhang, Changping Peng, Zhangang Lin and Ching Law
GORAG: Graph-based Online Retrieval Augmented Generation for Dynamic Few-shot Socia"&amp;"l Media Text Classification
Yubo Wang, Haoyang Li, Fei Teng and Lei Chen
Mining Citywide Dengue Spread Patterns in Singapore Through Hotspot Dynamics from Open Web Data
Liping Huang, Gaoxi Xiao, Stefan Ma, Hechang Chen, Shisong Tang and Flora D. Salim
C"&amp;"onsensus Stability of Community Notes on X
Yuwei Chuai, Gabriele Lenzini and Nicolas Pröllochs
")</f>
        <v>Belief-Driven Multi-Agent Collaboration via Approximate Perfect Bayesian Equilibrium for Social Simulation
Weiwei Fang, Lin Li, Kaize Shi, Yu Yang and Jianwei Zhang
Think Then Recommend: An LLM-Powered Multi-Agent Framework for Personalized Conversational Recommender System in E-Commerce
Yuankun Zu, Xiangyu Cai, Chuchu Yu, Hao Peng, Jia Duan, Long Chen, Kunyao Wang, Zehua Zhang, Changping Peng, Zhangang Lin and Ching Law
GORAG: Graph-based Online Retrieval Augmented Generation for Dynamic Few-shot Social Media Text Classification
Yubo Wang, Haoyang Li, Fei Teng and Lei Chen
Mining Citywide Dengue Spread Patterns in Singapore Through Hotspot Dynamics from Open Web Data
Liping Huang, Gaoxi Xiao, Stefan Ma, Hechang Chen, Shisong Tang and Flora D. Salim
Consensus Stability of Community Notes on X
Yuwei Chuai, Gabriele Lenzini and Nicolas Pröllochs
</v>
      </c>
      <c r="O93" s="78" t="str">
        <f>IFERROR(__xludf.DUMMYFUNCTION("TEXTJOIN(CHAR(10), TRUE,FILTER('Research assignment'!$D:$D,'Research assignment'!$H:$H=O90))"),"Semi-Supervised Fake News Detection with Mixture of Experts
Zhenyu Yang, Chaoyu Yang, Wenfeng Xu, Xiuxiu Hao, Huan
Wang, Ge Zhang, Xiaoxiao Ma and Jun Shen
IConMoE: Modeling Intents of Misinformation using Concept Activation Vector-based Mixture of Exper"&amp;"ts
Atul Kumar Singh and Rahul Mishra
Causality Guided Representation Learning for Cross-Style Hate Speech Detection
Chengshuai Zhao, Shu Wan, Paras Sheth, Karan Patwa, K.
Selçuk Candan and Huan Liu
Navigating Truth in Multimodal Fact-checking via Retrie"&amp;"val- and Reasoning-Enhanced Large Language Models
Fanrui Zhang, Qiang Zhang, Jianwen Sun, Chuanhao Li, Jiaxin
Ai, Yukang Feng, Zizhen Li, Kaipeng Zhang, Jiawei Liu and
Zheng-Jun Zha
It's not Easy: Applying Supervised Machine Learning to Detect Malicious "&amp;"Extensions in the Chrome Web Store 
Ben Rosenzweig, Valentino Dalla Valle, Giovanni Apruzzese and Aurore Fass
")</f>
        <v>Semi-Supervised Fake News Detection with Mixture of Experts
Zhenyu Yang, Chaoyu Yang, Wenfeng Xu, Xiuxiu Hao, Huan
Wang, Ge Zhang, Xiaoxiao Ma and Jun Shen
IConMoE: Modeling Intents of Misinformation using Concept Activation Vector-based Mixture of Experts
Atul Kumar Singh and Rahul Mishra
Causality Guided Representation Learning for Cross-Style Hate Speech Detection
Chengshuai Zhao, Shu Wan, Paras Sheth, Karan Patwa, K.
Selçuk Candan and Huan Liu
Navigating Truth in Multimodal Fact-checking via Retrieval- and Reasoning-Enhanced Large Language Models
Fanrui Zhang, Qiang Zhang, Jianwen Sun, Chuanhao Li, Jiaxin
Ai, Yukang Feng, Zizhen Li, Kaipeng Zhang, Jiawei Liu and
Zheng-Jun Zha
It's not Easy: Applying Supervised Machine Learning to Detect Malicious Extensions in the Chrome Web Store 
Ben Rosenzweig, Valentino Dalla Valle, Giovanni Apruzzese and Aurore Fass
</v>
      </c>
      <c r="P93" s="128"/>
      <c r="Q93" s="128"/>
      <c r="R93" s="128"/>
      <c r="S93" s="128"/>
      <c r="T93" s="128"/>
      <c r="U93" s="128"/>
      <c r="V93" s="128"/>
      <c r="W93" s="128"/>
      <c r="X93" s="128"/>
      <c r="Y93" s="128"/>
      <c r="Z93" s="128"/>
      <c r="AA93" s="128"/>
    </row>
    <row r="94">
      <c r="A94" s="51" t="s">
        <v>95</v>
      </c>
      <c r="B94" s="130" t="s">
        <v>214</v>
      </c>
      <c r="O94" s="53"/>
      <c r="P94" s="128"/>
      <c r="Q94" s="128"/>
      <c r="R94" s="128"/>
      <c r="S94" s="128"/>
      <c r="T94" s="128"/>
      <c r="U94" s="128"/>
      <c r="V94" s="128"/>
      <c r="W94" s="128"/>
      <c r="X94" s="128"/>
      <c r="Y94" s="128"/>
      <c r="Z94" s="128"/>
      <c r="AA94" s="128"/>
    </row>
    <row r="95">
      <c r="A95" s="131"/>
      <c r="B95" s="132" t="str">
        <f>IFERROR(__xludf.DUMMYFUNCTION("CONCATENATE(""Session Chairs: "",TEXTJOIN(CHAR(10), TRUE,FILTER('Session Chairs'!$C:$C,'Session Chairs'!$A:$A=B94)))"),"Session Chairs: Hakim Hacid, Yoelle Maarek")</f>
        <v>Session Chairs: Hakim Hacid, Yoelle Maarek</v>
      </c>
      <c r="C95" s="38"/>
      <c r="D95" s="38"/>
      <c r="E95" s="38"/>
      <c r="F95" s="38"/>
      <c r="G95" s="38"/>
      <c r="H95" s="38"/>
      <c r="I95" s="38"/>
      <c r="J95" s="38"/>
      <c r="K95" s="38"/>
      <c r="L95" s="38"/>
      <c r="M95" s="38"/>
      <c r="N95" s="38"/>
      <c r="O95" s="38"/>
      <c r="P95" s="128"/>
      <c r="Q95" s="128"/>
      <c r="R95" s="128"/>
      <c r="S95" s="128"/>
      <c r="T95" s="128"/>
      <c r="U95" s="128"/>
      <c r="V95" s="128"/>
      <c r="W95" s="128"/>
      <c r="X95" s="128"/>
      <c r="Y95" s="128"/>
      <c r="Z95" s="128"/>
      <c r="AA95" s="128"/>
    </row>
    <row r="96">
      <c r="A96" s="48"/>
      <c r="B96" s="133" t="str">
        <f>IFERROR(__xludf.DUMMYFUNCTION("CONCATENATE(""Presenters: "",TEXTJOIN(CHAR(10), TRUE,FILTER('Session Chairs'!$C:$C,'Session Chairs'!$A:$A=CONCATENATE(B94, "" Presenters""))))"),"Presenters: Mounia Lalmas. Liane Lewin-Eytan, Dick Bulterman, Chin-Wan Chung, Charles Clarke, Owen Conlan, Laurent Flory, Cathal Gurrin, Wendy Hall, Irwin King, Hady Lauw, Davood Rafiei, Raphael Troncy")</f>
        <v>Presenters: Mounia Lalmas. Liane Lewin-Eytan, Dick Bulterman, Chin-Wan Chung, Charles Clarke, Owen Conlan, Laurent Flory, Cathal Gurrin, Wendy Hall, Irwin King, Hady Lauw, Davood Rafiei, Raphael Troncy</v>
      </c>
      <c r="C96" s="22"/>
      <c r="D96" s="22"/>
      <c r="E96" s="22"/>
      <c r="F96" s="22"/>
      <c r="G96" s="22"/>
      <c r="H96" s="22"/>
      <c r="I96" s="22"/>
      <c r="J96" s="22"/>
      <c r="K96" s="22"/>
      <c r="L96" s="22"/>
      <c r="M96" s="22"/>
      <c r="N96" s="22"/>
      <c r="O96" s="22"/>
      <c r="P96" s="128"/>
      <c r="Q96" s="128"/>
      <c r="R96" s="128"/>
      <c r="S96" s="128"/>
      <c r="T96" s="128"/>
      <c r="U96" s="128"/>
      <c r="V96" s="128"/>
      <c r="W96" s="128"/>
      <c r="X96" s="128"/>
      <c r="Y96" s="128"/>
      <c r="Z96" s="128"/>
      <c r="AA96" s="128"/>
    </row>
    <row r="97">
      <c r="A97" s="131"/>
      <c r="B97" s="132"/>
      <c r="C97" s="38"/>
      <c r="D97" s="38"/>
      <c r="E97" s="38"/>
      <c r="F97" s="38"/>
      <c r="G97" s="38"/>
      <c r="H97" s="38"/>
      <c r="I97" s="38"/>
      <c r="J97" s="38"/>
      <c r="K97" s="38"/>
      <c r="L97" s="38"/>
      <c r="M97" s="38"/>
      <c r="N97" s="38"/>
      <c r="O97" s="93"/>
      <c r="P97" s="128"/>
      <c r="Q97" s="128"/>
      <c r="R97" s="128"/>
      <c r="S97" s="128"/>
      <c r="T97" s="128"/>
      <c r="U97" s="128"/>
      <c r="V97" s="128"/>
      <c r="W97" s="128"/>
      <c r="X97" s="128"/>
      <c r="Y97" s="128"/>
      <c r="Z97" s="128"/>
      <c r="AA97" s="128"/>
    </row>
    <row r="98">
      <c r="A98" s="48"/>
      <c r="B98" s="133"/>
      <c r="C98" s="22"/>
      <c r="D98" s="22"/>
      <c r="E98" s="22"/>
      <c r="F98" s="22"/>
      <c r="G98" s="22"/>
      <c r="H98" s="22"/>
      <c r="I98" s="22"/>
      <c r="J98" s="22"/>
      <c r="K98" s="22"/>
      <c r="L98" s="22"/>
      <c r="M98" s="22"/>
      <c r="N98" s="22"/>
      <c r="P98" s="128"/>
      <c r="Q98" s="128"/>
      <c r="R98" s="128"/>
      <c r="S98" s="128"/>
      <c r="T98" s="128"/>
      <c r="U98" s="128"/>
      <c r="V98" s="128"/>
      <c r="W98" s="128"/>
      <c r="X98" s="128"/>
      <c r="Y98" s="128"/>
      <c r="Z98" s="128"/>
      <c r="AA98" s="128"/>
    </row>
    <row r="99">
      <c r="A99" s="131"/>
      <c r="B99" s="132"/>
      <c r="C99" s="38"/>
      <c r="D99" s="38"/>
      <c r="E99" s="38"/>
      <c r="F99" s="38"/>
      <c r="G99" s="38"/>
      <c r="H99" s="38"/>
      <c r="I99" s="38"/>
      <c r="J99" s="38"/>
      <c r="K99" s="38"/>
      <c r="L99" s="38"/>
      <c r="M99" s="38"/>
      <c r="N99" s="38"/>
      <c r="P99" s="128"/>
      <c r="Q99" s="128"/>
      <c r="R99" s="128"/>
      <c r="S99" s="128"/>
      <c r="T99" s="128"/>
      <c r="U99" s="128"/>
      <c r="V99" s="128"/>
      <c r="W99" s="128"/>
      <c r="X99" s="128"/>
      <c r="Y99" s="128"/>
      <c r="Z99" s="128"/>
      <c r="AA99" s="128"/>
    </row>
    <row r="100">
      <c r="A100" s="48"/>
      <c r="B100" s="133"/>
      <c r="C100" s="22"/>
      <c r="D100" s="22"/>
      <c r="E100" s="22"/>
      <c r="F100" s="22"/>
      <c r="G100" s="22"/>
      <c r="H100" s="22"/>
      <c r="I100" s="22"/>
      <c r="J100" s="22"/>
      <c r="K100" s="22"/>
      <c r="L100" s="22"/>
      <c r="M100" s="22"/>
      <c r="N100" s="22"/>
      <c r="O100" s="22"/>
      <c r="P100" s="128"/>
      <c r="Q100" s="128"/>
      <c r="R100" s="128"/>
      <c r="S100" s="128"/>
      <c r="T100" s="128"/>
      <c r="U100" s="128"/>
      <c r="V100" s="128"/>
      <c r="W100" s="128"/>
      <c r="X100" s="128"/>
      <c r="Y100" s="128"/>
      <c r="Z100" s="128"/>
      <c r="AA100" s="128"/>
    </row>
    <row r="101">
      <c r="A101" s="134"/>
      <c r="B101" s="134"/>
      <c r="C101" s="128"/>
      <c r="D101" s="128"/>
      <c r="E101" s="128"/>
      <c r="F101" s="128"/>
      <c r="G101" s="128"/>
      <c r="H101" s="128"/>
      <c r="I101" s="128"/>
      <c r="J101" s="128"/>
      <c r="K101" s="128"/>
      <c r="L101" s="128"/>
      <c r="M101" s="128"/>
      <c r="N101" s="128"/>
      <c r="O101" s="128"/>
      <c r="P101" s="128"/>
      <c r="Q101" s="128"/>
      <c r="R101" s="128"/>
      <c r="S101" s="128"/>
      <c r="T101" s="128"/>
      <c r="U101" s="128"/>
      <c r="V101" s="128"/>
      <c r="W101" s="128"/>
      <c r="X101" s="128"/>
      <c r="Y101" s="128"/>
      <c r="Z101" s="128"/>
      <c r="AA101" s="128"/>
    </row>
    <row r="102">
      <c r="A102" s="134"/>
      <c r="B102" s="134"/>
      <c r="C102" s="128"/>
      <c r="D102" s="128"/>
      <c r="E102" s="128"/>
      <c r="F102" s="128"/>
      <c r="G102" s="128"/>
      <c r="H102" s="128"/>
      <c r="I102" s="128"/>
      <c r="J102" s="128"/>
      <c r="K102" s="128"/>
      <c r="L102" s="128"/>
      <c r="M102" s="128"/>
      <c r="N102" s="128"/>
      <c r="O102" s="128"/>
      <c r="P102" s="128"/>
      <c r="Q102" s="128"/>
      <c r="R102" s="128"/>
      <c r="S102" s="128"/>
      <c r="T102" s="128"/>
      <c r="U102" s="128"/>
      <c r="V102" s="128"/>
      <c r="W102" s="128"/>
      <c r="X102" s="128"/>
      <c r="Y102" s="128"/>
      <c r="Z102" s="128"/>
      <c r="AA102" s="128"/>
    </row>
    <row r="103">
      <c r="A103" s="134"/>
      <c r="B103" s="134"/>
      <c r="C103" s="128"/>
      <c r="D103" s="128"/>
      <c r="E103" s="128"/>
      <c r="F103" s="128"/>
      <c r="G103" s="128"/>
      <c r="H103" s="128"/>
      <c r="I103" s="128"/>
      <c r="J103" s="128"/>
      <c r="K103" s="128"/>
      <c r="L103" s="128"/>
      <c r="M103" s="128"/>
      <c r="N103" s="128"/>
      <c r="O103" s="128"/>
      <c r="P103" s="128"/>
      <c r="Q103" s="128"/>
      <c r="R103" s="128"/>
      <c r="S103" s="128"/>
      <c r="T103" s="128"/>
      <c r="U103" s="128"/>
      <c r="V103" s="128"/>
      <c r="W103" s="128"/>
      <c r="X103" s="128"/>
      <c r="Y103" s="128"/>
      <c r="Z103" s="128"/>
      <c r="AA103" s="128"/>
    </row>
    <row r="104">
      <c r="A104" s="134"/>
      <c r="B104" s="134"/>
      <c r="C104" s="128"/>
      <c r="D104" s="128"/>
      <c r="E104" s="128"/>
      <c r="F104" s="128"/>
      <c r="G104" s="128"/>
      <c r="H104" s="128"/>
      <c r="I104" s="128"/>
      <c r="J104" s="128"/>
      <c r="K104" s="128"/>
      <c r="L104" s="128"/>
      <c r="M104" s="128"/>
      <c r="N104" s="128"/>
      <c r="O104" s="128"/>
      <c r="P104" s="128"/>
      <c r="Q104" s="128"/>
      <c r="R104" s="128"/>
      <c r="S104" s="128"/>
      <c r="T104" s="128"/>
      <c r="U104" s="128"/>
      <c r="V104" s="128"/>
      <c r="W104" s="128"/>
      <c r="X104" s="128"/>
      <c r="Y104" s="128"/>
      <c r="Z104" s="128"/>
      <c r="AA104" s="128"/>
    </row>
    <row r="105">
      <c r="A105" s="134"/>
      <c r="B105" s="134"/>
      <c r="C105" s="128"/>
      <c r="D105" s="128"/>
      <c r="E105" s="128"/>
      <c r="F105" s="128"/>
      <c r="G105" s="128"/>
      <c r="H105" s="128"/>
      <c r="I105" s="128"/>
      <c r="J105" s="128"/>
      <c r="K105" s="128"/>
      <c r="L105" s="128"/>
      <c r="M105" s="128"/>
      <c r="N105" s="128"/>
      <c r="O105" s="128"/>
      <c r="P105" s="128"/>
      <c r="Q105" s="128"/>
      <c r="R105" s="128"/>
      <c r="S105" s="128"/>
      <c r="T105" s="128"/>
      <c r="U105" s="128"/>
      <c r="V105" s="128"/>
      <c r="W105" s="128"/>
      <c r="X105" s="128"/>
      <c r="Y105" s="128"/>
      <c r="Z105" s="128"/>
      <c r="AA105" s="128"/>
    </row>
    <row r="106">
      <c r="A106" s="134"/>
      <c r="B106" s="134"/>
      <c r="C106" s="128"/>
      <c r="D106" s="128"/>
      <c r="E106" s="128"/>
      <c r="F106" s="128"/>
      <c r="G106" s="128"/>
      <c r="H106" s="128"/>
      <c r="I106" s="128"/>
      <c r="J106" s="128"/>
      <c r="K106" s="128"/>
      <c r="L106" s="128"/>
      <c r="M106" s="128"/>
      <c r="N106" s="128"/>
      <c r="O106" s="128"/>
      <c r="P106" s="128"/>
      <c r="Q106" s="128"/>
      <c r="R106" s="128"/>
      <c r="S106" s="128"/>
      <c r="T106" s="128"/>
      <c r="U106" s="128"/>
      <c r="V106" s="128"/>
      <c r="W106" s="128"/>
      <c r="X106" s="128"/>
      <c r="Y106" s="128"/>
      <c r="Z106" s="128"/>
      <c r="AA106" s="128"/>
    </row>
    <row r="107">
      <c r="A107" s="134"/>
      <c r="B107" s="134"/>
      <c r="C107" s="128"/>
      <c r="D107" s="128"/>
      <c r="E107" s="128"/>
      <c r="F107" s="128"/>
      <c r="G107" s="128"/>
      <c r="H107" s="128"/>
      <c r="I107" s="128"/>
      <c r="J107" s="128"/>
      <c r="K107" s="128"/>
      <c r="L107" s="128"/>
      <c r="M107" s="128"/>
      <c r="N107" s="128"/>
      <c r="O107" s="128"/>
      <c r="P107" s="128"/>
      <c r="Q107" s="128"/>
      <c r="R107" s="128"/>
      <c r="S107" s="128"/>
      <c r="T107" s="128"/>
      <c r="U107" s="128"/>
      <c r="V107" s="128"/>
      <c r="W107" s="128"/>
      <c r="X107" s="128"/>
      <c r="Y107" s="128"/>
      <c r="Z107" s="128"/>
      <c r="AA107" s="128"/>
    </row>
    <row r="108">
      <c r="A108" s="134"/>
      <c r="B108" s="134"/>
      <c r="C108" s="128"/>
      <c r="D108" s="128"/>
      <c r="E108" s="128"/>
      <c r="F108" s="128"/>
      <c r="G108" s="128"/>
      <c r="H108" s="128"/>
      <c r="I108" s="128"/>
      <c r="J108" s="128"/>
      <c r="K108" s="128"/>
      <c r="L108" s="128"/>
      <c r="M108" s="128"/>
      <c r="N108" s="128"/>
      <c r="O108" s="128"/>
      <c r="P108" s="128"/>
      <c r="Q108" s="128"/>
      <c r="R108" s="128"/>
      <c r="S108" s="128"/>
      <c r="T108" s="128"/>
      <c r="U108" s="128"/>
      <c r="V108" s="128"/>
      <c r="W108" s="128"/>
      <c r="X108" s="128"/>
      <c r="Y108" s="128"/>
      <c r="Z108" s="128"/>
      <c r="AA108" s="128"/>
    </row>
    <row r="109">
      <c r="A109" s="134"/>
      <c r="B109" s="134"/>
      <c r="C109" s="128"/>
      <c r="D109" s="128"/>
      <c r="E109" s="128"/>
      <c r="F109" s="128"/>
      <c r="G109" s="128"/>
      <c r="H109" s="128"/>
      <c r="I109" s="128"/>
      <c r="J109" s="128"/>
      <c r="K109" s="128"/>
      <c r="L109" s="128"/>
      <c r="M109" s="128"/>
      <c r="N109" s="128"/>
      <c r="O109" s="128"/>
      <c r="P109" s="128"/>
      <c r="Q109" s="128"/>
      <c r="R109" s="128"/>
      <c r="S109" s="128"/>
      <c r="T109" s="128"/>
      <c r="U109" s="128"/>
      <c r="V109" s="128"/>
      <c r="W109" s="128"/>
      <c r="X109" s="128"/>
      <c r="Y109" s="128"/>
      <c r="Z109" s="128"/>
      <c r="AA109" s="128"/>
    </row>
    <row r="110">
      <c r="A110" s="134"/>
      <c r="B110" s="134"/>
      <c r="C110" s="128"/>
      <c r="D110" s="128"/>
      <c r="E110" s="128"/>
      <c r="F110" s="128"/>
      <c r="G110" s="128"/>
      <c r="H110" s="128"/>
      <c r="I110" s="128"/>
      <c r="J110" s="128"/>
      <c r="K110" s="128"/>
      <c r="L110" s="128"/>
      <c r="M110" s="128"/>
      <c r="N110" s="128"/>
      <c r="O110" s="128"/>
      <c r="P110" s="128"/>
      <c r="Q110" s="128"/>
      <c r="R110" s="128"/>
      <c r="S110" s="128"/>
      <c r="T110" s="128"/>
      <c r="U110" s="128"/>
      <c r="V110" s="128"/>
      <c r="W110" s="128"/>
      <c r="X110" s="128"/>
      <c r="Y110" s="128"/>
      <c r="Z110" s="128"/>
      <c r="AA110" s="128"/>
    </row>
    <row r="111">
      <c r="A111" s="134"/>
      <c r="B111" s="134"/>
      <c r="C111" s="128"/>
      <c r="D111" s="128"/>
      <c r="E111" s="128"/>
      <c r="F111" s="128"/>
      <c r="G111" s="128"/>
      <c r="H111" s="128"/>
      <c r="I111" s="128"/>
      <c r="J111" s="128"/>
      <c r="K111" s="128"/>
      <c r="L111" s="128"/>
      <c r="M111" s="128"/>
      <c r="N111" s="128"/>
      <c r="O111" s="128"/>
      <c r="P111" s="128"/>
      <c r="Q111" s="128"/>
      <c r="R111" s="128"/>
      <c r="S111" s="128"/>
      <c r="T111" s="128"/>
      <c r="U111" s="128"/>
      <c r="V111" s="128"/>
      <c r="W111" s="128"/>
      <c r="X111" s="128"/>
      <c r="Y111" s="128"/>
      <c r="Z111" s="128"/>
      <c r="AA111" s="128"/>
    </row>
    <row r="112">
      <c r="A112" s="134"/>
      <c r="B112" s="134"/>
      <c r="C112" s="128"/>
      <c r="D112" s="128"/>
      <c r="E112" s="128"/>
      <c r="F112" s="128"/>
      <c r="G112" s="128"/>
      <c r="H112" s="128"/>
      <c r="I112" s="128"/>
      <c r="J112" s="128"/>
      <c r="K112" s="128"/>
      <c r="L112" s="128"/>
      <c r="M112" s="128"/>
      <c r="N112" s="128"/>
      <c r="O112" s="128"/>
      <c r="P112" s="128"/>
      <c r="Q112" s="128"/>
      <c r="R112" s="128"/>
      <c r="S112" s="128"/>
      <c r="T112" s="128"/>
      <c r="U112" s="128"/>
      <c r="V112" s="128"/>
      <c r="W112" s="128"/>
      <c r="X112" s="128"/>
      <c r="Y112" s="128"/>
      <c r="Z112" s="128"/>
      <c r="AA112" s="128"/>
    </row>
    <row r="113">
      <c r="A113" s="134"/>
      <c r="B113" s="134"/>
      <c r="C113" s="128"/>
      <c r="D113" s="128"/>
      <c r="E113" s="128"/>
      <c r="F113" s="128"/>
      <c r="G113" s="128"/>
      <c r="H113" s="128"/>
      <c r="I113" s="128"/>
      <c r="J113" s="128"/>
      <c r="K113" s="128"/>
      <c r="L113" s="128"/>
      <c r="M113" s="128"/>
      <c r="N113" s="128"/>
      <c r="O113" s="128"/>
      <c r="P113" s="128"/>
      <c r="Q113" s="128"/>
      <c r="R113" s="128"/>
      <c r="S113" s="128"/>
      <c r="T113" s="128"/>
      <c r="U113" s="128"/>
      <c r="V113" s="128"/>
      <c r="W113" s="128"/>
      <c r="X113" s="128"/>
      <c r="Y113" s="128"/>
      <c r="Z113" s="128"/>
      <c r="AA113" s="128"/>
    </row>
    <row r="114">
      <c r="A114" s="134"/>
      <c r="B114" s="134"/>
      <c r="C114" s="128"/>
      <c r="D114" s="128"/>
      <c r="E114" s="128"/>
      <c r="F114" s="128"/>
      <c r="G114" s="128"/>
      <c r="H114" s="128"/>
      <c r="I114" s="128"/>
      <c r="J114" s="128"/>
      <c r="K114" s="128"/>
      <c r="L114" s="128"/>
      <c r="M114" s="128"/>
      <c r="N114" s="128"/>
      <c r="O114" s="128"/>
      <c r="P114" s="128"/>
      <c r="Q114" s="128"/>
      <c r="R114" s="128"/>
      <c r="S114" s="128"/>
      <c r="T114" s="128"/>
      <c r="U114" s="128"/>
      <c r="V114" s="128"/>
      <c r="W114" s="128"/>
      <c r="X114" s="128"/>
      <c r="Y114" s="128"/>
      <c r="Z114" s="128"/>
      <c r="AA114" s="128"/>
    </row>
    <row r="115">
      <c r="A115" s="134"/>
      <c r="B115" s="134"/>
      <c r="C115" s="128"/>
      <c r="D115" s="128"/>
      <c r="E115" s="128"/>
      <c r="F115" s="128"/>
      <c r="G115" s="128"/>
      <c r="H115" s="128"/>
      <c r="I115" s="128"/>
      <c r="J115" s="128"/>
      <c r="K115" s="128"/>
      <c r="L115" s="128"/>
      <c r="M115" s="128"/>
      <c r="N115" s="128"/>
      <c r="O115" s="128"/>
      <c r="P115" s="128"/>
      <c r="Q115" s="128"/>
      <c r="R115" s="128"/>
      <c r="S115" s="128"/>
      <c r="T115" s="128"/>
      <c r="U115" s="128"/>
      <c r="V115" s="128"/>
      <c r="W115" s="128"/>
      <c r="X115" s="128"/>
      <c r="Y115" s="128"/>
      <c r="Z115" s="128"/>
      <c r="AA115" s="128"/>
    </row>
    <row r="116">
      <c r="A116" s="134"/>
      <c r="B116" s="134"/>
      <c r="C116" s="128"/>
      <c r="D116" s="128"/>
      <c r="E116" s="128"/>
      <c r="F116" s="128"/>
      <c r="G116" s="128"/>
      <c r="H116" s="128"/>
      <c r="I116" s="128"/>
      <c r="J116" s="128"/>
      <c r="K116" s="128"/>
      <c r="L116" s="128"/>
      <c r="M116" s="128"/>
      <c r="N116" s="128"/>
      <c r="O116" s="128"/>
      <c r="P116" s="128"/>
      <c r="Q116" s="128"/>
      <c r="R116" s="128"/>
      <c r="S116" s="128"/>
      <c r="T116" s="128"/>
      <c r="U116" s="128"/>
      <c r="V116" s="128"/>
      <c r="W116" s="128"/>
      <c r="X116" s="128"/>
      <c r="Y116" s="128"/>
      <c r="Z116" s="128"/>
      <c r="AA116" s="128"/>
    </row>
    <row r="117">
      <c r="A117" s="134"/>
      <c r="B117" s="134"/>
      <c r="C117" s="128"/>
      <c r="D117" s="128"/>
      <c r="E117" s="128"/>
      <c r="F117" s="128"/>
      <c r="G117" s="128"/>
      <c r="H117" s="128"/>
      <c r="I117" s="128"/>
      <c r="J117" s="128"/>
      <c r="K117" s="128"/>
      <c r="L117" s="128"/>
      <c r="M117" s="128"/>
      <c r="N117" s="128"/>
      <c r="O117" s="128"/>
      <c r="P117" s="128"/>
      <c r="Q117" s="128"/>
      <c r="R117" s="128"/>
      <c r="S117" s="128"/>
      <c r="T117" s="128"/>
      <c r="U117" s="128"/>
      <c r="V117" s="128"/>
      <c r="W117" s="128"/>
      <c r="X117" s="128"/>
      <c r="Y117" s="128"/>
      <c r="Z117" s="128"/>
      <c r="AA117" s="128"/>
    </row>
    <row r="118">
      <c r="A118" s="134"/>
      <c r="B118" s="134"/>
      <c r="C118" s="128"/>
      <c r="D118" s="128"/>
      <c r="E118" s="128"/>
      <c r="F118" s="128"/>
      <c r="G118" s="128"/>
      <c r="H118" s="128"/>
      <c r="I118" s="128"/>
      <c r="J118" s="128"/>
      <c r="K118" s="128"/>
      <c r="L118" s="128"/>
      <c r="M118" s="128"/>
      <c r="N118" s="128"/>
      <c r="O118" s="128"/>
      <c r="P118" s="128"/>
      <c r="Q118" s="128"/>
      <c r="R118" s="128"/>
      <c r="S118" s="128"/>
      <c r="T118" s="128"/>
      <c r="U118" s="128"/>
      <c r="V118" s="128"/>
      <c r="W118" s="128"/>
      <c r="X118" s="128"/>
      <c r="Y118" s="128"/>
      <c r="Z118" s="128"/>
      <c r="AA118" s="128"/>
    </row>
    <row r="119">
      <c r="A119" s="134"/>
      <c r="B119" s="134"/>
      <c r="C119" s="128"/>
      <c r="D119" s="128"/>
      <c r="E119" s="128"/>
      <c r="F119" s="128"/>
      <c r="G119" s="128"/>
      <c r="H119" s="128"/>
      <c r="I119" s="128"/>
      <c r="J119" s="128"/>
      <c r="K119" s="128"/>
      <c r="L119" s="128"/>
      <c r="M119" s="128"/>
      <c r="N119" s="128"/>
      <c r="O119" s="128"/>
      <c r="P119" s="128"/>
      <c r="Q119" s="128"/>
      <c r="R119" s="128"/>
      <c r="S119" s="128"/>
      <c r="T119" s="128"/>
      <c r="U119" s="128"/>
      <c r="V119" s="128"/>
      <c r="W119" s="128"/>
      <c r="X119" s="128"/>
      <c r="Y119" s="128"/>
      <c r="Z119" s="128"/>
      <c r="AA119" s="128"/>
    </row>
    <row r="120">
      <c r="A120" s="134"/>
      <c r="B120" s="134"/>
      <c r="C120" s="128"/>
      <c r="D120" s="128"/>
      <c r="E120" s="128"/>
      <c r="F120" s="128"/>
      <c r="G120" s="128"/>
      <c r="H120" s="128"/>
      <c r="I120" s="128"/>
      <c r="J120" s="128"/>
      <c r="K120" s="128"/>
      <c r="L120" s="128"/>
      <c r="M120" s="128"/>
      <c r="N120" s="128"/>
      <c r="O120" s="128"/>
      <c r="P120" s="128"/>
      <c r="Q120" s="128"/>
      <c r="R120" s="128"/>
      <c r="S120" s="128"/>
      <c r="T120" s="128"/>
      <c r="U120" s="128"/>
      <c r="V120" s="128"/>
      <c r="W120" s="128"/>
      <c r="X120" s="128"/>
      <c r="Y120" s="128"/>
      <c r="Z120" s="128"/>
      <c r="AA120" s="128"/>
    </row>
    <row r="121">
      <c r="A121" s="134"/>
      <c r="B121" s="134"/>
      <c r="C121" s="128"/>
      <c r="D121" s="128"/>
      <c r="E121" s="128"/>
      <c r="F121" s="128"/>
      <c r="G121" s="128"/>
      <c r="H121" s="128"/>
      <c r="I121" s="128"/>
      <c r="J121" s="128"/>
      <c r="K121" s="128"/>
      <c r="L121" s="128"/>
      <c r="M121" s="128"/>
      <c r="N121" s="128"/>
      <c r="O121" s="128"/>
      <c r="P121" s="128"/>
      <c r="Q121" s="128"/>
      <c r="R121" s="128"/>
      <c r="S121" s="128"/>
      <c r="T121" s="128"/>
      <c r="U121" s="128"/>
      <c r="V121" s="128"/>
      <c r="W121" s="128"/>
      <c r="X121" s="128"/>
      <c r="Y121" s="128"/>
      <c r="Z121" s="128"/>
      <c r="AA121" s="128"/>
    </row>
    <row r="122">
      <c r="A122" s="134"/>
      <c r="B122" s="134"/>
      <c r="C122" s="128"/>
      <c r="D122" s="128"/>
      <c r="E122" s="128"/>
      <c r="F122" s="128"/>
      <c r="G122" s="128"/>
      <c r="H122" s="128"/>
      <c r="I122" s="128"/>
      <c r="J122" s="128"/>
      <c r="K122" s="128"/>
      <c r="L122" s="128"/>
      <c r="M122" s="128"/>
      <c r="N122" s="128"/>
      <c r="O122" s="128"/>
      <c r="P122" s="128"/>
      <c r="Q122" s="128"/>
      <c r="R122" s="128"/>
      <c r="S122" s="128"/>
      <c r="T122" s="128"/>
      <c r="U122" s="128"/>
      <c r="V122" s="128"/>
      <c r="W122" s="128"/>
      <c r="X122" s="128"/>
      <c r="Y122" s="128"/>
      <c r="Z122" s="128"/>
      <c r="AA122" s="128"/>
    </row>
    <row r="123">
      <c r="A123" s="134"/>
      <c r="B123" s="134"/>
      <c r="C123" s="128"/>
      <c r="D123" s="128"/>
      <c r="E123" s="128"/>
      <c r="F123" s="128"/>
      <c r="G123" s="128"/>
      <c r="H123" s="128"/>
      <c r="I123" s="128"/>
      <c r="J123" s="128"/>
      <c r="K123" s="128"/>
      <c r="L123" s="128"/>
      <c r="M123" s="128"/>
      <c r="N123" s="128"/>
      <c r="O123" s="128"/>
      <c r="P123" s="128"/>
      <c r="Q123" s="128"/>
      <c r="R123" s="128"/>
      <c r="S123" s="128"/>
      <c r="T123" s="128"/>
      <c r="U123" s="128"/>
      <c r="V123" s="128"/>
      <c r="W123" s="128"/>
      <c r="X123" s="128"/>
      <c r="Y123" s="128"/>
      <c r="Z123" s="128"/>
      <c r="AA123" s="128"/>
    </row>
    <row r="124">
      <c r="A124" s="134"/>
      <c r="B124" s="134"/>
      <c r="C124" s="128"/>
      <c r="D124" s="128"/>
      <c r="E124" s="128"/>
      <c r="F124" s="128"/>
      <c r="G124" s="128"/>
      <c r="H124" s="128"/>
      <c r="I124" s="128"/>
      <c r="J124" s="128"/>
      <c r="K124" s="128"/>
      <c r="L124" s="128"/>
      <c r="M124" s="128"/>
      <c r="N124" s="128"/>
      <c r="O124" s="128"/>
      <c r="P124" s="128"/>
      <c r="Q124" s="128"/>
      <c r="R124" s="128"/>
      <c r="S124" s="128"/>
      <c r="T124" s="128"/>
      <c r="U124" s="128"/>
      <c r="V124" s="128"/>
      <c r="W124" s="128"/>
      <c r="X124" s="128"/>
      <c r="Y124" s="128"/>
      <c r="Z124" s="128"/>
      <c r="AA124" s="128"/>
    </row>
    <row r="125">
      <c r="A125" s="134"/>
      <c r="B125" s="134"/>
      <c r="C125" s="128"/>
      <c r="D125" s="128"/>
      <c r="E125" s="128"/>
      <c r="F125" s="128"/>
      <c r="G125" s="128"/>
      <c r="H125" s="128"/>
      <c r="I125" s="128"/>
      <c r="J125" s="128"/>
      <c r="K125" s="128"/>
      <c r="L125" s="128"/>
      <c r="M125" s="128"/>
      <c r="N125" s="128"/>
      <c r="O125" s="128"/>
      <c r="P125" s="128"/>
      <c r="Q125" s="128"/>
      <c r="R125" s="128"/>
      <c r="S125" s="128"/>
      <c r="T125" s="128"/>
      <c r="U125" s="128"/>
      <c r="V125" s="128"/>
      <c r="W125" s="128"/>
      <c r="X125" s="128"/>
      <c r="Y125" s="128"/>
      <c r="Z125" s="128"/>
      <c r="AA125" s="128"/>
    </row>
    <row r="126">
      <c r="A126" s="134"/>
      <c r="B126" s="134"/>
      <c r="C126" s="128"/>
      <c r="D126" s="128"/>
      <c r="E126" s="128"/>
      <c r="F126" s="128"/>
      <c r="G126" s="128"/>
      <c r="H126" s="128"/>
      <c r="I126" s="128"/>
      <c r="J126" s="128"/>
      <c r="K126" s="128"/>
      <c r="L126" s="128"/>
      <c r="M126" s="128"/>
      <c r="N126" s="128"/>
      <c r="O126" s="128"/>
      <c r="P126" s="128"/>
      <c r="Q126" s="128"/>
      <c r="R126" s="128"/>
      <c r="S126" s="128"/>
      <c r="T126" s="128"/>
      <c r="U126" s="128"/>
      <c r="V126" s="128"/>
      <c r="W126" s="128"/>
      <c r="X126" s="128"/>
      <c r="Y126" s="128"/>
      <c r="Z126" s="128"/>
      <c r="AA126" s="128"/>
    </row>
    <row r="127">
      <c r="A127" s="134"/>
      <c r="B127" s="134"/>
      <c r="C127" s="128"/>
      <c r="D127" s="128"/>
      <c r="E127" s="128"/>
      <c r="F127" s="128"/>
      <c r="G127" s="128"/>
      <c r="H127" s="128"/>
      <c r="I127" s="128"/>
      <c r="J127" s="128"/>
      <c r="K127" s="128"/>
      <c r="L127" s="128"/>
      <c r="M127" s="128"/>
      <c r="N127" s="128"/>
      <c r="O127" s="128"/>
      <c r="P127" s="128"/>
      <c r="Q127" s="128"/>
      <c r="R127" s="128"/>
      <c r="S127" s="128"/>
      <c r="T127" s="128"/>
      <c r="U127" s="128"/>
      <c r="V127" s="128"/>
      <c r="W127" s="128"/>
      <c r="X127" s="128"/>
      <c r="Y127" s="128"/>
      <c r="Z127" s="128"/>
      <c r="AA127" s="128"/>
    </row>
    <row r="128">
      <c r="A128" s="134"/>
      <c r="B128" s="134"/>
      <c r="C128" s="128"/>
      <c r="D128" s="128"/>
      <c r="E128" s="128"/>
      <c r="F128" s="128"/>
      <c r="G128" s="128"/>
      <c r="H128" s="128"/>
      <c r="I128" s="128"/>
      <c r="J128" s="128"/>
      <c r="K128" s="128"/>
      <c r="L128" s="128"/>
      <c r="M128" s="128"/>
      <c r="N128" s="128"/>
      <c r="O128" s="128"/>
      <c r="P128" s="128"/>
      <c r="Q128" s="128"/>
      <c r="R128" s="128"/>
      <c r="S128" s="128"/>
      <c r="T128" s="128"/>
      <c r="U128" s="128"/>
      <c r="V128" s="128"/>
      <c r="W128" s="128"/>
      <c r="X128" s="128"/>
      <c r="Y128" s="128"/>
      <c r="Z128" s="128"/>
      <c r="AA128" s="128"/>
    </row>
    <row r="129">
      <c r="A129" s="134"/>
      <c r="B129" s="134"/>
      <c r="C129" s="128"/>
      <c r="D129" s="128"/>
      <c r="E129" s="128"/>
      <c r="F129" s="128"/>
      <c r="G129" s="128"/>
      <c r="H129" s="128"/>
      <c r="I129" s="128"/>
      <c r="J129" s="128"/>
      <c r="K129" s="128"/>
      <c r="L129" s="128"/>
      <c r="M129" s="128"/>
      <c r="N129" s="128"/>
      <c r="O129" s="128"/>
      <c r="P129" s="128"/>
      <c r="Q129" s="128"/>
      <c r="R129" s="128"/>
      <c r="S129" s="128"/>
      <c r="T129" s="128"/>
      <c r="U129" s="128"/>
      <c r="V129" s="128"/>
      <c r="W129" s="128"/>
      <c r="X129" s="128"/>
      <c r="Y129" s="128"/>
      <c r="Z129" s="128"/>
      <c r="AA129" s="128"/>
    </row>
    <row r="130">
      <c r="A130" s="134"/>
      <c r="B130" s="134"/>
      <c r="C130" s="128"/>
      <c r="D130" s="128"/>
      <c r="E130" s="128"/>
      <c r="F130" s="128"/>
      <c r="G130" s="128"/>
      <c r="H130" s="128"/>
      <c r="I130" s="128"/>
      <c r="J130" s="128"/>
      <c r="K130" s="128"/>
      <c r="L130" s="128"/>
      <c r="M130" s="128"/>
      <c r="N130" s="128"/>
      <c r="O130" s="128"/>
      <c r="P130" s="128"/>
      <c r="Q130" s="128"/>
      <c r="R130" s="128"/>
      <c r="S130" s="128"/>
      <c r="T130" s="128"/>
      <c r="U130" s="128"/>
      <c r="V130" s="128"/>
      <c r="W130" s="128"/>
      <c r="X130" s="128"/>
      <c r="Y130" s="128"/>
      <c r="Z130" s="128"/>
      <c r="AA130" s="128"/>
    </row>
    <row r="131">
      <c r="A131" s="134"/>
      <c r="B131" s="134"/>
      <c r="C131" s="128"/>
      <c r="D131" s="128"/>
      <c r="E131" s="128"/>
      <c r="F131" s="128"/>
      <c r="G131" s="128"/>
      <c r="H131" s="128"/>
      <c r="I131" s="128"/>
      <c r="J131" s="128"/>
      <c r="K131" s="128"/>
      <c r="L131" s="128"/>
      <c r="M131" s="128"/>
      <c r="N131" s="128"/>
      <c r="O131" s="128"/>
      <c r="P131" s="128"/>
      <c r="Q131" s="128"/>
      <c r="R131" s="128"/>
      <c r="S131" s="128"/>
      <c r="T131" s="128"/>
      <c r="U131" s="128"/>
      <c r="V131" s="128"/>
      <c r="W131" s="128"/>
      <c r="X131" s="128"/>
      <c r="Y131" s="128"/>
      <c r="Z131" s="128"/>
      <c r="AA131" s="128"/>
    </row>
    <row r="132">
      <c r="A132" s="134"/>
      <c r="B132" s="134"/>
      <c r="C132" s="128"/>
      <c r="D132" s="128"/>
      <c r="E132" s="128"/>
      <c r="F132" s="128"/>
      <c r="G132" s="128"/>
      <c r="H132" s="128"/>
      <c r="I132" s="128"/>
      <c r="J132" s="128"/>
      <c r="K132" s="128"/>
      <c r="L132" s="128"/>
      <c r="M132" s="128"/>
      <c r="N132" s="128"/>
      <c r="O132" s="128"/>
      <c r="P132" s="128"/>
      <c r="Q132" s="128"/>
      <c r="R132" s="128"/>
      <c r="S132" s="128"/>
      <c r="T132" s="128"/>
      <c r="U132" s="128"/>
      <c r="V132" s="128"/>
      <c r="W132" s="128"/>
      <c r="X132" s="128"/>
      <c r="Y132" s="128"/>
      <c r="Z132" s="128"/>
      <c r="AA132" s="128"/>
    </row>
    <row r="133">
      <c r="A133" s="134"/>
      <c r="B133" s="134"/>
      <c r="C133" s="128"/>
      <c r="D133" s="128"/>
      <c r="E133" s="128"/>
      <c r="F133" s="128"/>
      <c r="G133" s="128"/>
      <c r="H133" s="128"/>
      <c r="I133" s="128"/>
      <c r="J133" s="128"/>
      <c r="K133" s="128"/>
      <c r="L133" s="128"/>
      <c r="M133" s="128"/>
      <c r="N133" s="128"/>
      <c r="O133" s="128"/>
      <c r="P133" s="128"/>
      <c r="Q133" s="128"/>
      <c r="R133" s="128"/>
      <c r="S133" s="128"/>
      <c r="T133" s="128"/>
      <c r="U133" s="128"/>
      <c r="V133" s="128"/>
      <c r="W133" s="128"/>
      <c r="X133" s="128"/>
      <c r="Y133" s="128"/>
      <c r="Z133" s="128"/>
      <c r="AA133" s="128"/>
    </row>
    <row r="134">
      <c r="A134" s="134"/>
      <c r="B134" s="134"/>
      <c r="C134" s="128"/>
      <c r="D134" s="128"/>
      <c r="E134" s="128"/>
      <c r="F134" s="128"/>
      <c r="G134" s="128"/>
      <c r="H134" s="128"/>
      <c r="I134" s="128"/>
      <c r="J134" s="128"/>
      <c r="K134" s="128"/>
      <c r="L134" s="128"/>
      <c r="M134" s="128"/>
      <c r="N134" s="128"/>
      <c r="O134" s="128"/>
      <c r="P134" s="128"/>
      <c r="Q134" s="128"/>
      <c r="R134" s="128"/>
      <c r="S134" s="128"/>
      <c r="T134" s="128"/>
      <c r="U134" s="128"/>
      <c r="V134" s="128"/>
      <c r="W134" s="128"/>
      <c r="X134" s="128"/>
      <c r="Y134" s="128"/>
      <c r="Z134" s="128"/>
      <c r="AA134" s="128"/>
    </row>
    <row r="135">
      <c r="A135" s="134"/>
      <c r="B135" s="134"/>
      <c r="C135" s="128"/>
      <c r="D135" s="128"/>
      <c r="E135" s="128"/>
      <c r="F135" s="128"/>
      <c r="G135" s="128"/>
      <c r="H135" s="128"/>
      <c r="I135" s="128"/>
      <c r="J135" s="128"/>
      <c r="K135" s="128"/>
      <c r="L135" s="128"/>
      <c r="M135" s="128"/>
      <c r="N135" s="128"/>
      <c r="O135" s="128"/>
      <c r="P135" s="128"/>
      <c r="Q135" s="128"/>
      <c r="R135" s="128"/>
      <c r="S135" s="128"/>
      <c r="T135" s="128"/>
      <c r="U135" s="128"/>
      <c r="V135" s="128"/>
      <c r="W135" s="128"/>
      <c r="X135" s="128"/>
      <c r="Y135" s="128"/>
      <c r="Z135" s="128"/>
      <c r="AA135" s="128"/>
    </row>
    <row r="136">
      <c r="A136" s="134"/>
      <c r="B136" s="134"/>
      <c r="C136" s="128"/>
      <c r="D136" s="128"/>
      <c r="E136" s="128"/>
      <c r="F136" s="128"/>
      <c r="G136" s="128"/>
      <c r="H136" s="128"/>
      <c r="I136" s="128"/>
      <c r="J136" s="128"/>
      <c r="K136" s="128"/>
      <c r="L136" s="128"/>
      <c r="M136" s="128"/>
      <c r="N136" s="128"/>
      <c r="O136" s="128"/>
      <c r="P136" s="128"/>
      <c r="Q136" s="128"/>
      <c r="R136" s="128"/>
      <c r="S136" s="128"/>
      <c r="T136" s="128"/>
      <c r="U136" s="128"/>
      <c r="V136" s="128"/>
      <c r="W136" s="128"/>
      <c r="X136" s="128"/>
      <c r="Y136" s="128"/>
      <c r="Z136" s="128"/>
      <c r="AA136" s="128"/>
    </row>
    <row r="137">
      <c r="A137" s="134"/>
      <c r="B137" s="134"/>
      <c r="C137" s="128"/>
      <c r="D137" s="128"/>
      <c r="E137" s="128"/>
      <c r="F137" s="128"/>
      <c r="G137" s="128"/>
      <c r="H137" s="128"/>
      <c r="I137" s="128"/>
      <c r="J137" s="128"/>
      <c r="K137" s="128"/>
      <c r="L137" s="128"/>
      <c r="M137" s="128"/>
      <c r="N137" s="128"/>
      <c r="O137" s="128"/>
      <c r="P137" s="128"/>
      <c r="Q137" s="128"/>
      <c r="R137" s="128"/>
      <c r="S137" s="128"/>
      <c r="T137" s="128"/>
      <c r="U137" s="128"/>
      <c r="V137" s="128"/>
      <c r="W137" s="128"/>
      <c r="X137" s="128"/>
      <c r="Y137" s="128"/>
      <c r="Z137" s="128"/>
      <c r="AA137" s="128"/>
    </row>
    <row r="138">
      <c r="A138" s="134"/>
      <c r="B138" s="134"/>
      <c r="C138" s="128"/>
      <c r="D138" s="128"/>
      <c r="E138" s="128"/>
      <c r="F138" s="128"/>
      <c r="G138" s="128"/>
      <c r="H138" s="128"/>
      <c r="I138" s="128"/>
      <c r="J138" s="128"/>
      <c r="K138" s="128"/>
      <c r="L138" s="128"/>
      <c r="M138" s="128"/>
      <c r="N138" s="128"/>
      <c r="O138" s="128"/>
      <c r="P138" s="128"/>
      <c r="Q138" s="128"/>
      <c r="R138" s="128"/>
      <c r="S138" s="128"/>
      <c r="T138" s="128"/>
      <c r="U138" s="128"/>
      <c r="V138" s="128"/>
      <c r="W138" s="128"/>
      <c r="X138" s="128"/>
      <c r="Y138" s="128"/>
      <c r="Z138" s="128"/>
      <c r="AA138" s="128"/>
    </row>
    <row r="139">
      <c r="A139" s="134"/>
      <c r="B139" s="134"/>
      <c r="C139" s="128"/>
      <c r="D139" s="128"/>
      <c r="E139" s="128"/>
      <c r="F139" s="128"/>
      <c r="G139" s="128"/>
      <c r="H139" s="128"/>
      <c r="I139" s="128"/>
      <c r="J139" s="128"/>
      <c r="K139" s="128"/>
      <c r="L139" s="128"/>
      <c r="M139" s="128"/>
      <c r="N139" s="128"/>
      <c r="O139" s="128"/>
      <c r="P139" s="128"/>
      <c r="Q139" s="128"/>
      <c r="R139" s="128"/>
      <c r="S139" s="128"/>
      <c r="T139" s="128"/>
      <c r="U139" s="128"/>
      <c r="V139" s="128"/>
      <c r="W139" s="128"/>
      <c r="X139" s="128"/>
      <c r="Y139" s="128"/>
      <c r="Z139" s="128"/>
      <c r="AA139" s="128"/>
    </row>
    <row r="140">
      <c r="A140" s="134"/>
      <c r="B140" s="134"/>
      <c r="C140" s="128"/>
      <c r="D140" s="128"/>
      <c r="E140" s="128"/>
      <c r="F140" s="128"/>
      <c r="G140" s="128"/>
      <c r="H140" s="128"/>
      <c r="I140" s="128"/>
      <c r="J140" s="128"/>
      <c r="K140" s="128"/>
      <c r="L140" s="128"/>
      <c r="M140" s="128"/>
      <c r="N140" s="128"/>
      <c r="O140" s="128"/>
      <c r="P140" s="128"/>
      <c r="Q140" s="128"/>
      <c r="R140" s="128"/>
      <c r="S140" s="128"/>
      <c r="T140" s="128"/>
      <c r="U140" s="128"/>
      <c r="V140" s="128"/>
      <c r="W140" s="128"/>
      <c r="X140" s="128"/>
      <c r="Y140" s="128"/>
      <c r="Z140" s="128"/>
      <c r="AA140" s="128"/>
    </row>
    <row r="141">
      <c r="A141" s="134"/>
      <c r="B141" s="134"/>
      <c r="C141" s="128"/>
      <c r="D141" s="128"/>
      <c r="E141" s="128"/>
      <c r="F141" s="128"/>
      <c r="G141" s="128"/>
      <c r="H141" s="128"/>
      <c r="I141" s="128"/>
      <c r="J141" s="128"/>
      <c r="K141" s="128"/>
      <c r="L141" s="128"/>
      <c r="M141" s="128"/>
      <c r="N141" s="128"/>
      <c r="O141" s="128"/>
      <c r="P141" s="128"/>
      <c r="Q141" s="128"/>
      <c r="R141" s="128"/>
      <c r="S141" s="128"/>
      <c r="T141" s="128"/>
      <c r="U141" s="128"/>
      <c r="V141" s="128"/>
      <c r="W141" s="128"/>
      <c r="X141" s="128"/>
      <c r="Y141" s="128"/>
      <c r="Z141" s="128"/>
      <c r="AA141" s="128"/>
    </row>
    <row r="142">
      <c r="A142" s="134"/>
      <c r="B142" s="134"/>
      <c r="C142" s="128"/>
      <c r="D142" s="128"/>
      <c r="E142" s="128"/>
      <c r="F142" s="128"/>
      <c r="G142" s="128"/>
      <c r="H142" s="128"/>
      <c r="I142" s="128"/>
      <c r="J142" s="128"/>
      <c r="K142" s="128"/>
      <c r="L142" s="128"/>
      <c r="M142" s="128"/>
      <c r="N142" s="128"/>
      <c r="O142" s="128"/>
      <c r="P142" s="128"/>
      <c r="Q142" s="128"/>
      <c r="R142" s="128"/>
      <c r="S142" s="128"/>
      <c r="T142" s="128"/>
      <c r="U142" s="128"/>
      <c r="V142" s="128"/>
      <c r="W142" s="128"/>
      <c r="X142" s="128"/>
      <c r="Y142" s="128"/>
      <c r="Z142" s="128"/>
      <c r="AA142" s="128"/>
    </row>
    <row r="143">
      <c r="A143" s="134"/>
      <c r="B143" s="134"/>
      <c r="C143" s="128"/>
      <c r="D143" s="128"/>
      <c r="E143" s="128"/>
      <c r="F143" s="128"/>
      <c r="G143" s="128"/>
      <c r="H143" s="128"/>
      <c r="I143" s="128"/>
      <c r="J143" s="128"/>
      <c r="K143" s="128"/>
      <c r="L143" s="128"/>
      <c r="M143" s="128"/>
      <c r="N143" s="128"/>
      <c r="O143" s="128"/>
      <c r="P143" s="128"/>
      <c r="Q143" s="128"/>
      <c r="R143" s="128"/>
      <c r="S143" s="128"/>
      <c r="T143" s="128"/>
      <c r="U143" s="128"/>
      <c r="V143" s="128"/>
      <c r="W143" s="128"/>
      <c r="X143" s="128"/>
      <c r="Y143" s="128"/>
      <c r="Z143" s="128"/>
      <c r="AA143" s="128"/>
    </row>
    <row r="144">
      <c r="A144" s="134"/>
      <c r="B144" s="134"/>
      <c r="C144" s="128"/>
      <c r="D144" s="128"/>
      <c r="E144" s="128"/>
      <c r="F144" s="128"/>
      <c r="G144" s="128"/>
      <c r="H144" s="128"/>
      <c r="I144" s="128"/>
      <c r="J144" s="128"/>
      <c r="K144" s="128"/>
      <c r="L144" s="128"/>
      <c r="M144" s="128"/>
      <c r="N144" s="128"/>
      <c r="O144" s="128"/>
      <c r="P144" s="128"/>
      <c r="Q144" s="128"/>
      <c r="R144" s="128"/>
      <c r="S144" s="128"/>
      <c r="T144" s="128"/>
      <c r="U144" s="128"/>
      <c r="V144" s="128"/>
      <c r="W144" s="128"/>
      <c r="X144" s="128"/>
      <c r="Y144" s="128"/>
      <c r="Z144" s="128"/>
      <c r="AA144" s="128"/>
    </row>
    <row r="145">
      <c r="A145" s="134"/>
      <c r="B145" s="134"/>
      <c r="C145" s="128"/>
      <c r="D145" s="128"/>
      <c r="E145" s="128"/>
      <c r="F145" s="128"/>
      <c r="G145" s="128"/>
      <c r="H145" s="128"/>
      <c r="I145" s="128"/>
      <c r="J145" s="128"/>
      <c r="K145" s="128"/>
      <c r="L145" s="128"/>
      <c r="M145" s="128"/>
      <c r="N145" s="128"/>
      <c r="O145" s="128"/>
      <c r="P145" s="128"/>
      <c r="Q145" s="128"/>
      <c r="R145" s="128"/>
      <c r="S145" s="128"/>
      <c r="T145" s="128"/>
      <c r="U145" s="128"/>
      <c r="V145" s="128"/>
      <c r="W145" s="128"/>
      <c r="X145" s="128"/>
      <c r="Y145" s="128"/>
      <c r="Z145" s="128"/>
      <c r="AA145" s="128"/>
    </row>
    <row r="146">
      <c r="A146" s="134"/>
      <c r="B146" s="134"/>
      <c r="C146" s="128"/>
      <c r="D146" s="128"/>
      <c r="E146" s="128"/>
      <c r="F146" s="128"/>
      <c r="G146" s="128"/>
      <c r="H146" s="128"/>
      <c r="I146" s="128"/>
      <c r="J146" s="128"/>
      <c r="K146" s="128"/>
      <c r="L146" s="128"/>
      <c r="M146" s="128"/>
      <c r="N146" s="128"/>
      <c r="O146" s="128"/>
      <c r="P146" s="128"/>
      <c r="Q146" s="128"/>
      <c r="R146" s="128"/>
      <c r="S146" s="128"/>
      <c r="T146" s="128"/>
      <c r="U146" s="128"/>
      <c r="V146" s="128"/>
      <c r="W146" s="128"/>
      <c r="X146" s="128"/>
      <c r="Y146" s="128"/>
      <c r="Z146" s="128"/>
      <c r="AA146" s="128"/>
    </row>
    <row r="147">
      <c r="A147" s="134"/>
      <c r="B147" s="134"/>
      <c r="C147" s="128"/>
      <c r="D147" s="128"/>
      <c r="E147" s="128"/>
      <c r="F147" s="128"/>
      <c r="G147" s="128"/>
      <c r="H147" s="128"/>
      <c r="I147" s="128"/>
      <c r="J147" s="128"/>
      <c r="K147" s="128"/>
      <c r="L147" s="128"/>
      <c r="M147" s="128"/>
      <c r="N147" s="128"/>
      <c r="O147" s="128"/>
      <c r="P147" s="128"/>
      <c r="Q147" s="128"/>
      <c r="R147" s="128"/>
      <c r="S147" s="128"/>
      <c r="T147" s="128"/>
      <c r="U147" s="128"/>
      <c r="V147" s="128"/>
      <c r="W147" s="128"/>
      <c r="X147" s="128"/>
      <c r="Y147" s="128"/>
      <c r="Z147" s="128"/>
      <c r="AA147" s="128"/>
    </row>
    <row r="148">
      <c r="A148" s="134"/>
      <c r="B148" s="134"/>
      <c r="C148" s="128"/>
      <c r="D148" s="128"/>
      <c r="E148" s="128"/>
      <c r="F148" s="128"/>
      <c r="G148" s="128"/>
      <c r="H148" s="128"/>
      <c r="I148" s="128"/>
      <c r="J148" s="128"/>
      <c r="K148" s="128"/>
      <c r="L148" s="128"/>
      <c r="M148" s="128"/>
      <c r="N148" s="128"/>
      <c r="O148" s="128"/>
      <c r="P148" s="128"/>
      <c r="Q148" s="128"/>
      <c r="R148" s="128"/>
      <c r="S148" s="128"/>
      <c r="T148" s="128"/>
      <c r="U148" s="128"/>
      <c r="V148" s="128"/>
      <c r="W148" s="128"/>
      <c r="X148" s="128"/>
      <c r="Y148" s="128"/>
      <c r="Z148" s="128"/>
      <c r="AA148" s="128"/>
    </row>
    <row r="149">
      <c r="A149" s="134"/>
      <c r="B149" s="134"/>
      <c r="C149" s="128"/>
      <c r="D149" s="128"/>
      <c r="E149" s="128"/>
      <c r="F149" s="128"/>
      <c r="G149" s="128"/>
      <c r="H149" s="128"/>
      <c r="I149" s="128"/>
      <c r="J149" s="128"/>
      <c r="K149" s="128"/>
      <c r="L149" s="128"/>
      <c r="M149" s="128"/>
      <c r="N149" s="128"/>
      <c r="O149" s="128"/>
      <c r="P149" s="128"/>
      <c r="Q149" s="128"/>
      <c r="R149" s="128"/>
      <c r="S149" s="128"/>
      <c r="T149" s="128"/>
      <c r="U149" s="128"/>
      <c r="V149" s="128"/>
      <c r="W149" s="128"/>
      <c r="X149" s="128"/>
      <c r="Y149" s="128"/>
      <c r="Z149" s="128"/>
      <c r="AA149" s="128"/>
    </row>
    <row r="150">
      <c r="A150" s="134"/>
      <c r="B150" s="134"/>
      <c r="C150" s="128"/>
      <c r="D150" s="128"/>
      <c r="E150" s="128"/>
      <c r="F150" s="128"/>
      <c r="G150" s="128"/>
      <c r="H150" s="128"/>
      <c r="I150" s="128"/>
      <c r="J150" s="128"/>
      <c r="K150" s="128"/>
      <c r="L150" s="128"/>
      <c r="M150" s="128"/>
      <c r="N150" s="128"/>
      <c r="O150" s="128"/>
      <c r="P150" s="128"/>
      <c r="Q150" s="128"/>
      <c r="R150" s="128"/>
      <c r="S150" s="128"/>
      <c r="T150" s="128"/>
      <c r="U150" s="128"/>
      <c r="V150" s="128"/>
      <c r="W150" s="128"/>
      <c r="X150" s="128"/>
      <c r="Y150" s="128"/>
      <c r="Z150" s="128"/>
      <c r="AA150" s="128"/>
    </row>
    <row r="151">
      <c r="A151" s="134"/>
      <c r="B151" s="134"/>
      <c r="C151" s="128"/>
      <c r="D151" s="128"/>
      <c r="E151" s="128"/>
      <c r="F151" s="128"/>
      <c r="G151" s="128"/>
      <c r="H151" s="128"/>
      <c r="I151" s="128"/>
      <c r="J151" s="128"/>
      <c r="K151" s="128"/>
      <c r="L151" s="128"/>
      <c r="M151" s="128"/>
      <c r="N151" s="128"/>
      <c r="O151" s="128"/>
      <c r="P151" s="128"/>
      <c r="Q151" s="128"/>
      <c r="R151" s="128"/>
      <c r="S151" s="128"/>
      <c r="T151" s="128"/>
      <c r="U151" s="128"/>
      <c r="V151" s="128"/>
      <c r="W151" s="128"/>
      <c r="X151" s="128"/>
      <c r="Y151" s="128"/>
      <c r="Z151" s="128"/>
      <c r="AA151" s="128"/>
    </row>
    <row r="152">
      <c r="A152" s="134"/>
      <c r="B152" s="134"/>
      <c r="C152" s="128"/>
      <c r="D152" s="128"/>
      <c r="E152" s="128"/>
      <c r="F152" s="128"/>
      <c r="G152" s="128"/>
      <c r="H152" s="128"/>
      <c r="I152" s="128"/>
      <c r="J152" s="128"/>
      <c r="K152" s="128"/>
      <c r="L152" s="128"/>
      <c r="M152" s="128"/>
      <c r="N152" s="128"/>
      <c r="O152" s="128"/>
      <c r="P152" s="128"/>
      <c r="Q152" s="128"/>
      <c r="R152" s="128"/>
      <c r="S152" s="128"/>
      <c r="T152" s="128"/>
      <c r="U152" s="128"/>
      <c r="V152" s="128"/>
      <c r="W152" s="128"/>
      <c r="X152" s="128"/>
      <c r="Y152" s="128"/>
      <c r="Z152" s="128"/>
      <c r="AA152" s="128"/>
    </row>
    <row r="153">
      <c r="A153" s="134"/>
      <c r="B153" s="134"/>
      <c r="C153" s="128"/>
      <c r="D153" s="128"/>
      <c r="E153" s="128"/>
      <c r="F153" s="128"/>
      <c r="G153" s="128"/>
      <c r="H153" s="128"/>
      <c r="I153" s="128"/>
      <c r="J153" s="128"/>
      <c r="K153" s="128"/>
      <c r="L153" s="128"/>
      <c r="M153" s="128"/>
      <c r="N153" s="128"/>
      <c r="O153" s="128"/>
      <c r="P153" s="128"/>
      <c r="Q153" s="128"/>
      <c r="R153" s="128"/>
      <c r="S153" s="128"/>
      <c r="T153" s="128"/>
      <c r="U153" s="128"/>
      <c r="V153" s="128"/>
      <c r="W153" s="128"/>
      <c r="X153" s="128"/>
      <c r="Y153" s="128"/>
      <c r="Z153" s="128"/>
      <c r="AA153" s="128"/>
    </row>
    <row r="154">
      <c r="A154" s="134"/>
      <c r="B154" s="134"/>
      <c r="C154" s="128"/>
      <c r="D154" s="128"/>
      <c r="E154" s="128"/>
      <c r="F154" s="128"/>
      <c r="G154" s="128"/>
      <c r="H154" s="128"/>
      <c r="I154" s="128"/>
      <c r="J154" s="128"/>
      <c r="K154" s="128"/>
      <c r="L154" s="128"/>
      <c r="M154" s="128"/>
      <c r="N154" s="128"/>
      <c r="O154" s="128"/>
      <c r="P154" s="128"/>
      <c r="Q154" s="128"/>
      <c r="R154" s="128"/>
      <c r="S154" s="128"/>
      <c r="T154" s="128"/>
      <c r="U154" s="128"/>
      <c r="V154" s="128"/>
      <c r="W154" s="128"/>
      <c r="X154" s="128"/>
      <c r="Y154" s="128"/>
      <c r="Z154" s="128"/>
      <c r="AA154" s="128"/>
    </row>
    <row r="155">
      <c r="A155" s="134"/>
      <c r="B155" s="134"/>
      <c r="C155" s="128"/>
      <c r="D155" s="128"/>
      <c r="E155" s="128"/>
      <c r="F155" s="128"/>
      <c r="G155" s="128"/>
      <c r="H155" s="128"/>
      <c r="I155" s="128"/>
      <c r="J155" s="128"/>
      <c r="K155" s="128"/>
      <c r="L155" s="128"/>
      <c r="M155" s="128"/>
      <c r="N155" s="128"/>
      <c r="O155" s="128"/>
      <c r="P155" s="128"/>
      <c r="Q155" s="128"/>
      <c r="R155" s="128"/>
      <c r="S155" s="128"/>
      <c r="T155" s="128"/>
      <c r="U155" s="128"/>
      <c r="V155" s="128"/>
      <c r="W155" s="128"/>
      <c r="X155" s="128"/>
      <c r="Y155" s="128"/>
      <c r="Z155" s="128"/>
      <c r="AA155" s="128"/>
    </row>
    <row r="156">
      <c r="A156" s="134"/>
      <c r="B156" s="134"/>
      <c r="C156" s="128"/>
      <c r="D156" s="128"/>
      <c r="E156" s="128"/>
      <c r="F156" s="128"/>
      <c r="G156" s="128"/>
      <c r="H156" s="128"/>
      <c r="I156" s="128"/>
      <c r="J156" s="128"/>
      <c r="K156" s="128"/>
      <c r="L156" s="128"/>
      <c r="M156" s="128"/>
      <c r="N156" s="128"/>
      <c r="O156" s="128"/>
      <c r="P156" s="128"/>
      <c r="Q156" s="128"/>
      <c r="R156" s="128"/>
      <c r="S156" s="128"/>
      <c r="T156" s="128"/>
      <c r="U156" s="128"/>
      <c r="V156" s="128"/>
      <c r="W156" s="128"/>
      <c r="X156" s="128"/>
      <c r="Y156" s="128"/>
      <c r="Z156" s="128"/>
      <c r="AA156" s="128"/>
    </row>
    <row r="157">
      <c r="A157" s="134"/>
      <c r="B157" s="134"/>
      <c r="C157" s="128"/>
      <c r="D157" s="128"/>
      <c r="E157" s="128"/>
      <c r="F157" s="128"/>
      <c r="G157" s="128"/>
      <c r="H157" s="128"/>
      <c r="I157" s="128"/>
      <c r="J157" s="128"/>
      <c r="K157" s="128"/>
      <c r="L157" s="128"/>
      <c r="M157" s="128"/>
      <c r="N157" s="128"/>
      <c r="O157" s="128"/>
      <c r="P157" s="128"/>
      <c r="Q157" s="128"/>
      <c r="R157" s="128"/>
      <c r="S157" s="128"/>
      <c r="T157" s="128"/>
      <c r="U157" s="128"/>
      <c r="V157" s="128"/>
      <c r="W157" s="128"/>
      <c r="X157" s="128"/>
      <c r="Y157" s="128"/>
      <c r="Z157" s="128"/>
      <c r="AA157" s="128"/>
    </row>
    <row r="158">
      <c r="A158" s="134"/>
      <c r="B158" s="134"/>
      <c r="C158" s="128"/>
      <c r="D158" s="128"/>
      <c r="E158" s="128"/>
      <c r="F158" s="128"/>
      <c r="G158" s="128"/>
      <c r="H158" s="128"/>
      <c r="I158" s="128"/>
      <c r="J158" s="128"/>
      <c r="K158" s="128"/>
      <c r="L158" s="128"/>
      <c r="M158" s="128"/>
      <c r="N158" s="128"/>
      <c r="O158" s="128"/>
      <c r="P158" s="128"/>
      <c r="Q158" s="128"/>
      <c r="R158" s="128"/>
      <c r="S158" s="128"/>
      <c r="T158" s="128"/>
      <c r="U158" s="128"/>
      <c r="V158" s="128"/>
      <c r="W158" s="128"/>
      <c r="X158" s="128"/>
      <c r="Y158" s="128"/>
      <c r="Z158" s="128"/>
      <c r="AA158" s="128"/>
    </row>
    <row r="159">
      <c r="A159" s="134"/>
      <c r="B159" s="134"/>
      <c r="C159" s="128"/>
      <c r="D159" s="128"/>
      <c r="E159" s="128"/>
      <c r="F159" s="128"/>
      <c r="G159" s="128"/>
      <c r="H159" s="128"/>
      <c r="I159" s="128"/>
      <c r="J159" s="128"/>
      <c r="K159" s="128"/>
      <c r="L159" s="128"/>
      <c r="M159" s="128"/>
      <c r="N159" s="128"/>
      <c r="O159" s="128"/>
      <c r="P159" s="128"/>
      <c r="Q159" s="128"/>
      <c r="R159" s="128"/>
      <c r="S159" s="128"/>
      <c r="T159" s="128"/>
      <c r="U159" s="128"/>
      <c r="V159" s="128"/>
      <c r="W159" s="128"/>
      <c r="X159" s="128"/>
      <c r="Y159" s="128"/>
      <c r="Z159" s="128"/>
      <c r="AA159" s="128"/>
    </row>
    <row r="160">
      <c r="A160" s="134"/>
      <c r="B160" s="134"/>
      <c r="C160" s="128"/>
      <c r="D160" s="128"/>
      <c r="E160" s="128"/>
      <c r="F160" s="128"/>
      <c r="G160" s="128"/>
      <c r="H160" s="128"/>
      <c r="I160" s="128"/>
      <c r="J160" s="128"/>
      <c r="K160" s="128"/>
      <c r="L160" s="128"/>
      <c r="M160" s="128"/>
      <c r="N160" s="128"/>
      <c r="O160" s="128"/>
      <c r="P160" s="128"/>
      <c r="Q160" s="128"/>
      <c r="R160" s="128"/>
      <c r="S160" s="128"/>
      <c r="T160" s="128"/>
      <c r="U160" s="128"/>
      <c r="V160" s="128"/>
      <c r="W160" s="128"/>
      <c r="X160" s="128"/>
      <c r="Y160" s="128"/>
      <c r="Z160" s="128"/>
      <c r="AA160" s="128"/>
    </row>
    <row r="161">
      <c r="A161" s="134"/>
      <c r="B161" s="134"/>
      <c r="C161" s="128"/>
      <c r="D161" s="128"/>
      <c r="E161" s="128"/>
      <c r="F161" s="128"/>
      <c r="G161" s="128"/>
      <c r="H161" s="128"/>
      <c r="I161" s="128"/>
      <c r="J161" s="128"/>
      <c r="K161" s="128"/>
      <c r="L161" s="128"/>
      <c r="M161" s="128"/>
      <c r="N161" s="128"/>
      <c r="O161" s="128"/>
      <c r="P161" s="128"/>
      <c r="Q161" s="128"/>
      <c r="R161" s="128"/>
      <c r="S161" s="128"/>
      <c r="T161" s="128"/>
      <c r="U161" s="128"/>
      <c r="V161" s="128"/>
      <c r="W161" s="128"/>
      <c r="X161" s="128"/>
      <c r="Y161" s="128"/>
      <c r="Z161" s="128"/>
      <c r="AA161" s="128"/>
    </row>
    <row r="162">
      <c r="A162" s="134"/>
      <c r="B162" s="134"/>
      <c r="C162" s="128"/>
      <c r="D162" s="128"/>
      <c r="E162" s="128"/>
      <c r="F162" s="128"/>
      <c r="G162" s="128"/>
      <c r="H162" s="128"/>
      <c r="I162" s="128"/>
      <c r="J162" s="128"/>
      <c r="K162" s="128"/>
      <c r="L162" s="128"/>
      <c r="M162" s="128"/>
      <c r="N162" s="128"/>
      <c r="O162" s="128"/>
      <c r="P162" s="128"/>
      <c r="Q162" s="128"/>
      <c r="R162" s="128"/>
      <c r="S162" s="128"/>
      <c r="T162" s="128"/>
      <c r="U162" s="128"/>
      <c r="V162" s="128"/>
      <c r="W162" s="128"/>
      <c r="X162" s="128"/>
      <c r="Y162" s="128"/>
      <c r="Z162" s="128"/>
      <c r="AA162" s="128"/>
    </row>
    <row r="163">
      <c r="A163" s="134"/>
      <c r="B163" s="134"/>
      <c r="C163" s="128"/>
      <c r="D163" s="128"/>
      <c r="E163" s="128"/>
      <c r="F163" s="128"/>
      <c r="G163" s="128"/>
      <c r="H163" s="128"/>
      <c r="I163" s="128"/>
      <c r="J163" s="128"/>
      <c r="K163" s="128"/>
      <c r="L163" s="128"/>
      <c r="M163" s="128"/>
      <c r="N163" s="128"/>
      <c r="O163" s="128"/>
      <c r="P163" s="128"/>
      <c r="Q163" s="128"/>
      <c r="R163" s="128"/>
      <c r="S163" s="128"/>
      <c r="T163" s="128"/>
      <c r="U163" s="128"/>
      <c r="V163" s="128"/>
      <c r="W163" s="128"/>
      <c r="X163" s="128"/>
      <c r="Y163" s="128"/>
      <c r="Z163" s="128"/>
      <c r="AA163" s="128"/>
    </row>
    <row r="164">
      <c r="A164" s="134"/>
      <c r="B164" s="134"/>
      <c r="C164" s="128"/>
      <c r="D164" s="128"/>
      <c r="E164" s="128"/>
      <c r="F164" s="128"/>
      <c r="G164" s="128"/>
      <c r="H164" s="128"/>
      <c r="I164" s="128"/>
      <c r="J164" s="128"/>
      <c r="K164" s="128"/>
      <c r="L164" s="128"/>
      <c r="M164" s="128"/>
      <c r="N164" s="128"/>
      <c r="O164" s="128"/>
      <c r="P164" s="128"/>
      <c r="Q164" s="128"/>
      <c r="R164" s="128"/>
      <c r="S164" s="128"/>
      <c r="T164" s="128"/>
      <c r="U164" s="128"/>
      <c r="V164" s="128"/>
      <c r="W164" s="128"/>
      <c r="X164" s="128"/>
      <c r="Y164" s="128"/>
      <c r="Z164" s="128"/>
      <c r="AA164" s="128"/>
    </row>
    <row r="165">
      <c r="A165" s="134"/>
      <c r="B165" s="134"/>
      <c r="C165" s="128"/>
      <c r="D165" s="128"/>
      <c r="E165" s="128"/>
      <c r="F165" s="128"/>
      <c r="G165" s="128"/>
      <c r="H165" s="128"/>
      <c r="I165" s="128"/>
      <c r="J165" s="128"/>
      <c r="K165" s="128"/>
      <c r="L165" s="128"/>
      <c r="M165" s="128"/>
      <c r="N165" s="128"/>
      <c r="O165" s="128"/>
      <c r="P165" s="128"/>
      <c r="Q165" s="128"/>
      <c r="R165" s="128"/>
      <c r="S165" s="128"/>
      <c r="T165" s="128"/>
      <c r="U165" s="128"/>
      <c r="V165" s="128"/>
      <c r="W165" s="128"/>
      <c r="X165" s="128"/>
      <c r="Y165" s="128"/>
      <c r="Z165" s="128"/>
      <c r="AA165" s="128"/>
    </row>
    <row r="166">
      <c r="A166" s="134"/>
      <c r="B166" s="134"/>
      <c r="C166" s="128"/>
      <c r="D166" s="128"/>
      <c r="E166" s="128"/>
      <c r="F166" s="128"/>
      <c r="G166" s="128"/>
      <c r="H166" s="128"/>
      <c r="I166" s="128"/>
      <c r="J166" s="128"/>
      <c r="K166" s="128"/>
      <c r="L166" s="128"/>
      <c r="M166" s="128"/>
      <c r="N166" s="128"/>
      <c r="O166" s="128"/>
      <c r="P166" s="128"/>
      <c r="Q166" s="128"/>
      <c r="R166" s="128"/>
      <c r="S166" s="128"/>
      <c r="T166" s="128"/>
      <c r="U166" s="128"/>
      <c r="V166" s="128"/>
      <c r="W166" s="128"/>
      <c r="X166" s="128"/>
      <c r="Y166" s="128"/>
      <c r="Z166" s="128"/>
      <c r="AA166" s="128"/>
    </row>
    <row r="167">
      <c r="A167" s="134"/>
      <c r="B167" s="134"/>
      <c r="C167" s="128"/>
      <c r="D167" s="128"/>
      <c r="E167" s="128"/>
      <c r="F167" s="128"/>
      <c r="G167" s="128"/>
      <c r="H167" s="128"/>
      <c r="I167" s="128"/>
      <c r="J167" s="128"/>
      <c r="K167" s="128"/>
      <c r="L167" s="128"/>
      <c r="M167" s="128"/>
      <c r="N167" s="128"/>
      <c r="O167" s="128"/>
      <c r="P167" s="128"/>
      <c r="Q167" s="128"/>
      <c r="R167" s="128"/>
      <c r="S167" s="128"/>
      <c r="T167" s="128"/>
      <c r="U167" s="128"/>
      <c r="V167" s="128"/>
      <c r="W167" s="128"/>
      <c r="X167" s="128"/>
      <c r="Y167" s="128"/>
      <c r="Z167" s="128"/>
      <c r="AA167" s="128"/>
    </row>
    <row r="168">
      <c r="A168" s="134"/>
      <c r="B168" s="134"/>
      <c r="C168" s="128"/>
      <c r="D168" s="128"/>
      <c r="E168" s="128"/>
      <c r="F168" s="128"/>
      <c r="G168" s="128"/>
      <c r="H168" s="128"/>
      <c r="I168" s="128"/>
      <c r="J168" s="128"/>
      <c r="K168" s="128"/>
      <c r="L168" s="128"/>
      <c r="M168" s="128"/>
      <c r="N168" s="128"/>
      <c r="O168" s="128"/>
      <c r="P168" s="128"/>
      <c r="Q168" s="128"/>
      <c r="R168" s="128"/>
      <c r="S168" s="128"/>
      <c r="T168" s="128"/>
      <c r="U168" s="128"/>
      <c r="V168" s="128"/>
      <c r="W168" s="128"/>
      <c r="X168" s="128"/>
      <c r="Y168" s="128"/>
      <c r="Z168" s="128"/>
      <c r="AA168" s="128"/>
    </row>
    <row r="169">
      <c r="A169" s="134"/>
      <c r="B169" s="134"/>
      <c r="C169" s="128"/>
      <c r="D169" s="128"/>
      <c r="E169" s="128"/>
      <c r="F169" s="128"/>
      <c r="G169" s="128"/>
      <c r="H169" s="128"/>
      <c r="I169" s="128"/>
      <c r="J169" s="128"/>
      <c r="K169" s="128"/>
      <c r="L169" s="128"/>
      <c r="M169" s="128"/>
      <c r="N169" s="128"/>
      <c r="O169" s="128"/>
      <c r="P169" s="128"/>
      <c r="Q169" s="128"/>
      <c r="R169" s="128"/>
      <c r="S169" s="128"/>
      <c r="T169" s="128"/>
      <c r="U169" s="128"/>
      <c r="V169" s="128"/>
      <c r="W169" s="128"/>
      <c r="X169" s="128"/>
      <c r="Y169" s="128"/>
      <c r="Z169" s="128"/>
      <c r="AA169" s="128"/>
    </row>
    <row r="170">
      <c r="A170" s="134"/>
      <c r="B170" s="134"/>
      <c r="C170" s="128"/>
      <c r="D170" s="128"/>
      <c r="E170" s="128"/>
      <c r="F170" s="128"/>
      <c r="G170" s="128"/>
      <c r="H170" s="128"/>
      <c r="I170" s="128"/>
      <c r="J170" s="128"/>
      <c r="K170" s="128"/>
      <c r="L170" s="128"/>
      <c r="M170" s="128"/>
      <c r="N170" s="128"/>
      <c r="O170" s="128"/>
      <c r="P170" s="128"/>
      <c r="Q170" s="128"/>
      <c r="R170" s="128"/>
      <c r="S170" s="128"/>
      <c r="T170" s="128"/>
      <c r="U170" s="128"/>
      <c r="V170" s="128"/>
      <c r="W170" s="128"/>
      <c r="X170" s="128"/>
      <c r="Y170" s="128"/>
      <c r="Z170" s="128"/>
      <c r="AA170" s="128"/>
    </row>
    <row r="171">
      <c r="A171" s="134"/>
      <c r="B171" s="134"/>
      <c r="C171" s="128"/>
      <c r="D171" s="128"/>
      <c r="E171" s="128"/>
      <c r="F171" s="128"/>
      <c r="G171" s="128"/>
      <c r="H171" s="128"/>
      <c r="I171" s="128"/>
      <c r="J171" s="128"/>
      <c r="K171" s="128"/>
      <c r="L171" s="128"/>
      <c r="M171" s="128"/>
      <c r="N171" s="128"/>
      <c r="O171" s="128"/>
      <c r="P171" s="128"/>
      <c r="Q171" s="128"/>
      <c r="R171" s="128"/>
      <c r="S171" s="128"/>
      <c r="T171" s="128"/>
      <c r="U171" s="128"/>
      <c r="V171" s="128"/>
      <c r="W171" s="128"/>
      <c r="X171" s="128"/>
      <c r="Y171" s="128"/>
      <c r="Z171" s="128"/>
      <c r="AA171" s="128"/>
    </row>
    <row r="172">
      <c r="A172" s="134"/>
      <c r="B172" s="134"/>
      <c r="C172" s="128"/>
      <c r="D172" s="128"/>
      <c r="E172" s="128"/>
      <c r="F172" s="128"/>
      <c r="G172" s="128"/>
      <c r="H172" s="128"/>
      <c r="I172" s="128"/>
      <c r="J172" s="128"/>
      <c r="K172" s="128"/>
      <c r="L172" s="128"/>
      <c r="M172" s="128"/>
      <c r="N172" s="128"/>
      <c r="O172" s="128"/>
      <c r="P172" s="128"/>
      <c r="Q172" s="128"/>
      <c r="R172" s="128"/>
      <c r="S172" s="128"/>
      <c r="T172" s="128"/>
      <c r="U172" s="128"/>
      <c r="V172" s="128"/>
      <c r="W172" s="128"/>
      <c r="X172" s="128"/>
      <c r="Y172" s="128"/>
      <c r="Z172" s="128"/>
      <c r="AA172" s="128"/>
    </row>
    <row r="173">
      <c r="A173" s="134"/>
      <c r="B173" s="134"/>
      <c r="C173" s="128"/>
      <c r="D173" s="128"/>
      <c r="E173" s="128"/>
      <c r="F173" s="128"/>
      <c r="G173" s="128"/>
      <c r="H173" s="128"/>
      <c r="I173" s="128"/>
      <c r="J173" s="128"/>
      <c r="K173" s="128"/>
      <c r="L173" s="128"/>
      <c r="M173" s="128"/>
      <c r="N173" s="128"/>
      <c r="O173" s="128"/>
      <c r="P173" s="128"/>
      <c r="Q173" s="128"/>
      <c r="R173" s="128"/>
      <c r="S173" s="128"/>
      <c r="T173" s="128"/>
      <c r="U173" s="128"/>
      <c r="V173" s="128"/>
      <c r="W173" s="128"/>
      <c r="X173" s="128"/>
      <c r="Y173" s="128"/>
      <c r="Z173" s="128"/>
      <c r="AA173" s="128"/>
    </row>
    <row r="174">
      <c r="A174" s="134"/>
      <c r="B174" s="134"/>
      <c r="C174" s="128"/>
      <c r="D174" s="128"/>
      <c r="E174" s="128"/>
      <c r="F174" s="128"/>
      <c r="G174" s="128"/>
      <c r="H174" s="128"/>
      <c r="I174" s="128"/>
      <c r="J174" s="128"/>
      <c r="K174" s="128"/>
      <c r="L174" s="128"/>
      <c r="M174" s="128"/>
      <c r="N174" s="128"/>
      <c r="O174" s="128"/>
      <c r="P174" s="128"/>
      <c r="Q174" s="128"/>
      <c r="R174" s="128"/>
      <c r="S174" s="128"/>
      <c r="T174" s="128"/>
      <c r="U174" s="128"/>
      <c r="V174" s="128"/>
      <c r="W174" s="128"/>
      <c r="X174" s="128"/>
      <c r="Y174" s="128"/>
      <c r="Z174" s="128"/>
      <c r="AA174" s="128"/>
    </row>
    <row r="175">
      <c r="A175" s="134"/>
      <c r="B175" s="134"/>
      <c r="C175" s="128"/>
      <c r="D175" s="128"/>
      <c r="E175" s="128"/>
      <c r="F175" s="128"/>
      <c r="G175" s="128"/>
      <c r="H175" s="128"/>
      <c r="I175" s="128"/>
      <c r="J175" s="128"/>
      <c r="K175" s="128"/>
      <c r="L175" s="128"/>
      <c r="M175" s="128"/>
      <c r="N175" s="128"/>
      <c r="O175" s="128"/>
      <c r="P175" s="128"/>
      <c r="Q175" s="128"/>
      <c r="R175" s="128"/>
      <c r="S175" s="128"/>
      <c r="T175" s="128"/>
      <c r="U175" s="128"/>
      <c r="V175" s="128"/>
      <c r="W175" s="128"/>
      <c r="X175" s="128"/>
      <c r="Y175" s="128"/>
      <c r="Z175" s="128"/>
      <c r="AA175" s="128"/>
    </row>
    <row r="176">
      <c r="A176" s="134"/>
      <c r="B176" s="134"/>
      <c r="C176" s="128"/>
      <c r="D176" s="128"/>
      <c r="E176" s="128"/>
      <c r="F176" s="128"/>
      <c r="G176" s="128"/>
      <c r="H176" s="128"/>
      <c r="I176" s="128"/>
      <c r="J176" s="128"/>
      <c r="K176" s="128"/>
      <c r="L176" s="128"/>
      <c r="M176" s="128"/>
      <c r="N176" s="128"/>
      <c r="O176" s="128"/>
      <c r="P176" s="128"/>
      <c r="Q176" s="128"/>
      <c r="R176" s="128"/>
      <c r="S176" s="128"/>
      <c r="T176" s="128"/>
      <c r="U176" s="128"/>
      <c r="V176" s="128"/>
      <c r="W176" s="128"/>
      <c r="X176" s="128"/>
      <c r="Y176" s="128"/>
      <c r="Z176" s="128"/>
      <c r="AA176" s="128"/>
    </row>
    <row r="177">
      <c r="A177" s="134"/>
      <c r="B177" s="134"/>
      <c r="C177" s="128"/>
      <c r="D177" s="128"/>
      <c r="E177" s="128"/>
      <c r="F177" s="128"/>
      <c r="G177" s="128"/>
      <c r="H177" s="128"/>
      <c r="I177" s="128"/>
      <c r="J177" s="128"/>
      <c r="K177" s="128"/>
      <c r="L177" s="128"/>
      <c r="M177" s="128"/>
      <c r="N177" s="128"/>
      <c r="O177" s="128"/>
      <c r="P177" s="128"/>
      <c r="Q177" s="128"/>
      <c r="R177" s="128"/>
      <c r="S177" s="128"/>
      <c r="T177" s="128"/>
      <c r="U177" s="128"/>
      <c r="V177" s="128"/>
      <c r="W177" s="128"/>
      <c r="X177" s="128"/>
      <c r="Y177" s="128"/>
      <c r="Z177" s="128"/>
      <c r="AA177" s="128"/>
    </row>
    <row r="178">
      <c r="A178" s="134"/>
      <c r="B178" s="134"/>
      <c r="C178" s="128"/>
      <c r="D178" s="128"/>
      <c r="E178" s="128"/>
      <c r="F178" s="128"/>
      <c r="G178" s="128"/>
      <c r="H178" s="128"/>
      <c r="I178" s="128"/>
      <c r="J178" s="128"/>
      <c r="K178" s="128"/>
      <c r="L178" s="128"/>
      <c r="M178" s="128"/>
      <c r="N178" s="128"/>
      <c r="O178" s="128"/>
      <c r="P178" s="128"/>
      <c r="Q178" s="128"/>
      <c r="R178" s="128"/>
      <c r="S178" s="128"/>
      <c r="T178" s="128"/>
      <c r="U178" s="128"/>
      <c r="V178" s="128"/>
      <c r="W178" s="128"/>
      <c r="X178" s="128"/>
      <c r="Y178" s="128"/>
      <c r="Z178" s="128"/>
      <c r="AA178" s="128"/>
    </row>
    <row r="179">
      <c r="A179" s="134"/>
      <c r="B179" s="134"/>
      <c r="C179" s="128"/>
      <c r="D179" s="128"/>
      <c r="E179" s="128"/>
      <c r="F179" s="128"/>
      <c r="G179" s="128"/>
      <c r="H179" s="128"/>
      <c r="I179" s="128"/>
      <c r="J179" s="128"/>
      <c r="K179" s="128"/>
      <c r="L179" s="128"/>
      <c r="M179" s="128"/>
      <c r="N179" s="128"/>
      <c r="O179" s="128"/>
      <c r="P179" s="128"/>
      <c r="Q179" s="128"/>
      <c r="R179" s="128"/>
      <c r="S179" s="128"/>
      <c r="T179" s="128"/>
      <c r="U179" s="128"/>
      <c r="V179" s="128"/>
      <c r="W179" s="128"/>
      <c r="X179" s="128"/>
      <c r="Y179" s="128"/>
      <c r="Z179" s="128"/>
      <c r="AA179" s="128"/>
    </row>
    <row r="180">
      <c r="A180" s="134"/>
      <c r="B180" s="134"/>
      <c r="C180" s="128"/>
      <c r="D180" s="128"/>
      <c r="E180" s="128"/>
      <c r="F180" s="128"/>
      <c r="G180" s="128"/>
      <c r="H180" s="128"/>
      <c r="I180" s="128"/>
      <c r="J180" s="128"/>
      <c r="K180" s="128"/>
      <c r="L180" s="128"/>
      <c r="M180" s="128"/>
      <c r="N180" s="128"/>
      <c r="O180" s="128"/>
      <c r="P180" s="128"/>
      <c r="Q180" s="128"/>
      <c r="R180" s="128"/>
      <c r="S180" s="128"/>
      <c r="T180" s="128"/>
      <c r="U180" s="128"/>
      <c r="V180" s="128"/>
      <c r="W180" s="128"/>
      <c r="X180" s="128"/>
      <c r="Y180" s="128"/>
      <c r="Z180" s="128"/>
      <c r="AA180" s="128"/>
    </row>
    <row r="181">
      <c r="A181" s="134"/>
      <c r="B181" s="134"/>
      <c r="C181" s="128"/>
      <c r="D181" s="128"/>
      <c r="E181" s="128"/>
      <c r="F181" s="128"/>
      <c r="G181" s="128"/>
      <c r="H181" s="128"/>
      <c r="I181" s="128"/>
      <c r="J181" s="128"/>
      <c r="K181" s="128"/>
      <c r="L181" s="128"/>
      <c r="M181" s="128"/>
      <c r="N181" s="128"/>
      <c r="O181" s="128"/>
      <c r="P181" s="128"/>
      <c r="Q181" s="128"/>
      <c r="R181" s="128"/>
      <c r="S181" s="128"/>
      <c r="T181" s="128"/>
      <c r="U181" s="128"/>
      <c r="V181" s="128"/>
      <c r="W181" s="128"/>
      <c r="X181" s="128"/>
      <c r="Y181" s="128"/>
      <c r="Z181" s="128"/>
      <c r="AA181" s="128"/>
    </row>
    <row r="182">
      <c r="A182" s="134"/>
      <c r="B182" s="134"/>
      <c r="C182" s="128"/>
      <c r="D182" s="128"/>
      <c r="E182" s="128"/>
      <c r="F182" s="128"/>
      <c r="G182" s="128"/>
      <c r="H182" s="128"/>
      <c r="I182" s="128"/>
      <c r="J182" s="128"/>
      <c r="K182" s="128"/>
      <c r="L182" s="128"/>
      <c r="M182" s="128"/>
      <c r="N182" s="128"/>
      <c r="O182" s="128"/>
      <c r="P182" s="128"/>
      <c r="Q182" s="128"/>
      <c r="R182" s="128"/>
      <c r="S182" s="128"/>
      <c r="T182" s="128"/>
      <c r="U182" s="128"/>
      <c r="V182" s="128"/>
      <c r="W182" s="128"/>
      <c r="X182" s="128"/>
      <c r="Y182" s="128"/>
      <c r="Z182" s="128"/>
      <c r="AA182" s="128"/>
    </row>
    <row r="183">
      <c r="A183" s="134"/>
      <c r="B183" s="134"/>
      <c r="C183" s="128"/>
      <c r="D183" s="128"/>
      <c r="E183" s="128"/>
      <c r="F183" s="128"/>
      <c r="G183" s="128"/>
      <c r="H183" s="128"/>
      <c r="I183" s="128"/>
      <c r="J183" s="128"/>
      <c r="K183" s="128"/>
      <c r="L183" s="128"/>
      <c r="M183" s="128"/>
      <c r="N183" s="128"/>
      <c r="O183" s="128"/>
      <c r="P183" s="128"/>
      <c r="Q183" s="128"/>
      <c r="R183" s="128"/>
      <c r="S183" s="128"/>
      <c r="T183" s="128"/>
      <c r="U183" s="128"/>
      <c r="V183" s="128"/>
      <c r="W183" s="128"/>
      <c r="X183" s="128"/>
      <c r="Y183" s="128"/>
      <c r="Z183" s="128"/>
      <c r="AA183" s="128"/>
    </row>
    <row r="184">
      <c r="A184" s="134"/>
      <c r="B184" s="134"/>
      <c r="C184" s="128"/>
      <c r="D184" s="128"/>
      <c r="E184" s="128"/>
      <c r="F184" s="128"/>
      <c r="G184" s="128"/>
      <c r="H184" s="128"/>
      <c r="I184" s="128"/>
      <c r="J184" s="128"/>
      <c r="K184" s="128"/>
      <c r="L184" s="128"/>
      <c r="M184" s="128"/>
      <c r="N184" s="128"/>
      <c r="O184" s="128"/>
      <c r="P184" s="128"/>
      <c r="Q184" s="128"/>
      <c r="R184" s="128"/>
      <c r="S184" s="128"/>
      <c r="T184" s="128"/>
      <c r="U184" s="128"/>
      <c r="V184" s="128"/>
      <c r="W184" s="128"/>
      <c r="X184" s="128"/>
      <c r="Y184" s="128"/>
      <c r="Z184" s="128"/>
      <c r="AA184" s="128"/>
    </row>
    <row r="185">
      <c r="A185" s="134"/>
      <c r="B185" s="134"/>
      <c r="C185" s="128"/>
      <c r="D185" s="128"/>
      <c r="E185" s="128"/>
      <c r="F185" s="128"/>
      <c r="G185" s="128"/>
      <c r="H185" s="128"/>
      <c r="I185" s="128"/>
      <c r="J185" s="128"/>
      <c r="K185" s="128"/>
      <c r="L185" s="128"/>
      <c r="M185" s="128"/>
      <c r="N185" s="128"/>
      <c r="O185" s="128"/>
      <c r="P185" s="128"/>
      <c r="Q185" s="128"/>
      <c r="R185" s="128"/>
      <c r="S185" s="128"/>
      <c r="T185" s="128"/>
      <c r="U185" s="128"/>
      <c r="V185" s="128"/>
      <c r="W185" s="128"/>
      <c r="X185" s="128"/>
      <c r="Y185" s="128"/>
      <c r="Z185" s="128"/>
      <c r="AA185" s="128"/>
    </row>
    <row r="186">
      <c r="A186" s="134"/>
      <c r="B186" s="134"/>
      <c r="C186" s="128"/>
      <c r="D186" s="128"/>
      <c r="E186" s="128"/>
      <c r="F186" s="128"/>
      <c r="G186" s="128"/>
      <c r="H186" s="128"/>
      <c r="I186" s="128"/>
      <c r="J186" s="128"/>
      <c r="K186" s="128"/>
      <c r="L186" s="128"/>
      <c r="M186" s="128"/>
      <c r="N186" s="128"/>
      <c r="O186" s="128"/>
      <c r="P186" s="128"/>
      <c r="Q186" s="128"/>
      <c r="R186" s="128"/>
      <c r="S186" s="128"/>
      <c r="T186" s="128"/>
      <c r="U186" s="128"/>
      <c r="V186" s="128"/>
      <c r="W186" s="128"/>
      <c r="X186" s="128"/>
      <c r="Y186" s="128"/>
      <c r="Z186" s="128"/>
      <c r="AA186" s="128"/>
    </row>
    <row r="187">
      <c r="A187" s="134"/>
      <c r="B187" s="134"/>
      <c r="C187" s="128"/>
      <c r="D187" s="128"/>
      <c r="E187" s="128"/>
      <c r="F187" s="128"/>
      <c r="G187" s="128"/>
      <c r="H187" s="128"/>
      <c r="I187" s="128"/>
      <c r="J187" s="128"/>
      <c r="K187" s="128"/>
      <c r="L187" s="128"/>
      <c r="M187" s="128"/>
      <c r="N187" s="128"/>
      <c r="O187" s="128"/>
      <c r="P187" s="128"/>
      <c r="Q187" s="128"/>
      <c r="R187" s="128"/>
      <c r="S187" s="128"/>
      <c r="T187" s="128"/>
      <c r="U187" s="128"/>
      <c r="V187" s="128"/>
      <c r="W187" s="128"/>
      <c r="X187" s="128"/>
      <c r="Y187" s="128"/>
      <c r="Z187" s="128"/>
      <c r="AA187" s="128"/>
    </row>
    <row r="188">
      <c r="A188" s="134"/>
      <c r="B188" s="134"/>
      <c r="C188" s="128"/>
      <c r="D188" s="128"/>
      <c r="E188" s="128"/>
      <c r="F188" s="128"/>
      <c r="G188" s="128"/>
      <c r="H188" s="128"/>
      <c r="I188" s="128"/>
      <c r="J188" s="128"/>
      <c r="K188" s="128"/>
      <c r="L188" s="128"/>
      <c r="M188" s="128"/>
      <c r="N188" s="128"/>
      <c r="O188" s="128"/>
      <c r="P188" s="128"/>
      <c r="Q188" s="128"/>
      <c r="R188" s="128"/>
      <c r="S188" s="128"/>
      <c r="T188" s="128"/>
      <c r="U188" s="128"/>
      <c r="V188" s="128"/>
      <c r="W188" s="128"/>
      <c r="X188" s="128"/>
      <c r="Y188" s="128"/>
      <c r="Z188" s="128"/>
      <c r="AA188" s="128"/>
    </row>
    <row r="189">
      <c r="A189" s="134"/>
      <c r="B189" s="134"/>
      <c r="C189" s="128"/>
      <c r="D189" s="128"/>
      <c r="E189" s="128"/>
      <c r="F189" s="128"/>
      <c r="G189" s="128"/>
      <c r="H189" s="128"/>
      <c r="I189" s="128"/>
      <c r="J189" s="128"/>
      <c r="K189" s="128"/>
      <c r="L189" s="128"/>
      <c r="M189" s="128"/>
      <c r="N189" s="128"/>
      <c r="O189" s="128"/>
      <c r="P189" s="128"/>
      <c r="Q189" s="128"/>
      <c r="R189" s="128"/>
      <c r="S189" s="128"/>
      <c r="T189" s="128"/>
      <c r="U189" s="128"/>
      <c r="V189" s="128"/>
      <c r="W189" s="128"/>
      <c r="X189" s="128"/>
      <c r="Y189" s="128"/>
      <c r="Z189" s="128"/>
      <c r="AA189" s="128"/>
    </row>
    <row r="190">
      <c r="A190" s="134"/>
      <c r="B190" s="134"/>
      <c r="C190" s="128"/>
      <c r="D190" s="128"/>
      <c r="E190" s="128"/>
      <c r="F190" s="128"/>
      <c r="G190" s="128"/>
      <c r="H190" s="128"/>
      <c r="I190" s="128"/>
      <c r="J190" s="128"/>
      <c r="K190" s="128"/>
      <c r="L190" s="128"/>
      <c r="M190" s="128"/>
      <c r="N190" s="128"/>
      <c r="O190" s="128"/>
      <c r="P190" s="128"/>
      <c r="Q190" s="128"/>
      <c r="R190" s="128"/>
      <c r="S190" s="128"/>
      <c r="T190" s="128"/>
      <c r="U190" s="128"/>
      <c r="V190" s="128"/>
      <c r="W190" s="128"/>
      <c r="X190" s="128"/>
      <c r="Y190" s="128"/>
      <c r="Z190" s="128"/>
      <c r="AA190" s="128"/>
    </row>
    <row r="191">
      <c r="A191" s="134"/>
      <c r="B191" s="134"/>
      <c r="C191" s="128"/>
      <c r="D191" s="128"/>
      <c r="E191" s="128"/>
      <c r="F191" s="128"/>
      <c r="G191" s="128"/>
      <c r="H191" s="128"/>
      <c r="I191" s="128"/>
      <c r="J191" s="128"/>
      <c r="K191" s="128"/>
      <c r="L191" s="128"/>
      <c r="M191" s="128"/>
      <c r="N191" s="128"/>
      <c r="O191" s="128"/>
      <c r="P191" s="128"/>
      <c r="Q191" s="128"/>
      <c r="R191" s="128"/>
      <c r="S191" s="128"/>
      <c r="T191" s="128"/>
      <c r="U191" s="128"/>
      <c r="V191" s="128"/>
      <c r="W191" s="128"/>
      <c r="X191" s="128"/>
      <c r="Y191" s="128"/>
      <c r="Z191" s="128"/>
      <c r="AA191" s="128"/>
    </row>
    <row r="192">
      <c r="A192" s="134"/>
      <c r="B192" s="134"/>
      <c r="C192" s="128"/>
      <c r="D192" s="128"/>
      <c r="E192" s="128"/>
      <c r="F192" s="128"/>
      <c r="G192" s="128"/>
      <c r="H192" s="128"/>
      <c r="I192" s="128"/>
      <c r="J192" s="128"/>
      <c r="K192" s="128"/>
      <c r="L192" s="128"/>
      <c r="M192" s="128"/>
      <c r="N192" s="128"/>
      <c r="O192" s="128"/>
      <c r="P192" s="128"/>
      <c r="Q192" s="128"/>
      <c r="R192" s="128"/>
      <c r="S192" s="128"/>
      <c r="T192" s="128"/>
      <c r="U192" s="128"/>
      <c r="V192" s="128"/>
      <c r="W192" s="128"/>
      <c r="X192" s="128"/>
      <c r="Y192" s="128"/>
      <c r="Z192" s="128"/>
      <c r="AA192" s="128"/>
    </row>
    <row r="193">
      <c r="A193" s="134"/>
      <c r="B193" s="134"/>
      <c r="C193" s="128"/>
      <c r="D193" s="128"/>
      <c r="E193" s="128"/>
      <c r="F193" s="128"/>
      <c r="G193" s="128"/>
      <c r="H193" s="128"/>
      <c r="I193" s="128"/>
      <c r="J193" s="128"/>
      <c r="K193" s="128"/>
      <c r="L193" s="128"/>
      <c r="M193" s="128"/>
      <c r="N193" s="128"/>
      <c r="O193" s="128"/>
      <c r="P193" s="128"/>
      <c r="Q193" s="128"/>
      <c r="R193" s="128"/>
      <c r="S193" s="128"/>
      <c r="T193" s="128"/>
      <c r="U193" s="128"/>
      <c r="V193" s="128"/>
      <c r="W193" s="128"/>
      <c r="X193" s="128"/>
      <c r="Y193" s="128"/>
      <c r="Z193" s="128"/>
      <c r="AA193" s="128"/>
    </row>
    <row r="194">
      <c r="A194" s="134"/>
      <c r="B194" s="134"/>
      <c r="C194" s="128"/>
      <c r="D194" s="128"/>
      <c r="E194" s="128"/>
      <c r="F194" s="128"/>
      <c r="G194" s="128"/>
      <c r="H194" s="128"/>
      <c r="I194" s="128"/>
      <c r="J194" s="128"/>
      <c r="K194" s="128"/>
      <c r="L194" s="128"/>
      <c r="M194" s="128"/>
      <c r="N194" s="128"/>
      <c r="O194" s="128"/>
      <c r="P194" s="128"/>
      <c r="Q194" s="128"/>
      <c r="R194" s="128"/>
      <c r="S194" s="128"/>
      <c r="T194" s="128"/>
      <c r="U194" s="128"/>
      <c r="V194" s="128"/>
      <c r="W194" s="128"/>
      <c r="X194" s="128"/>
      <c r="Y194" s="128"/>
      <c r="Z194" s="128"/>
      <c r="AA194" s="128"/>
    </row>
    <row r="195">
      <c r="A195" s="134"/>
      <c r="B195" s="134"/>
      <c r="C195" s="128"/>
      <c r="D195" s="128"/>
      <c r="E195" s="128"/>
      <c r="F195" s="128"/>
      <c r="G195" s="128"/>
      <c r="H195" s="128"/>
      <c r="I195" s="128"/>
      <c r="J195" s="128"/>
      <c r="K195" s="128"/>
      <c r="L195" s="128"/>
      <c r="M195" s="128"/>
      <c r="N195" s="128"/>
      <c r="O195" s="128"/>
      <c r="P195" s="128"/>
      <c r="Q195" s="128"/>
      <c r="R195" s="128"/>
      <c r="S195" s="128"/>
      <c r="T195" s="128"/>
      <c r="U195" s="128"/>
      <c r="V195" s="128"/>
      <c r="W195" s="128"/>
      <c r="X195" s="128"/>
      <c r="Y195" s="128"/>
      <c r="Z195" s="128"/>
      <c r="AA195" s="128"/>
    </row>
    <row r="196">
      <c r="A196" s="134"/>
      <c r="B196" s="134"/>
      <c r="C196" s="128"/>
      <c r="D196" s="128"/>
      <c r="E196" s="128"/>
      <c r="F196" s="128"/>
      <c r="G196" s="128"/>
      <c r="H196" s="128"/>
      <c r="I196" s="128"/>
      <c r="J196" s="128"/>
      <c r="K196" s="128"/>
      <c r="L196" s="128"/>
      <c r="M196" s="128"/>
      <c r="N196" s="128"/>
      <c r="O196" s="128"/>
      <c r="P196" s="128"/>
      <c r="Q196" s="128"/>
      <c r="R196" s="128"/>
      <c r="S196" s="128"/>
      <c r="T196" s="128"/>
      <c r="U196" s="128"/>
      <c r="V196" s="128"/>
      <c r="W196" s="128"/>
      <c r="X196" s="128"/>
      <c r="Y196" s="128"/>
      <c r="Z196" s="128"/>
      <c r="AA196" s="128"/>
    </row>
    <row r="197">
      <c r="A197" s="134"/>
      <c r="B197" s="134"/>
      <c r="C197" s="128"/>
      <c r="D197" s="128"/>
      <c r="E197" s="128"/>
      <c r="F197" s="128"/>
      <c r="G197" s="128"/>
      <c r="H197" s="128"/>
      <c r="I197" s="128"/>
      <c r="J197" s="128"/>
      <c r="K197" s="128"/>
      <c r="L197" s="128"/>
      <c r="M197" s="128"/>
      <c r="N197" s="128"/>
      <c r="O197" s="128"/>
      <c r="P197" s="128"/>
      <c r="Q197" s="128"/>
      <c r="R197" s="128"/>
      <c r="S197" s="128"/>
      <c r="T197" s="128"/>
      <c r="U197" s="128"/>
      <c r="V197" s="128"/>
      <c r="W197" s="128"/>
      <c r="X197" s="128"/>
      <c r="Y197" s="128"/>
      <c r="Z197" s="128"/>
      <c r="AA197" s="128"/>
    </row>
    <row r="198">
      <c r="A198" s="134"/>
      <c r="B198" s="134"/>
      <c r="C198" s="128"/>
      <c r="D198" s="128"/>
      <c r="E198" s="128"/>
      <c r="F198" s="128"/>
      <c r="G198" s="128"/>
      <c r="H198" s="128"/>
      <c r="I198" s="128"/>
      <c r="J198" s="128"/>
      <c r="K198" s="128"/>
      <c r="L198" s="128"/>
      <c r="M198" s="128"/>
      <c r="N198" s="128"/>
      <c r="O198" s="128"/>
      <c r="P198" s="128"/>
      <c r="Q198" s="128"/>
      <c r="R198" s="128"/>
      <c r="S198" s="128"/>
      <c r="T198" s="128"/>
      <c r="U198" s="128"/>
      <c r="V198" s="128"/>
      <c r="W198" s="128"/>
      <c r="X198" s="128"/>
      <c r="Y198" s="128"/>
      <c r="Z198" s="128"/>
      <c r="AA198" s="128"/>
    </row>
    <row r="199">
      <c r="A199" s="134"/>
      <c r="B199" s="134"/>
      <c r="C199" s="128"/>
      <c r="D199" s="128"/>
      <c r="E199" s="128"/>
      <c r="F199" s="128"/>
      <c r="G199" s="128"/>
      <c r="H199" s="128"/>
      <c r="I199" s="128"/>
      <c r="J199" s="128"/>
      <c r="K199" s="128"/>
      <c r="L199" s="128"/>
      <c r="M199" s="128"/>
      <c r="N199" s="128"/>
      <c r="O199" s="128"/>
      <c r="P199" s="128"/>
      <c r="Q199" s="128"/>
      <c r="R199" s="128"/>
      <c r="S199" s="128"/>
      <c r="T199" s="128"/>
      <c r="U199" s="128"/>
      <c r="V199" s="128"/>
      <c r="W199" s="128"/>
      <c r="X199" s="128"/>
      <c r="Y199" s="128"/>
      <c r="Z199" s="128"/>
      <c r="AA199" s="128"/>
    </row>
    <row r="200">
      <c r="A200" s="134"/>
      <c r="B200" s="134"/>
      <c r="C200" s="128"/>
      <c r="D200" s="128"/>
      <c r="E200" s="128"/>
      <c r="F200" s="128"/>
      <c r="G200" s="128"/>
      <c r="H200" s="128"/>
      <c r="I200" s="128"/>
      <c r="J200" s="128"/>
      <c r="K200" s="128"/>
      <c r="L200" s="128"/>
      <c r="M200" s="128"/>
      <c r="N200" s="128"/>
      <c r="O200" s="128"/>
      <c r="P200" s="128"/>
      <c r="Q200" s="128"/>
      <c r="R200" s="128"/>
      <c r="S200" s="128"/>
      <c r="T200" s="128"/>
      <c r="U200" s="128"/>
      <c r="V200" s="128"/>
      <c r="W200" s="128"/>
      <c r="X200" s="128"/>
      <c r="Y200" s="128"/>
      <c r="Z200" s="128"/>
      <c r="AA200" s="128"/>
    </row>
    <row r="201">
      <c r="A201" s="134"/>
      <c r="B201" s="134"/>
      <c r="C201" s="128"/>
      <c r="D201" s="128"/>
      <c r="E201" s="128"/>
      <c r="F201" s="128"/>
      <c r="G201" s="128"/>
      <c r="H201" s="128"/>
      <c r="I201" s="128"/>
      <c r="J201" s="128"/>
      <c r="K201" s="128"/>
      <c r="L201" s="128"/>
      <c r="M201" s="128"/>
      <c r="N201" s="128"/>
      <c r="O201" s="128"/>
      <c r="P201" s="128"/>
      <c r="Q201" s="128"/>
      <c r="R201" s="128"/>
      <c r="S201" s="128"/>
      <c r="T201" s="128"/>
      <c r="U201" s="128"/>
      <c r="V201" s="128"/>
      <c r="W201" s="128"/>
      <c r="X201" s="128"/>
      <c r="Y201" s="128"/>
      <c r="Z201" s="128"/>
      <c r="AA201" s="128"/>
    </row>
    <row r="202">
      <c r="A202" s="134"/>
      <c r="B202" s="134"/>
      <c r="C202" s="128"/>
      <c r="D202" s="128"/>
      <c r="E202" s="128"/>
      <c r="F202" s="128"/>
      <c r="G202" s="128"/>
      <c r="H202" s="128"/>
      <c r="I202" s="128"/>
      <c r="J202" s="128"/>
      <c r="K202" s="128"/>
      <c r="L202" s="128"/>
      <c r="M202" s="128"/>
      <c r="N202" s="128"/>
      <c r="O202" s="128"/>
      <c r="P202" s="128"/>
      <c r="Q202" s="128"/>
      <c r="R202" s="128"/>
      <c r="S202" s="128"/>
      <c r="T202" s="128"/>
      <c r="U202" s="128"/>
      <c r="V202" s="128"/>
      <c r="W202" s="128"/>
      <c r="X202" s="128"/>
      <c r="Y202" s="128"/>
      <c r="Z202" s="128"/>
      <c r="AA202" s="128"/>
    </row>
    <row r="203">
      <c r="A203" s="134"/>
      <c r="B203" s="134"/>
      <c r="C203" s="128"/>
      <c r="D203" s="128"/>
      <c r="E203" s="128"/>
      <c r="F203" s="128"/>
      <c r="G203" s="128"/>
      <c r="H203" s="128"/>
      <c r="I203" s="128"/>
      <c r="J203" s="128"/>
      <c r="K203" s="128"/>
      <c r="L203" s="128"/>
      <c r="M203" s="128"/>
      <c r="N203" s="128"/>
      <c r="O203" s="128"/>
      <c r="P203" s="128"/>
      <c r="Q203" s="128"/>
      <c r="R203" s="128"/>
      <c r="S203" s="128"/>
      <c r="T203" s="128"/>
      <c r="U203" s="128"/>
      <c r="V203" s="128"/>
      <c r="W203" s="128"/>
      <c r="X203" s="128"/>
      <c r="Y203" s="128"/>
      <c r="Z203" s="128"/>
      <c r="AA203" s="128"/>
    </row>
    <row r="204">
      <c r="A204" s="134"/>
      <c r="B204" s="134"/>
      <c r="C204" s="128"/>
      <c r="D204" s="128"/>
      <c r="E204" s="128"/>
      <c r="F204" s="128"/>
      <c r="G204" s="128"/>
      <c r="H204" s="128"/>
      <c r="I204" s="128"/>
      <c r="J204" s="128"/>
      <c r="K204" s="128"/>
      <c r="L204" s="128"/>
      <c r="M204" s="128"/>
      <c r="N204" s="128"/>
      <c r="O204" s="128"/>
      <c r="P204" s="128"/>
      <c r="Q204" s="128"/>
      <c r="R204" s="128"/>
      <c r="S204" s="128"/>
      <c r="T204" s="128"/>
      <c r="U204" s="128"/>
      <c r="V204" s="128"/>
      <c r="W204" s="128"/>
      <c r="X204" s="128"/>
      <c r="Y204" s="128"/>
      <c r="Z204" s="128"/>
      <c r="AA204" s="128"/>
    </row>
    <row r="205">
      <c r="A205" s="134"/>
      <c r="B205" s="134"/>
      <c r="C205" s="128"/>
      <c r="D205" s="128"/>
      <c r="E205" s="128"/>
      <c r="F205" s="128"/>
      <c r="G205" s="128"/>
      <c r="H205" s="128"/>
      <c r="I205" s="128"/>
      <c r="J205" s="128"/>
      <c r="K205" s="128"/>
      <c r="L205" s="128"/>
      <c r="M205" s="128"/>
      <c r="N205" s="128"/>
      <c r="O205" s="128"/>
      <c r="P205" s="128"/>
      <c r="Q205" s="128"/>
      <c r="R205" s="128"/>
      <c r="S205" s="128"/>
      <c r="T205" s="128"/>
      <c r="U205" s="128"/>
      <c r="V205" s="128"/>
      <c r="W205" s="128"/>
      <c r="X205" s="128"/>
      <c r="Y205" s="128"/>
      <c r="Z205" s="128"/>
      <c r="AA205" s="128"/>
    </row>
    <row r="206">
      <c r="A206" s="134"/>
      <c r="B206" s="134"/>
      <c r="C206" s="128"/>
      <c r="D206" s="128"/>
      <c r="E206" s="128"/>
      <c r="F206" s="128"/>
      <c r="G206" s="128"/>
      <c r="H206" s="128"/>
      <c r="I206" s="128"/>
      <c r="J206" s="128"/>
      <c r="K206" s="128"/>
      <c r="L206" s="128"/>
      <c r="M206" s="128"/>
      <c r="N206" s="128"/>
      <c r="O206" s="128"/>
      <c r="P206" s="128"/>
      <c r="Q206" s="128"/>
      <c r="R206" s="128"/>
      <c r="S206" s="128"/>
      <c r="T206" s="128"/>
      <c r="U206" s="128"/>
      <c r="V206" s="128"/>
      <c r="W206" s="128"/>
      <c r="X206" s="128"/>
      <c r="Y206" s="128"/>
      <c r="Z206" s="128"/>
      <c r="AA206" s="128"/>
    </row>
    <row r="207">
      <c r="A207" s="134"/>
      <c r="B207" s="134"/>
      <c r="C207" s="128"/>
      <c r="D207" s="128"/>
      <c r="E207" s="128"/>
      <c r="F207" s="128"/>
      <c r="G207" s="128"/>
      <c r="H207" s="128"/>
      <c r="I207" s="128"/>
      <c r="J207" s="128"/>
      <c r="K207" s="128"/>
      <c r="L207" s="128"/>
      <c r="M207" s="128"/>
      <c r="N207" s="128"/>
      <c r="O207" s="128"/>
      <c r="P207" s="128"/>
      <c r="Q207" s="128"/>
      <c r="R207" s="128"/>
      <c r="S207" s="128"/>
      <c r="T207" s="128"/>
      <c r="U207" s="128"/>
      <c r="V207" s="128"/>
      <c r="W207" s="128"/>
      <c r="X207" s="128"/>
      <c r="Y207" s="128"/>
      <c r="Z207" s="128"/>
      <c r="AA207" s="128"/>
    </row>
    <row r="208">
      <c r="A208" s="134"/>
      <c r="B208" s="134"/>
      <c r="C208" s="128"/>
      <c r="D208" s="128"/>
      <c r="E208" s="128"/>
      <c r="F208" s="128"/>
      <c r="G208" s="128"/>
      <c r="H208" s="128"/>
      <c r="I208" s="128"/>
      <c r="J208" s="128"/>
      <c r="K208" s="128"/>
      <c r="L208" s="128"/>
      <c r="M208" s="128"/>
      <c r="N208" s="128"/>
      <c r="O208" s="128"/>
      <c r="P208" s="128"/>
      <c r="Q208" s="128"/>
      <c r="R208" s="128"/>
      <c r="S208" s="128"/>
      <c r="T208" s="128"/>
      <c r="U208" s="128"/>
      <c r="V208" s="128"/>
      <c r="W208" s="128"/>
      <c r="X208" s="128"/>
      <c r="Y208" s="128"/>
      <c r="Z208" s="128"/>
      <c r="AA208" s="128"/>
    </row>
    <row r="209">
      <c r="A209" s="134"/>
      <c r="B209" s="134"/>
      <c r="C209" s="128"/>
      <c r="D209" s="128"/>
      <c r="E209" s="128"/>
      <c r="F209" s="128"/>
      <c r="G209" s="128"/>
      <c r="H209" s="128"/>
      <c r="I209" s="128"/>
      <c r="J209" s="128"/>
      <c r="K209" s="128"/>
      <c r="L209" s="128"/>
      <c r="M209" s="128"/>
      <c r="N209" s="128"/>
      <c r="O209" s="128"/>
      <c r="P209" s="128"/>
      <c r="Q209" s="128"/>
      <c r="R209" s="128"/>
      <c r="S209" s="128"/>
      <c r="T209" s="128"/>
      <c r="U209" s="128"/>
      <c r="V209" s="128"/>
      <c r="W209" s="128"/>
      <c r="X209" s="128"/>
      <c r="Y209" s="128"/>
      <c r="Z209" s="128"/>
      <c r="AA209" s="128"/>
    </row>
    <row r="210">
      <c r="A210" s="134"/>
      <c r="B210" s="134"/>
      <c r="C210" s="128"/>
      <c r="D210" s="128"/>
      <c r="E210" s="128"/>
      <c r="F210" s="128"/>
      <c r="G210" s="128"/>
      <c r="H210" s="128"/>
      <c r="I210" s="128"/>
      <c r="J210" s="128"/>
      <c r="K210" s="128"/>
      <c r="L210" s="128"/>
      <c r="M210" s="128"/>
      <c r="N210" s="128"/>
      <c r="O210" s="128"/>
      <c r="P210" s="128"/>
      <c r="Q210" s="128"/>
      <c r="R210" s="128"/>
      <c r="S210" s="128"/>
      <c r="T210" s="128"/>
      <c r="U210" s="128"/>
      <c r="V210" s="128"/>
      <c r="W210" s="128"/>
      <c r="X210" s="128"/>
      <c r="Y210" s="128"/>
      <c r="Z210" s="128"/>
      <c r="AA210" s="128"/>
    </row>
    <row r="211">
      <c r="A211" s="134"/>
      <c r="B211" s="134"/>
      <c r="C211" s="128"/>
      <c r="D211" s="128"/>
      <c r="E211" s="128"/>
      <c r="F211" s="128"/>
      <c r="G211" s="128"/>
      <c r="H211" s="128"/>
      <c r="I211" s="128"/>
      <c r="J211" s="128"/>
      <c r="K211" s="128"/>
      <c r="L211" s="128"/>
      <c r="M211" s="128"/>
      <c r="N211" s="128"/>
      <c r="O211" s="128"/>
      <c r="P211" s="128"/>
      <c r="Q211" s="128"/>
      <c r="R211" s="128"/>
      <c r="S211" s="128"/>
      <c r="T211" s="128"/>
      <c r="U211" s="128"/>
      <c r="V211" s="128"/>
      <c r="W211" s="128"/>
      <c r="X211" s="128"/>
      <c r="Y211" s="128"/>
      <c r="Z211" s="128"/>
      <c r="AA211" s="128"/>
    </row>
    <row r="212">
      <c r="A212" s="134"/>
      <c r="B212" s="134"/>
      <c r="C212" s="128"/>
      <c r="D212" s="128"/>
      <c r="E212" s="128"/>
      <c r="F212" s="128"/>
      <c r="G212" s="128"/>
      <c r="H212" s="128"/>
      <c r="I212" s="128"/>
      <c r="J212" s="128"/>
      <c r="K212" s="128"/>
      <c r="L212" s="128"/>
      <c r="M212" s="128"/>
      <c r="N212" s="128"/>
      <c r="O212" s="128"/>
      <c r="P212" s="128"/>
      <c r="Q212" s="128"/>
      <c r="R212" s="128"/>
      <c r="S212" s="128"/>
      <c r="T212" s="128"/>
      <c r="U212" s="128"/>
      <c r="V212" s="128"/>
      <c r="W212" s="128"/>
      <c r="X212" s="128"/>
      <c r="Y212" s="128"/>
      <c r="Z212" s="128"/>
      <c r="AA212" s="128"/>
    </row>
    <row r="213">
      <c r="A213" s="134"/>
      <c r="B213" s="134"/>
      <c r="C213" s="128"/>
      <c r="D213" s="128"/>
      <c r="E213" s="128"/>
      <c r="F213" s="128"/>
      <c r="G213" s="128"/>
      <c r="H213" s="128"/>
      <c r="I213" s="128"/>
      <c r="J213" s="128"/>
      <c r="K213" s="128"/>
      <c r="L213" s="128"/>
      <c r="M213" s="128"/>
      <c r="N213" s="128"/>
      <c r="O213" s="128"/>
      <c r="P213" s="128"/>
      <c r="Q213" s="128"/>
      <c r="R213" s="128"/>
      <c r="S213" s="128"/>
      <c r="T213" s="128"/>
      <c r="U213" s="128"/>
      <c r="V213" s="128"/>
      <c r="W213" s="128"/>
      <c r="X213" s="128"/>
      <c r="Y213" s="128"/>
      <c r="Z213" s="128"/>
      <c r="AA213" s="128"/>
    </row>
    <row r="214">
      <c r="A214" s="134"/>
      <c r="B214" s="134"/>
      <c r="C214" s="128"/>
      <c r="D214" s="128"/>
      <c r="E214" s="128"/>
      <c r="F214" s="128"/>
      <c r="G214" s="128"/>
      <c r="H214" s="128"/>
      <c r="I214" s="128"/>
      <c r="J214" s="128"/>
      <c r="K214" s="128"/>
      <c r="L214" s="128"/>
      <c r="M214" s="128"/>
      <c r="N214" s="128"/>
      <c r="O214" s="128"/>
      <c r="P214" s="128"/>
      <c r="Q214" s="128"/>
      <c r="R214" s="128"/>
      <c r="S214" s="128"/>
      <c r="T214" s="128"/>
      <c r="U214" s="128"/>
      <c r="V214" s="128"/>
      <c r="W214" s="128"/>
      <c r="X214" s="128"/>
      <c r="Y214" s="128"/>
      <c r="Z214" s="128"/>
      <c r="AA214" s="128"/>
    </row>
    <row r="215">
      <c r="A215" s="134"/>
      <c r="B215" s="134"/>
      <c r="C215" s="128"/>
      <c r="D215" s="128"/>
      <c r="E215" s="128"/>
      <c r="F215" s="128"/>
      <c r="G215" s="128"/>
      <c r="H215" s="128"/>
      <c r="I215" s="128"/>
      <c r="J215" s="128"/>
      <c r="K215" s="128"/>
      <c r="L215" s="128"/>
      <c r="M215" s="128"/>
      <c r="N215" s="128"/>
      <c r="O215" s="128"/>
      <c r="P215" s="128"/>
      <c r="Q215" s="128"/>
      <c r="R215" s="128"/>
      <c r="S215" s="128"/>
      <c r="T215" s="128"/>
      <c r="U215" s="128"/>
      <c r="V215" s="128"/>
      <c r="W215" s="128"/>
      <c r="X215" s="128"/>
      <c r="Y215" s="128"/>
      <c r="Z215" s="128"/>
      <c r="AA215" s="128"/>
    </row>
    <row r="216">
      <c r="A216" s="134"/>
      <c r="B216" s="134"/>
      <c r="C216" s="128"/>
      <c r="D216" s="128"/>
      <c r="E216" s="128"/>
      <c r="F216" s="128"/>
      <c r="G216" s="128"/>
      <c r="H216" s="128"/>
      <c r="I216" s="128"/>
      <c r="J216" s="128"/>
      <c r="K216" s="128"/>
      <c r="L216" s="128"/>
      <c r="M216" s="128"/>
      <c r="N216" s="128"/>
      <c r="O216" s="128"/>
      <c r="P216" s="128"/>
      <c r="Q216" s="128"/>
      <c r="R216" s="128"/>
      <c r="S216" s="128"/>
      <c r="T216" s="128"/>
      <c r="U216" s="128"/>
      <c r="V216" s="128"/>
      <c r="W216" s="128"/>
      <c r="X216" s="128"/>
      <c r="Y216" s="128"/>
      <c r="Z216" s="128"/>
      <c r="AA216" s="128"/>
    </row>
    <row r="217">
      <c r="A217" s="134"/>
      <c r="B217" s="134"/>
      <c r="C217" s="128"/>
      <c r="D217" s="128"/>
      <c r="E217" s="128"/>
      <c r="F217" s="128"/>
      <c r="G217" s="128"/>
      <c r="H217" s="128"/>
      <c r="I217" s="128"/>
      <c r="J217" s="128"/>
      <c r="K217" s="128"/>
      <c r="L217" s="128"/>
      <c r="M217" s="128"/>
      <c r="N217" s="128"/>
      <c r="O217" s="128"/>
      <c r="P217" s="128"/>
      <c r="Q217" s="128"/>
      <c r="R217" s="128"/>
      <c r="S217" s="128"/>
      <c r="T217" s="128"/>
      <c r="U217" s="128"/>
      <c r="V217" s="128"/>
      <c r="W217" s="128"/>
      <c r="X217" s="128"/>
      <c r="Y217" s="128"/>
      <c r="Z217" s="128"/>
      <c r="AA217" s="128"/>
    </row>
    <row r="218">
      <c r="A218" s="134"/>
      <c r="B218" s="134"/>
      <c r="C218" s="128"/>
      <c r="D218" s="128"/>
      <c r="E218" s="128"/>
      <c r="F218" s="128"/>
      <c r="G218" s="128"/>
      <c r="H218" s="128"/>
      <c r="I218" s="128"/>
      <c r="J218" s="128"/>
      <c r="K218" s="128"/>
      <c r="L218" s="128"/>
      <c r="M218" s="128"/>
      <c r="N218" s="128"/>
      <c r="O218" s="128"/>
      <c r="P218" s="128"/>
      <c r="Q218" s="128"/>
      <c r="R218" s="128"/>
      <c r="S218" s="128"/>
      <c r="T218" s="128"/>
      <c r="U218" s="128"/>
      <c r="V218" s="128"/>
      <c r="W218" s="128"/>
      <c r="X218" s="128"/>
      <c r="Y218" s="128"/>
      <c r="Z218" s="128"/>
      <c r="AA218" s="128"/>
    </row>
    <row r="219">
      <c r="A219" s="134"/>
      <c r="B219" s="134"/>
      <c r="C219" s="128"/>
      <c r="D219" s="128"/>
      <c r="E219" s="128"/>
      <c r="F219" s="128"/>
      <c r="G219" s="128"/>
      <c r="H219" s="128"/>
      <c r="I219" s="128"/>
      <c r="J219" s="128"/>
      <c r="K219" s="128"/>
      <c r="L219" s="128"/>
      <c r="M219" s="128"/>
      <c r="N219" s="128"/>
      <c r="O219" s="128"/>
      <c r="P219" s="128"/>
      <c r="Q219" s="128"/>
      <c r="R219" s="128"/>
      <c r="S219" s="128"/>
      <c r="T219" s="128"/>
      <c r="U219" s="128"/>
      <c r="V219" s="128"/>
      <c r="W219" s="128"/>
      <c r="X219" s="128"/>
      <c r="Y219" s="128"/>
      <c r="Z219" s="128"/>
      <c r="AA219" s="128"/>
    </row>
    <row r="220">
      <c r="A220" s="134"/>
      <c r="B220" s="134"/>
      <c r="C220" s="128"/>
      <c r="D220" s="128"/>
      <c r="E220" s="128"/>
      <c r="F220" s="128"/>
      <c r="G220" s="128"/>
      <c r="H220" s="128"/>
      <c r="I220" s="128"/>
      <c r="J220" s="128"/>
      <c r="K220" s="128"/>
      <c r="L220" s="128"/>
      <c r="M220" s="128"/>
      <c r="N220" s="128"/>
      <c r="O220" s="128"/>
      <c r="P220" s="128"/>
      <c r="Q220" s="128"/>
      <c r="R220" s="128"/>
      <c r="S220" s="128"/>
      <c r="T220" s="128"/>
      <c r="U220" s="128"/>
      <c r="V220" s="128"/>
      <c r="W220" s="128"/>
      <c r="X220" s="128"/>
      <c r="Y220" s="128"/>
      <c r="Z220" s="128"/>
      <c r="AA220" s="128"/>
    </row>
    <row r="221">
      <c r="A221" s="134"/>
      <c r="B221" s="134"/>
      <c r="C221" s="128"/>
      <c r="D221" s="128"/>
      <c r="E221" s="128"/>
      <c r="F221" s="128"/>
      <c r="G221" s="128"/>
      <c r="H221" s="128"/>
      <c r="I221" s="128"/>
      <c r="J221" s="128"/>
      <c r="K221" s="128"/>
      <c r="L221" s="128"/>
      <c r="M221" s="128"/>
      <c r="N221" s="128"/>
      <c r="O221" s="128"/>
      <c r="P221" s="128"/>
      <c r="Q221" s="128"/>
      <c r="R221" s="128"/>
      <c r="S221" s="128"/>
      <c r="T221" s="128"/>
      <c r="U221" s="128"/>
      <c r="V221" s="128"/>
      <c r="W221" s="128"/>
      <c r="X221" s="128"/>
      <c r="Y221" s="128"/>
      <c r="Z221" s="128"/>
      <c r="AA221" s="128"/>
    </row>
    <row r="222">
      <c r="A222" s="134"/>
      <c r="B222" s="134"/>
      <c r="C222" s="128"/>
      <c r="D222" s="128"/>
      <c r="E222" s="128"/>
      <c r="F222" s="128"/>
      <c r="G222" s="128"/>
      <c r="H222" s="128"/>
      <c r="I222" s="128"/>
      <c r="J222" s="128"/>
      <c r="K222" s="128"/>
      <c r="L222" s="128"/>
      <c r="M222" s="128"/>
      <c r="N222" s="128"/>
      <c r="O222" s="128"/>
      <c r="P222" s="128"/>
      <c r="Q222" s="128"/>
      <c r="R222" s="128"/>
      <c r="S222" s="128"/>
      <c r="T222" s="128"/>
      <c r="U222" s="128"/>
      <c r="V222" s="128"/>
      <c r="W222" s="128"/>
      <c r="X222" s="128"/>
      <c r="Y222" s="128"/>
      <c r="Z222" s="128"/>
      <c r="AA222" s="128"/>
    </row>
    <row r="223">
      <c r="A223" s="134"/>
      <c r="B223" s="134"/>
      <c r="C223" s="128"/>
      <c r="D223" s="128"/>
      <c r="E223" s="128"/>
      <c r="F223" s="128"/>
      <c r="G223" s="128"/>
      <c r="H223" s="128"/>
      <c r="I223" s="128"/>
      <c r="J223" s="128"/>
      <c r="K223" s="128"/>
      <c r="L223" s="128"/>
      <c r="M223" s="128"/>
      <c r="N223" s="128"/>
      <c r="O223" s="128"/>
      <c r="P223" s="128"/>
      <c r="Q223" s="128"/>
      <c r="R223" s="128"/>
      <c r="S223" s="128"/>
      <c r="T223" s="128"/>
      <c r="U223" s="128"/>
      <c r="V223" s="128"/>
      <c r="W223" s="128"/>
      <c r="X223" s="128"/>
      <c r="Y223" s="128"/>
      <c r="Z223" s="128"/>
      <c r="AA223" s="128"/>
    </row>
    <row r="224">
      <c r="A224" s="134"/>
      <c r="B224" s="134"/>
      <c r="C224" s="128"/>
      <c r="D224" s="128"/>
      <c r="E224" s="128"/>
      <c r="F224" s="128"/>
      <c r="G224" s="128"/>
      <c r="H224" s="128"/>
      <c r="I224" s="128"/>
      <c r="J224" s="128"/>
      <c r="K224" s="128"/>
      <c r="L224" s="128"/>
      <c r="M224" s="128"/>
      <c r="N224" s="128"/>
      <c r="O224" s="128"/>
      <c r="P224" s="128"/>
      <c r="Q224" s="128"/>
      <c r="R224" s="128"/>
      <c r="S224" s="128"/>
      <c r="T224" s="128"/>
      <c r="U224" s="128"/>
      <c r="V224" s="128"/>
      <c r="W224" s="128"/>
      <c r="X224" s="128"/>
      <c r="Y224" s="128"/>
      <c r="Z224" s="128"/>
      <c r="AA224" s="128"/>
    </row>
    <row r="225">
      <c r="A225" s="134"/>
      <c r="B225" s="134"/>
      <c r="C225" s="128"/>
      <c r="D225" s="128"/>
      <c r="E225" s="128"/>
      <c r="F225" s="128"/>
      <c r="G225" s="128"/>
      <c r="H225" s="128"/>
      <c r="I225" s="128"/>
      <c r="J225" s="128"/>
      <c r="K225" s="128"/>
      <c r="L225" s="128"/>
      <c r="M225" s="128"/>
      <c r="N225" s="128"/>
      <c r="O225" s="128"/>
      <c r="P225" s="128"/>
      <c r="Q225" s="128"/>
      <c r="R225" s="128"/>
      <c r="S225" s="128"/>
      <c r="T225" s="128"/>
      <c r="U225" s="128"/>
      <c r="V225" s="128"/>
      <c r="W225" s="128"/>
      <c r="X225" s="128"/>
      <c r="Y225" s="128"/>
      <c r="Z225" s="128"/>
      <c r="AA225" s="128"/>
    </row>
    <row r="226">
      <c r="A226" s="134"/>
      <c r="B226" s="134"/>
      <c r="C226" s="128"/>
      <c r="D226" s="128"/>
      <c r="E226" s="128"/>
      <c r="F226" s="128"/>
      <c r="G226" s="128"/>
      <c r="H226" s="128"/>
      <c r="I226" s="128"/>
      <c r="J226" s="128"/>
      <c r="K226" s="128"/>
      <c r="L226" s="128"/>
      <c r="M226" s="128"/>
      <c r="N226" s="128"/>
      <c r="O226" s="128"/>
      <c r="P226" s="128"/>
      <c r="Q226" s="128"/>
      <c r="R226" s="128"/>
      <c r="S226" s="128"/>
      <c r="T226" s="128"/>
      <c r="U226" s="128"/>
      <c r="V226" s="128"/>
      <c r="W226" s="128"/>
      <c r="X226" s="128"/>
      <c r="Y226" s="128"/>
      <c r="Z226" s="128"/>
      <c r="AA226" s="128"/>
    </row>
    <row r="227">
      <c r="A227" s="134"/>
      <c r="B227" s="134"/>
      <c r="C227" s="128"/>
      <c r="D227" s="128"/>
      <c r="E227" s="128"/>
      <c r="F227" s="128"/>
      <c r="G227" s="128"/>
      <c r="H227" s="128"/>
      <c r="I227" s="128"/>
      <c r="J227" s="128"/>
      <c r="K227" s="128"/>
      <c r="L227" s="128"/>
      <c r="M227" s="128"/>
      <c r="N227" s="128"/>
      <c r="O227" s="128"/>
      <c r="P227" s="128"/>
      <c r="Q227" s="128"/>
      <c r="R227" s="128"/>
      <c r="S227" s="128"/>
      <c r="T227" s="128"/>
      <c r="U227" s="128"/>
      <c r="V227" s="128"/>
      <c r="W227" s="128"/>
      <c r="X227" s="128"/>
      <c r="Y227" s="128"/>
      <c r="Z227" s="128"/>
      <c r="AA227" s="128"/>
    </row>
    <row r="228">
      <c r="A228" s="134"/>
      <c r="B228" s="134"/>
      <c r="C228" s="128"/>
      <c r="D228" s="128"/>
      <c r="E228" s="128"/>
      <c r="F228" s="128"/>
      <c r="G228" s="128"/>
      <c r="H228" s="128"/>
      <c r="I228" s="128"/>
      <c r="J228" s="128"/>
      <c r="K228" s="128"/>
      <c r="L228" s="128"/>
      <c r="M228" s="128"/>
      <c r="N228" s="128"/>
      <c r="O228" s="128"/>
      <c r="P228" s="128"/>
      <c r="Q228" s="128"/>
      <c r="R228" s="128"/>
      <c r="S228" s="128"/>
      <c r="T228" s="128"/>
      <c r="U228" s="128"/>
      <c r="V228" s="128"/>
      <c r="W228" s="128"/>
      <c r="X228" s="128"/>
      <c r="Y228" s="128"/>
      <c r="Z228" s="128"/>
      <c r="AA228" s="128"/>
    </row>
    <row r="229">
      <c r="A229" s="134"/>
      <c r="B229" s="134"/>
      <c r="C229" s="128"/>
      <c r="D229" s="128"/>
      <c r="E229" s="128"/>
      <c r="F229" s="128"/>
      <c r="G229" s="128"/>
      <c r="H229" s="128"/>
      <c r="I229" s="128"/>
      <c r="J229" s="128"/>
      <c r="K229" s="128"/>
      <c r="L229" s="128"/>
      <c r="M229" s="128"/>
      <c r="N229" s="128"/>
      <c r="O229" s="128"/>
      <c r="P229" s="128"/>
      <c r="Q229" s="128"/>
      <c r="R229" s="128"/>
      <c r="S229" s="128"/>
      <c r="T229" s="128"/>
      <c r="U229" s="128"/>
      <c r="V229" s="128"/>
      <c r="W229" s="128"/>
      <c r="X229" s="128"/>
      <c r="Y229" s="128"/>
      <c r="Z229" s="128"/>
      <c r="AA229" s="128"/>
    </row>
    <row r="230">
      <c r="A230" s="134"/>
      <c r="B230" s="134"/>
      <c r="C230" s="128"/>
      <c r="D230" s="128"/>
      <c r="E230" s="128"/>
      <c r="F230" s="128"/>
      <c r="G230" s="128"/>
      <c r="H230" s="128"/>
      <c r="I230" s="128"/>
      <c r="J230" s="128"/>
      <c r="K230" s="128"/>
      <c r="L230" s="128"/>
      <c r="M230" s="128"/>
      <c r="N230" s="128"/>
      <c r="O230" s="128"/>
      <c r="P230" s="128"/>
      <c r="Q230" s="128"/>
      <c r="R230" s="128"/>
      <c r="S230" s="128"/>
      <c r="T230" s="128"/>
      <c r="U230" s="128"/>
      <c r="V230" s="128"/>
      <c r="W230" s="128"/>
      <c r="X230" s="128"/>
      <c r="Y230" s="128"/>
      <c r="Z230" s="128"/>
      <c r="AA230" s="128"/>
    </row>
    <row r="231">
      <c r="A231" s="134"/>
      <c r="B231" s="134"/>
      <c r="C231" s="128"/>
      <c r="D231" s="128"/>
      <c r="E231" s="128"/>
      <c r="F231" s="128"/>
      <c r="G231" s="128"/>
      <c r="H231" s="128"/>
      <c r="I231" s="128"/>
      <c r="J231" s="128"/>
      <c r="K231" s="128"/>
      <c r="L231" s="128"/>
      <c r="M231" s="128"/>
      <c r="N231" s="128"/>
      <c r="O231" s="128"/>
      <c r="P231" s="128"/>
      <c r="Q231" s="128"/>
      <c r="R231" s="128"/>
      <c r="S231" s="128"/>
      <c r="T231" s="128"/>
      <c r="U231" s="128"/>
      <c r="V231" s="128"/>
      <c r="W231" s="128"/>
      <c r="X231" s="128"/>
      <c r="Y231" s="128"/>
      <c r="Z231" s="128"/>
      <c r="AA231" s="128"/>
    </row>
    <row r="232">
      <c r="A232" s="134"/>
      <c r="B232" s="134"/>
      <c r="C232" s="128"/>
      <c r="D232" s="128"/>
      <c r="E232" s="128"/>
      <c r="F232" s="128"/>
      <c r="G232" s="128"/>
      <c r="H232" s="128"/>
      <c r="I232" s="128"/>
      <c r="J232" s="128"/>
      <c r="K232" s="128"/>
      <c r="L232" s="128"/>
      <c r="M232" s="128"/>
      <c r="N232" s="128"/>
      <c r="O232" s="128"/>
      <c r="P232" s="128"/>
      <c r="Q232" s="128"/>
      <c r="R232" s="128"/>
      <c r="S232" s="128"/>
      <c r="T232" s="128"/>
      <c r="U232" s="128"/>
      <c r="V232" s="128"/>
      <c r="W232" s="128"/>
      <c r="X232" s="128"/>
      <c r="Y232" s="128"/>
      <c r="Z232" s="128"/>
      <c r="AA232" s="128"/>
    </row>
    <row r="233">
      <c r="A233" s="134"/>
      <c r="B233" s="134"/>
      <c r="C233" s="128"/>
      <c r="D233" s="128"/>
      <c r="E233" s="128"/>
      <c r="F233" s="128"/>
      <c r="G233" s="128"/>
      <c r="H233" s="128"/>
      <c r="I233" s="128"/>
      <c r="J233" s="128"/>
      <c r="K233" s="128"/>
      <c r="L233" s="128"/>
      <c r="M233" s="128"/>
      <c r="N233" s="128"/>
      <c r="O233" s="128"/>
      <c r="P233" s="128"/>
      <c r="Q233" s="128"/>
      <c r="R233" s="128"/>
      <c r="S233" s="128"/>
      <c r="T233" s="128"/>
      <c r="U233" s="128"/>
      <c r="V233" s="128"/>
      <c r="W233" s="128"/>
      <c r="X233" s="128"/>
      <c r="Y233" s="128"/>
      <c r="Z233" s="128"/>
      <c r="AA233" s="128"/>
    </row>
    <row r="234">
      <c r="A234" s="134"/>
      <c r="B234" s="134"/>
      <c r="C234" s="128"/>
      <c r="D234" s="128"/>
      <c r="E234" s="128"/>
      <c r="F234" s="128"/>
      <c r="G234" s="128"/>
      <c r="H234" s="128"/>
      <c r="I234" s="128"/>
      <c r="J234" s="128"/>
      <c r="K234" s="128"/>
      <c r="L234" s="128"/>
      <c r="M234" s="128"/>
      <c r="N234" s="128"/>
      <c r="O234" s="128"/>
      <c r="P234" s="128"/>
      <c r="Q234" s="128"/>
      <c r="R234" s="128"/>
      <c r="S234" s="128"/>
      <c r="T234" s="128"/>
      <c r="U234" s="128"/>
      <c r="V234" s="128"/>
      <c r="W234" s="128"/>
      <c r="X234" s="128"/>
      <c r="Y234" s="128"/>
      <c r="Z234" s="128"/>
      <c r="AA234" s="128"/>
    </row>
    <row r="235">
      <c r="A235" s="134"/>
      <c r="B235" s="134"/>
      <c r="C235" s="128"/>
      <c r="D235" s="128"/>
      <c r="E235" s="128"/>
      <c r="F235" s="128"/>
      <c r="G235" s="128"/>
      <c r="H235" s="128"/>
      <c r="I235" s="128"/>
      <c r="J235" s="128"/>
      <c r="K235" s="128"/>
      <c r="L235" s="128"/>
      <c r="M235" s="128"/>
      <c r="N235" s="128"/>
      <c r="O235" s="128"/>
      <c r="P235" s="128"/>
      <c r="Q235" s="128"/>
      <c r="R235" s="128"/>
      <c r="S235" s="128"/>
      <c r="T235" s="128"/>
      <c r="U235" s="128"/>
      <c r="V235" s="128"/>
      <c r="W235" s="128"/>
      <c r="X235" s="128"/>
      <c r="Y235" s="128"/>
      <c r="Z235" s="128"/>
      <c r="AA235" s="128"/>
    </row>
    <row r="236">
      <c r="A236" s="134"/>
      <c r="B236" s="134"/>
      <c r="C236" s="128"/>
      <c r="D236" s="128"/>
      <c r="E236" s="128"/>
      <c r="F236" s="128"/>
      <c r="G236" s="128"/>
      <c r="H236" s="128"/>
      <c r="I236" s="128"/>
      <c r="J236" s="128"/>
      <c r="K236" s="128"/>
      <c r="L236" s="128"/>
      <c r="M236" s="128"/>
      <c r="N236" s="128"/>
      <c r="O236" s="128"/>
      <c r="P236" s="128"/>
      <c r="Q236" s="128"/>
      <c r="R236" s="128"/>
      <c r="S236" s="128"/>
      <c r="T236" s="128"/>
      <c r="U236" s="128"/>
      <c r="V236" s="128"/>
      <c r="W236" s="128"/>
      <c r="X236" s="128"/>
      <c r="Y236" s="128"/>
      <c r="Z236" s="128"/>
      <c r="AA236" s="128"/>
    </row>
    <row r="237">
      <c r="A237" s="134"/>
      <c r="B237" s="134"/>
      <c r="C237" s="128"/>
      <c r="D237" s="128"/>
      <c r="E237" s="128"/>
      <c r="F237" s="128"/>
      <c r="G237" s="128"/>
      <c r="H237" s="128"/>
      <c r="I237" s="128"/>
      <c r="J237" s="128"/>
      <c r="K237" s="128"/>
      <c r="L237" s="128"/>
      <c r="M237" s="128"/>
      <c r="N237" s="128"/>
      <c r="O237" s="128"/>
      <c r="P237" s="128"/>
      <c r="Q237" s="128"/>
      <c r="R237" s="128"/>
      <c r="S237" s="128"/>
      <c r="T237" s="128"/>
      <c r="U237" s="128"/>
      <c r="V237" s="128"/>
      <c r="W237" s="128"/>
      <c r="X237" s="128"/>
      <c r="Y237" s="128"/>
      <c r="Z237" s="128"/>
      <c r="AA237" s="128"/>
    </row>
    <row r="238">
      <c r="A238" s="134"/>
      <c r="B238" s="134"/>
      <c r="C238" s="128"/>
      <c r="D238" s="128"/>
      <c r="E238" s="128"/>
      <c r="F238" s="128"/>
      <c r="G238" s="128"/>
      <c r="H238" s="128"/>
      <c r="I238" s="128"/>
      <c r="J238" s="128"/>
      <c r="K238" s="128"/>
      <c r="L238" s="128"/>
      <c r="M238" s="128"/>
      <c r="N238" s="128"/>
      <c r="O238" s="128"/>
      <c r="P238" s="128"/>
      <c r="Q238" s="128"/>
      <c r="R238" s="128"/>
      <c r="S238" s="128"/>
      <c r="T238" s="128"/>
      <c r="U238" s="128"/>
      <c r="V238" s="128"/>
      <c r="W238" s="128"/>
      <c r="X238" s="128"/>
      <c r="Y238" s="128"/>
      <c r="Z238" s="128"/>
      <c r="AA238" s="128"/>
    </row>
    <row r="239">
      <c r="A239" s="134"/>
      <c r="B239" s="134"/>
      <c r="C239" s="128"/>
      <c r="D239" s="128"/>
      <c r="E239" s="128"/>
      <c r="F239" s="128"/>
      <c r="G239" s="128"/>
      <c r="H239" s="128"/>
      <c r="I239" s="128"/>
      <c r="J239" s="128"/>
      <c r="K239" s="128"/>
      <c r="L239" s="128"/>
      <c r="M239" s="128"/>
      <c r="N239" s="128"/>
      <c r="O239" s="128"/>
      <c r="P239" s="128"/>
      <c r="Q239" s="128"/>
      <c r="R239" s="128"/>
      <c r="S239" s="128"/>
      <c r="T239" s="128"/>
      <c r="U239" s="128"/>
      <c r="V239" s="128"/>
      <c r="W239" s="128"/>
      <c r="X239" s="128"/>
      <c r="Y239" s="128"/>
      <c r="Z239" s="128"/>
      <c r="AA239" s="128"/>
    </row>
    <row r="240">
      <c r="A240" s="134"/>
      <c r="B240" s="134"/>
      <c r="C240" s="128"/>
      <c r="D240" s="128"/>
      <c r="E240" s="128"/>
      <c r="F240" s="128"/>
      <c r="G240" s="128"/>
      <c r="H240" s="128"/>
      <c r="I240" s="128"/>
      <c r="J240" s="128"/>
      <c r="K240" s="128"/>
      <c r="L240" s="128"/>
      <c r="M240" s="128"/>
      <c r="N240" s="128"/>
      <c r="O240" s="128"/>
      <c r="P240" s="128"/>
      <c r="Q240" s="128"/>
      <c r="R240" s="128"/>
      <c r="S240" s="128"/>
      <c r="T240" s="128"/>
      <c r="U240" s="128"/>
      <c r="V240" s="128"/>
      <c r="W240" s="128"/>
      <c r="X240" s="128"/>
      <c r="Y240" s="128"/>
      <c r="Z240" s="128"/>
      <c r="AA240" s="128"/>
    </row>
    <row r="241">
      <c r="A241" s="134"/>
      <c r="B241" s="134"/>
      <c r="C241" s="128"/>
      <c r="D241" s="128"/>
      <c r="E241" s="128"/>
      <c r="F241" s="128"/>
      <c r="G241" s="128"/>
      <c r="H241" s="128"/>
      <c r="I241" s="128"/>
      <c r="J241" s="128"/>
      <c r="K241" s="128"/>
      <c r="L241" s="128"/>
      <c r="M241" s="128"/>
      <c r="N241" s="128"/>
      <c r="O241" s="128"/>
      <c r="P241" s="128"/>
      <c r="Q241" s="128"/>
      <c r="R241" s="128"/>
      <c r="S241" s="128"/>
      <c r="T241" s="128"/>
      <c r="U241" s="128"/>
      <c r="V241" s="128"/>
      <c r="W241" s="128"/>
      <c r="X241" s="128"/>
      <c r="Y241" s="128"/>
      <c r="Z241" s="128"/>
      <c r="AA241" s="128"/>
    </row>
    <row r="242">
      <c r="A242" s="134"/>
      <c r="B242" s="134"/>
      <c r="C242" s="128"/>
      <c r="D242" s="128"/>
      <c r="E242" s="128"/>
      <c r="F242" s="128"/>
      <c r="G242" s="128"/>
      <c r="H242" s="128"/>
      <c r="I242" s="128"/>
      <c r="J242" s="128"/>
      <c r="K242" s="128"/>
      <c r="L242" s="128"/>
      <c r="M242" s="128"/>
      <c r="N242" s="128"/>
      <c r="O242" s="128"/>
      <c r="P242" s="128"/>
      <c r="Q242" s="128"/>
      <c r="R242" s="128"/>
      <c r="S242" s="128"/>
      <c r="T242" s="128"/>
      <c r="U242" s="128"/>
      <c r="V242" s="128"/>
      <c r="W242" s="128"/>
      <c r="X242" s="128"/>
      <c r="Y242" s="128"/>
      <c r="Z242" s="128"/>
      <c r="AA242" s="128"/>
    </row>
    <row r="243">
      <c r="A243" s="134"/>
      <c r="B243" s="134"/>
      <c r="C243" s="128"/>
      <c r="D243" s="128"/>
      <c r="E243" s="128"/>
      <c r="F243" s="128"/>
      <c r="G243" s="128"/>
      <c r="H243" s="128"/>
      <c r="I243" s="128"/>
      <c r="J243" s="128"/>
      <c r="K243" s="128"/>
      <c r="L243" s="128"/>
      <c r="M243" s="128"/>
      <c r="N243" s="128"/>
      <c r="O243" s="128"/>
      <c r="P243" s="128"/>
      <c r="Q243" s="128"/>
      <c r="R243" s="128"/>
      <c r="S243" s="128"/>
      <c r="T243" s="128"/>
      <c r="U243" s="128"/>
      <c r="V243" s="128"/>
      <c r="W243" s="128"/>
      <c r="X243" s="128"/>
      <c r="Y243" s="128"/>
      <c r="Z243" s="128"/>
      <c r="AA243" s="128"/>
    </row>
    <row r="244">
      <c r="A244" s="134"/>
      <c r="B244" s="134"/>
      <c r="C244" s="128"/>
      <c r="D244" s="128"/>
      <c r="E244" s="128"/>
      <c r="F244" s="128"/>
      <c r="G244" s="128"/>
      <c r="H244" s="128"/>
      <c r="I244" s="128"/>
      <c r="J244" s="128"/>
      <c r="K244" s="128"/>
      <c r="L244" s="128"/>
      <c r="M244" s="128"/>
      <c r="N244" s="128"/>
      <c r="O244" s="128"/>
      <c r="P244" s="128"/>
      <c r="Q244" s="128"/>
      <c r="R244" s="128"/>
      <c r="S244" s="128"/>
      <c r="T244" s="128"/>
      <c r="U244" s="128"/>
      <c r="V244" s="128"/>
      <c r="W244" s="128"/>
      <c r="X244" s="128"/>
      <c r="Y244" s="128"/>
      <c r="Z244" s="128"/>
      <c r="AA244" s="128"/>
    </row>
    <row r="245">
      <c r="A245" s="134"/>
      <c r="B245" s="134"/>
      <c r="C245" s="128"/>
      <c r="D245" s="128"/>
      <c r="E245" s="128"/>
      <c r="F245" s="128"/>
      <c r="G245" s="128"/>
      <c r="H245" s="128"/>
      <c r="I245" s="128"/>
      <c r="J245" s="128"/>
      <c r="K245" s="128"/>
      <c r="L245" s="128"/>
      <c r="M245" s="128"/>
      <c r="N245" s="128"/>
      <c r="O245" s="128"/>
      <c r="P245" s="128"/>
      <c r="Q245" s="128"/>
      <c r="R245" s="128"/>
      <c r="S245" s="128"/>
      <c r="T245" s="128"/>
      <c r="U245" s="128"/>
      <c r="V245" s="128"/>
      <c r="W245" s="128"/>
      <c r="X245" s="128"/>
      <c r="Y245" s="128"/>
      <c r="Z245" s="128"/>
      <c r="AA245" s="128"/>
    </row>
    <row r="246">
      <c r="A246" s="134"/>
      <c r="B246" s="134"/>
      <c r="C246" s="128"/>
      <c r="D246" s="128"/>
      <c r="E246" s="128"/>
      <c r="F246" s="128"/>
      <c r="G246" s="128"/>
      <c r="H246" s="128"/>
      <c r="I246" s="128"/>
      <c r="J246" s="128"/>
      <c r="K246" s="128"/>
      <c r="L246" s="128"/>
      <c r="M246" s="128"/>
      <c r="N246" s="128"/>
      <c r="O246" s="128"/>
      <c r="P246" s="128"/>
      <c r="Q246" s="128"/>
      <c r="R246" s="128"/>
      <c r="S246" s="128"/>
      <c r="T246" s="128"/>
      <c r="U246" s="128"/>
      <c r="V246" s="128"/>
      <c r="W246" s="128"/>
      <c r="X246" s="128"/>
      <c r="Y246" s="128"/>
      <c r="Z246" s="128"/>
      <c r="AA246" s="128"/>
    </row>
    <row r="247">
      <c r="A247" s="134"/>
      <c r="B247" s="134"/>
      <c r="C247" s="128"/>
      <c r="D247" s="128"/>
      <c r="E247" s="128"/>
      <c r="F247" s="128"/>
      <c r="G247" s="128"/>
      <c r="H247" s="128"/>
      <c r="I247" s="128"/>
      <c r="J247" s="128"/>
      <c r="K247" s="128"/>
      <c r="L247" s="128"/>
      <c r="M247" s="128"/>
      <c r="N247" s="128"/>
      <c r="O247" s="128"/>
      <c r="P247" s="128"/>
      <c r="Q247" s="128"/>
      <c r="R247" s="128"/>
      <c r="S247" s="128"/>
      <c r="T247" s="128"/>
      <c r="U247" s="128"/>
      <c r="V247" s="128"/>
      <c r="W247" s="128"/>
      <c r="X247" s="128"/>
      <c r="Y247" s="128"/>
      <c r="Z247" s="128"/>
      <c r="AA247" s="128"/>
    </row>
    <row r="248">
      <c r="A248" s="134"/>
      <c r="B248" s="134"/>
      <c r="C248" s="128"/>
      <c r="D248" s="128"/>
      <c r="E248" s="128"/>
      <c r="F248" s="128"/>
      <c r="G248" s="128"/>
      <c r="H248" s="128"/>
      <c r="I248" s="128"/>
      <c r="J248" s="128"/>
      <c r="K248" s="128"/>
      <c r="L248" s="128"/>
      <c r="M248" s="128"/>
      <c r="N248" s="128"/>
      <c r="O248" s="128"/>
      <c r="P248" s="128"/>
      <c r="Q248" s="128"/>
      <c r="R248" s="128"/>
      <c r="S248" s="128"/>
      <c r="T248" s="128"/>
      <c r="U248" s="128"/>
      <c r="V248" s="128"/>
      <c r="W248" s="128"/>
      <c r="X248" s="128"/>
      <c r="Y248" s="128"/>
      <c r="Z248" s="128"/>
      <c r="AA248" s="128"/>
    </row>
    <row r="249">
      <c r="A249" s="134"/>
      <c r="B249" s="134"/>
      <c r="C249" s="128"/>
      <c r="D249" s="128"/>
      <c r="E249" s="128"/>
      <c r="F249" s="128"/>
      <c r="G249" s="128"/>
      <c r="H249" s="128"/>
      <c r="I249" s="128"/>
      <c r="J249" s="128"/>
      <c r="K249" s="128"/>
      <c r="L249" s="128"/>
      <c r="M249" s="128"/>
      <c r="N249" s="128"/>
      <c r="O249" s="128"/>
      <c r="P249" s="128"/>
      <c r="Q249" s="128"/>
      <c r="R249" s="128"/>
      <c r="S249" s="128"/>
      <c r="T249" s="128"/>
      <c r="U249" s="128"/>
      <c r="V249" s="128"/>
      <c r="W249" s="128"/>
      <c r="X249" s="128"/>
      <c r="Y249" s="128"/>
      <c r="Z249" s="128"/>
      <c r="AA249" s="128"/>
    </row>
    <row r="250">
      <c r="A250" s="134"/>
      <c r="B250" s="134"/>
      <c r="C250" s="128"/>
      <c r="D250" s="128"/>
      <c r="E250" s="128"/>
      <c r="F250" s="128"/>
      <c r="G250" s="128"/>
      <c r="H250" s="128"/>
      <c r="I250" s="128"/>
      <c r="J250" s="128"/>
      <c r="K250" s="128"/>
      <c r="L250" s="128"/>
      <c r="M250" s="128"/>
      <c r="N250" s="128"/>
      <c r="O250" s="128"/>
      <c r="P250" s="128"/>
      <c r="Q250" s="128"/>
      <c r="R250" s="128"/>
      <c r="S250" s="128"/>
      <c r="T250" s="128"/>
      <c r="U250" s="128"/>
      <c r="V250" s="128"/>
      <c r="W250" s="128"/>
      <c r="X250" s="128"/>
      <c r="Y250" s="128"/>
      <c r="Z250" s="128"/>
      <c r="AA250" s="128"/>
    </row>
    <row r="251">
      <c r="A251" s="134"/>
      <c r="B251" s="134"/>
      <c r="C251" s="128"/>
      <c r="D251" s="128"/>
      <c r="E251" s="128"/>
      <c r="F251" s="128"/>
      <c r="G251" s="128"/>
      <c r="H251" s="128"/>
      <c r="I251" s="128"/>
      <c r="J251" s="128"/>
      <c r="K251" s="128"/>
      <c r="L251" s="128"/>
      <c r="M251" s="128"/>
      <c r="N251" s="128"/>
      <c r="O251" s="128"/>
      <c r="P251" s="128"/>
      <c r="Q251" s="128"/>
      <c r="R251" s="128"/>
      <c r="S251" s="128"/>
      <c r="T251" s="128"/>
      <c r="U251" s="128"/>
      <c r="V251" s="128"/>
      <c r="W251" s="128"/>
      <c r="X251" s="128"/>
      <c r="Y251" s="128"/>
      <c r="Z251" s="128"/>
      <c r="AA251" s="128"/>
    </row>
    <row r="252">
      <c r="A252" s="134"/>
      <c r="B252" s="134"/>
      <c r="C252" s="128"/>
      <c r="D252" s="128"/>
      <c r="E252" s="128"/>
      <c r="F252" s="128"/>
      <c r="G252" s="128"/>
      <c r="H252" s="128"/>
      <c r="I252" s="128"/>
      <c r="J252" s="128"/>
      <c r="K252" s="128"/>
      <c r="L252" s="128"/>
      <c r="M252" s="128"/>
      <c r="N252" s="128"/>
      <c r="O252" s="128"/>
      <c r="P252" s="128"/>
      <c r="Q252" s="128"/>
      <c r="R252" s="128"/>
      <c r="S252" s="128"/>
      <c r="T252" s="128"/>
      <c r="U252" s="128"/>
      <c r="V252" s="128"/>
      <c r="W252" s="128"/>
      <c r="X252" s="128"/>
      <c r="Y252" s="128"/>
      <c r="Z252" s="128"/>
      <c r="AA252" s="128"/>
    </row>
    <row r="253">
      <c r="A253" s="134"/>
      <c r="B253" s="134"/>
      <c r="C253" s="128"/>
      <c r="D253" s="128"/>
      <c r="E253" s="128"/>
      <c r="F253" s="128"/>
      <c r="G253" s="128"/>
      <c r="H253" s="128"/>
      <c r="I253" s="128"/>
      <c r="J253" s="128"/>
      <c r="K253" s="128"/>
      <c r="L253" s="128"/>
      <c r="M253" s="128"/>
      <c r="N253" s="128"/>
      <c r="O253" s="128"/>
      <c r="P253" s="128"/>
      <c r="Q253" s="128"/>
      <c r="R253" s="128"/>
      <c r="S253" s="128"/>
      <c r="T253" s="128"/>
      <c r="U253" s="128"/>
      <c r="V253" s="128"/>
      <c r="W253" s="128"/>
      <c r="X253" s="128"/>
      <c r="Y253" s="128"/>
      <c r="Z253" s="128"/>
      <c r="AA253" s="128"/>
    </row>
    <row r="254">
      <c r="A254" s="134"/>
      <c r="B254" s="134"/>
      <c r="C254" s="128"/>
      <c r="D254" s="128"/>
      <c r="E254" s="128"/>
      <c r="F254" s="128"/>
      <c r="G254" s="128"/>
      <c r="H254" s="128"/>
      <c r="I254" s="128"/>
      <c r="J254" s="128"/>
      <c r="K254" s="128"/>
      <c r="L254" s="128"/>
      <c r="M254" s="128"/>
      <c r="N254" s="128"/>
      <c r="O254" s="128"/>
      <c r="P254" s="128"/>
      <c r="Q254" s="128"/>
      <c r="R254" s="128"/>
      <c r="S254" s="128"/>
      <c r="T254" s="128"/>
      <c r="U254" s="128"/>
      <c r="V254" s="128"/>
      <c r="W254" s="128"/>
      <c r="X254" s="128"/>
      <c r="Y254" s="128"/>
      <c r="Z254" s="128"/>
      <c r="AA254" s="128"/>
    </row>
    <row r="255">
      <c r="A255" s="134"/>
      <c r="B255" s="134"/>
      <c r="C255" s="128"/>
      <c r="D255" s="128"/>
      <c r="E255" s="128"/>
      <c r="F255" s="128"/>
      <c r="G255" s="128"/>
      <c r="H255" s="128"/>
      <c r="I255" s="128"/>
      <c r="J255" s="128"/>
      <c r="K255" s="128"/>
      <c r="L255" s="128"/>
      <c r="M255" s="128"/>
      <c r="N255" s="128"/>
      <c r="O255" s="128"/>
      <c r="P255" s="128"/>
      <c r="Q255" s="128"/>
      <c r="R255" s="128"/>
      <c r="S255" s="128"/>
      <c r="T255" s="128"/>
      <c r="U255" s="128"/>
      <c r="V255" s="128"/>
      <c r="W255" s="128"/>
      <c r="X255" s="128"/>
      <c r="Y255" s="128"/>
      <c r="Z255" s="128"/>
      <c r="AA255" s="128"/>
    </row>
    <row r="256">
      <c r="A256" s="134"/>
      <c r="B256" s="134"/>
      <c r="C256" s="128"/>
      <c r="D256" s="128"/>
      <c r="E256" s="128"/>
      <c r="F256" s="128"/>
      <c r="G256" s="128"/>
      <c r="H256" s="128"/>
      <c r="I256" s="128"/>
      <c r="J256" s="128"/>
      <c r="K256" s="128"/>
      <c r="L256" s="128"/>
      <c r="M256" s="128"/>
      <c r="N256" s="128"/>
      <c r="O256" s="128"/>
      <c r="P256" s="128"/>
      <c r="Q256" s="128"/>
      <c r="R256" s="128"/>
      <c r="S256" s="128"/>
      <c r="T256" s="128"/>
      <c r="U256" s="128"/>
      <c r="V256" s="128"/>
      <c r="W256" s="128"/>
      <c r="X256" s="128"/>
      <c r="Y256" s="128"/>
      <c r="Z256" s="128"/>
      <c r="AA256" s="128"/>
    </row>
    <row r="257">
      <c r="A257" s="134"/>
      <c r="B257" s="134"/>
      <c r="C257" s="128"/>
      <c r="D257" s="128"/>
      <c r="E257" s="128"/>
      <c r="F257" s="128"/>
      <c r="G257" s="128"/>
      <c r="H257" s="128"/>
      <c r="I257" s="128"/>
      <c r="J257" s="128"/>
      <c r="K257" s="128"/>
      <c r="L257" s="128"/>
      <c r="M257" s="128"/>
      <c r="N257" s="128"/>
      <c r="O257" s="128"/>
      <c r="P257" s="128"/>
      <c r="Q257" s="128"/>
      <c r="R257" s="128"/>
      <c r="S257" s="128"/>
      <c r="T257" s="128"/>
      <c r="U257" s="128"/>
      <c r="V257" s="128"/>
      <c r="W257" s="128"/>
      <c r="X257" s="128"/>
      <c r="Y257" s="128"/>
      <c r="Z257" s="128"/>
      <c r="AA257" s="128"/>
    </row>
    <row r="258">
      <c r="A258" s="134"/>
      <c r="B258" s="134"/>
      <c r="C258" s="128"/>
      <c r="D258" s="128"/>
      <c r="E258" s="128"/>
      <c r="F258" s="128"/>
      <c r="G258" s="128"/>
      <c r="H258" s="128"/>
      <c r="I258" s="128"/>
      <c r="J258" s="128"/>
      <c r="K258" s="128"/>
      <c r="L258" s="128"/>
      <c r="M258" s="128"/>
      <c r="N258" s="128"/>
      <c r="O258" s="128"/>
      <c r="P258" s="128"/>
      <c r="Q258" s="128"/>
      <c r="R258" s="128"/>
      <c r="S258" s="128"/>
      <c r="T258" s="128"/>
      <c r="U258" s="128"/>
      <c r="V258" s="128"/>
      <c r="W258" s="128"/>
      <c r="X258" s="128"/>
      <c r="Y258" s="128"/>
      <c r="Z258" s="128"/>
      <c r="AA258" s="128"/>
    </row>
    <row r="259">
      <c r="A259" s="134"/>
      <c r="B259" s="134"/>
      <c r="C259" s="128"/>
      <c r="D259" s="128"/>
      <c r="E259" s="128"/>
      <c r="F259" s="128"/>
      <c r="G259" s="128"/>
      <c r="H259" s="128"/>
      <c r="I259" s="128"/>
      <c r="J259" s="128"/>
      <c r="K259" s="128"/>
      <c r="L259" s="128"/>
      <c r="M259" s="128"/>
      <c r="N259" s="128"/>
      <c r="O259" s="128"/>
      <c r="P259" s="128"/>
      <c r="Q259" s="128"/>
      <c r="R259" s="128"/>
      <c r="S259" s="128"/>
      <c r="T259" s="128"/>
      <c r="U259" s="128"/>
      <c r="V259" s="128"/>
      <c r="W259" s="128"/>
      <c r="X259" s="128"/>
      <c r="Y259" s="128"/>
      <c r="Z259" s="128"/>
      <c r="AA259" s="128"/>
    </row>
    <row r="260">
      <c r="A260" s="134"/>
      <c r="B260" s="134"/>
      <c r="C260" s="128"/>
      <c r="D260" s="128"/>
      <c r="E260" s="128"/>
      <c r="F260" s="128"/>
      <c r="G260" s="128"/>
      <c r="H260" s="128"/>
      <c r="I260" s="128"/>
      <c r="J260" s="128"/>
      <c r="K260" s="128"/>
      <c r="L260" s="128"/>
      <c r="M260" s="128"/>
      <c r="N260" s="128"/>
      <c r="O260" s="128"/>
      <c r="P260" s="128"/>
      <c r="Q260" s="128"/>
      <c r="R260" s="128"/>
      <c r="S260" s="128"/>
      <c r="T260" s="128"/>
      <c r="U260" s="128"/>
      <c r="V260" s="128"/>
      <c r="W260" s="128"/>
      <c r="X260" s="128"/>
      <c r="Y260" s="128"/>
      <c r="Z260" s="128"/>
      <c r="AA260" s="128"/>
    </row>
    <row r="261">
      <c r="A261" s="134"/>
      <c r="B261" s="134"/>
      <c r="C261" s="128"/>
      <c r="D261" s="128"/>
      <c r="E261" s="128"/>
      <c r="F261" s="128"/>
      <c r="G261" s="128"/>
      <c r="H261" s="128"/>
      <c r="I261" s="128"/>
      <c r="J261" s="128"/>
      <c r="K261" s="128"/>
      <c r="L261" s="128"/>
      <c r="M261" s="128"/>
      <c r="N261" s="128"/>
      <c r="O261" s="128"/>
      <c r="P261" s="128"/>
      <c r="Q261" s="128"/>
      <c r="R261" s="128"/>
      <c r="S261" s="128"/>
      <c r="T261" s="128"/>
      <c r="U261" s="128"/>
      <c r="V261" s="128"/>
      <c r="W261" s="128"/>
      <c r="X261" s="128"/>
      <c r="Y261" s="128"/>
      <c r="Z261" s="128"/>
      <c r="AA261" s="128"/>
    </row>
    <row r="262">
      <c r="A262" s="134"/>
      <c r="B262" s="134"/>
      <c r="C262" s="128"/>
      <c r="D262" s="128"/>
      <c r="E262" s="128"/>
      <c r="F262" s="128"/>
      <c r="G262" s="128"/>
      <c r="H262" s="128"/>
      <c r="I262" s="128"/>
      <c r="J262" s="128"/>
      <c r="K262" s="128"/>
      <c r="L262" s="128"/>
      <c r="M262" s="128"/>
      <c r="N262" s="128"/>
      <c r="O262" s="128"/>
      <c r="P262" s="128"/>
      <c r="Q262" s="128"/>
      <c r="R262" s="128"/>
      <c r="S262" s="128"/>
      <c r="T262" s="128"/>
      <c r="U262" s="128"/>
      <c r="V262" s="128"/>
      <c r="W262" s="128"/>
      <c r="X262" s="128"/>
      <c r="Y262" s="128"/>
      <c r="Z262" s="128"/>
      <c r="AA262" s="128"/>
    </row>
    <row r="263">
      <c r="A263" s="134"/>
      <c r="B263" s="134"/>
      <c r="C263" s="128"/>
      <c r="D263" s="128"/>
      <c r="E263" s="128"/>
      <c r="F263" s="128"/>
      <c r="G263" s="128"/>
      <c r="H263" s="128"/>
      <c r="I263" s="128"/>
      <c r="J263" s="128"/>
      <c r="K263" s="128"/>
      <c r="L263" s="128"/>
      <c r="M263" s="128"/>
      <c r="N263" s="128"/>
      <c r="O263" s="128"/>
      <c r="P263" s="128"/>
      <c r="Q263" s="128"/>
      <c r="R263" s="128"/>
      <c r="S263" s="128"/>
      <c r="T263" s="128"/>
      <c r="U263" s="128"/>
      <c r="V263" s="128"/>
      <c r="W263" s="128"/>
      <c r="X263" s="128"/>
      <c r="Y263" s="128"/>
      <c r="Z263" s="128"/>
      <c r="AA263" s="128"/>
    </row>
    <row r="264">
      <c r="A264" s="134"/>
      <c r="B264" s="134"/>
      <c r="C264" s="128"/>
      <c r="D264" s="128"/>
      <c r="E264" s="128"/>
      <c r="F264" s="128"/>
      <c r="G264" s="128"/>
      <c r="H264" s="128"/>
      <c r="I264" s="128"/>
      <c r="J264" s="128"/>
      <c r="K264" s="128"/>
      <c r="L264" s="128"/>
      <c r="M264" s="128"/>
      <c r="N264" s="128"/>
      <c r="O264" s="128"/>
      <c r="P264" s="128"/>
      <c r="Q264" s="128"/>
      <c r="R264" s="128"/>
      <c r="S264" s="128"/>
      <c r="T264" s="128"/>
      <c r="U264" s="128"/>
      <c r="V264" s="128"/>
      <c r="W264" s="128"/>
      <c r="X264" s="128"/>
      <c r="Y264" s="128"/>
      <c r="Z264" s="128"/>
      <c r="AA264" s="128"/>
    </row>
    <row r="265">
      <c r="A265" s="134"/>
      <c r="B265" s="134"/>
      <c r="C265" s="128"/>
      <c r="D265" s="128"/>
      <c r="E265" s="128"/>
      <c r="F265" s="128"/>
      <c r="G265" s="128"/>
      <c r="H265" s="128"/>
      <c r="I265" s="128"/>
      <c r="J265" s="128"/>
      <c r="K265" s="128"/>
      <c r="L265" s="128"/>
      <c r="M265" s="128"/>
      <c r="N265" s="128"/>
      <c r="O265" s="128"/>
      <c r="P265" s="128"/>
      <c r="Q265" s="128"/>
      <c r="R265" s="128"/>
      <c r="S265" s="128"/>
      <c r="T265" s="128"/>
      <c r="U265" s="128"/>
      <c r="V265" s="128"/>
      <c r="W265" s="128"/>
      <c r="X265" s="128"/>
      <c r="Y265" s="128"/>
      <c r="Z265" s="128"/>
      <c r="AA265" s="128"/>
    </row>
    <row r="266">
      <c r="A266" s="134"/>
      <c r="B266" s="134"/>
      <c r="C266" s="128"/>
      <c r="D266" s="128"/>
      <c r="E266" s="128"/>
      <c r="F266" s="128"/>
      <c r="G266" s="128"/>
      <c r="H266" s="128"/>
      <c r="I266" s="128"/>
      <c r="J266" s="128"/>
      <c r="K266" s="128"/>
      <c r="L266" s="128"/>
      <c r="M266" s="128"/>
      <c r="N266" s="128"/>
      <c r="O266" s="128"/>
      <c r="P266" s="128"/>
      <c r="Q266" s="128"/>
      <c r="R266" s="128"/>
      <c r="S266" s="128"/>
      <c r="T266" s="128"/>
      <c r="U266" s="128"/>
      <c r="V266" s="128"/>
      <c r="W266" s="128"/>
      <c r="X266" s="128"/>
      <c r="Y266" s="128"/>
      <c r="Z266" s="128"/>
      <c r="AA266" s="128"/>
    </row>
    <row r="267">
      <c r="A267" s="134"/>
      <c r="B267" s="134"/>
      <c r="C267" s="128"/>
      <c r="D267" s="128"/>
      <c r="E267" s="128"/>
      <c r="F267" s="128"/>
      <c r="G267" s="128"/>
      <c r="H267" s="128"/>
      <c r="I267" s="128"/>
      <c r="J267" s="128"/>
      <c r="K267" s="128"/>
      <c r="L267" s="128"/>
      <c r="M267" s="128"/>
      <c r="N267" s="128"/>
      <c r="O267" s="128"/>
      <c r="P267" s="128"/>
      <c r="Q267" s="128"/>
      <c r="R267" s="128"/>
      <c r="S267" s="128"/>
      <c r="T267" s="128"/>
      <c r="U267" s="128"/>
      <c r="V267" s="128"/>
      <c r="W267" s="128"/>
      <c r="X267" s="128"/>
      <c r="Y267" s="128"/>
      <c r="Z267" s="128"/>
      <c r="AA267" s="128"/>
    </row>
    <row r="268">
      <c r="A268" s="134"/>
      <c r="B268" s="134"/>
      <c r="C268" s="128"/>
      <c r="D268" s="128"/>
      <c r="E268" s="128"/>
      <c r="F268" s="128"/>
      <c r="G268" s="128"/>
      <c r="H268" s="128"/>
      <c r="I268" s="128"/>
      <c r="J268" s="128"/>
      <c r="K268" s="128"/>
      <c r="L268" s="128"/>
      <c r="M268" s="128"/>
      <c r="N268" s="128"/>
      <c r="O268" s="128"/>
      <c r="P268" s="128"/>
      <c r="Q268" s="128"/>
      <c r="R268" s="128"/>
      <c r="S268" s="128"/>
      <c r="T268" s="128"/>
      <c r="U268" s="128"/>
      <c r="V268" s="128"/>
      <c r="W268" s="128"/>
      <c r="X268" s="128"/>
      <c r="Y268" s="128"/>
      <c r="Z268" s="128"/>
      <c r="AA268" s="128"/>
    </row>
    <row r="269">
      <c r="A269" s="134"/>
      <c r="B269" s="134"/>
      <c r="C269" s="128"/>
      <c r="D269" s="128"/>
      <c r="E269" s="128"/>
      <c r="F269" s="128"/>
      <c r="G269" s="128"/>
      <c r="H269" s="128"/>
      <c r="I269" s="128"/>
      <c r="J269" s="128"/>
      <c r="K269" s="128"/>
      <c r="L269" s="128"/>
      <c r="M269" s="128"/>
      <c r="N269" s="128"/>
      <c r="O269" s="128"/>
      <c r="P269" s="128"/>
      <c r="Q269" s="128"/>
      <c r="R269" s="128"/>
      <c r="S269" s="128"/>
      <c r="T269" s="128"/>
      <c r="U269" s="128"/>
      <c r="V269" s="128"/>
      <c r="W269" s="128"/>
      <c r="X269" s="128"/>
      <c r="Y269" s="128"/>
      <c r="Z269" s="128"/>
      <c r="AA269" s="128"/>
    </row>
    <row r="270">
      <c r="A270" s="134"/>
      <c r="B270" s="134"/>
      <c r="C270" s="128"/>
      <c r="D270" s="128"/>
      <c r="E270" s="128"/>
      <c r="F270" s="128"/>
      <c r="G270" s="128"/>
      <c r="H270" s="128"/>
      <c r="I270" s="128"/>
      <c r="J270" s="128"/>
      <c r="K270" s="128"/>
      <c r="L270" s="128"/>
      <c r="M270" s="128"/>
      <c r="N270" s="128"/>
      <c r="O270" s="128"/>
      <c r="P270" s="128"/>
      <c r="Q270" s="128"/>
      <c r="R270" s="128"/>
      <c r="S270" s="128"/>
      <c r="T270" s="128"/>
      <c r="U270" s="128"/>
      <c r="V270" s="128"/>
      <c r="W270" s="128"/>
      <c r="X270" s="128"/>
      <c r="Y270" s="128"/>
      <c r="Z270" s="128"/>
      <c r="AA270" s="128"/>
    </row>
    <row r="271">
      <c r="A271" s="134"/>
      <c r="B271" s="134"/>
      <c r="C271" s="128"/>
      <c r="D271" s="128"/>
      <c r="E271" s="128"/>
      <c r="F271" s="128"/>
      <c r="G271" s="128"/>
      <c r="H271" s="128"/>
      <c r="I271" s="128"/>
      <c r="J271" s="128"/>
      <c r="K271" s="128"/>
      <c r="L271" s="128"/>
      <c r="M271" s="128"/>
      <c r="N271" s="128"/>
      <c r="O271" s="128"/>
      <c r="P271" s="128"/>
      <c r="Q271" s="128"/>
      <c r="R271" s="128"/>
      <c r="S271" s="128"/>
      <c r="T271" s="128"/>
      <c r="U271" s="128"/>
      <c r="V271" s="128"/>
      <c r="W271" s="128"/>
      <c r="X271" s="128"/>
      <c r="Y271" s="128"/>
      <c r="Z271" s="128"/>
      <c r="AA271" s="128"/>
    </row>
    <row r="272">
      <c r="A272" s="134"/>
      <c r="B272" s="134"/>
      <c r="C272" s="128"/>
      <c r="D272" s="128"/>
      <c r="E272" s="128"/>
      <c r="F272" s="128"/>
      <c r="G272" s="128"/>
      <c r="H272" s="128"/>
      <c r="I272" s="128"/>
      <c r="J272" s="128"/>
      <c r="K272" s="128"/>
      <c r="L272" s="128"/>
      <c r="M272" s="128"/>
      <c r="N272" s="128"/>
      <c r="O272" s="128"/>
      <c r="P272" s="128"/>
      <c r="Q272" s="128"/>
      <c r="R272" s="128"/>
      <c r="S272" s="128"/>
      <c r="T272" s="128"/>
      <c r="U272" s="128"/>
      <c r="V272" s="128"/>
      <c r="W272" s="128"/>
      <c r="X272" s="128"/>
      <c r="Y272" s="128"/>
      <c r="Z272" s="128"/>
      <c r="AA272" s="128"/>
    </row>
    <row r="273">
      <c r="A273" s="134"/>
      <c r="B273" s="134"/>
      <c r="C273" s="128"/>
      <c r="D273" s="128"/>
      <c r="E273" s="128"/>
      <c r="F273" s="128"/>
      <c r="G273" s="128"/>
      <c r="H273" s="128"/>
      <c r="I273" s="128"/>
      <c r="J273" s="128"/>
      <c r="K273" s="128"/>
      <c r="L273" s="128"/>
      <c r="M273" s="128"/>
      <c r="N273" s="128"/>
      <c r="O273" s="128"/>
      <c r="P273" s="128"/>
      <c r="Q273" s="128"/>
      <c r="R273" s="128"/>
      <c r="S273" s="128"/>
      <c r="T273" s="128"/>
      <c r="U273" s="128"/>
      <c r="V273" s="128"/>
      <c r="W273" s="128"/>
      <c r="X273" s="128"/>
      <c r="Y273" s="128"/>
      <c r="Z273" s="128"/>
      <c r="AA273" s="128"/>
    </row>
    <row r="274">
      <c r="A274" s="134"/>
      <c r="B274" s="134"/>
      <c r="C274" s="128"/>
      <c r="D274" s="128"/>
      <c r="E274" s="128"/>
      <c r="F274" s="128"/>
      <c r="G274" s="128"/>
      <c r="H274" s="128"/>
      <c r="I274" s="128"/>
      <c r="J274" s="128"/>
      <c r="K274" s="128"/>
      <c r="L274" s="128"/>
      <c r="M274" s="128"/>
      <c r="N274" s="128"/>
      <c r="O274" s="128"/>
      <c r="P274" s="128"/>
      <c r="Q274" s="128"/>
      <c r="R274" s="128"/>
      <c r="S274" s="128"/>
      <c r="T274" s="128"/>
      <c r="U274" s="128"/>
      <c r="V274" s="128"/>
      <c r="W274" s="128"/>
      <c r="X274" s="128"/>
      <c r="Y274" s="128"/>
      <c r="Z274" s="128"/>
      <c r="AA274" s="128"/>
    </row>
    <row r="275">
      <c r="A275" s="134"/>
      <c r="B275" s="134"/>
      <c r="C275" s="128"/>
      <c r="D275" s="128"/>
      <c r="E275" s="128"/>
      <c r="F275" s="128"/>
      <c r="G275" s="128"/>
      <c r="H275" s="128"/>
      <c r="I275" s="128"/>
      <c r="J275" s="128"/>
      <c r="K275" s="128"/>
      <c r="L275" s="128"/>
      <c r="M275" s="128"/>
      <c r="N275" s="128"/>
      <c r="O275" s="128"/>
      <c r="P275" s="128"/>
      <c r="Q275" s="128"/>
      <c r="R275" s="128"/>
      <c r="S275" s="128"/>
      <c r="T275" s="128"/>
      <c r="U275" s="128"/>
      <c r="V275" s="128"/>
      <c r="W275" s="128"/>
      <c r="X275" s="128"/>
      <c r="Y275" s="128"/>
      <c r="Z275" s="128"/>
      <c r="AA275" s="128"/>
    </row>
    <row r="276">
      <c r="A276" s="134"/>
      <c r="B276" s="134"/>
      <c r="C276" s="128"/>
      <c r="D276" s="128"/>
      <c r="E276" s="128"/>
      <c r="F276" s="128"/>
      <c r="G276" s="128"/>
      <c r="H276" s="128"/>
      <c r="I276" s="128"/>
      <c r="J276" s="128"/>
      <c r="K276" s="128"/>
      <c r="L276" s="128"/>
      <c r="M276" s="128"/>
      <c r="N276" s="128"/>
      <c r="O276" s="128"/>
      <c r="P276" s="128"/>
      <c r="Q276" s="128"/>
      <c r="R276" s="128"/>
      <c r="S276" s="128"/>
      <c r="T276" s="128"/>
      <c r="U276" s="128"/>
      <c r="V276" s="128"/>
      <c r="W276" s="128"/>
      <c r="X276" s="128"/>
      <c r="Y276" s="128"/>
      <c r="Z276" s="128"/>
      <c r="AA276" s="128"/>
    </row>
    <row r="277">
      <c r="A277" s="134"/>
      <c r="B277" s="134"/>
      <c r="C277" s="128"/>
      <c r="D277" s="128"/>
      <c r="E277" s="128"/>
      <c r="F277" s="128"/>
      <c r="G277" s="128"/>
      <c r="H277" s="128"/>
      <c r="I277" s="128"/>
      <c r="J277" s="128"/>
      <c r="K277" s="128"/>
      <c r="L277" s="128"/>
      <c r="M277" s="128"/>
      <c r="N277" s="128"/>
      <c r="O277" s="128"/>
      <c r="P277" s="128"/>
      <c r="Q277" s="128"/>
      <c r="R277" s="128"/>
      <c r="S277" s="128"/>
      <c r="T277" s="128"/>
      <c r="U277" s="128"/>
      <c r="V277" s="128"/>
      <c r="W277" s="128"/>
      <c r="X277" s="128"/>
      <c r="Y277" s="128"/>
      <c r="Z277" s="128"/>
      <c r="AA277" s="128"/>
    </row>
    <row r="278">
      <c r="A278" s="134"/>
      <c r="B278" s="134"/>
      <c r="C278" s="128"/>
      <c r="D278" s="128"/>
      <c r="E278" s="128"/>
      <c r="F278" s="128"/>
      <c r="G278" s="128"/>
      <c r="H278" s="128"/>
      <c r="I278" s="128"/>
      <c r="J278" s="128"/>
      <c r="K278" s="128"/>
      <c r="L278" s="128"/>
      <c r="M278" s="128"/>
      <c r="N278" s="128"/>
      <c r="O278" s="128"/>
      <c r="P278" s="128"/>
      <c r="Q278" s="128"/>
      <c r="R278" s="128"/>
      <c r="S278" s="128"/>
      <c r="T278" s="128"/>
      <c r="U278" s="128"/>
      <c r="V278" s="128"/>
      <c r="W278" s="128"/>
      <c r="X278" s="128"/>
      <c r="Y278" s="128"/>
      <c r="Z278" s="128"/>
      <c r="AA278" s="128"/>
    </row>
    <row r="279">
      <c r="A279" s="134"/>
      <c r="B279" s="134"/>
      <c r="C279" s="128"/>
      <c r="D279" s="128"/>
      <c r="E279" s="128"/>
      <c r="F279" s="128"/>
      <c r="G279" s="128"/>
      <c r="H279" s="128"/>
      <c r="I279" s="128"/>
      <c r="J279" s="128"/>
      <c r="K279" s="128"/>
      <c r="L279" s="128"/>
      <c r="M279" s="128"/>
      <c r="N279" s="128"/>
      <c r="O279" s="128"/>
      <c r="P279" s="128"/>
      <c r="Q279" s="128"/>
      <c r="R279" s="128"/>
      <c r="S279" s="128"/>
      <c r="T279" s="128"/>
      <c r="U279" s="128"/>
      <c r="V279" s="128"/>
      <c r="W279" s="128"/>
      <c r="X279" s="128"/>
      <c r="Y279" s="128"/>
      <c r="Z279" s="128"/>
      <c r="AA279" s="128"/>
    </row>
    <row r="280">
      <c r="A280" s="134"/>
      <c r="B280" s="134"/>
      <c r="C280" s="128"/>
      <c r="D280" s="128"/>
      <c r="E280" s="128"/>
      <c r="F280" s="128"/>
      <c r="G280" s="128"/>
      <c r="H280" s="128"/>
      <c r="I280" s="128"/>
      <c r="J280" s="128"/>
      <c r="K280" s="128"/>
      <c r="L280" s="128"/>
      <c r="M280" s="128"/>
      <c r="N280" s="128"/>
      <c r="O280" s="128"/>
      <c r="P280" s="128"/>
      <c r="Q280" s="128"/>
      <c r="R280" s="128"/>
      <c r="S280" s="128"/>
      <c r="T280" s="128"/>
      <c r="U280" s="128"/>
      <c r="V280" s="128"/>
      <c r="W280" s="128"/>
      <c r="X280" s="128"/>
      <c r="Y280" s="128"/>
      <c r="Z280" s="128"/>
      <c r="AA280" s="128"/>
    </row>
    <row r="281">
      <c r="A281" s="134"/>
      <c r="B281" s="134"/>
      <c r="C281" s="128"/>
      <c r="D281" s="128"/>
      <c r="E281" s="128"/>
      <c r="F281" s="128"/>
      <c r="G281" s="128"/>
      <c r="H281" s="128"/>
      <c r="I281" s="128"/>
      <c r="J281" s="128"/>
      <c r="K281" s="128"/>
      <c r="L281" s="128"/>
      <c r="M281" s="128"/>
      <c r="N281" s="128"/>
      <c r="O281" s="128"/>
      <c r="P281" s="128"/>
      <c r="Q281" s="128"/>
      <c r="R281" s="128"/>
      <c r="S281" s="128"/>
      <c r="T281" s="128"/>
      <c r="U281" s="128"/>
      <c r="V281" s="128"/>
      <c r="W281" s="128"/>
      <c r="X281" s="128"/>
      <c r="Y281" s="128"/>
      <c r="Z281" s="128"/>
      <c r="AA281" s="128"/>
    </row>
    <row r="282">
      <c r="A282" s="134"/>
      <c r="B282" s="134"/>
      <c r="C282" s="128"/>
      <c r="D282" s="128"/>
      <c r="E282" s="128"/>
      <c r="F282" s="128"/>
      <c r="G282" s="128"/>
      <c r="H282" s="128"/>
      <c r="I282" s="128"/>
      <c r="J282" s="128"/>
      <c r="K282" s="128"/>
      <c r="L282" s="128"/>
      <c r="M282" s="128"/>
      <c r="N282" s="128"/>
      <c r="O282" s="128"/>
      <c r="P282" s="128"/>
      <c r="Q282" s="128"/>
      <c r="R282" s="128"/>
      <c r="S282" s="128"/>
      <c r="T282" s="128"/>
      <c r="U282" s="128"/>
      <c r="V282" s="128"/>
      <c r="W282" s="128"/>
      <c r="X282" s="128"/>
      <c r="Y282" s="128"/>
      <c r="Z282" s="128"/>
      <c r="AA282" s="128"/>
    </row>
    <row r="283">
      <c r="A283" s="134"/>
      <c r="B283" s="134"/>
      <c r="C283" s="128"/>
      <c r="D283" s="128"/>
      <c r="E283" s="128"/>
      <c r="F283" s="128"/>
      <c r="G283" s="128"/>
      <c r="H283" s="128"/>
      <c r="I283" s="128"/>
      <c r="J283" s="128"/>
      <c r="K283" s="128"/>
      <c r="L283" s="128"/>
      <c r="M283" s="128"/>
      <c r="N283" s="128"/>
      <c r="O283" s="128"/>
      <c r="P283" s="128"/>
      <c r="Q283" s="128"/>
      <c r="R283" s="128"/>
      <c r="S283" s="128"/>
      <c r="T283" s="128"/>
      <c r="U283" s="128"/>
      <c r="V283" s="128"/>
      <c r="W283" s="128"/>
      <c r="X283" s="128"/>
      <c r="Y283" s="128"/>
      <c r="Z283" s="128"/>
      <c r="AA283" s="128"/>
    </row>
    <row r="284">
      <c r="A284" s="134"/>
      <c r="B284" s="134"/>
      <c r="C284" s="128"/>
      <c r="D284" s="128"/>
      <c r="E284" s="128"/>
      <c r="F284" s="128"/>
      <c r="G284" s="128"/>
      <c r="H284" s="128"/>
      <c r="I284" s="128"/>
      <c r="J284" s="128"/>
      <c r="K284" s="128"/>
      <c r="L284" s="128"/>
      <c r="M284" s="128"/>
      <c r="N284" s="128"/>
      <c r="O284" s="128"/>
      <c r="P284" s="128"/>
      <c r="Q284" s="128"/>
      <c r="R284" s="128"/>
      <c r="S284" s="128"/>
      <c r="T284" s="128"/>
      <c r="U284" s="128"/>
      <c r="V284" s="128"/>
      <c r="W284" s="128"/>
      <c r="X284" s="128"/>
      <c r="Y284" s="128"/>
      <c r="Z284" s="128"/>
      <c r="AA284" s="128"/>
    </row>
    <row r="285">
      <c r="A285" s="134"/>
      <c r="B285" s="134"/>
      <c r="C285" s="128"/>
      <c r="D285" s="128"/>
      <c r="E285" s="128"/>
      <c r="F285" s="128"/>
      <c r="G285" s="128"/>
      <c r="H285" s="128"/>
      <c r="I285" s="128"/>
      <c r="J285" s="128"/>
      <c r="K285" s="128"/>
      <c r="L285" s="128"/>
      <c r="M285" s="128"/>
      <c r="N285" s="128"/>
      <c r="O285" s="128"/>
      <c r="P285" s="128"/>
      <c r="Q285" s="128"/>
      <c r="R285" s="128"/>
      <c r="S285" s="128"/>
      <c r="T285" s="128"/>
      <c r="U285" s="128"/>
      <c r="V285" s="128"/>
      <c r="W285" s="128"/>
      <c r="X285" s="128"/>
      <c r="Y285" s="128"/>
      <c r="Z285" s="128"/>
      <c r="AA285" s="128"/>
    </row>
    <row r="286">
      <c r="A286" s="134"/>
      <c r="B286" s="134"/>
      <c r="C286" s="128"/>
      <c r="D286" s="128"/>
      <c r="E286" s="128"/>
      <c r="F286" s="128"/>
      <c r="G286" s="128"/>
      <c r="H286" s="128"/>
      <c r="I286" s="128"/>
      <c r="J286" s="128"/>
      <c r="K286" s="128"/>
      <c r="L286" s="128"/>
      <c r="M286" s="128"/>
      <c r="N286" s="128"/>
      <c r="O286" s="128"/>
      <c r="P286" s="128"/>
      <c r="Q286" s="128"/>
      <c r="R286" s="128"/>
      <c r="S286" s="128"/>
      <c r="T286" s="128"/>
      <c r="U286" s="128"/>
      <c r="V286" s="128"/>
      <c r="W286" s="128"/>
      <c r="X286" s="128"/>
      <c r="Y286" s="128"/>
      <c r="Z286" s="128"/>
      <c r="AA286" s="128"/>
    </row>
    <row r="287">
      <c r="A287" s="134"/>
      <c r="B287" s="134"/>
      <c r="C287" s="128"/>
      <c r="D287" s="128"/>
      <c r="E287" s="128"/>
      <c r="F287" s="128"/>
      <c r="G287" s="128"/>
      <c r="H287" s="128"/>
      <c r="I287" s="128"/>
      <c r="J287" s="128"/>
      <c r="K287" s="128"/>
      <c r="L287" s="128"/>
      <c r="M287" s="128"/>
      <c r="N287" s="128"/>
      <c r="O287" s="128"/>
      <c r="P287" s="128"/>
      <c r="Q287" s="128"/>
      <c r="R287" s="128"/>
      <c r="S287" s="128"/>
      <c r="T287" s="128"/>
      <c r="U287" s="128"/>
      <c r="V287" s="128"/>
      <c r="W287" s="128"/>
      <c r="X287" s="128"/>
      <c r="Y287" s="128"/>
      <c r="Z287" s="128"/>
      <c r="AA287" s="128"/>
    </row>
    <row r="288">
      <c r="A288" s="134"/>
      <c r="B288" s="134"/>
      <c r="C288" s="128"/>
      <c r="D288" s="128"/>
      <c r="E288" s="128"/>
      <c r="F288" s="128"/>
      <c r="G288" s="128"/>
      <c r="H288" s="128"/>
      <c r="I288" s="128"/>
      <c r="J288" s="128"/>
      <c r="K288" s="128"/>
      <c r="L288" s="128"/>
      <c r="M288" s="128"/>
      <c r="N288" s="128"/>
      <c r="O288" s="128"/>
      <c r="P288" s="128"/>
      <c r="Q288" s="128"/>
      <c r="R288" s="128"/>
      <c r="S288" s="128"/>
      <c r="T288" s="128"/>
      <c r="U288" s="128"/>
      <c r="V288" s="128"/>
      <c r="W288" s="128"/>
      <c r="X288" s="128"/>
      <c r="Y288" s="128"/>
      <c r="Z288" s="128"/>
      <c r="AA288" s="128"/>
    </row>
    <row r="289">
      <c r="A289" s="134"/>
      <c r="B289" s="134"/>
      <c r="C289" s="128"/>
      <c r="D289" s="128"/>
      <c r="E289" s="128"/>
      <c r="F289" s="128"/>
      <c r="G289" s="128"/>
      <c r="H289" s="128"/>
      <c r="I289" s="128"/>
      <c r="J289" s="128"/>
      <c r="K289" s="128"/>
      <c r="L289" s="128"/>
      <c r="M289" s="128"/>
      <c r="N289" s="128"/>
      <c r="O289" s="128"/>
      <c r="P289" s="128"/>
      <c r="Q289" s="128"/>
      <c r="R289" s="128"/>
      <c r="S289" s="128"/>
      <c r="T289" s="128"/>
      <c r="U289" s="128"/>
      <c r="V289" s="128"/>
      <c r="W289" s="128"/>
      <c r="X289" s="128"/>
      <c r="Y289" s="128"/>
      <c r="Z289" s="128"/>
      <c r="AA289" s="128"/>
    </row>
    <row r="290">
      <c r="A290" s="134"/>
      <c r="B290" s="134"/>
      <c r="C290" s="128"/>
      <c r="D290" s="128"/>
      <c r="E290" s="128"/>
      <c r="F290" s="128"/>
      <c r="G290" s="128"/>
      <c r="H290" s="128"/>
      <c r="I290" s="128"/>
      <c r="J290" s="128"/>
      <c r="K290" s="128"/>
      <c r="L290" s="128"/>
      <c r="M290" s="128"/>
      <c r="N290" s="128"/>
      <c r="O290" s="128"/>
      <c r="P290" s="128"/>
      <c r="Q290" s="128"/>
      <c r="R290" s="128"/>
      <c r="S290" s="128"/>
      <c r="T290" s="128"/>
      <c r="U290" s="128"/>
      <c r="V290" s="128"/>
      <c r="W290" s="128"/>
      <c r="X290" s="128"/>
      <c r="Y290" s="128"/>
      <c r="Z290" s="128"/>
      <c r="AA290" s="128"/>
    </row>
    <row r="291">
      <c r="A291" s="134"/>
      <c r="B291" s="134"/>
      <c r="C291" s="128"/>
      <c r="D291" s="128"/>
      <c r="E291" s="128"/>
      <c r="F291" s="128"/>
      <c r="G291" s="128"/>
      <c r="H291" s="128"/>
      <c r="I291" s="128"/>
      <c r="J291" s="128"/>
      <c r="K291" s="128"/>
      <c r="L291" s="128"/>
      <c r="M291" s="128"/>
      <c r="N291" s="128"/>
      <c r="O291" s="128"/>
      <c r="P291" s="128"/>
      <c r="Q291" s="128"/>
      <c r="R291" s="128"/>
      <c r="S291" s="128"/>
      <c r="T291" s="128"/>
      <c r="U291" s="128"/>
      <c r="V291" s="128"/>
      <c r="W291" s="128"/>
      <c r="X291" s="128"/>
      <c r="Y291" s="128"/>
      <c r="Z291" s="128"/>
      <c r="AA291" s="128"/>
    </row>
    <row r="292">
      <c r="A292" s="134"/>
      <c r="B292" s="134"/>
      <c r="C292" s="128"/>
      <c r="D292" s="128"/>
      <c r="E292" s="128"/>
      <c r="F292" s="128"/>
      <c r="G292" s="128"/>
      <c r="H292" s="128"/>
      <c r="I292" s="128"/>
      <c r="J292" s="128"/>
      <c r="K292" s="128"/>
      <c r="L292" s="128"/>
      <c r="M292" s="128"/>
      <c r="N292" s="128"/>
      <c r="O292" s="128"/>
      <c r="P292" s="128"/>
      <c r="Q292" s="128"/>
      <c r="R292" s="128"/>
      <c r="S292" s="128"/>
      <c r="T292" s="128"/>
      <c r="U292" s="128"/>
      <c r="V292" s="128"/>
      <c r="W292" s="128"/>
      <c r="X292" s="128"/>
      <c r="Y292" s="128"/>
      <c r="Z292" s="128"/>
      <c r="AA292" s="128"/>
    </row>
    <row r="293">
      <c r="A293" s="134"/>
      <c r="B293" s="134"/>
      <c r="C293" s="128"/>
      <c r="D293" s="128"/>
      <c r="E293" s="128"/>
      <c r="F293" s="128"/>
      <c r="G293" s="128"/>
      <c r="H293" s="128"/>
      <c r="I293" s="128"/>
      <c r="J293" s="128"/>
      <c r="K293" s="128"/>
      <c r="L293" s="128"/>
      <c r="M293" s="128"/>
      <c r="N293" s="128"/>
      <c r="O293" s="128"/>
      <c r="P293" s="128"/>
      <c r="Q293" s="128"/>
      <c r="R293" s="128"/>
      <c r="S293" s="128"/>
      <c r="T293" s="128"/>
      <c r="U293" s="128"/>
      <c r="V293" s="128"/>
      <c r="W293" s="128"/>
      <c r="X293" s="128"/>
      <c r="Y293" s="128"/>
      <c r="Z293" s="128"/>
      <c r="AA293" s="128"/>
    </row>
    <row r="294">
      <c r="A294" s="134"/>
      <c r="B294" s="134"/>
      <c r="C294" s="128"/>
      <c r="D294" s="128"/>
      <c r="E294" s="128"/>
      <c r="F294" s="128"/>
      <c r="G294" s="128"/>
      <c r="H294" s="128"/>
      <c r="I294" s="128"/>
      <c r="J294" s="128"/>
      <c r="K294" s="128"/>
      <c r="L294" s="128"/>
      <c r="M294" s="128"/>
      <c r="N294" s="128"/>
      <c r="O294" s="128"/>
      <c r="P294" s="128"/>
      <c r="Q294" s="128"/>
      <c r="R294" s="128"/>
      <c r="S294" s="128"/>
      <c r="T294" s="128"/>
      <c r="U294" s="128"/>
      <c r="V294" s="128"/>
      <c r="W294" s="128"/>
      <c r="X294" s="128"/>
      <c r="Y294" s="128"/>
      <c r="Z294" s="128"/>
      <c r="AA294" s="128"/>
    </row>
    <row r="295">
      <c r="A295" s="134"/>
      <c r="B295" s="134"/>
      <c r="C295" s="128"/>
      <c r="D295" s="128"/>
      <c r="E295" s="128"/>
      <c r="F295" s="128"/>
      <c r="G295" s="128"/>
      <c r="H295" s="128"/>
      <c r="I295" s="128"/>
      <c r="J295" s="128"/>
      <c r="K295" s="128"/>
      <c r="L295" s="128"/>
      <c r="M295" s="128"/>
      <c r="N295" s="128"/>
      <c r="O295" s="128"/>
      <c r="P295" s="128"/>
      <c r="Q295" s="128"/>
      <c r="R295" s="128"/>
      <c r="S295" s="128"/>
      <c r="T295" s="128"/>
      <c r="U295" s="128"/>
      <c r="V295" s="128"/>
      <c r="W295" s="128"/>
      <c r="X295" s="128"/>
      <c r="Y295" s="128"/>
      <c r="Z295" s="128"/>
      <c r="AA295" s="128"/>
    </row>
    <row r="296">
      <c r="A296" s="134"/>
      <c r="B296" s="134"/>
      <c r="C296" s="128"/>
      <c r="D296" s="128"/>
      <c r="E296" s="128"/>
      <c r="F296" s="128"/>
      <c r="G296" s="128"/>
      <c r="H296" s="128"/>
      <c r="I296" s="128"/>
      <c r="J296" s="128"/>
      <c r="K296" s="128"/>
      <c r="L296" s="128"/>
      <c r="M296" s="128"/>
      <c r="N296" s="128"/>
      <c r="O296" s="128"/>
      <c r="P296" s="128"/>
      <c r="Q296" s="128"/>
      <c r="R296" s="128"/>
      <c r="S296" s="128"/>
      <c r="T296" s="128"/>
      <c r="U296" s="128"/>
      <c r="V296" s="128"/>
      <c r="W296" s="128"/>
      <c r="X296" s="128"/>
      <c r="Y296" s="128"/>
      <c r="Z296" s="128"/>
      <c r="AA296" s="128"/>
    </row>
    <row r="297">
      <c r="A297" s="134"/>
      <c r="B297" s="134"/>
      <c r="C297" s="128"/>
      <c r="D297" s="128"/>
      <c r="E297" s="128"/>
      <c r="F297" s="128"/>
      <c r="G297" s="128"/>
      <c r="H297" s="128"/>
      <c r="I297" s="128"/>
      <c r="J297" s="128"/>
      <c r="K297" s="128"/>
      <c r="L297" s="128"/>
      <c r="M297" s="128"/>
      <c r="N297" s="128"/>
      <c r="O297" s="128"/>
      <c r="P297" s="128"/>
      <c r="Q297" s="128"/>
      <c r="R297" s="128"/>
      <c r="S297" s="128"/>
      <c r="T297" s="128"/>
      <c r="U297" s="128"/>
      <c r="V297" s="128"/>
      <c r="W297" s="128"/>
      <c r="X297" s="128"/>
      <c r="Y297" s="128"/>
      <c r="Z297" s="128"/>
      <c r="AA297" s="128"/>
    </row>
    <row r="298">
      <c r="A298" s="134"/>
      <c r="B298" s="134"/>
      <c r="C298" s="128"/>
      <c r="D298" s="128"/>
      <c r="E298" s="128"/>
      <c r="F298" s="128"/>
      <c r="G298" s="128"/>
      <c r="H298" s="128"/>
      <c r="I298" s="128"/>
      <c r="J298" s="128"/>
      <c r="K298" s="128"/>
      <c r="L298" s="128"/>
      <c r="M298" s="128"/>
      <c r="N298" s="128"/>
      <c r="O298" s="128"/>
      <c r="P298" s="128"/>
      <c r="Q298" s="128"/>
      <c r="R298" s="128"/>
      <c r="S298" s="128"/>
      <c r="T298" s="128"/>
      <c r="U298" s="128"/>
      <c r="V298" s="128"/>
      <c r="W298" s="128"/>
      <c r="X298" s="128"/>
      <c r="Y298" s="128"/>
      <c r="Z298" s="128"/>
      <c r="AA298" s="128"/>
    </row>
    <row r="299">
      <c r="A299" s="134"/>
      <c r="B299" s="134"/>
      <c r="C299" s="128"/>
      <c r="D299" s="128"/>
      <c r="E299" s="128"/>
      <c r="F299" s="128"/>
      <c r="G299" s="128"/>
      <c r="H299" s="128"/>
      <c r="I299" s="128"/>
      <c r="J299" s="128"/>
      <c r="K299" s="128"/>
      <c r="L299" s="128"/>
      <c r="M299" s="128"/>
      <c r="N299" s="128"/>
      <c r="O299" s="128"/>
      <c r="P299" s="128"/>
      <c r="Q299" s="128"/>
      <c r="R299" s="128"/>
      <c r="S299" s="128"/>
      <c r="T299" s="128"/>
      <c r="U299" s="128"/>
      <c r="V299" s="128"/>
      <c r="W299" s="128"/>
      <c r="X299" s="128"/>
      <c r="Y299" s="128"/>
      <c r="Z299" s="128"/>
      <c r="AA299" s="128"/>
    </row>
    <row r="300">
      <c r="A300" s="134"/>
      <c r="B300" s="134"/>
      <c r="C300" s="128"/>
      <c r="D300" s="128"/>
      <c r="E300" s="128"/>
      <c r="F300" s="128"/>
      <c r="G300" s="128"/>
      <c r="H300" s="128"/>
      <c r="I300" s="128"/>
      <c r="J300" s="128"/>
      <c r="K300" s="128"/>
      <c r="L300" s="128"/>
      <c r="M300" s="128"/>
      <c r="N300" s="128"/>
      <c r="O300" s="128"/>
      <c r="P300" s="128"/>
      <c r="Q300" s="128"/>
      <c r="R300" s="128"/>
      <c r="S300" s="128"/>
      <c r="T300" s="128"/>
      <c r="U300" s="128"/>
      <c r="V300" s="128"/>
      <c r="W300" s="128"/>
      <c r="X300" s="128"/>
      <c r="Y300" s="128"/>
      <c r="Z300" s="128"/>
      <c r="AA300" s="128"/>
    </row>
    <row r="301">
      <c r="A301" s="134"/>
      <c r="B301" s="134"/>
      <c r="C301" s="128"/>
      <c r="D301" s="128"/>
      <c r="E301" s="128"/>
      <c r="F301" s="128"/>
      <c r="G301" s="128"/>
      <c r="H301" s="128"/>
      <c r="I301" s="128"/>
      <c r="J301" s="128"/>
      <c r="K301" s="128"/>
      <c r="L301" s="128"/>
      <c r="M301" s="128"/>
      <c r="N301" s="128"/>
      <c r="O301" s="128"/>
      <c r="P301" s="128"/>
      <c r="Q301" s="128"/>
      <c r="R301" s="128"/>
      <c r="S301" s="128"/>
      <c r="T301" s="128"/>
      <c r="U301" s="128"/>
      <c r="V301" s="128"/>
      <c r="W301" s="128"/>
      <c r="X301" s="128"/>
      <c r="Y301" s="128"/>
      <c r="Z301" s="128"/>
      <c r="AA301" s="128"/>
    </row>
    <row r="302">
      <c r="A302" s="134"/>
      <c r="B302" s="134"/>
      <c r="C302" s="128"/>
      <c r="D302" s="128"/>
      <c r="E302" s="128"/>
      <c r="F302" s="128"/>
      <c r="G302" s="128"/>
      <c r="H302" s="128"/>
      <c r="I302" s="128"/>
      <c r="J302" s="128"/>
      <c r="K302" s="128"/>
      <c r="L302" s="128"/>
      <c r="M302" s="128"/>
      <c r="N302" s="128"/>
      <c r="O302" s="128"/>
      <c r="P302" s="128"/>
      <c r="Q302" s="128"/>
      <c r="R302" s="128"/>
      <c r="S302" s="128"/>
      <c r="T302" s="128"/>
      <c r="U302" s="128"/>
      <c r="V302" s="128"/>
      <c r="W302" s="128"/>
      <c r="X302" s="128"/>
      <c r="Y302" s="128"/>
      <c r="Z302" s="128"/>
      <c r="AA302" s="128"/>
    </row>
    <row r="303">
      <c r="A303" s="134"/>
      <c r="B303" s="134"/>
      <c r="C303" s="128"/>
      <c r="D303" s="128"/>
      <c r="E303" s="128"/>
      <c r="F303" s="128"/>
      <c r="G303" s="128"/>
      <c r="H303" s="128"/>
      <c r="I303" s="128"/>
      <c r="J303" s="128"/>
      <c r="K303" s="128"/>
      <c r="L303" s="128"/>
      <c r="M303" s="128"/>
      <c r="N303" s="128"/>
      <c r="O303" s="128"/>
      <c r="P303" s="128"/>
      <c r="Q303" s="128"/>
      <c r="R303" s="128"/>
      <c r="S303" s="128"/>
      <c r="T303" s="128"/>
      <c r="U303" s="128"/>
      <c r="V303" s="128"/>
      <c r="W303" s="128"/>
      <c r="X303" s="128"/>
      <c r="Y303" s="128"/>
      <c r="Z303" s="128"/>
      <c r="AA303" s="128"/>
    </row>
    <row r="304">
      <c r="A304" s="134"/>
      <c r="B304" s="134"/>
      <c r="C304" s="128"/>
      <c r="D304" s="128"/>
      <c r="E304" s="128"/>
      <c r="F304" s="128"/>
      <c r="G304" s="128"/>
      <c r="H304" s="128"/>
      <c r="I304" s="128"/>
      <c r="J304" s="128"/>
      <c r="K304" s="128"/>
      <c r="L304" s="128"/>
      <c r="M304" s="128"/>
      <c r="N304" s="128"/>
      <c r="O304" s="128"/>
      <c r="P304" s="128"/>
      <c r="Q304" s="128"/>
      <c r="R304" s="128"/>
      <c r="S304" s="128"/>
      <c r="T304" s="128"/>
      <c r="U304" s="128"/>
      <c r="V304" s="128"/>
      <c r="W304" s="128"/>
      <c r="X304" s="128"/>
      <c r="Y304" s="128"/>
      <c r="Z304" s="128"/>
      <c r="AA304" s="128"/>
    </row>
    <row r="305">
      <c r="A305" s="134"/>
      <c r="B305" s="134"/>
      <c r="C305" s="128"/>
      <c r="D305" s="128"/>
      <c r="E305" s="128"/>
      <c r="F305" s="128"/>
      <c r="G305" s="128"/>
      <c r="H305" s="128"/>
      <c r="I305" s="128"/>
      <c r="J305" s="128"/>
      <c r="K305" s="128"/>
      <c r="L305" s="128"/>
      <c r="M305" s="128"/>
      <c r="N305" s="128"/>
      <c r="O305" s="128"/>
      <c r="P305" s="128"/>
      <c r="Q305" s="128"/>
      <c r="R305" s="128"/>
      <c r="S305" s="128"/>
      <c r="T305" s="128"/>
      <c r="U305" s="128"/>
      <c r="V305" s="128"/>
      <c r="W305" s="128"/>
      <c r="X305" s="128"/>
      <c r="Y305" s="128"/>
      <c r="Z305" s="128"/>
      <c r="AA305" s="128"/>
    </row>
    <row r="306">
      <c r="A306" s="134"/>
      <c r="B306" s="134"/>
      <c r="C306" s="128"/>
      <c r="D306" s="128"/>
      <c r="E306" s="128"/>
      <c r="F306" s="128"/>
      <c r="G306" s="128"/>
      <c r="H306" s="128"/>
      <c r="I306" s="128"/>
      <c r="J306" s="128"/>
      <c r="K306" s="128"/>
      <c r="L306" s="128"/>
      <c r="M306" s="128"/>
      <c r="N306" s="128"/>
      <c r="O306" s="128"/>
      <c r="P306" s="128"/>
      <c r="Q306" s="128"/>
      <c r="R306" s="128"/>
      <c r="S306" s="128"/>
      <c r="T306" s="128"/>
      <c r="U306" s="128"/>
      <c r="V306" s="128"/>
      <c r="W306" s="128"/>
      <c r="X306" s="128"/>
      <c r="Y306" s="128"/>
      <c r="Z306" s="128"/>
      <c r="AA306" s="128"/>
    </row>
    <row r="307">
      <c r="A307" s="134"/>
      <c r="B307" s="134"/>
      <c r="C307" s="128"/>
      <c r="D307" s="128"/>
      <c r="E307" s="128"/>
      <c r="F307" s="128"/>
      <c r="G307" s="128"/>
      <c r="H307" s="128"/>
      <c r="I307" s="128"/>
      <c r="J307" s="128"/>
      <c r="K307" s="128"/>
      <c r="L307" s="128"/>
      <c r="M307" s="128"/>
      <c r="N307" s="128"/>
      <c r="O307" s="128"/>
      <c r="P307" s="128"/>
      <c r="Q307" s="128"/>
      <c r="R307" s="128"/>
      <c r="S307" s="128"/>
      <c r="T307" s="128"/>
      <c r="U307" s="128"/>
      <c r="V307" s="128"/>
      <c r="W307" s="128"/>
      <c r="X307" s="128"/>
      <c r="Y307" s="128"/>
      <c r="Z307" s="128"/>
      <c r="AA307" s="128"/>
    </row>
    <row r="308">
      <c r="A308" s="134"/>
      <c r="B308" s="134"/>
      <c r="C308" s="128"/>
      <c r="D308" s="128"/>
      <c r="E308" s="128"/>
      <c r="F308" s="128"/>
      <c r="G308" s="128"/>
      <c r="H308" s="128"/>
      <c r="I308" s="128"/>
      <c r="J308" s="128"/>
      <c r="K308" s="128"/>
      <c r="L308" s="128"/>
      <c r="M308" s="128"/>
      <c r="N308" s="128"/>
      <c r="O308" s="128"/>
      <c r="P308" s="128"/>
      <c r="Q308" s="128"/>
      <c r="R308" s="128"/>
      <c r="S308" s="128"/>
      <c r="T308" s="128"/>
      <c r="U308" s="128"/>
      <c r="V308" s="128"/>
      <c r="W308" s="128"/>
      <c r="X308" s="128"/>
      <c r="Y308" s="128"/>
      <c r="Z308" s="128"/>
      <c r="AA308" s="128"/>
    </row>
    <row r="309">
      <c r="A309" s="134"/>
      <c r="B309" s="134"/>
      <c r="C309" s="128"/>
      <c r="D309" s="128"/>
      <c r="E309" s="128"/>
      <c r="F309" s="128"/>
      <c r="G309" s="128"/>
      <c r="H309" s="128"/>
      <c r="I309" s="128"/>
      <c r="J309" s="128"/>
      <c r="K309" s="128"/>
      <c r="L309" s="128"/>
      <c r="M309" s="128"/>
      <c r="N309" s="128"/>
      <c r="O309" s="128"/>
      <c r="P309" s="128"/>
      <c r="Q309" s="128"/>
      <c r="R309" s="128"/>
      <c r="S309" s="128"/>
      <c r="T309" s="128"/>
      <c r="U309" s="128"/>
      <c r="V309" s="128"/>
      <c r="W309" s="128"/>
      <c r="X309" s="128"/>
      <c r="Y309" s="128"/>
      <c r="Z309" s="128"/>
      <c r="AA309" s="128"/>
    </row>
    <row r="310">
      <c r="A310" s="134"/>
      <c r="B310" s="134"/>
      <c r="C310" s="128"/>
      <c r="D310" s="128"/>
      <c r="E310" s="128"/>
      <c r="F310" s="128"/>
      <c r="G310" s="128"/>
      <c r="H310" s="128"/>
      <c r="I310" s="128"/>
      <c r="J310" s="128"/>
      <c r="K310" s="128"/>
      <c r="L310" s="128"/>
      <c r="M310" s="128"/>
      <c r="N310" s="128"/>
      <c r="O310" s="128"/>
      <c r="P310" s="128"/>
      <c r="Q310" s="128"/>
      <c r="R310" s="128"/>
      <c r="S310" s="128"/>
      <c r="T310" s="128"/>
      <c r="U310" s="128"/>
      <c r="V310" s="128"/>
      <c r="W310" s="128"/>
      <c r="X310" s="128"/>
      <c r="Y310" s="128"/>
      <c r="Z310" s="128"/>
      <c r="AA310" s="128"/>
    </row>
    <row r="311">
      <c r="A311" s="134"/>
      <c r="B311" s="134"/>
      <c r="C311" s="128"/>
      <c r="D311" s="128"/>
      <c r="E311" s="128"/>
      <c r="F311" s="128"/>
      <c r="G311" s="128"/>
      <c r="H311" s="128"/>
      <c r="I311" s="128"/>
      <c r="J311" s="128"/>
      <c r="K311" s="128"/>
      <c r="L311" s="128"/>
      <c r="M311" s="128"/>
      <c r="N311" s="128"/>
      <c r="O311" s="128"/>
      <c r="P311" s="128"/>
      <c r="Q311" s="128"/>
      <c r="R311" s="128"/>
      <c r="S311" s="128"/>
      <c r="T311" s="128"/>
      <c r="U311" s="128"/>
      <c r="V311" s="128"/>
      <c r="W311" s="128"/>
      <c r="X311" s="128"/>
      <c r="Y311" s="128"/>
      <c r="Z311" s="128"/>
      <c r="AA311" s="128"/>
    </row>
    <row r="312">
      <c r="A312" s="134"/>
      <c r="B312" s="134"/>
      <c r="C312" s="128"/>
      <c r="D312" s="128"/>
      <c r="E312" s="128"/>
      <c r="F312" s="128"/>
      <c r="G312" s="128"/>
      <c r="H312" s="128"/>
      <c r="I312" s="128"/>
      <c r="J312" s="128"/>
      <c r="K312" s="128"/>
      <c r="L312" s="128"/>
      <c r="M312" s="128"/>
      <c r="N312" s="128"/>
      <c r="O312" s="128"/>
      <c r="P312" s="128"/>
      <c r="Q312" s="128"/>
      <c r="R312" s="128"/>
      <c r="S312" s="128"/>
      <c r="T312" s="128"/>
      <c r="U312" s="128"/>
      <c r="V312" s="128"/>
      <c r="W312" s="128"/>
      <c r="X312" s="128"/>
      <c r="Y312" s="128"/>
      <c r="Z312" s="128"/>
      <c r="AA312" s="128"/>
    </row>
    <row r="313">
      <c r="A313" s="134"/>
      <c r="B313" s="134"/>
      <c r="C313" s="128"/>
      <c r="D313" s="128"/>
      <c r="E313" s="128"/>
      <c r="F313" s="128"/>
      <c r="G313" s="128"/>
      <c r="H313" s="128"/>
      <c r="I313" s="128"/>
      <c r="J313" s="128"/>
      <c r="K313" s="128"/>
      <c r="L313" s="128"/>
      <c r="M313" s="128"/>
      <c r="N313" s="128"/>
      <c r="O313" s="128"/>
      <c r="P313" s="128"/>
      <c r="Q313" s="128"/>
      <c r="R313" s="128"/>
      <c r="S313" s="128"/>
      <c r="T313" s="128"/>
      <c r="U313" s="128"/>
      <c r="V313" s="128"/>
      <c r="W313" s="128"/>
      <c r="X313" s="128"/>
      <c r="Y313" s="128"/>
      <c r="Z313" s="128"/>
      <c r="AA313" s="128"/>
    </row>
    <row r="314">
      <c r="A314" s="134"/>
      <c r="B314" s="134"/>
      <c r="C314" s="128"/>
      <c r="D314" s="128"/>
      <c r="E314" s="128"/>
      <c r="F314" s="128"/>
      <c r="G314" s="128"/>
      <c r="H314" s="128"/>
      <c r="I314" s="128"/>
      <c r="J314" s="128"/>
      <c r="K314" s="128"/>
      <c r="L314" s="128"/>
      <c r="M314" s="128"/>
      <c r="N314" s="128"/>
      <c r="O314" s="128"/>
      <c r="P314" s="128"/>
      <c r="Q314" s="128"/>
      <c r="R314" s="128"/>
      <c r="S314" s="128"/>
      <c r="T314" s="128"/>
      <c r="U314" s="128"/>
      <c r="V314" s="128"/>
      <c r="W314" s="128"/>
      <c r="X314" s="128"/>
      <c r="Y314" s="128"/>
      <c r="Z314" s="128"/>
      <c r="AA314" s="128"/>
    </row>
    <row r="315">
      <c r="A315" s="134"/>
      <c r="B315" s="134"/>
      <c r="C315" s="128"/>
      <c r="D315" s="128"/>
      <c r="E315" s="128"/>
      <c r="F315" s="128"/>
      <c r="G315" s="128"/>
      <c r="H315" s="128"/>
      <c r="I315" s="128"/>
      <c r="J315" s="128"/>
      <c r="K315" s="128"/>
      <c r="L315" s="128"/>
      <c r="M315" s="128"/>
      <c r="N315" s="128"/>
      <c r="O315" s="128"/>
      <c r="P315" s="128"/>
      <c r="Q315" s="128"/>
      <c r="R315" s="128"/>
      <c r="S315" s="128"/>
      <c r="T315" s="128"/>
      <c r="U315" s="128"/>
      <c r="V315" s="128"/>
      <c r="W315" s="128"/>
      <c r="X315" s="128"/>
      <c r="Y315" s="128"/>
      <c r="Z315" s="128"/>
      <c r="AA315" s="128"/>
    </row>
    <row r="316">
      <c r="A316" s="134"/>
      <c r="B316" s="134"/>
      <c r="C316" s="128"/>
      <c r="D316" s="128"/>
      <c r="E316" s="128"/>
      <c r="F316" s="128"/>
      <c r="G316" s="128"/>
      <c r="H316" s="128"/>
      <c r="I316" s="128"/>
      <c r="J316" s="128"/>
      <c r="K316" s="128"/>
      <c r="L316" s="128"/>
      <c r="M316" s="128"/>
      <c r="N316" s="128"/>
      <c r="O316" s="128"/>
      <c r="P316" s="128"/>
      <c r="Q316" s="128"/>
      <c r="R316" s="128"/>
      <c r="S316" s="128"/>
      <c r="T316" s="128"/>
      <c r="U316" s="128"/>
      <c r="V316" s="128"/>
      <c r="W316" s="128"/>
      <c r="X316" s="128"/>
      <c r="Y316" s="128"/>
      <c r="Z316" s="128"/>
      <c r="AA316" s="128"/>
    </row>
    <row r="317">
      <c r="A317" s="134"/>
      <c r="B317" s="134"/>
      <c r="C317" s="128"/>
      <c r="D317" s="128"/>
      <c r="E317" s="128"/>
      <c r="F317" s="128"/>
      <c r="G317" s="128"/>
      <c r="H317" s="128"/>
      <c r="I317" s="128"/>
      <c r="J317" s="128"/>
      <c r="K317" s="128"/>
      <c r="L317" s="128"/>
      <c r="M317" s="128"/>
      <c r="N317" s="128"/>
      <c r="O317" s="128"/>
      <c r="P317" s="128"/>
      <c r="Q317" s="128"/>
      <c r="R317" s="128"/>
      <c r="S317" s="128"/>
      <c r="T317" s="128"/>
      <c r="U317" s="128"/>
      <c r="V317" s="128"/>
      <c r="W317" s="128"/>
      <c r="X317" s="128"/>
      <c r="Y317" s="128"/>
      <c r="Z317" s="128"/>
      <c r="AA317" s="128"/>
    </row>
    <row r="318">
      <c r="A318" s="134"/>
      <c r="B318" s="134"/>
      <c r="C318" s="128"/>
      <c r="D318" s="128"/>
      <c r="E318" s="128"/>
      <c r="F318" s="128"/>
      <c r="G318" s="128"/>
      <c r="H318" s="128"/>
      <c r="I318" s="128"/>
      <c r="J318" s="128"/>
      <c r="K318" s="128"/>
      <c r="L318" s="128"/>
      <c r="M318" s="128"/>
      <c r="N318" s="128"/>
      <c r="O318" s="128"/>
      <c r="P318" s="128"/>
      <c r="Q318" s="128"/>
      <c r="R318" s="128"/>
      <c r="S318" s="128"/>
      <c r="T318" s="128"/>
      <c r="U318" s="128"/>
      <c r="V318" s="128"/>
      <c r="W318" s="128"/>
      <c r="X318" s="128"/>
      <c r="Y318" s="128"/>
      <c r="Z318" s="128"/>
      <c r="AA318" s="128"/>
    </row>
    <row r="319">
      <c r="A319" s="134"/>
      <c r="B319" s="134"/>
      <c r="C319" s="128"/>
      <c r="D319" s="128"/>
      <c r="E319" s="128"/>
      <c r="F319" s="128"/>
      <c r="G319" s="128"/>
      <c r="H319" s="128"/>
      <c r="I319" s="128"/>
      <c r="J319" s="128"/>
      <c r="K319" s="128"/>
      <c r="L319" s="128"/>
      <c r="M319" s="128"/>
      <c r="N319" s="128"/>
      <c r="O319" s="128"/>
      <c r="P319" s="128"/>
      <c r="Q319" s="128"/>
      <c r="R319" s="128"/>
      <c r="S319" s="128"/>
      <c r="T319" s="128"/>
      <c r="U319" s="128"/>
      <c r="V319" s="128"/>
      <c r="W319" s="128"/>
      <c r="X319" s="128"/>
      <c r="Y319" s="128"/>
      <c r="Z319" s="128"/>
      <c r="AA319" s="128"/>
    </row>
    <row r="320">
      <c r="A320" s="134"/>
      <c r="B320" s="134"/>
      <c r="C320" s="128"/>
      <c r="D320" s="128"/>
      <c r="E320" s="128"/>
      <c r="F320" s="128"/>
      <c r="G320" s="128"/>
      <c r="H320" s="128"/>
      <c r="I320" s="128"/>
      <c r="J320" s="128"/>
      <c r="K320" s="128"/>
      <c r="L320" s="128"/>
      <c r="M320" s="128"/>
      <c r="N320" s="128"/>
      <c r="O320" s="128"/>
      <c r="P320" s="128"/>
      <c r="Q320" s="128"/>
      <c r="R320" s="128"/>
      <c r="S320" s="128"/>
      <c r="T320" s="128"/>
      <c r="U320" s="128"/>
      <c r="V320" s="128"/>
      <c r="W320" s="128"/>
      <c r="X320" s="128"/>
      <c r="Y320" s="128"/>
      <c r="Z320" s="128"/>
      <c r="AA320" s="128"/>
    </row>
    <row r="321">
      <c r="A321" s="134"/>
      <c r="B321" s="134"/>
      <c r="C321" s="128"/>
      <c r="D321" s="128"/>
      <c r="E321" s="128"/>
      <c r="F321" s="128"/>
      <c r="G321" s="128"/>
      <c r="H321" s="128"/>
      <c r="I321" s="128"/>
      <c r="J321" s="128"/>
      <c r="K321" s="128"/>
      <c r="L321" s="128"/>
      <c r="M321" s="128"/>
      <c r="N321" s="128"/>
      <c r="O321" s="128"/>
      <c r="P321" s="128"/>
      <c r="Q321" s="128"/>
      <c r="R321" s="128"/>
      <c r="S321" s="128"/>
      <c r="T321" s="128"/>
      <c r="U321" s="128"/>
      <c r="V321" s="128"/>
      <c r="W321" s="128"/>
      <c r="X321" s="128"/>
      <c r="Y321" s="128"/>
      <c r="Z321" s="128"/>
      <c r="AA321" s="128"/>
    </row>
    <row r="322">
      <c r="A322" s="134"/>
      <c r="B322" s="134"/>
      <c r="C322" s="128"/>
      <c r="D322" s="128"/>
      <c r="E322" s="128"/>
      <c r="F322" s="128"/>
      <c r="G322" s="128"/>
      <c r="H322" s="128"/>
      <c r="I322" s="128"/>
      <c r="J322" s="128"/>
      <c r="K322" s="128"/>
      <c r="L322" s="128"/>
      <c r="M322" s="128"/>
      <c r="N322" s="128"/>
      <c r="O322" s="128"/>
      <c r="P322" s="128"/>
      <c r="Q322" s="128"/>
      <c r="R322" s="128"/>
      <c r="S322" s="128"/>
      <c r="T322" s="128"/>
      <c r="U322" s="128"/>
      <c r="V322" s="128"/>
      <c r="W322" s="128"/>
      <c r="X322" s="128"/>
      <c r="Y322" s="128"/>
      <c r="Z322" s="128"/>
      <c r="AA322" s="128"/>
    </row>
    <row r="323">
      <c r="A323" s="134"/>
      <c r="B323" s="134"/>
      <c r="C323" s="128"/>
      <c r="D323" s="128"/>
      <c r="E323" s="128"/>
      <c r="F323" s="128"/>
      <c r="G323" s="128"/>
      <c r="H323" s="128"/>
      <c r="I323" s="128"/>
      <c r="J323" s="128"/>
      <c r="K323" s="128"/>
      <c r="L323" s="128"/>
      <c r="M323" s="128"/>
      <c r="N323" s="128"/>
      <c r="O323" s="128"/>
      <c r="P323" s="128"/>
      <c r="Q323" s="128"/>
      <c r="R323" s="128"/>
      <c r="S323" s="128"/>
      <c r="T323" s="128"/>
      <c r="U323" s="128"/>
      <c r="V323" s="128"/>
      <c r="W323" s="128"/>
      <c r="X323" s="128"/>
      <c r="Y323" s="128"/>
      <c r="Z323" s="128"/>
      <c r="AA323" s="128"/>
    </row>
    <row r="324">
      <c r="A324" s="134"/>
      <c r="B324" s="134"/>
      <c r="C324" s="128"/>
      <c r="D324" s="128"/>
      <c r="E324" s="128"/>
      <c r="F324" s="128"/>
      <c r="G324" s="128"/>
      <c r="H324" s="128"/>
      <c r="I324" s="128"/>
      <c r="J324" s="128"/>
      <c r="K324" s="128"/>
      <c r="L324" s="128"/>
      <c r="M324" s="128"/>
      <c r="N324" s="128"/>
      <c r="O324" s="128"/>
      <c r="P324" s="128"/>
      <c r="Q324" s="128"/>
      <c r="R324" s="128"/>
      <c r="S324" s="128"/>
      <c r="T324" s="128"/>
      <c r="U324" s="128"/>
      <c r="V324" s="128"/>
      <c r="W324" s="128"/>
      <c r="X324" s="128"/>
      <c r="Y324" s="128"/>
      <c r="Z324" s="128"/>
      <c r="AA324" s="128"/>
    </row>
    <row r="325">
      <c r="A325" s="134"/>
      <c r="B325" s="134"/>
      <c r="C325" s="128"/>
      <c r="D325" s="128"/>
      <c r="E325" s="128"/>
      <c r="F325" s="128"/>
      <c r="G325" s="128"/>
      <c r="H325" s="128"/>
      <c r="I325" s="128"/>
      <c r="J325" s="128"/>
      <c r="K325" s="128"/>
      <c r="L325" s="128"/>
      <c r="M325" s="128"/>
      <c r="N325" s="128"/>
      <c r="O325" s="128"/>
      <c r="P325" s="128"/>
      <c r="Q325" s="128"/>
      <c r="R325" s="128"/>
      <c r="S325" s="128"/>
      <c r="T325" s="128"/>
      <c r="U325" s="128"/>
      <c r="V325" s="128"/>
      <c r="W325" s="128"/>
      <c r="X325" s="128"/>
      <c r="Y325" s="128"/>
      <c r="Z325" s="128"/>
      <c r="AA325" s="128"/>
    </row>
    <row r="326">
      <c r="A326" s="134"/>
      <c r="B326" s="134"/>
      <c r="C326" s="128"/>
      <c r="D326" s="128"/>
      <c r="E326" s="128"/>
      <c r="F326" s="128"/>
      <c r="G326" s="128"/>
      <c r="H326" s="128"/>
      <c r="I326" s="128"/>
      <c r="J326" s="128"/>
      <c r="K326" s="128"/>
      <c r="L326" s="128"/>
      <c r="M326" s="128"/>
      <c r="N326" s="128"/>
      <c r="O326" s="128"/>
      <c r="P326" s="128"/>
      <c r="Q326" s="128"/>
      <c r="R326" s="128"/>
      <c r="S326" s="128"/>
      <c r="T326" s="128"/>
      <c r="U326" s="128"/>
      <c r="V326" s="128"/>
      <c r="W326" s="128"/>
      <c r="X326" s="128"/>
      <c r="Y326" s="128"/>
      <c r="Z326" s="128"/>
      <c r="AA326" s="128"/>
    </row>
    <row r="327">
      <c r="A327" s="134"/>
      <c r="B327" s="134"/>
      <c r="C327" s="128"/>
      <c r="D327" s="128"/>
      <c r="E327" s="128"/>
      <c r="F327" s="128"/>
      <c r="G327" s="128"/>
      <c r="H327" s="128"/>
      <c r="I327" s="128"/>
      <c r="J327" s="128"/>
      <c r="K327" s="128"/>
      <c r="L327" s="128"/>
      <c r="M327" s="128"/>
      <c r="N327" s="128"/>
      <c r="O327" s="128"/>
      <c r="P327" s="128"/>
      <c r="Q327" s="128"/>
      <c r="R327" s="128"/>
      <c r="S327" s="128"/>
      <c r="T327" s="128"/>
      <c r="U327" s="128"/>
      <c r="V327" s="128"/>
      <c r="W327" s="128"/>
      <c r="X327" s="128"/>
      <c r="Y327" s="128"/>
      <c r="Z327" s="128"/>
      <c r="AA327" s="128"/>
    </row>
    <row r="328">
      <c r="A328" s="134"/>
      <c r="B328" s="134"/>
      <c r="C328" s="128"/>
      <c r="D328" s="128"/>
      <c r="E328" s="128"/>
      <c r="F328" s="128"/>
      <c r="G328" s="128"/>
      <c r="H328" s="128"/>
      <c r="I328" s="128"/>
      <c r="J328" s="128"/>
      <c r="K328" s="128"/>
      <c r="L328" s="128"/>
      <c r="M328" s="128"/>
      <c r="N328" s="128"/>
      <c r="O328" s="128"/>
      <c r="P328" s="128"/>
      <c r="Q328" s="128"/>
      <c r="R328" s="128"/>
      <c r="S328" s="128"/>
      <c r="T328" s="128"/>
      <c r="U328" s="128"/>
      <c r="V328" s="128"/>
      <c r="W328" s="128"/>
      <c r="X328" s="128"/>
      <c r="Y328" s="128"/>
      <c r="Z328" s="128"/>
      <c r="AA328" s="128"/>
    </row>
    <row r="329">
      <c r="A329" s="134"/>
      <c r="B329" s="134"/>
      <c r="C329" s="128"/>
      <c r="D329" s="128"/>
      <c r="E329" s="128"/>
      <c r="F329" s="128"/>
      <c r="G329" s="128"/>
      <c r="H329" s="128"/>
      <c r="I329" s="128"/>
      <c r="J329" s="128"/>
      <c r="K329" s="128"/>
      <c r="L329" s="128"/>
      <c r="M329" s="128"/>
      <c r="N329" s="128"/>
      <c r="O329" s="128"/>
      <c r="P329" s="128"/>
      <c r="Q329" s="128"/>
      <c r="R329" s="128"/>
      <c r="S329" s="128"/>
      <c r="T329" s="128"/>
      <c r="U329" s="128"/>
      <c r="V329" s="128"/>
      <c r="W329" s="128"/>
      <c r="X329" s="128"/>
      <c r="Y329" s="128"/>
      <c r="Z329" s="128"/>
      <c r="AA329" s="128"/>
    </row>
    <row r="330">
      <c r="A330" s="134"/>
      <c r="B330" s="134"/>
      <c r="C330" s="128"/>
      <c r="D330" s="128"/>
      <c r="E330" s="128"/>
      <c r="F330" s="128"/>
      <c r="G330" s="128"/>
      <c r="H330" s="128"/>
      <c r="I330" s="128"/>
      <c r="J330" s="128"/>
      <c r="K330" s="128"/>
      <c r="L330" s="128"/>
      <c r="M330" s="128"/>
      <c r="N330" s="128"/>
      <c r="O330" s="128"/>
      <c r="P330" s="128"/>
      <c r="Q330" s="128"/>
      <c r="R330" s="128"/>
      <c r="S330" s="128"/>
      <c r="T330" s="128"/>
      <c r="U330" s="128"/>
      <c r="V330" s="128"/>
      <c r="W330" s="128"/>
      <c r="X330" s="128"/>
      <c r="Y330" s="128"/>
      <c r="Z330" s="128"/>
      <c r="AA330" s="128"/>
    </row>
    <row r="331">
      <c r="A331" s="134"/>
      <c r="B331" s="134"/>
      <c r="C331" s="128"/>
      <c r="D331" s="128"/>
      <c r="E331" s="128"/>
      <c r="F331" s="128"/>
      <c r="G331" s="128"/>
      <c r="H331" s="128"/>
      <c r="I331" s="128"/>
      <c r="J331" s="128"/>
      <c r="K331" s="128"/>
      <c r="L331" s="128"/>
      <c r="M331" s="128"/>
      <c r="N331" s="128"/>
      <c r="O331" s="128"/>
      <c r="P331" s="128"/>
      <c r="Q331" s="128"/>
      <c r="R331" s="128"/>
      <c r="S331" s="128"/>
      <c r="T331" s="128"/>
      <c r="U331" s="128"/>
      <c r="V331" s="128"/>
      <c r="W331" s="128"/>
      <c r="X331" s="128"/>
      <c r="Y331" s="128"/>
      <c r="Z331" s="128"/>
      <c r="AA331" s="128"/>
    </row>
    <row r="332">
      <c r="A332" s="134"/>
      <c r="B332" s="134"/>
      <c r="C332" s="128"/>
      <c r="D332" s="128"/>
      <c r="E332" s="128"/>
      <c r="F332" s="128"/>
      <c r="G332" s="128"/>
      <c r="H332" s="128"/>
      <c r="I332" s="128"/>
      <c r="J332" s="128"/>
      <c r="K332" s="128"/>
      <c r="L332" s="128"/>
      <c r="M332" s="128"/>
      <c r="N332" s="128"/>
      <c r="O332" s="128"/>
      <c r="P332" s="128"/>
      <c r="Q332" s="128"/>
      <c r="R332" s="128"/>
      <c r="S332" s="128"/>
      <c r="T332" s="128"/>
      <c r="U332" s="128"/>
      <c r="V332" s="128"/>
      <c r="W332" s="128"/>
      <c r="X332" s="128"/>
      <c r="Y332" s="128"/>
      <c r="Z332" s="128"/>
      <c r="AA332" s="128"/>
    </row>
    <row r="333">
      <c r="A333" s="134"/>
      <c r="B333" s="134"/>
      <c r="C333" s="128"/>
      <c r="D333" s="128"/>
      <c r="E333" s="128"/>
      <c r="F333" s="128"/>
      <c r="G333" s="128"/>
      <c r="H333" s="128"/>
      <c r="I333" s="128"/>
      <c r="J333" s="128"/>
      <c r="K333" s="128"/>
      <c r="L333" s="128"/>
      <c r="M333" s="128"/>
      <c r="N333" s="128"/>
      <c r="O333" s="128"/>
      <c r="P333" s="128"/>
      <c r="Q333" s="128"/>
      <c r="R333" s="128"/>
      <c r="S333" s="128"/>
      <c r="T333" s="128"/>
      <c r="U333" s="128"/>
      <c r="V333" s="128"/>
      <c r="W333" s="128"/>
      <c r="X333" s="128"/>
      <c r="Y333" s="128"/>
      <c r="Z333" s="128"/>
      <c r="AA333" s="128"/>
    </row>
    <row r="334">
      <c r="A334" s="134"/>
      <c r="B334" s="134"/>
      <c r="C334" s="128"/>
      <c r="D334" s="128"/>
      <c r="E334" s="128"/>
      <c r="F334" s="128"/>
      <c r="G334" s="128"/>
      <c r="H334" s="128"/>
      <c r="I334" s="128"/>
      <c r="J334" s="128"/>
      <c r="K334" s="128"/>
      <c r="L334" s="128"/>
      <c r="M334" s="128"/>
      <c r="N334" s="128"/>
      <c r="O334" s="128"/>
      <c r="P334" s="128"/>
      <c r="Q334" s="128"/>
      <c r="R334" s="128"/>
      <c r="S334" s="128"/>
      <c r="T334" s="128"/>
      <c r="U334" s="128"/>
      <c r="V334" s="128"/>
      <c r="W334" s="128"/>
      <c r="X334" s="128"/>
      <c r="Y334" s="128"/>
      <c r="Z334" s="128"/>
      <c r="AA334" s="128"/>
    </row>
    <row r="335">
      <c r="A335" s="134"/>
      <c r="B335" s="134"/>
      <c r="C335" s="128"/>
      <c r="D335" s="128"/>
      <c r="E335" s="128"/>
      <c r="F335" s="128"/>
      <c r="G335" s="128"/>
      <c r="H335" s="128"/>
      <c r="I335" s="128"/>
      <c r="J335" s="128"/>
      <c r="K335" s="128"/>
      <c r="L335" s="128"/>
      <c r="M335" s="128"/>
      <c r="N335" s="128"/>
      <c r="O335" s="128"/>
      <c r="P335" s="128"/>
      <c r="Q335" s="128"/>
      <c r="R335" s="128"/>
      <c r="S335" s="128"/>
      <c r="T335" s="128"/>
      <c r="U335" s="128"/>
      <c r="V335" s="128"/>
      <c r="W335" s="128"/>
      <c r="X335" s="128"/>
      <c r="Y335" s="128"/>
      <c r="Z335" s="128"/>
      <c r="AA335" s="128"/>
    </row>
    <row r="336">
      <c r="A336" s="134"/>
      <c r="B336" s="134"/>
      <c r="C336" s="128"/>
      <c r="D336" s="128"/>
      <c r="E336" s="128"/>
      <c r="F336" s="128"/>
      <c r="G336" s="128"/>
      <c r="H336" s="128"/>
      <c r="I336" s="128"/>
      <c r="J336" s="128"/>
      <c r="K336" s="128"/>
      <c r="L336" s="128"/>
      <c r="M336" s="128"/>
      <c r="N336" s="128"/>
      <c r="O336" s="128"/>
      <c r="P336" s="128"/>
      <c r="Q336" s="128"/>
      <c r="R336" s="128"/>
      <c r="S336" s="128"/>
      <c r="T336" s="128"/>
      <c r="U336" s="128"/>
      <c r="V336" s="128"/>
      <c r="W336" s="128"/>
      <c r="X336" s="128"/>
      <c r="Y336" s="128"/>
      <c r="Z336" s="128"/>
      <c r="AA336" s="128"/>
    </row>
    <row r="337">
      <c r="A337" s="134"/>
      <c r="B337" s="134"/>
      <c r="C337" s="128"/>
      <c r="D337" s="128"/>
      <c r="E337" s="128"/>
      <c r="F337" s="128"/>
      <c r="G337" s="128"/>
      <c r="H337" s="128"/>
      <c r="I337" s="128"/>
      <c r="J337" s="128"/>
      <c r="K337" s="128"/>
      <c r="L337" s="128"/>
      <c r="M337" s="128"/>
      <c r="N337" s="128"/>
      <c r="O337" s="128"/>
      <c r="P337" s="128"/>
      <c r="Q337" s="128"/>
      <c r="R337" s="128"/>
      <c r="S337" s="128"/>
      <c r="T337" s="128"/>
      <c r="U337" s="128"/>
      <c r="V337" s="128"/>
      <c r="W337" s="128"/>
      <c r="X337" s="128"/>
      <c r="Y337" s="128"/>
      <c r="Z337" s="128"/>
      <c r="AA337" s="128"/>
    </row>
    <row r="338">
      <c r="A338" s="134"/>
      <c r="B338" s="134"/>
      <c r="C338" s="128"/>
      <c r="D338" s="128"/>
      <c r="E338" s="128"/>
      <c r="F338" s="128"/>
      <c r="G338" s="128"/>
      <c r="H338" s="128"/>
      <c r="I338" s="128"/>
      <c r="J338" s="128"/>
      <c r="K338" s="128"/>
      <c r="L338" s="128"/>
      <c r="M338" s="128"/>
      <c r="N338" s="128"/>
      <c r="O338" s="128"/>
      <c r="P338" s="128"/>
      <c r="Q338" s="128"/>
      <c r="R338" s="128"/>
      <c r="S338" s="128"/>
      <c r="T338" s="128"/>
      <c r="U338" s="128"/>
      <c r="V338" s="128"/>
      <c r="W338" s="128"/>
      <c r="X338" s="128"/>
      <c r="Y338" s="128"/>
      <c r="Z338" s="128"/>
      <c r="AA338" s="128"/>
    </row>
    <row r="339">
      <c r="A339" s="134"/>
      <c r="B339" s="134"/>
      <c r="C339" s="128"/>
      <c r="D339" s="128"/>
      <c r="E339" s="128"/>
      <c r="F339" s="128"/>
      <c r="G339" s="128"/>
      <c r="H339" s="128"/>
      <c r="I339" s="128"/>
      <c r="J339" s="128"/>
      <c r="K339" s="128"/>
      <c r="L339" s="128"/>
      <c r="M339" s="128"/>
      <c r="N339" s="128"/>
      <c r="O339" s="128"/>
      <c r="P339" s="128"/>
      <c r="Q339" s="128"/>
      <c r="R339" s="128"/>
      <c r="S339" s="128"/>
      <c r="T339" s="128"/>
      <c r="U339" s="128"/>
      <c r="V339" s="128"/>
      <c r="W339" s="128"/>
      <c r="X339" s="128"/>
      <c r="Y339" s="128"/>
      <c r="Z339" s="128"/>
      <c r="AA339" s="128"/>
    </row>
    <row r="340">
      <c r="A340" s="134"/>
      <c r="B340" s="134"/>
      <c r="C340" s="128"/>
      <c r="D340" s="128"/>
      <c r="E340" s="128"/>
      <c r="F340" s="128"/>
      <c r="G340" s="128"/>
      <c r="H340" s="128"/>
      <c r="I340" s="128"/>
      <c r="J340" s="128"/>
      <c r="K340" s="128"/>
      <c r="L340" s="128"/>
      <c r="M340" s="128"/>
      <c r="N340" s="128"/>
      <c r="O340" s="128"/>
      <c r="P340" s="128"/>
      <c r="Q340" s="128"/>
      <c r="R340" s="128"/>
      <c r="S340" s="128"/>
      <c r="T340" s="128"/>
      <c r="U340" s="128"/>
      <c r="V340" s="128"/>
      <c r="W340" s="128"/>
      <c r="X340" s="128"/>
      <c r="Y340" s="128"/>
      <c r="Z340" s="128"/>
      <c r="AA340" s="128"/>
    </row>
    <row r="341">
      <c r="A341" s="134"/>
      <c r="B341" s="134"/>
      <c r="C341" s="128"/>
      <c r="D341" s="128"/>
      <c r="E341" s="128"/>
      <c r="F341" s="128"/>
      <c r="G341" s="128"/>
      <c r="H341" s="128"/>
      <c r="I341" s="128"/>
      <c r="J341" s="128"/>
      <c r="K341" s="128"/>
      <c r="L341" s="128"/>
      <c r="M341" s="128"/>
      <c r="N341" s="128"/>
      <c r="O341" s="128"/>
      <c r="P341" s="128"/>
      <c r="Q341" s="128"/>
      <c r="R341" s="128"/>
      <c r="S341" s="128"/>
      <c r="T341" s="128"/>
      <c r="U341" s="128"/>
      <c r="V341" s="128"/>
      <c r="W341" s="128"/>
      <c r="X341" s="128"/>
      <c r="Y341" s="128"/>
      <c r="Z341" s="128"/>
      <c r="AA341" s="128"/>
    </row>
    <row r="342">
      <c r="A342" s="134"/>
      <c r="B342" s="134"/>
      <c r="C342" s="128"/>
      <c r="D342" s="128"/>
      <c r="E342" s="128"/>
      <c r="F342" s="128"/>
      <c r="G342" s="128"/>
      <c r="H342" s="128"/>
      <c r="I342" s="128"/>
      <c r="J342" s="128"/>
      <c r="K342" s="128"/>
      <c r="L342" s="128"/>
      <c r="M342" s="128"/>
      <c r="N342" s="128"/>
      <c r="O342" s="128"/>
      <c r="P342" s="128"/>
      <c r="Q342" s="128"/>
      <c r="R342" s="128"/>
      <c r="S342" s="128"/>
      <c r="T342" s="128"/>
      <c r="U342" s="128"/>
      <c r="V342" s="128"/>
      <c r="W342" s="128"/>
      <c r="X342" s="128"/>
      <c r="Y342" s="128"/>
      <c r="Z342" s="128"/>
      <c r="AA342" s="128"/>
    </row>
    <row r="343">
      <c r="A343" s="134"/>
      <c r="B343" s="134"/>
      <c r="C343" s="128"/>
      <c r="D343" s="128"/>
      <c r="E343" s="128"/>
      <c r="F343" s="128"/>
      <c r="G343" s="128"/>
      <c r="H343" s="128"/>
      <c r="I343" s="128"/>
      <c r="J343" s="128"/>
      <c r="K343" s="128"/>
      <c r="L343" s="128"/>
      <c r="M343" s="128"/>
      <c r="N343" s="128"/>
      <c r="O343" s="128"/>
      <c r="P343" s="128"/>
      <c r="Q343" s="128"/>
      <c r="R343" s="128"/>
      <c r="S343" s="128"/>
      <c r="T343" s="128"/>
      <c r="U343" s="128"/>
      <c r="V343" s="128"/>
      <c r="W343" s="128"/>
      <c r="X343" s="128"/>
      <c r="Y343" s="128"/>
      <c r="Z343" s="128"/>
      <c r="AA343" s="128"/>
    </row>
    <row r="344">
      <c r="A344" s="134"/>
      <c r="B344" s="134"/>
      <c r="C344" s="128"/>
      <c r="D344" s="128"/>
      <c r="E344" s="128"/>
      <c r="F344" s="128"/>
      <c r="G344" s="128"/>
      <c r="H344" s="128"/>
      <c r="I344" s="128"/>
      <c r="J344" s="128"/>
      <c r="K344" s="128"/>
      <c r="L344" s="128"/>
      <c r="M344" s="128"/>
      <c r="N344" s="128"/>
      <c r="O344" s="128"/>
      <c r="P344" s="128"/>
      <c r="Q344" s="128"/>
      <c r="R344" s="128"/>
      <c r="S344" s="128"/>
      <c r="T344" s="128"/>
      <c r="U344" s="128"/>
      <c r="V344" s="128"/>
      <c r="W344" s="128"/>
      <c r="X344" s="128"/>
      <c r="Y344" s="128"/>
      <c r="Z344" s="128"/>
      <c r="AA344" s="128"/>
    </row>
    <row r="345">
      <c r="A345" s="134"/>
      <c r="B345" s="134"/>
      <c r="C345" s="128"/>
      <c r="D345" s="128"/>
      <c r="E345" s="128"/>
      <c r="F345" s="128"/>
      <c r="G345" s="128"/>
      <c r="H345" s="128"/>
      <c r="I345" s="128"/>
      <c r="J345" s="128"/>
      <c r="K345" s="128"/>
      <c r="L345" s="128"/>
      <c r="M345" s="128"/>
      <c r="N345" s="128"/>
      <c r="O345" s="128"/>
      <c r="P345" s="128"/>
      <c r="Q345" s="128"/>
      <c r="R345" s="128"/>
      <c r="S345" s="128"/>
      <c r="T345" s="128"/>
      <c r="U345" s="128"/>
      <c r="V345" s="128"/>
      <c r="W345" s="128"/>
      <c r="X345" s="128"/>
      <c r="Y345" s="128"/>
      <c r="Z345" s="128"/>
      <c r="AA345" s="128"/>
    </row>
    <row r="346">
      <c r="A346" s="134"/>
      <c r="B346" s="134"/>
      <c r="C346" s="128"/>
      <c r="D346" s="128"/>
      <c r="E346" s="128"/>
      <c r="F346" s="128"/>
      <c r="G346" s="128"/>
      <c r="H346" s="128"/>
      <c r="I346" s="128"/>
      <c r="J346" s="128"/>
      <c r="K346" s="128"/>
      <c r="L346" s="128"/>
      <c r="M346" s="128"/>
      <c r="N346" s="128"/>
      <c r="O346" s="128"/>
      <c r="P346" s="128"/>
      <c r="Q346" s="128"/>
      <c r="R346" s="128"/>
      <c r="S346" s="128"/>
      <c r="T346" s="128"/>
      <c r="U346" s="128"/>
      <c r="V346" s="128"/>
      <c r="W346" s="128"/>
      <c r="X346" s="128"/>
      <c r="Y346" s="128"/>
      <c r="Z346" s="128"/>
      <c r="AA346" s="128"/>
    </row>
    <row r="347">
      <c r="A347" s="134"/>
      <c r="B347" s="134"/>
      <c r="C347" s="128"/>
      <c r="D347" s="128"/>
      <c r="E347" s="128"/>
      <c r="F347" s="128"/>
      <c r="G347" s="128"/>
      <c r="H347" s="128"/>
      <c r="I347" s="128"/>
      <c r="J347" s="128"/>
      <c r="K347" s="128"/>
      <c r="L347" s="128"/>
      <c r="M347" s="128"/>
      <c r="N347" s="128"/>
      <c r="O347" s="128"/>
      <c r="P347" s="128"/>
      <c r="Q347" s="128"/>
      <c r="R347" s="128"/>
      <c r="S347" s="128"/>
      <c r="T347" s="128"/>
      <c r="U347" s="128"/>
      <c r="V347" s="128"/>
      <c r="W347" s="128"/>
      <c r="X347" s="128"/>
      <c r="Y347" s="128"/>
      <c r="Z347" s="128"/>
      <c r="AA347" s="128"/>
    </row>
    <row r="348">
      <c r="A348" s="134"/>
      <c r="B348" s="134"/>
      <c r="C348" s="128"/>
      <c r="D348" s="128"/>
      <c r="E348" s="128"/>
      <c r="F348" s="128"/>
      <c r="G348" s="128"/>
      <c r="H348" s="128"/>
      <c r="I348" s="128"/>
      <c r="J348" s="128"/>
      <c r="K348" s="128"/>
      <c r="L348" s="128"/>
      <c r="M348" s="128"/>
      <c r="N348" s="128"/>
      <c r="O348" s="128"/>
      <c r="P348" s="128"/>
      <c r="Q348" s="128"/>
      <c r="R348" s="128"/>
      <c r="S348" s="128"/>
      <c r="T348" s="128"/>
      <c r="U348" s="128"/>
      <c r="V348" s="128"/>
      <c r="W348" s="128"/>
      <c r="X348" s="128"/>
      <c r="Y348" s="128"/>
      <c r="Z348" s="128"/>
      <c r="AA348" s="128"/>
    </row>
    <row r="349">
      <c r="A349" s="134"/>
      <c r="B349" s="134"/>
      <c r="C349" s="128"/>
      <c r="D349" s="128"/>
      <c r="E349" s="128"/>
      <c r="F349" s="128"/>
      <c r="G349" s="128"/>
      <c r="H349" s="128"/>
      <c r="I349" s="128"/>
      <c r="J349" s="128"/>
      <c r="K349" s="128"/>
      <c r="L349" s="128"/>
      <c r="M349" s="128"/>
      <c r="N349" s="128"/>
      <c r="O349" s="128"/>
      <c r="P349" s="128"/>
      <c r="Q349" s="128"/>
      <c r="R349" s="128"/>
      <c r="S349" s="128"/>
      <c r="T349" s="128"/>
      <c r="U349" s="128"/>
      <c r="V349" s="128"/>
      <c r="W349" s="128"/>
      <c r="X349" s="128"/>
      <c r="Y349" s="128"/>
      <c r="Z349" s="128"/>
      <c r="AA349" s="128"/>
    </row>
    <row r="350">
      <c r="A350" s="134"/>
      <c r="B350" s="134"/>
      <c r="C350" s="128"/>
      <c r="D350" s="128"/>
      <c r="E350" s="128"/>
      <c r="F350" s="128"/>
      <c r="G350" s="128"/>
      <c r="H350" s="128"/>
      <c r="I350" s="128"/>
      <c r="J350" s="128"/>
      <c r="K350" s="128"/>
      <c r="L350" s="128"/>
      <c r="M350" s="128"/>
      <c r="N350" s="128"/>
      <c r="O350" s="128"/>
      <c r="P350" s="128"/>
      <c r="Q350" s="128"/>
      <c r="R350" s="128"/>
      <c r="S350" s="128"/>
      <c r="T350" s="128"/>
      <c r="U350" s="128"/>
      <c r="V350" s="128"/>
      <c r="W350" s="128"/>
      <c r="X350" s="128"/>
      <c r="Y350" s="128"/>
      <c r="Z350" s="128"/>
      <c r="AA350" s="128"/>
    </row>
    <row r="351">
      <c r="A351" s="134"/>
      <c r="B351" s="134"/>
      <c r="C351" s="128"/>
      <c r="D351" s="128"/>
      <c r="E351" s="128"/>
      <c r="F351" s="128"/>
      <c r="G351" s="128"/>
      <c r="H351" s="128"/>
      <c r="I351" s="128"/>
      <c r="J351" s="128"/>
      <c r="K351" s="128"/>
      <c r="L351" s="128"/>
      <c r="M351" s="128"/>
      <c r="N351" s="128"/>
      <c r="O351" s="128"/>
      <c r="P351" s="128"/>
      <c r="Q351" s="128"/>
      <c r="R351" s="128"/>
      <c r="S351" s="128"/>
      <c r="T351" s="128"/>
      <c r="U351" s="128"/>
      <c r="V351" s="128"/>
      <c r="W351" s="128"/>
      <c r="X351" s="128"/>
      <c r="Y351" s="128"/>
      <c r="Z351" s="128"/>
      <c r="AA351" s="128"/>
    </row>
    <row r="352">
      <c r="A352" s="134"/>
      <c r="B352" s="134"/>
      <c r="C352" s="128"/>
      <c r="D352" s="128"/>
      <c r="E352" s="128"/>
      <c r="F352" s="128"/>
      <c r="G352" s="128"/>
      <c r="H352" s="128"/>
      <c r="I352" s="128"/>
      <c r="J352" s="128"/>
      <c r="K352" s="128"/>
      <c r="L352" s="128"/>
      <c r="M352" s="128"/>
      <c r="N352" s="128"/>
      <c r="O352" s="128"/>
      <c r="P352" s="128"/>
      <c r="Q352" s="128"/>
      <c r="R352" s="128"/>
      <c r="S352" s="128"/>
      <c r="T352" s="128"/>
      <c r="U352" s="128"/>
      <c r="V352" s="128"/>
      <c r="W352" s="128"/>
      <c r="X352" s="128"/>
      <c r="Y352" s="128"/>
      <c r="Z352" s="128"/>
      <c r="AA352" s="128"/>
    </row>
    <row r="353">
      <c r="A353" s="134"/>
      <c r="B353" s="134"/>
      <c r="C353" s="128"/>
      <c r="D353" s="128"/>
      <c r="E353" s="128"/>
      <c r="F353" s="128"/>
      <c r="G353" s="128"/>
      <c r="H353" s="128"/>
      <c r="I353" s="128"/>
      <c r="J353" s="128"/>
      <c r="K353" s="128"/>
      <c r="L353" s="128"/>
      <c r="M353" s="128"/>
      <c r="N353" s="128"/>
      <c r="O353" s="128"/>
      <c r="P353" s="128"/>
      <c r="Q353" s="128"/>
      <c r="R353" s="128"/>
      <c r="S353" s="128"/>
      <c r="T353" s="128"/>
      <c r="U353" s="128"/>
      <c r="V353" s="128"/>
      <c r="W353" s="128"/>
      <c r="X353" s="128"/>
      <c r="Y353" s="128"/>
      <c r="Z353" s="128"/>
      <c r="AA353" s="128"/>
    </row>
    <row r="354">
      <c r="A354" s="134"/>
      <c r="B354" s="134"/>
      <c r="C354" s="128"/>
      <c r="D354" s="128"/>
      <c r="E354" s="128"/>
      <c r="F354" s="128"/>
      <c r="G354" s="128"/>
      <c r="H354" s="128"/>
      <c r="I354" s="128"/>
      <c r="J354" s="128"/>
      <c r="K354" s="128"/>
      <c r="L354" s="128"/>
      <c r="M354" s="128"/>
      <c r="N354" s="128"/>
      <c r="O354" s="128"/>
      <c r="P354" s="128"/>
      <c r="Q354" s="128"/>
      <c r="R354" s="128"/>
      <c r="S354" s="128"/>
      <c r="T354" s="128"/>
      <c r="U354" s="128"/>
      <c r="V354" s="128"/>
      <c r="W354" s="128"/>
      <c r="X354" s="128"/>
      <c r="Y354" s="128"/>
      <c r="Z354" s="128"/>
      <c r="AA354" s="128"/>
    </row>
    <row r="355">
      <c r="A355" s="134"/>
      <c r="B355" s="134"/>
      <c r="C355" s="128"/>
      <c r="D355" s="128"/>
      <c r="E355" s="128"/>
      <c r="F355" s="128"/>
      <c r="G355" s="128"/>
      <c r="H355" s="128"/>
      <c r="I355" s="128"/>
      <c r="J355" s="128"/>
      <c r="K355" s="128"/>
      <c r="L355" s="128"/>
      <c r="M355" s="128"/>
      <c r="N355" s="128"/>
      <c r="O355" s="128"/>
      <c r="P355" s="128"/>
      <c r="Q355" s="128"/>
      <c r="R355" s="128"/>
      <c r="S355" s="128"/>
      <c r="T355" s="128"/>
      <c r="U355" s="128"/>
      <c r="V355" s="128"/>
      <c r="W355" s="128"/>
      <c r="X355" s="128"/>
      <c r="Y355" s="128"/>
      <c r="Z355" s="128"/>
      <c r="AA355" s="128"/>
    </row>
    <row r="356">
      <c r="A356" s="134"/>
      <c r="B356" s="134"/>
      <c r="C356" s="128"/>
      <c r="D356" s="128"/>
      <c r="E356" s="128"/>
      <c r="F356" s="128"/>
      <c r="G356" s="128"/>
      <c r="H356" s="128"/>
      <c r="I356" s="128"/>
      <c r="J356" s="128"/>
      <c r="K356" s="128"/>
      <c r="L356" s="128"/>
      <c r="M356" s="128"/>
      <c r="N356" s="128"/>
      <c r="O356" s="128"/>
      <c r="P356" s="128"/>
      <c r="Q356" s="128"/>
      <c r="R356" s="128"/>
      <c r="S356" s="128"/>
      <c r="T356" s="128"/>
      <c r="U356" s="128"/>
      <c r="V356" s="128"/>
      <c r="W356" s="128"/>
      <c r="X356" s="128"/>
      <c r="Y356" s="128"/>
      <c r="Z356" s="128"/>
      <c r="AA356" s="128"/>
    </row>
    <row r="357">
      <c r="A357" s="134"/>
      <c r="B357" s="134"/>
      <c r="C357" s="128"/>
      <c r="D357" s="128"/>
      <c r="E357" s="128"/>
      <c r="F357" s="128"/>
      <c r="G357" s="128"/>
      <c r="H357" s="128"/>
      <c r="I357" s="128"/>
      <c r="J357" s="128"/>
      <c r="K357" s="128"/>
      <c r="L357" s="128"/>
      <c r="M357" s="128"/>
      <c r="N357" s="128"/>
      <c r="O357" s="128"/>
      <c r="P357" s="128"/>
      <c r="Q357" s="128"/>
      <c r="R357" s="128"/>
      <c r="S357" s="128"/>
      <c r="T357" s="128"/>
      <c r="U357" s="128"/>
      <c r="V357" s="128"/>
      <c r="W357" s="128"/>
      <c r="X357" s="128"/>
      <c r="Y357" s="128"/>
      <c r="Z357" s="128"/>
      <c r="AA357" s="128"/>
    </row>
    <row r="358">
      <c r="A358" s="134"/>
      <c r="B358" s="134"/>
      <c r="C358" s="128"/>
      <c r="D358" s="128"/>
      <c r="E358" s="128"/>
      <c r="F358" s="128"/>
      <c r="G358" s="128"/>
      <c r="H358" s="128"/>
      <c r="I358" s="128"/>
      <c r="J358" s="128"/>
      <c r="K358" s="128"/>
      <c r="L358" s="128"/>
      <c r="M358" s="128"/>
      <c r="N358" s="128"/>
      <c r="O358" s="128"/>
      <c r="P358" s="128"/>
      <c r="Q358" s="128"/>
      <c r="R358" s="128"/>
      <c r="S358" s="128"/>
      <c r="T358" s="128"/>
      <c r="U358" s="128"/>
      <c r="V358" s="128"/>
      <c r="W358" s="128"/>
      <c r="X358" s="128"/>
      <c r="Y358" s="128"/>
      <c r="Z358" s="128"/>
      <c r="AA358" s="128"/>
    </row>
    <row r="359">
      <c r="A359" s="134"/>
      <c r="B359" s="134"/>
      <c r="C359" s="128"/>
      <c r="D359" s="128"/>
      <c r="E359" s="128"/>
      <c r="F359" s="128"/>
      <c r="G359" s="128"/>
      <c r="H359" s="128"/>
      <c r="I359" s="128"/>
      <c r="J359" s="128"/>
      <c r="K359" s="128"/>
      <c r="L359" s="128"/>
      <c r="M359" s="128"/>
      <c r="N359" s="128"/>
      <c r="O359" s="128"/>
      <c r="P359" s="128"/>
      <c r="Q359" s="128"/>
      <c r="R359" s="128"/>
      <c r="S359" s="128"/>
      <c r="T359" s="128"/>
      <c r="U359" s="128"/>
      <c r="V359" s="128"/>
      <c r="W359" s="128"/>
      <c r="X359" s="128"/>
      <c r="Y359" s="128"/>
      <c r="Z359" s="128"/>
      <c r="AA359" s="128"/>
    </row>
    <row r="360">
      <c r="A360" s="134"/>
      <c r="B360" s="134"/>
      <c r="C360" s="128"/>
      <c r="D360" s="128"/>
      <c r="E360" s="128"/>
      <c r="F360" s="128"/>
      <c r="G360" s="128"/>
      <c r="H360" s="128"/>
      <c r="I360" s="128"/>
      <c r="J360" s="128"/>
      <c r="K360" s="128"/>
      <c r="L360" s="128"/>
      <c r="M360" s="128"/>
      <c r="N360" s="128"/>
      <c r="O360" s="128"/>
      <c r="P360" s="128"/>
      <c r="Q360" s="128"/>
      <c r="R360" s="128"/>
      <c r="S360" s="128"/>
      <c r="T360" s="128"/>
      <c r="U360" s="128"/>
      <c r="V360" s="128"/>
      <c r="W360" s="128"/>
      <c r="X360" s="128"/>
      <c r="Y360" s="128"/>
      <c r="Z360" s="128"/>
      <c r="AA360" s="128"/>
    </row>
    <row r="361">
      <c r="A361" s="134"/>
      <c r="B361" s="134"/>
      <c r="C361" s="128"/>
      <c r="D361" s="128"/>
      <c r="E361" s="128"/>
      <c r="F361" s="128"/>
      <c r="G361" s="128"/>
      <c r="H361" s="128"/>
      <c r="I361" s="128"/>
      <c r="J361" s="128"/>
      <c r="K361" s="128"/>
      <c r="L361" s="128"/>
      <c r="M361" s="128"/>
      <c r="N361" s="128"/>
      <c r="O361" s="128"/>
      <c r="P361" s="128"/>
      <c r="Q361" s="128"/>
      <c r="R361" s="128"/>
      <c r="S361" s="128"/>
      <c r="T361" s="128"/>
      <c r="U361" s="128"/>
      <c r="V361" s="128"/>
      <c r="W361" s="128"/>
      <c r="X361" s="128"/>
      <c r="Y361" s="128"/>
      <c r="Z361" s="128"/>
      <c r="AA361" s="128"/>
    </row>
    <row r="362">
      <c r="A362" s="134"/>
      <c r="B362" s="134"/>
      <c r="C362" s="128"/>
      <c r="D362" s="128"/>
      <c r="E362" s="128"/>
      <c r="F362" s="128"/>
      <c r="G362" s="128"/>
      <c r="H362" s="128"/>
      <c r="I362" s="128"/>
      <c r="J362" s="128"/>
      <c r="K362" s="128"/>
      <c r="L362" s="128"/>
      <c r="M362" s="128"/>
      <c r="N362" s="128"/>
      <c r="O362" s="128"/>
      <c r="P362" s="128"/>
      <c r="Q362" s="128"/>
      <c r="R362" s="128"/>
      <c r="S362" s="128"/>
      <c r="T362" s="128"/>
      <c r="U362" s="128"/>
      <c r="V362" s="128"/>
      <c r="W362" s="128"/>
      <c r="X362" s="128"/>
      <c r="Y362" s="128"/>
      <c r="Z362" s="128"/>
      <c r="AA362" s="128"/>
    </row>
    <row r="363">
      <c r="A363" s="134"/>
      <c r="B363" s="134"/>
      <c r="C363" s="128"/>
      <c r="D363" s="128"/>
      <c r="E363" s="128"/>
      <c r="F363" s="128"/>
      <c r="G363" s="128"/>
      <c r="H363" s="128"/>
      <c r="I363" s="128"/>
      <c r="J363" s="128"/>
      <c r="K363" s="128"/>
      <c r="L363" s="128"/>
      <c r="M363" s="128"/>
      <c r="N363" s="128"/>
      <c r="O363" s="128"/>
      <c r="P363" s="128"/>
      <c r="Q363" s="128"/>
      <c r="R363" s="128"/>
      <c r="S363" s="128"/>
      <c r="T363" s="128"/>
      <c r="U363" s="128"/>
      <c r="V363" s="128"/>
      <c r="W363" s="128"/>
      <c r="X363" s="128"/>
      <c r="Y363" s="128"/>
      <c r="Z363" s="128"/>
      <c r="AA363" s="128"/>
    </row>
    <row r="364">
      <c r="A364" s="134"/>
      <c r="B364" s="134"/>
      <c r="C364" s="128"/>
      <c r="D364" s="128"/>
      <c r="E364" s="128"/>
      <c r="F364" s="128"/>
      <c r="G364" s="128"/>
      <c r="H364" s="128"/>
      <c r="I364" s="128"/>
      <c r="J364" s="128"/>
      <c r="K364" s="128"/>
      <c r="L364" s="128"/>
      <c r="M364" s="128"/>
      <c r="N364" s="128"/>
      <c r="O364" s="128"/>
      <c r="P364" s="128"/>
      <c r="Q364" s="128"/>
      <c r="R364" s="128"/>
      <c r="S364" s="128"/>
      <c r="T364" s="128"/>
      <c r="U364" s="128"/>
      <c r="V364" s="128"/>
      <c r="W364" s="128"/>
      <c r="X364" s="128"/>
      <c r="Y364" s="128"/>
      <c r="Z364" s="128"/>
      <c r="AA364" s="128"/>
    </row>
    <row r="365">
      <c r="A365" s="134"/>
      <c r="B365" s="134"/>
      <c r="C365" s="128"/>
      <c r="D365" s="128"/>
      <c r="E365" s="128"/>
      <c r="F365" s="128"/>
      <c r="G365" s="128"/>
      <c r="H365" s="128"/>
      <c r="I365" s="128"/>
      <c r="J365" s="128"/>
      <c r="K365" s="128"/>
      <c r="L365" s="128"/>
      <c r="M365" s="128"/>
      <c r="N365" s="128"/>
      <c r="O365" s="128"/>
      <c r="P365" s="128"/>
      <c r="Q365" s="128"/>
      <c r="R365" s="128"/>
      <c r="S365" s="128"/>
      <c r="T365" s="128"/>
      <c r="U365" s="128"/>
      <c r="V365" s="128"/>
      <c r="W365" s="128"/>
      <c r="X365" s="128"/>
      <c r="Y365" s="128"/>
      <c r="Z365" s="128"/>
      <c r="AA365" s="128"/>
    </row>
    <row r="366">
      <c r="A366" s="134"/>
      <c r="B366" s="134"/>
      <c r="C366" s="128"/>
      <c r="D366" s="128"/>
      <c r="E366" s="128"/>
      <c r="F366" s="128"/>
      <c r="G366" s="128"/>
      <c r="H366" s="128"/>
      <c r="I366" s="128"/>
      <c r="J366" s="128"/>
      <c r="K366" s="128"/>
      <c r="L366" s="128"/>
      <c r="M366" s="128"/>
      <c r="N366" s="128"/>
      <c r="O366" s="128"/>
      <c r="P366" s="128"/>
      <c r="Q366" s="128"/>
      <c r="R366" s="128"/>
      <c r="S366" s="128"/>
      <c r="T366" s="128"/>
      <c r="U366" s="128"/>
      <c r="V366" s="128"/>
      <c r="W366" s="128"/>
      <c r="X366" s="128"/>
      <c r="Y366" s="128"/>
      <c r="Z366" s="128"/>
      <c r="AA366" s="128"/>
    </row>
    <row r="367">
      <c r="A367" s="134"/>
      <c r="B367" s="134"/>
      <c r="C367" s="128"/>
      <c r="D367" s="128"/>
      <c r="E367" s="128"/>
      <c r="F367" s="128"/>
      <c r="G367" s="128"/>
      <c r="H367" s="128"/>
      <c r="I367" s="128"/>
      <c r="J367" s="128"/>
      <c r="K367" s="128"/>
      <c r="L367" s="128"/>
      <c r="M367" s="128"/>
      <c r="N367" s="128"/>
      <c r="O367" s="128"/>
      <c r="P367" s="128"/>
      <c r="Q367" s="128"/>
      <c r="R367" s="128"/>
      <c r="S367" s="128"/>
      <c r="T367" s="128"/>
      <c r="U367" s="128"/>
      <c r="V367" s="128"/>
      <c r="W367" s="128"/>
      <c r="X367" s="128"/>
      <c r="Y367" s="128"/>
      <c r="Z367" s="128"/>
      <c r="AA367" s="128"/>
    </row>
    <row r="368">
      <c r="A368" s="134"/>
      <c r="B368" s="134"/>
      <c r="C368" s="128"/>
      <c r="D368" s="128"/>
      <c r="E368" s="128"/>
      <c r="F368" s="128"/>
      <c r="G368" s="128"/>
      <c r="H368" s="128"/>
      <c r="I368" s="128"/>
      <c r="J368" s="128"/>
      <c r="K368" s="128"/>
      <c r="L368" s="128"/>
      <c r="M368" s="128"/>
      <c r="N368" s="128"/>
      <c r="O368" s="128"/>
      <c r="P368" s="128"/>
      <c r="Q368" s="128"/>
      <c r="R368" s="128"/>
      <c r="S368" s="128"/>
      <c r="T368" s="128"/>
      <c r="U368" s="128"/>
      <c r="V368" s="128"/>
      <c r="W368" s="128"/>
      <c r="X368" s="128"/>
      <c r="Y368" s="128"/>
      <c r="Z368" s="128"/>
      <c r="AA368" s="128"/>
    </row>
    <row r="369">
      <c r="A369" s="134"/>
      <c r="B369" s="134"/>
      <c r="C369" s="128"/>
      <c r="D369" s="128"/>
      <c r="E369" s="128"/>
      <c r="F369" s="128"/>
      <c r="G369" s="128"/>
      <c r="H369" s="128"/>
      <c r="I369" s="128"/>
      <c r="J369" s="128"/>
      <c r="K369" s="128"/>
      <c r="L369" s="128"/>
      <c r="M369" s="128"/>
      <c r="N369" s="128"/>
      <c r="O369" s="128"/>
      <c r="P369" s="128"/>
      <c r="Q369" s="128"/>
      <c r="R369" s="128"/>
      <c r="S369" s="128"/>
      <c r="T369" s="128"/>
      <c r="U369" s="128"/>
      <c r="V369" s="128"/>
      <c r="W369" s="128"/>
      <c r="X369" s="128"/>
      <c r="Y369" s="128"/>
      <c r="Z369" s="128"/>
      <c r="AA369" s="128"/>
    </row>
    <row r="370">
      <c r="A370" s="134"/>
      <c r="B370" s="134"/>
      <c r="C370" s="128"/>
      <c r="D370" s="128"/>
      <c r="E370" s="128"/>
      <c r="F370" s="128"/>
      <c r="G370" s="128"/>
      <c r="H370" s="128"/>
      <c r="I370" s="128"/>
      <c r="J370" s="128"/>
      <c r="K370" s="128"/>
      <c r="L370" s="128"/>
      <c r="M370" s="128"/>
      <c r="N370" s="128"/>
      <c r="O370" s="128"/>
      <c r="P370" s="128"/>
      <c r="Q370" s="128"/>
      <c r="R370" s="128"/>
      <c r="S370" s="128"/>
      <c r="T370" s="128"/>
      <c r="U370" s="128"/>
      <c r="V370" s="128"/>
      <c r="W370" s="128"/>
      <c r="X370" s="128"/>
      <c r="Y370" s="128"/>
      <c r="Z370" s="128"/>
      <c r="AA370" s="128"/>
    </row>
    <row r="371">
      <c r="A371" s="134"/>
      <c r="B371" s="134"/>
      <c r="C371" s="128"/>
      <c r="D371" s="128"/>
      <c r="E371" s="128"/>
      <c r="F371" s="128"/>
      <c r="G371" s="128"/>
      <c r="H371" s="128"/>
      <c r="I371" s="128"/>
      <c r="J371" s="128"/>
      <c r="K371" s="128"/>
      <c r="L371" s="128"/>
      <c r="M371" s="128"/>
      <c r="N371" s="128"/>
      <c r="O371" s="128"/>
      <c r="P371" s="128"/>
      <c r="Q371" s="128"/>
      <c r="R371" s="128"/>
      <c r="S371" s="128"/>
      <c r="T371" s="128"/>
      <c r="U371" s="128"/>
      <c r="V371" s="128"/>
      <c r="W371" s="128"/>
      <c r="X371" s="128"/>
      <c r="Y371" s="128"/>
      <c r="Z371" s="128"/>
      <c r="AA371" s="128"/>
    </row>
    <row r="372">
      <c r="A372" s="134"/>
      <c r="B372" s="134"/>
      <c r="C372" s="128"/>
      <c r="D372" s="128"/>
      <c r="E372" s="128"/>
      <c r="F372" s="128"/>
      <c r="G372" s="128"/>
      <c r="H372" s="128"/>
      <c r="I372" s="128"/>
      <c r="J372" s="128"/>
      <c r="K372" s="128"/>
      <c r="L372" s="128"/>
      <c r="M372" s="128"/>
      <c r="N372" s="128"/>
      <c r="O372" s="128"/>
      <c r="P372" s="128"/>
      <c r="Q372" s="128"/>
      <c r="R372" s="128"/>
      <c r="S372" s="128"/>
      <c r="T372" s="128"/>
      <c r="U372" s="128"/>
      <c r="V372" s="128"/>
      <c r="W372" s="128"/>
      <c r="X372" s="128"/>
      <c r="Y372" s="128"/>
      <c r="Z372" s="128"/>
      <c r="AA372" s="128"/>
    </row>
    <row r="373">
      <c r="A373" s="134"/>
      <c r="B373" s="134"/>
      <c r="C373" s="128"/>
      <c r="D373" s="128"/>
      <c r="E373" s="128"/>
      <c r="F373" s="128"/>
      <c r="G373" s="128"/>
      <c r="H373" s="128"/>
      <c r="I373" s="128"/>
      <c r="J373" s="128"/>
      <c r="K373" s="128"/>
      <c r="L373" s="128"/>
      <c r="M373" s="128"/>
      <c r="N373" s="128"/>
      <c r="O373" s="128"/>
      <c r="P373" s="128"/>
      <c r="Q373" s="128"/>
      <c r="R373" s="128"/>
      <c r="S373" s="128"/>
      <c r="T373" s="128"/>
      <c r="U373" s="128"/>
      <c r="V373" s="128"/>
      <c r="W373" s="128"/>
      <c r="X373" s="128"/>
      <c r="Y373" s="128"/>
      <c r="Z373" s="128"/>
      <c r="AA373" s="128"/>
    </row>
    <row r="374">
      <c r="A374" s="134"/>
      <c r="B374" s="134"/>
      <c r="C374" s="128"/>
      <c r="D374" s="128"/>
      <c r="E374" s="128"/>
      <c r="F374" s="128"/>
      <c r="G374" s="128"/>
      <c r="H374" s="128"/>
      <c r="I374" s="128"/>
      <c r="J374" s="128"/>
      <c r="K374" s="128"/>
      <c r="L374" s="128"/>
      <c r="M374" s="128"/>
      <c r="N374" s="128"/>
      <c r="O374" s="128"/>
      <c r="P374" s="128"/>
      <c r="Q374" s="128"/>
      <c r="R374" s="128"/>
      <c r="S374" s="128"/>
      <c r="T374" s="128"/>
      <c r="U374" s="128"/>
      <c r="V374" s="128"/>
      <c r="W374" s="128"/>
      <c r="X374" s="128"/>
      <c r="Y374" s="128"/>
      <c r="Z374" s="128"/>
      <c r="AA374" s="128"/>
    </row>
    <row r="375">
      <c r="A375" s="134"/>
      <c r="B375" s="134"/>
      <c r="C375" s="128"/>
      <c r="D375" s="128"/>
      <c r="E375" s="128"/>
      <c r="F375" s="128"/>
      <c r="G375" s="128"/>
      <c r="H375" s="128"/>
      <c r="I375" s="128"/>
      <c r="J375" s="128"/>
      <c r="K375" s="128"/>
      <c r="L375" s="128"/>
      <c r="M375" s="128"/>
      <c r="N375" s="128"/>
      <c r="O375" s="128"/>
      <c r="P375" s="128"/>
      <c r="Q375" s="128"/>
      <c r="R375" s="128"/>
      <c r="S375" s="128"/>
      <c r="T375" s="128"/>
      <c r="U375" s="128"/>
      <c r="V375" s="128"/>
      <c r="W375" s="128"/>
      <c r="X375" s="128"/>
      <c r="Y375" s="128"/>
      <c r="Z375" s="128"/>
      <c r="AA375" s="128"/>
    </row>
    <row r="376">
      <c r="A376" s="134"/>
      <c r="B376" s="134"/>
      <c r="C376" s="128"/>
      <c r="D376" s="128"/>
      <c r="E376" s="128"/>
      <c r="F376" s="128"/>
      <c r="G376" s="128"/>
      <c r="H376" s="128"/>
      <c r="I376" s="128"/>
      <c r="J376" s="128"/>
      <c r="K376" s="128"/>
      <c r="L376" s="128"/>
      <c r="M376" s="128"/>
      <c r="N376" s="128"/>
      <c r="O376" s="128"/>
      <c r="P376" s="128"/>
      <c r="Q376" s="128"/>
      <c r="R376" s="128"/>
      <c r="S376" s="128"/>
      <c r="T376" s="128"/>
      <c r="U376" s="128"/>
      <c r="V376" s="128"/>
      <c r="W376" s="128"/>
      <c r="X376" s="128"/>
      <c r="Y376" s="128"/>
      <c r="Z376" s="128"/>
      <c r="AA376" s="128"/>
    </row>
    <row r="377">
      <c r="A377" s="134"/>
      <c r="B377" s="134"/>
      <c r="C377" s="128"/>
      <c r="D377" s="128"/>
      <c r="E377" s="128"/>
      <c r="F377" s="128"/>
      <c r="G377" s="128"/>
      <c r="H377" s="128"/>
      <c r="I377" s="128"/>
      <c r="J377" s="128"/>
      <c r="K377" s="128"/>
      <c r="L377" s="128"/>
      <c r="M377" s="128"/>
      <c r="N377" s="128"/>
      <c r="O377" s="128"/>
      <c r="P377" s="128"/>
      <c r="Q377" s="128"/>
      <c r="R377" s="128"/>
      <c r="S377" s="128"/>
      <c r="T377" s="128"/>
      <c r="U377" s="128"/>
      <c r="V377" s="128"/>
      <c r="W377" s="128"/>
      <c r="X377" s="128"/>
      <c r="Y377" s="128"/>
      <c r="Z377" s="128"/>
      <c r="AA377" s="128"/>
    </row>
    <row r="378">
      <c r="A378" s="134"/>
      <c r="B378" s="134"/>
      <c r="C378" s="128"/>
      <c r="D378" s="128"/>
      <c r="E378" s="128"/>
      <c r="F378" s="128"/>
      <c r="G378" s="128"/>
      <c r="H378" s="128"/>
      <c r="I378" s="128"/>
      <c r="J378" s="128"/>
      <c r="K378" s="128"/>
      <c r="L378" s="128"/>
      <c r="M378" s="128"/>
      <c r="N378" s="128"/>
      <c r="O378" s="128"/>
      <c r="P378" s="128"/>
      <c r="Q378" s="128"/>
      <c r="R378" s="128"/>
      <c r="S378" s="128"/>
      <c r="T378" s="128"/>
      <c r="U378" s="128"/>
      <c r="V378" s="128"/>
      <c r="W378" s="128"/>
      <c r="X378" s="128"/>
      <c r="Y378" s="128"/>
      <c r="Z378" s="128"/>
      <c r="AA378" s="128"/>
    </row>
    <row r="379">
      <c r="A379" s="134"/>
      <c r="B379" s="134"/>
      <c r="C379" s="128"/>
      <c r="D379" s="128"/>
      <c r="E379" s="128"/>
      <c r="F379" s="128"/>
      <c r="G379" s="128"/>
      <c r="H379" s="128"/>
      <c r="I379" s="128"/>
      <c r="J379" s="128"/>
      <c r="K379" s="128"/>
      <c r="L379" s="128"/>
      <c r="M379" s="128"/>
      <c r="N379" s="128"/>
      <c r="O379" s="128"/>
      <c r="P379" s="128"/>
      <c r="Q379" s="128"/>
      <c r="R379" s="128"/>
      <c r="S379" s="128"/>
      <c r="T379" s="128"/>
      <c r="U379" s="128"/>
      <c r="V379" s="128"/>
      <c r="W379" s="128"/>
      <c r="X379" s="128"/>
      <c r="Y379" s="128"/>
      <c r="Z379" s="128"/>
      <c r="AA379" s="128"/>
    </row>
    <row r="380">
      <c r="A380" s="134"/>
      <c r="B380" s="134"/>
      <c r="C380" s="128"/>
      <c r="D380" s="128"/>
      <c r="E380" s="128"/>
      <c r="F380" s="128"/>
      <c r="G380" s="128"/>
      <c r="H380" s="128"/>
      <c r="I380" s="128"/>
      <c r="J380" s="128"/>
      <c r="K380" s="128"/>
      <c r="L380" s="128"/>
      <c r="M380" s="128"/>
      <c r="N380" s="128"/>
      <c r="O380" s="128"/>
      <c r="P380" s="128"/>
      <c r="Q380" s="128"/>
      <c r="R380" s="128"/>
      <c r="S380" s="128"/>
      <c r="T380" s="128"/>
      <c r="U380" s="128"/>
      <c r="V380" s="128"/>
      <c r="W380" s="128"/>
      <c r="X380" s="128"/>
      <c r="Y380" s="128"/>
      <c r="Z380" s="128"/>
      <c r="AA380" s="128"/>
    </row>
    <row r="381">
      <c r="A381" s="134"/>
      <c r="B381" s="134"/>
      <c r="C381" s="128"/>
      <c r="D381" s="128"/>
      <c r="E381" s="128"/>
      <c r="F381" s="128"/>
      <c r="G381" s="128"/>
      <c r="H381" s="128"/>
      <c r="I381" s="128"/>
      <c r="J381" s="128"/>
      <c r="K381" s="128"/>
      <c r="L381" s="128"/>
      <c r="M381" s="128"/>
      <c r="N381" s="128"/>
      <c r="O381" s="128"/>
      <c r="P381" s="128"/>
      <c r="Q381" s="128"/>
      <c r="R381" s="128"/>
      <c r="S381" s="128"/>
      <c r="T381" s="128"/>
      <c r="U381" s="128"/>
      <c r="V381" s="128"/>
      <c r="W381" s="128"/>
      <c r="X381" s="128"/>
      <c r="Y381" s="128"/>
      <c r="Z381" s="128"/>
      <c r="AA381" s="128"/>
    </row>
    <row r="382">
      <c r="A382" s="134"/>
      <c r="B382" s="134"/>
      <c r="C382" s="128"/>
      <c r="D382" s="128"/>
      <c r="E382" s="128"/>
      <c r="F382" s="128"/>
      <c r="G382" s="128"/>
      <c r="H382" s="128"/>
      <c r="I382" s="128"/>
      <c r="J382" s="128"/>
      <c r="K382" s="128"/>
      <c r="L382" s="128"/>
      <c r="M382" s="128"/>
      <c r="N382" s="128"/>
      <c r="O382" s="128"/>
      <c r="P382" s="128"/>
      <c r="Q382" s="128"/>
      <c r="R382" s="128"/>
      <c r="S382" s="128"/>
      <c r="T382" s="128"/>
      <c r="U382" s="128"/>
      <c r="V382" s="128"/>
      <c r="W382" s="128"/>
      <c r="X382" s="128"/>
      <c r="Y382" s="128"/>
      <c r="Z382" s="128"/>
      <c r="AA382" s="128"/>
    </row>
    <row r="383">
      <c r="A383" s="134"/>
      <c r="B383" s="134"/>
      <c r="C383" s="128"/>
      <c r="D383" s="128"/>
      <c r="E383" s="128"/>
      <c r="F383" s="128"/>
      <c r="G383" s="128"/>
      <c r="H383" s="128"/>
      <c r="I383" s="128"/>
      <c r="J383" s="128"/>
      <c r="K383" s="128"/>
      <c r="L383" s="128"/>
      <c r="M383" s="128"/>
      <c r="N383" s="128"/>
      <c r="O383" s="128"/>
      <c r="P383" s="128"/>
      <c r="Q383" s="128"/>
      <c r="R383" s="128"/>
      <c r="S383" s="128"/>
      <c r="T383" s="128"/>
      <c r="U383" s="128"/>
      <c r="V383" s="128"/>
      <c r="W383" s="128"/>
      <c r="X383" s="128"/>
      <c r="Y383" s="128"/>
      <c r="Z383" s="128"/>
      <c r="AA383" s="128"/>
    </row>
    <row r="384">
      <c r="A384" s="134"/>
      <c r="B384" s="134"/>
      <c r="C384" s="128"/>
      <c r="D384" s="128"/>
      <c r="E384" s="128"/>
      <c r="F384" s="128"/>
      <c r="G384" s="128"/>
      <c r="H384" s="128"/>
      <c r="I384" s="128"/>
      <c r="J384" s="128"/>
      <c r="K384" s="128"/>
      <c r="L384" s="128"/>
      <c r="M384" s="128"/>
      <c r="N384" s="128"/>
      <c r="O384" s="128"/>
      <c r="P384" s="128"/>
      <c r="Q384" s="128"/>
      <c r="R384" s="128"/>
      <c r="S384" s="128"/>
      <c r="T384" s="128"/>
      <c r="U384" s="128"/>
      <c r="V384" s="128"/>
      <c r="W384" s="128"/>
      <c r="X384" s="128"/>
      <c r="Y384" s="128"/>
      <c r="Z384" s="128"/>
      <c r="AA384" s="128"/>
    </row>
    <row r="385">
      <c r="A385" s="134"/>
      <c r="B385" s="134"/>
      <c r="C385" s="128"/>
      <c r="D385" s="128"/>
      <c r="E385" s="128"/>
      <c r="F385" s="128"/>
      <c r="G385" s="128"/>
      <c r="H385" s="128"/>
      <c r="I385" s="128"/>
      <c r="J385" s="128"/>
      <c r="K385" s="128"/>
      <c r="L385" s="128"/>
      <c r="M385" s="128"/>
      <c r="N385" s="128"/>
      <c r="O385" s="128"/>
      <c r="P385" s="128"/>
      <c r="Q385" s="128"/>
      <c r="R385" s="128"/>
      <c r="S385" s="128"/>
      <c r="T385" s="128"/>
      <c r="U385" s="128"/>
      <c r="V385" s="128"/>
      <c r="W385" s="128"/>
      <c r="X385" s="128"/>
      <c r="Y385" s="128"/>
      <c r="Z385" s="128"/>
      <c r="AA385" s="128"/>
    </row>
    <row r="386">
      <c r="A386" s="134"/>
      <c r="B386" s="134"/>
      <c r="C386" s="128"/>
      <c r="D386" s="128"/>
      <c r="E386" s="128"/>
      <c r="F386" s="128"/>
      <c r="G386" s="128"/>
      <c r="H386" s="128"/>
      <c r="I386" s="128"/>
      <c r="J386" s="128"/>
      <c r="K386" s="128"/>
      <c r="L386" s="128"/>
      <c r="M386" s="128"/>
      <c r="N386" s="128"/>
      <c r="O386" s="128"/>
      <c r="P386" s="128"/>
      <c r="Q386" s="128"/>
      <c r="R386" s="128"/>
      <c r="S386" s="128"/>
      <c r="T386" s="128"/>
      <c r="U386" s="128"/>
      <c r="V386" s="128"/>
      <c r="W386" s="128"/>
      <c r="X386" s="128"/>
      <c r="Y386" s="128"/>
      <c r="Z386" s="128"/>
      <c r="AA386" s="128"/>
    </row>
    <row r="387">
      <c r="A387" s="134"/>
      <c r="B387" s="134"/>
      <c r="C387" s="128"/>
      <c r="D387" s="128"/>
      <c r="E387" s="128"/>
      <c r="F387" s="128"/>
      <c r="G387" s="128"/>
      <c r="H387" s="128"/>
      <c r="I387" s="128"/>
      <c r="J387" s="128"/>
      <c r="K387" s="128"/>
      <c r="L387" s="128"/>
      <c r="M387" s="128"/>
      <c r="N387" s="128"/>
      <c r="O387" s="128"/>
      <c r="P387" s="128"/>
      <c r="Q387" s="128"/>
      <c r="R387" s="128"/>
      <c r="S387" s="128"/>
      <c r="T387" s="128"/>
      <c r="U387" s="128"/>
      <c r="V387" s="128"/>
      <c r="W387" s="128"/>
      <c r="X387" s="128"/>
      <c r="Y387" s="128"/>
      <c r="Z387" s="128"/>
      <c r="AA387" s="128"/>
    </row>
    <row r="388">
      <c r="A388" s="134"/>
      <c r="B388" s="134"/>
      <c r="C388" s="128"/>
      <c r="D388" s="128"/>
      <c r="E388" s="128"/>
      <c r="F388" s="128"/>
      <c r="G388" s="128"/>
      <c r="H388" s="128"/>
      <c r="I388" s="128"/>
      <c r="J388" s="128"/>
      <c r="K388" s="128"/>
      <c r="L388" s="128"/>
      <c r="M388" s="128"/>
      <c r="N388" s="128"/>
      <c r="O388" s="128"/>
      <c r="P388" s="128"/>
      <c r="Q388" s="128"/>
      <c r="R388" s="128"/>
      <c r="S388" s="128"/>
      <c r="T388" s="128"/>
      <c r="U388" s="128"/>
      <c r="V388" s="128"/>
      <c r="W388" s="128"/>
      <c r="X388" s="128"/>
      <c r="Y388" s="128"/>
      <c r="Z388" s="128"/>
      <c r="AA388" s="128"/>
    </row>
    <row r="389">
      <c r="A389" s="134"/>
      <c r="B389" s="134"/>
      <c r="C389" s="128"/>
      <c r="D389" s="128"/>
      <c r="E389" s="128"/>
      <c r="F389" s="128"/>
      <c r="G389" s="128"/>
      <c r="H389" s="128"/>
      <c r="I389" s="128"/>
      <c r="J389" s="128"/>
      <c r="K389" s="128"/>
      <c r="L389" s="128"/>
      <c r="M389" s="128"/>
      <c r="N389" s="128"/>
      <c r="O389" s="128"/>
      <c r="P389" s="128"/>
      <c r="Q389" s="128"/>
      <c r="R389" s="128"/>
      <c r="S389" s="128"/>
      <c r="T389" s="128"/>
      <c r="U389" s="128"/>
      <c r="V389" s="128"/>
      <c r="W389" s="128"/>
      <c r="X389" s="128"/>
      <c r="Y389" s="128"/>
      <c r="Z389" s="128"/>
      <c r="AA389" s="128"/>
    </row>
    <row r="390">
      <c r="A390" s="134"/>
      <c r="B390" s="134"/>
      <c r="C390" s="128"/>
      <c r="D390" s="128"/>
      <c r="E390" s="128"/>
      <c r="F390" s="128"/>
      <c r="G390" s="128"/>
      <c r="H390" s="128"/>
      <c r="I390" s="128"/>
      <c r="J390" s="128"/>
      <c r="K390" s="128"/>
      <c r="L390" s="128"/>
      <c r="M390" s="128"/>
      <c r="N390" s="128"/>
      <c r="O390" s="128"/>
      <c r="P390" s="128"/>
      <c r="Q390" s="128"/>
      <c r="R390" s="128"/>
      <c r="S390" s="128"/>
      <c r="T390" s="128"/>
      <c r="U390" s="128"/>
      <c r="V390" s="128"/>
      <c r="W390" s="128"/>
      <c r="X390" s="128"/>
      <c r="Y390" s="128"/>
      <c r="Z390" s="128"/>
      <c r="AA390" s="128"/>
    </row>
    <row r="391">
      <c r="A391" s="134"/>
      <c r="B391" s="134"/>
      <c r="C391" s="128"/>
      <c r="D391" s="128"/>
      <c r="E391" s="128"/>
      <c r="F391" s="128"/>
      <c r="G391" s="128"/>
      <c r="H391" s="128"/>
      <c r="I391" s="128"/>
      <c r="J391" s="128"/>
      <c r="K391" s="128"/>
      <c r="L391" s="128"/>
      <c r="M391" s="128"/>
      <c r="N391" s="128"/>
      <c r="O391" s="128"/>
      <c r="P391" s="128"/>
      <c r="Q391" s="128"/>
      <c r="R391" s="128"/>
      <c r="S391" s="128"/>
      <c r="T391" s="128"/>
      <c r="U391" s="128"/>
      <c r="V391" s="128"/>
      <c r="W391" s="128"/>
      <c r="X391" s="128"/>
      <c r="Y391" s="128"/>
      <c r="Z391" s="128"/>
      <c r="AA391" s="128"/>
    </row>
    <row r="392">
      <c r="A392" s="134"/>
      <c r="B392" s="134"/>
      <c r="C392" s="128"/>
      <c r="D392" s="128"/>
      <c r="E392" s="128"/>
      <c r="F392" s="128"/>
      <c r="G392" s="128"/>
      <c r="H392" s="128"/>
      <c r="I392" s="128"/>
      <c r="J392" s="128"/>
      <c r="K392" s="128"/>
      <c r="L392" s="128"/>
      <c r="M392" s="128"/>
      <c r="N392" s="128"/>
      <c r="O392" s="128"/>
      <c r="P392" s="128"/>
      <c r="Q392" s="128"/>
      <c r="R392" s="128"/>
      <c r="S392" s="128"/>
      <c r="T392" s="128"/>
      <c r="U392" s="128"/>
      <c r="V392" s="128"/>
      <c r="W392" s="128"/>
      <c r="X392" s="128"/>
      <c r="Y392" s="128"/>
      <c r="Z392" s="128"/>
      <c r="AA392" s="128"/>
    </row>
    <row r="393">
      <c r="A393" s="134"/>
      <c r="B393" s="134"/>
      <c r="C393" s="128"/>
      <c r="D393" s="128"/>
      <c r="E393" s="128"/>
      <c r="F393" s="128"/>
      <c r="G393" s="128"/>
      <c r="H393" s="128"/>
      <c r="I393" s="128"/>
      <c r="J393" s="128"/>
      <c r="K393" s="128"/>
      <c r="L393" s="128"/>
      <c r="M393" s="128"/>
      <c r="N393" s="128"/>
      <c r="O393" s="128"/>
      <c r="P393" s="128"/>
      <c r="Q393" s="128"/>
      <c r="R393" s="128"/>
      <c r="S393" s="128"/>
      <c r="T393" s="128"/>
      <c r="U393" s="128"/>
      <c r="V393" s="128"/>
      <c r="W393" s="128"/>
      <c r="X393" s="128"/>
      <c r="Y393" s="128"/>
      <c r="Z393" s="128"/>
      <c r="AA393" s="128"/>
    </row>
    <row r="394">
      <c r="A394" s="134"/>
      <c r="B394" s="134"/>
      <c r="C394" s="128"/>
      <c r="D394" s="128"/>
      <c r="E394" s="128"/>
      <c r="F394" s="128"/>
      <c r="G394" s="128"/>
      <c r="H394" s="128"/>
      <c r="I394" s="128"/>
      <c r="J394" s="128"/>
      <c r="K394" s="128"/>
      <c r="L394" s="128"/>
      <c r="M394" s="128"/>
      <c r="N394" s="128"/>
      <c r="O394" s="128"/>
      <c r="P394" s="128"/>
      <c r="Q394" s="128"/>
      <c r="R394" s="128"/>
      <c r="S394" s="128"/>
      <c r="T394" s="128"/>
      <c r="U394" s="128"/>
      <c r="V394" s="128"/>
      <c r="W394" s="128"/>
      <c r="X394" s="128"/>
      <c r="Y394" s="128"/>
      <c r="Z394" s="128"/>
      <c r="AA394" s="128"/>
    </row>
    <row r="395">
      <c r="A395" s="134"/>
      <c r="B395" s="134"/>
      <c r="C395" s="128"/>
      <c r="D395" s="128"/>
      <c r="E395" s="128"/>
      <c r="F395" s="128"/>
      <c r="G395" s="128"/>
      <c r="H395" s="128"/>
      <c r="I395" s="128"/>
      <c r="J395" s="128"/>
      <c r="K395" s="128"/>
      <c r="L395" s="128"/>
      <c r="M395" s="128"/>
      <c r="N395" s="128"/>
      <c r="O395" s="128"/>
      <c r="P395" s="128"/>
      <c r="Q395" s="128"/>
      <c r="R395" s="128"/>
      <c r="S395" s="128"/>
      <c r="T395" s="128"/>
      <c r="U395" s="128"/>
      <c r="V395" s="128"/>
      <c r="W395" s="128"/>
      <c r="X395" s="128"/>
      <c r="Y395" s="128"/>
      <c r="Z395" s="128"/>
      <c r="AA395" s="128"/>
    </row>
    <row r="396">
      <c r="A396" s="134"/>
      <c r="B396" s="134"/>
      <c r="C396" s="128"/>
      <c r="D396" s="128"/>
      <c r="E396" s="128"/>
      <c r="F396" s="128"/>
      <c r="G396" s="128"/>
      <c r="H396" s="128"/>
      <c r="I396" s="128"/>
      <c r="J396" s="128"/>
      <c r="K396" s="128"/>
      <c r="L396" s="128"/>
      <c r="M396" s="128"/>
      <c r="N396" s="128"/>
      <c r="O396" s="128"/>
      <c r="P396" s="128"/>
      <c r="Q396" s="128"/>
      <c r="R396" s="128"/>
      <c r="S396" s="128"/>
      <c r="T396" s="128"/>
      <c r="U396" s="128"/>
      <c r="V396" s="128"/>
      <c r="W396" s="128"/>
      <c r="X396" s="128"/>
      <c r="Y396" s="128"/>
      <c r="Z396" s="128"/>
      <c r="AA396" s="128"/>
    </row>
    <row r="397">
      <c r="A397" s="134"/>
      <c r="B397" s="134"/>
      <c r="C397" s="128"/>
      <c r="D397" s="128"/>
      <c r="E397" s="128"/>
      <c r="F397" s="128"/>
      <c r="G397" s="128"/>
      <c r="H397" s="128"/>
      <c r="I397" s="128"/>
      <c r="J397" s="128"/>
      <c r="K397" s="128"/>
      <c r="L397" s="128"/>
      <c r="M397" s="128"/>
      <c r="N397" s="128"/>
      <c r="O397" s="128"/>
      <c r="P397" s="128"/>
      <c r="Q397" s="128"/>
      <c r="R397" s="128"/>
      <c r="S397" s="128"/>
      <c r="T397" s="128"/>
      <c r="U397" s="128"/>
      <c r="V397" s="128"/>
      <c r="W397" s="128"/>
      <c r="X397" s="128"/>
      <c r="Y397" s="128"/>
      <c r="Z397" s="128"/>
      <c r="AA397" s="128"/>
    </row>
    <row r="398">
      <c r="A398" s="134"/>
      <c r="B398" s="134"/>
      <c r="C398" s="128"/>
      <c r="D398" s="128"/>
      <c r="E398" s="128"/>
      <c r="F398" s="128"/>
      <c r="G398" s="128"/>
      <c r="H398" s="128"/>
      <c r="I398" s="128"/>
      <c r="J398" s="128"/>
      <c r="K398" s="128"/>
      <c r="L398" s="128"/>
      <c r="M398" s="128"/>
      <c r="N398" s="128"/>
      <c r="O398" s="128"/>
      <c r="P398" s="128"/>
      <c r="Q398" s="128"/>
      <c r="R398" s="128"/>
      <c r="S398" s="128"/>
      <c r="T398" s="128"/>
      <c r="U398" s="128"/>
      <c r="V398" s="128"/>
      <c r="W398" s="128"/>
      <c r="X398" s="128"/>
      <c r="Y398" s="128"/>
      <c r="Z398" s="128"/>
      <c r="AA398" s="128"/>
    </row>
    <row r="399">
      <c r="A399" s="134"/>
      <c r="B399" s="134"/>
      <c r="C399" s="128"/>
      <c r="D399" s="128"/>
      <c r="E399" s="128"/>
      <c r="F399" s="128"/>
      <c r="G399" s="128"/>
      <c r="H399" s="128"/>
      <c r="I399" s="128"/>
      <c r="J399" s="128"/>
      <c r="K399" s="128"/>
      <c r="L399" s="128"/>
      <c r="M399" s="128"/>
      <c r="N399" s="128"/>
      <c r="O399" s="128"/>
      <c r="P399" s="128"/>
      <c r="Q399" s="128"/>
      <c r="R399" s="128"/>
      <c r="S399" s="128"/>
      <c r="T399" s="128"/>
      <c r="U399" s="128"/>
      <c r="V399" s="128"/>
      <c r="W399" s="128"/>
      <c r="X399" s="128"/>
      <c r="Y399" s="128"/>
      <c r="Z399" s="128"/>
      <c r="AA399" s="128"/>
    </row>
    <row r="400">
      <c r="A400" s="134"/>
      <c r="B400" s="134"/>
      <c r="C400" s="128"/>
      <c r="D400" s="128"/>
      <c r="E400" s="128"/>
      <c r="F400" s="128"/>
      <c r="G400" s="128"/>
      <c r="H400" s="128"/>
      <c r="I400" s="128"/>
      <c r="J400" s="128"/>
      <c r="K400" s="128"/>
      <c r="L400" s="128"/>
      <c r="M400" s="128"/>
      <c r="N400" s="128"/>
      <c r="O400" s="128"/>
      <c r="P400" s="128"/>
      <c r="Q400" s="128"/>
      <c r="R400" s="128"/>
      <c r="S400" s="128"/>
      <c r="T400" s="128"/>
      <c r="U400" s="128"/>
      <c r="V400" s="128"/>
      <c r="W400" s="128"/>
      <c r="X400" s="128"/>
      <c r="Y400" s="128"/>
      <c r="Z400" s="128"/>
      <c r="AA400" s="128"/>
    </row>
    <row r="401">
      <c r="A401" s="134"/>
      <c r="B401" s="134"/>
      <c r="C401" s="128"/>
      <c r="D401" s="128"/>
      <c r="E401" s="128"/>
      <c r="F401" s="128"/>
      <c r="G401" s="128"/>
      <c r="H401" s="128"/>
      <c r="I401" s="128"/>
      <c r="J401" s="128"/>
      <c r="K401" s="128"/>
      <c r="L401" s="128"/>
      <c r="M401" s="128"/>
      <c r="N401" s="128"/>
      <c r="O401" s="128"/>
      <c r="P401" s="128"/>
      <c r="Q401" s="128"/>
      <c r="R401" s="128"/>
      <c r="S401" s="128"/>
      <c r="T401" s="128"/>
      <c r="U401" s="128"/>
      <c r="V401" s="128"/>
      <c r="W401" s="128"/>
      <c r="X401" s="128"/>
      <c r="Y401" s="128"/>
      <c r="Z401" s="128"/>
      <c r="AA401" s="128"/>
    </row>
    <row r="402">
      <c r="A402" s="134"/>
      <c r="B402" s="134"/>
      <c r="C402" s="128"/>
      <c r="D402" s="128"/>
      <c r="E402" s="128"/>
      <c r="F402" s="128"/>
      <c r="G402" s="128"/>
      <c r="H402" s="128"/>
      <c r="I402" s="128"/>
      <c r="J402" s="128"/>
      <c r="K402" s="128"/>
      <c r="L402" s="128"/>
      <c r="M402" s="128"/>
      <c r="N402" s="128"/>
      <c r="O402" s="128"/>
      <c r="P402" s="128"/>
      <c r="Q402" s="128"/>
      <c r="R402" s="128"/>
      <c r="S402" s="128"/>
      <c r="T402" s="128"/>
      <c r="U402" s="128"/>
      <c r="V402" s="128"/>
      <c r="W402" s="128"/>
      <c r="X402" s="128"/>
      <c r="Y402" s="128"/>
      <c r="Z402" s="128"/>
      <c r="AA402" s="128"/>
    </row>
    <row r="403">
      <c r="A403" s="134"/>
      <c r="B403" s="134"/>
      <c r="C403" s="128"/>
      <c r="D403" s="128"/>
      <c r="E403" s="128"/>
      <c r="F403" s="128"/>
      <c r="G403" s="128"/>
      <c r="H403" s="128"/>
      <c r="I403" s="128"/>
      <c r="J403" s="128"/>
      <c r="K403" s="128"/>
      <c r="L403" s="128"/>
      <c r="M403" s="128"/>
      <c r="N403" s="128"/>
      <c r="O403" s="128"/>
      <c r="P403" s="128"/>
      <c r="Q403" s="128"/>
      <c r="R403" s="128"/>
      <c r="S403" s="128"/>
      <c r="T403" s="128"/>
      <c r="U403" s="128"/>
      <c r="V403" s="128"/>
      <c r="W403" s="128"/>
      <c r="X403" s="128"/>
      <c r="Y403" s="128"/>
      <c r="Z403" s="128"/>
      <c r="AA403" s="128"/>
    </row>
    <row r="404">
      <c r="A404" s="134"/>
      <c r="B404" s="134"/>
      <c r="C404" s="128"/>
      <c r="D404" s="128"/>
      <c r="E404" s="128"/>
      <c r="F404" s="128"/>
      <c r="G404" s="128"/>
      <c r="H404" s="128"/>
      <c r="I404" s="128"/>
      <c r="J404" s="128"/>
      <c r="K404" s="128"/>
      <c r="L404" s="128"/>
      <c r="M404" s="128"/>
      <c r="N404" s="128"/>
      <c r="O404" s="128"/>
      <c r="P404" s="128"/>
      <c r="Q404" s="128"/>
      <c r="R404" s="128"/>
      <c r="S404" s="128"/>
      <c r="T404" s="128"/>
      <c r="U404" s="128"/>
      <c r="V404" s="128"/>
      <c r="W404" s="128"/>
      <c r="X404" s="128"/>
      <c r="Y404" s="128"/>
      <c r="Z404" s="128"/>
      <c r="AA404" s="128"/>
    </row>
    <row r="405">
      <c r="A405" s="134"/>
      <c r="B405" s="134"/>
      <c r="C405" s="128"/>
      <c r="D405" s="128"/>
      <c r="E405" s="128"/>
      <c r="F405" s="128"/>
      <c r="G405" s="128"/>
      <c r="H405" s="128"/>
      <c r="I405" s="128"/>
      <c r="J405" s="128"/>
      <c r="K405" s="128"/>
      <c r="L405" s="128"/>
      <c r="M405" s="128"/>
      <c r="N405" s="128"/>
      <c r="O405" s="128"/>
      <c r="P405" s="128"/>
      <c r="Q405" s="128"/>
      <c r="R405" s="128"/>
      <c r="S405" s="128"/>
      <c r="T405" s="128"/>
      <c r="U405" s="128"/>
      <c r="V405" s="128"/>
      <c r="W405" s="128"/>
      <c r="X405" s="128"/>
      <c r="Y405" s="128"/>
      <c r="Z405" s="128"/>
      <c r="AA405" s="128"/>
    </row>
    <row r="406">
      <c r="A406" s="134"/>
      <c r="B406" s="134"/>
      <c r="C406" s="128"/>
      <c r="D406" s="128"/>
      <c r="E406" s="128"/>
      <c r="F406" s="128"/>
      <c r="G406" s="128"/>
      <c r="H406" s="128"/>
      <c r="I406" s="128"/>
      <c r="J406" s="128"/>
      <c r="K406" s="128"/>
      <c r="L406" s="128"/>
      <c r="M406" s="128"/>
      <c r="N406" s="128"/>
      <c r="O406" s="128"/>
      <c r="P406" s="128"/>
      <c r="Q406" s="128"/>
      <c r="R406" s="128"/>
      <c r="S406" s="128"/>
      <c r="T406" s="128"/>
      <c r="U406" s="128"/>
      <c r="V406" s="128"/>
      <c r="W406" s="128"/>
      <c r="X406" s="128"/>
      <c r="Y406" s="128"/>
      <c r="Z406" s="128"/>
      <c r="AA406" s="128"/>
    </row>
    <row r="407">
      <c r="A407" s="134"/>
      <c r="B407" s="134"/>
      <c r="C407" s="128"/>
      <c r="D407" s="128"/>
      <c r="E407" s="128"/>
      <c r="F407" s="128"/>
      <c r="G407" s="128"/>
      <c r="H407" s="128"/>
      <c r="I407" s="128"/>
      <c r="J407" s="128"/>
      <c r="K407" s="128"/>
      <c r="L407" s="128"/>
      <c r="M407" s="128"/>
      <c r="N407" s="128"/>
      <c r="O407" s="128"/>
      <c r="P407" s="128"/>
      <c r="Q407" s="128"/>
      <c r="R407" s="128"/>
      <c r="S407" s="128"/>
      <c r="T407" s="128"/>
      <c r="U407" s="128"/>
      <c r="V407" s="128"/>
      <c r="W407" s="128"/>
      <c r="X407" s="128"/>
      <c r="Y407" s="128"/>
      <c r="Z407" s="128"/>
      <c r="AA407" s="128"/>
    </row>
    <row r="408">
      <c r="A408" s="134"/>
      <c r="B408" s="134"/>
      <c r="C408" s="128"/>
      <c r="D408" s="128"/>
      <c r="E408" s="128"/>
      <c r="F408" s="128"/>
      <c r="G408" s="128"/>
      <c r="H408" s="128"/>
      <c r="I408" s="128"/>
      <c r="J408" s="128"/>
      <c r="K408" s="128"/>
      <c r="L408" s="128"/>
      <c r="M408" s="128"/>
      <c r="N408" s="128"/>
      <c r="O408" s="128"/>
      <c r="P408" s="128"/>
      <c r="Q408" s="128"/>
      <c r="R408" s="128"/>
      <c r="S408" s="128"/>
      <c r="T408" s="128"/>
      <c r="U408" s="128"/>
      <c r="V408" s="128"/>
      <c r="W408" s="128"/>
      <c r="X408" s="128"/>
      <c r="Y408" s="128"/>
      <c r="Z408" s="128"/>
      <c r="AA408" s="128"/>
    </row>
    <row r="409">
      <c r="A409" s="134"/>
      <c r="B409" s="134"/>
      <c r="C409" s="128"/>
      <c r="D409" s="128"/>
      <c r="E409" s="128"/>
      <c r="F409" s="128"/>
      <c r="G409" s="128"/>
      <c r="H409" s="128"/>
      <c r="I409" s="128"/>
      <c r="J409" s="128"/>
      <c r="K409" s="128"/>
      <c r="L409" s="128"/>
      <c r="M409" s="128"/>
      <c r="N409" s="128"/>
      <c r="O409" s="128"/>
      <c r="P409" s="128"/>
      <c r="Q409" s="128"/>
      <c r="R409" s="128"/>
      <c r="S409" s="128"/>
      <c r="T409" s="128"/>
      <c r="U409" s="128"/>
      <c r="V409" s="128"/>
      <c r="W409" s="128"/>
      <c r="X409" s="128"/>
      <c r="Y409" s="128"/>
      <c r="Z409" s="128"/>
      <c r="AA409" s="128"/>
    </row>
    <row r="410">
      <c r="A410" s="134"/>
      <c r="B410" s="134"/>
      <c r="C410" s="128"/>
      <c r="D410" s="128"/>
      <c r="E410" s="128"/>
      <c r="F410" s="128"/>
      <c r="G410" s="128"/>
      <c r="H410" s="128"/>
      <c r="I410" s="128"/>
      <c r="J410" s="128"/>
      <c r="K410" s="128"/>
      <c r="L410" s="128"/>
      <c r="M410" s="128"/>
      <c r="N410" s="128"/>
      <c r="O410" s="128"/>
      <c r="P410" s="128"/>
      <c r="Q410" s="128"/>
      <c r="R410" s="128"/>
      <c r="S410" s="128"/>
      <c r="T410" s="128"/>
      <c r="U410" s="128"/>
      <c r="V410" s="128"/>
      <c r="W410" s="128"/>
      <c r="X410" s="128"/>
      <c r="Y410" s="128"/>
      <c r="Z410" s="128"/>
      <c r="AA410" s="128"/>
    </row>
    <row r="411">
      <c r="A411" s="134"/>
      <c r="B411" s="134"/>
      <c r="C411" s="128"/>
      <c r="D411" s="128"/>
      <c r="E411" s="128"/>
      <c r="F411" s="128"/>
      <c r="G411" s="128"/>
      <c r="H411" s="128"/>
      <c r="I411" s="128"/>
      <c r="J411" s="128"/>
      <c r="K411" s="128"/>
      <c r="L411" s="128"/>
      <c r="M411" s="128"/>
      <c r="N411" s="128"/>
      <c r="O411" s="128"/>
      <c r="P411" s="128"/>
      <c r="Q411" s="128"/>
      <c r="R411" s="128"/>
      <c r="S411" s="128"/>
      <c r="T411" s="128"/>
      <c r="U411" s="128"/>
      <c r="V411" s="128"/>
      <c r="W411" s="128"/>
      <c r="X411" s="128"/>
      <c r="Y411" s="128"/>
      <c r="Z411" s="128"/>
      <c r="AA411" s="128"/>
    </row>
    <row r="412">
      <c r="A412" s="134"/>
      <c r="B412" s="134"/>
      <c r="C412" s="128"/>
      <c r="D412" s="128"/>
      <c r="E412" s="128"/>
      <c r="F412" s="128"/>
      <c r="G412" s="128"/>
      <c r="H412" s="128"/>
      <c r="I412" s="128"/>
      <c r="J412" s="128"/>
      <c r="K412" s="128"/>
      <c r="L412" s="128"/>
      <c r="M412" s="128"/>
      <c r="N412" s="128"/>
      <c r="O412" s="128"/>
      <c r="P412" s="128"/>
      <c r="Q412" s="128"/>
      <c r="R412" s="128"/>
      <c r="S412" s="128"/>
      <c r="T412" s="128"/>
      <c r="U412" s="128"/>
      <c r="V412" s="128"/>
      <c r="W412" s="128"/>
      <c r="X412" s="128"/>
      <c r="Y412" s="128"/>
      <c r="Z412" s="128"/>
      <c r="AA412" s="128"/>
    </row>
    <row r="413">
      <c r="A413" s="134"/>
      <c r="B413" s="134"/>
      <c r="C413" s="128"/>
      <c r="D413" s="128"/>
      <c r="E413" s="128"/>
      <c r="F413" s="128"/>
      <c r="G413" s="128"/>
      <c r="H413" s="128"/>
      <c r="I413" s="128"/>
      <c r="J413" s="128"/>
      <c r="K413" s="128"/>
      <c r="L413" s="128"/>
      <c r="M413" s="128"/>
      <c r="N413" s="128"/>
      <c r="O413" s="128"/>
      <c r="P413" s="128"/>
      <c r="Q413" s="128"/>
      <c r="R413" s="128"/>
      <c r="S413" s="128"/>
      <c r="T413" s="128"/>
      <c r="U413" s="128"/>
      <c r="V413" s="128"/>
      <c r="W413" s="128"/>
      <c r="X413" s="128"/>
      <c r="Y413" s="128"/>
      <c r="Z413" s="128"/>
      <c r="AA413" s="128"/>
    </row>
    <row r="414">
      <c r="A414" s="134"/>
      <c r="B414" s="134"/>
      <c r="C414" s="128"/>
      <c r="D414" s="128"/>
      <c r="E414" s="128"/>
      <c r="F414" s="128"/>
      <c r="G414" s="128"/>
      <c r="H414" s="128"/>
      <c r="I414" s="128"/>
      <c r="J414" s="128"/>
      <c r="K414" s="128"/>
      <c r="L414" s="128"/>
      <c r="M414" s="128"/>
      <c r="N414" s="128"/>
      <c r="O414" s="128"/>
      <c r="P414" s="128"/>
      <c r="Q414" s="128"/>
      <c r="R414" s="128"/>
      <c r="S414" s="128"/>
      <c r="T414" s="128"/>
      <c r="U414" s="128"/>
      <c r="V414" s="128"/>
      <c r="W414" s="128"/>
      <c r="X414" s="128"/>
      <c r="Y414" s="128"/>
      <c r="Z414" s="128"/>
      <c r="AA414" s="128"/>
    </row>
    <row r="415">
      <c r="A415" s="134"/>
      <c r="B415" s="134"/>
      <c r="C415" s="128"/>
      <c r="D415" s="128"/>
      <c r="E415" s="128"/>
      <c r="F415" s="128"/>
      <c r="G415" s="128"/>
      <c r="H415" s="128"/>
      <c r="I415" s="128"/>
      <c r="J415" s="128"/>
      <c r="K415" s="128"/>
      <c r="L415" s="128"/>
      <c r="M415" s="128"/>
      <c r="N415" s="128"/>
      <c r="O415" s="128"/>
      <c r="P415" s="128"/>
      <c r="Q415" s="128"/>
      <c r="R415" s="128"/>
      <c r="S415" s="128"/>
      <c r="T415" s="128"/>
      <c r="U415" s="128"/>
      <c r="V415" s="128"/>
      <c r="W415" s="128"/>
      <c r="X415" s="128"/>
      <c r="Y415" s="128"/>
      <c r="Z415" s="128"/>
      <c r="AA415" s="128"/>
    </row>
    <row r="416">
      <c r="A416" s="134"/>
      <c r="B416" s="134"/>
      <c r="C416" s="128"/>
      <c r="D416" s="128"/>
      <c r="E416" s="128"/>
      <c r="F416" s="128"/>
      <c r="G416" s="128"/>
      <c r="H416" s="128"/>
      <c r="I416" s="128"/>
      <c r="J416" s="128"/>
      <c r="K416" s="128"/>
      <c r="L416" s="128"/>
      <c r="M416" s="128"/>
      <c r="N416" s="128"/>
      <c r="O416" s="128"/>
      <c r="P416" s="128"/>
      <c r="Q416" s="128"/>
      <c r="R416" s="128"/>
      <c r="S416" s="128"/>
      <c r="T416" s="128"/>
      <c r="U416" s="128"/>
      <c r="V416" s="128"/>
      <c r="W416" s="128"/>
      <c r="X416" s="128"/>
      <c r="Y416" s="128"/>
      <c r="Z416" s="128"/>
      <c r="AA416" s="128"/>
    </row>
    <row r="417">
      <c r="A417" s="134"/>
      <c r="B417" s="134"/>
      <c r="C417" s="128"/>
      <c r="D417" s="128"/>
      <c r="E417" s="128"/>
      <c r="F417" s="128"/>
      <c r="G417" s="128"/>
      <c r="H417" s="128"/>
      <c r="I417" s="128"/>
      <c r="J417" s="128"/>
      <c r="K417" s="128"/>
      <c r="L417" s="128"/>
      <c r="M417" s="128"/>
      <c r="N417" s="128"/>
      <c r="O417" s="128"/>
      <c r="P417" s="128"/>
      <c r="Q417" s="128"/>
      <c r="R417" s="128"/>
      <c r="S417" s="128"/>
      <c r="T417" s="128"/>
      <c r="U417" s="128"/>
      <c r="V417" s="128"/>
      <c r="W417" s="128"/>
      <c r="X417" s="128"/>
      <c r="Y417" s="128"/>
      <c r="Z417" s="128"/>
      <c r="AA417" s="128"/>
    </row>
    <row r="418">
      <c r="A418" s="134"/>
      <c r="B418" s="134"/>
      <c r="C418" s="128"/>
      <c r="D418" s="128"/>
      <c r="E418" s="128"/>
      <c r="F418" s="128"/>
      <c r="G418" s="128"/>
      <c r="H418" s="128"/>
      <c r="I418" s="128"/>
      <c r="J418" s="128"/>
      <c r="K418" s="128"/>
      <c r="L418" s="128"/>
      <c r="M418" s="128"/>
      <c r="N418" s="128"/>
      <c r="O418" s="128"/>
      <c r="P418" s="128"/>
      <c r="Q418" s="128"/>
      <c r="R418" s="128"/>
      <c r="S418" s="128"/>
      <c r="T418" s="128"/>
      <c r="U418" s="128"/>
      <c r="V418" s="128"/>
      <c r="W418" s="128"/>
      <c r="X418" s="128"/>
      <c r="Y418" s="128"/>
      <c r="Z418" s="128"/>
      <c r="AA418" s="128"/>
    </row>
    <row r="419">
      <c r="A419" s="134"/>
      <c r="B419" s="134"/>
      <c r="C419" s="128"/>
      <c r="D419" s="128"/>
      <c r="E419" s="128"/>
      <c r="F419" s="128"/>
      <c r="G419" s="128"/>
      <c r="H419" s="128"/>
      <c r="I419" s="128"/>
      <c r="J419" s="128"/>
      <c r="K419" s="128"/>
      <c r="L419" s="128"/>
      <c r="M419" s="128"/>
      <c r="N419" s="128"/>
      <c r="O419" s="128"/>
      <c r="P419" s="128"/>
      <c r="Q419" s="128"/>
      <c r="R419" s="128"/>
      <c r="S419" s="128"/>
      <c r="T419" s="128"/>
      <c r="U419" s="128"/>
      <c r="V419" s="128"/>
      <c r="W419" s="128"/>
      <c r="X419" s="128"/>
      <c r="Y419" s="128"/>
      <c r="Z419" s="128"/>
      <c r="AA419" s="128"/>
    </row>
    <row r="420">
      <c r="A420" s="134"/>
      <c r="B420" s="134"/>
      <c r="C420" s="128"/>
      <c r="D420" s="128"/>
      <c r="E420" s="128"/>
      <c r="F420" s="128"/>
      <c r="G420" s="128"/>
      <c r="H420" s="128"/>
      <c r="I420" s="128"/>
      <c r="J420" s="128"/>
      <c r="K420" s="128"/>
      <c r="L420" s="128"/>
      <c r="M420" s="128"/>
      <c r="N420" s="128"/>
      <c r="O420" s="128"/>
      <c r="P420" s="128"/>
      <c r="Q420" s="128"/>
      <c r="R420" s="128"/>
      <c r="S420" s="128"/>
      <c r="T420" s="128"/>
      <c r="U420" s="128"/>
      <c r="V420" s="128"/>
      <c r="W420" s="128"/>
      <c r="X420" s="128"/>
      <c r="Y420" s="128"/>
      <c r="Z420" s="128"/>
      <c r="AA420" s="128"/>
    </row>
    <row r="421">
      <c r="A421" s="134"/>
      <c r="B421" s="134"/>
      <c r="C421" s="128"/>
      <c r="D421" s="128"/>
      <c r="E421" s="128"/>
      <c r="F421" s="128"/>
      <c r="G421" s="128"/>
      <c r="H421" s="128"/>
      <c r="I421" s="128"/>
      <c r="J421" s="128"/>
      <c r="K421" s="128"/>
      <c r="L421" s="128"/>
      <c r="M421" s="128"/>
      <c r="N421" s="128"/>
      <c r="O421" s="128"/>
      <c r="P421" s="128"/>
      <c r="Q421" s="128"/>
      <c r="R421" s="128"/>
      <c r="S421" s="128"/>
      <c r="T421" s="128"/>
      <c r="U421" s="128"/>
      <c r="V421" s="128"/>
      <c r="W421" s="128"/>
      <c r="X421" s="128"/>
      <c r="Y421" s="128"/>
      <c r="Z421" s="128"/>
      <c r="AA421" s="128"/>
    </row>
    <row r="422">
      <c r="A422" s="134"/>
      <c r="B422" s="134"/>
      <c r="C422" s="128"/>
      <c r="D422" s="128"/>
      <c r="E422" s="128"/>
      <c r="F422" s="128"/>
      <c r="G422" s="128"/>
      <c r="H422" s="128"/>
      <c r="I422" s="128"/>
      <c r="J422" s="128"/>
      <c r="K422" s="128"/>
      <c r="L422" s="128"/>
      <c r="M422" s="128"/>
      <c r="N422" s="128"/>
      <c r="O422" s="128"/>
      <c r="P422" s="128"/>
      <c r="Q422" s="128"/>
      <c r="R422" s="128"/>
      <c r="S422" s="128"/>
      <c r="T422" s="128"/>
      <c r="U422" s="128"/>
      <c r="V422" s="128"/>
      <c r="W422" s="128"/>
      <c r="X422" s="128"/>
      <c r="Y422" s="128"/>
      <c r="Z422" s="128"/>
      <c r="AA422" s="128"/>
    </row>
    <row r="423">
      <c r="A423" s="134"/>
      <c r="B423" s="134"/>
      <c r="C423" s="128"/>
      <c r="D423" s="128"/>
      <c r="E423" s="128"/>
      <c r="F423" s="128"/>
      <c r="G423" s="128"/>
      <c r="H423" s="128"/>
      <c r="I423" s="128"/>
      <c r="J423" s="128"/>
      <c r="K423" s="128"/>
      <c r="L423" s="128"/>
      <c r="M423" s="128"/>
      <c r="N423" s="128"/>
      <c r="O423" s="128"/>
      <c r="P423" s="128"/>
      <c r="Q423" s="128"/>
      <c r="R423" s="128"/>
      <c r="S423" s="128"/>
      <c r="T423" s="128"/>
      <c r="U423" s="128"/>
      <c r="V423" s="128"/>
      <c r="W423" s="128"/>
      <c r="X423" s="128"/>
      <c r="Y423" s="128"/>
      <c r="Z423" s="128"/>
      <c r="AA423" s="128"/>
    </row>
    <row r="424">
      <c r="A424" s="134"/>
      <c r="B424" s="134"/>
      <c r="C424" s="128"/>
      <c r="D424" s="128"/>
      <c r="E424" s="128"/>
      <c r="F424" s="128"/>
      <c r="G424" s="128"/>
      <c r="H424" s="128"/>
      <c r="I424" s="128"/>
      <c r="J424" s="128"/>
      <c r="K424" s="128"/>
      <c r="L424" s="128"/>
      <c r="M424" s="128"/>
      <c r="N424" s="128"/>
      <c r="O424" s="128"/>
      <c r="P424" s="128"/>
      <c r="Q424" s="128"/>
      <c r="R424" s="128"/>
      <c r="S424" s="128"/>
      <c r="T424" s="128"/>
      <c r="U424" s="128"/>
      <c r="V424" s="128"/>
      <c r="W424" s="128"/>
      <c r="X424" s="128"/>
      <c r="Y424" s="128"/>
      <c r="Z424" s="128"/>
      <c r="AA424" s="128"/>
    </row>
    <row r="425">
      <c r="A425" s="134"/>
      <c r="B425" s="134"/>
      <c r="C425" s="128"/>
      <c r="D425" s="128"/>
      <c r="E425" s="128"/>
      <c r="F425" s="128"/>
      <c r="G425" s="128"/>
      <c r="H425" s="128"/>
      <c r="I425" s="128"/>
      <c r="J425" s="128"/>
      <c r="K425" s="128"/>
      <c r="L425" s="128"/>
      <c r="M425" s="128"/>
      <c r="N425" s="128"/>
      <c r="O425" s="128"/>
      <c r="P425" s="128"/>
      <c r="Q425" s="128"/>
      <c r="R425" s="128"/>
      <c r="S425" s="128"/>
      <c r="T425" s="128"/>
      <c r="U425" s="128"/>
      <c r="V425" s="128"/>
      <c r="W425" s="128"/>
      <c r="X425" s="128"/>
      <c r="Y425" s="128"/>
      <c r="Z425" s="128"/>
      <c r="AA425" s="128"/>
    </row>
    <row r="426">
      <c r="A426" s="134"/>
      <c r="B426" s="134"/>
      <c r="C426" s="128"/>
      <c r="D426" s="128"/>
      <c r="E426" s="128"/>
      <c r="F426" s="128"/>
      <c r="G426" s="128"/>
      <c r="H426" s="128"/>
      <c r="I426" s="128"/>
      <c r="J426" s="128"/>
      <c r="K426" s="128"/>
      <c r="L426" s="128"/>
      <c r="M426" s="128"/>
      <c r="N426" s="128"/>
      <c r="O426" s="128"/>
      <c r="P426" s="128"/>
      <c r="Q426" s="128"/>
      <c r="R426" s="128"/>
      <c r="S426" s="128"/>
      <c r="T426" s="128"/>
      <c r="U426" s="128"/>
      <c r="V426" s="128"/>
      <c r="W426" s="128"/>
      <c r="X426" s="128"/>
      <c r="Y426" s="128"/>
      <c r="Z426" s="128"/>
      <c r="AA426" s="128"/>
    </row>
    <row r="427">
      <c r="A427" s="134"/>
      <c r="B427" s="134"/>
      <c r="C427" s="128"/>
      <c r="D427" s="128"/>
      <c r="E427" s="128"/>
      <c r="F427" s="128"/>
      <c r="G427" s="128"/>
      <c r="H427" s="128"/>
      <c r="I427" s="128"/>
      <c r="J427" s="128"/>
      <c r="K427" s="128"/>
      <c r="L427" s="128"/>
      <c r="M427" s="128"/>
      <c r="N427" s="128"/>
      <c r="O427" s="128"/>
      <c r="P427" s="128"/>
      <c r="Q427" s="128"/>
      <c r="R427" s="128"/>
      <c r="S427" s="128"/>
      <c r="T427" s="128"/>
      <c r="U427" s="128"/>
      <c r="V427" s="128"/>
      <c r="W427" s="128"/>
      <c r="X427" s="128"/>
      <c r="Y427" s="128"/>
      <c r="Z427" s="128"/>
      <c r="AA427" s="128"/>
    </row>
    <row r="428">
      <c r="A428" s="134"/>
      <c r="B428" s="134"/>
      <c r="C428" s="128"/>
      <c r="D428" s="128"/>
      <c r="E428" s="128"/>
      <c r="F428" s="128"/>
      <c r="G428" s="128"/>
      <c r="H428" s="128"/>
      <c r="I428" s="128"/>
      <c r="J428" s="128"/>
      <c r="K428" s="128"/>
      <c r="L428" s="128"/>
      <c r="M428" s="128"/>
      <c r="N428" s="128"/>
      <c r="O428" s="128"/>
      <c r="P428" s="128"/>
      <c r="Q428" s="128"/>
      <c r="R428" s="128"/>
      <c r="S428" s="128"/>
      <c r="T428" s="128"/>
      <c r="U428" s="128"/>
      <c r="V428" s="128"/>
      <c r="W428" s="128"/>
      <c r="X428" s="128"/>
      <c r="Y428" s="128"/>
      <c r="Z428" s="128"/>
      <c r="AA428" s="128"/>
    </row>
    <row r="429">
      <c r="A429" s="134"/>
      <c r="B429" s="134"/>
      <c r="C429" s="128"/>
      <c r="D429" s="128"/>
      <c r="E429" s="128"/>
      <c r="F429" s="128"/>
      <c r="G429" s="128"/>
      <c r="H429" s="128"/>
      <c r="I429" s="128"/>
      <c r="J429" s="128"/>
      <c r="K429" s="128"/>
      <c r="L429" s="128"/>
      <c r="M429" s="128"/>
      <c r="N429" s="128"/>
      <c r="O429" s="128"/>
      <c r="P429" s="128"/>
      <c r="Q429" s="128"/>
      <c r="R429" s="128"/>
      <c r="S429" s="128"/>
      <c r="T429" s="128"/>
      <c r="U429" s="128"/>
      <c r="V429" s="128"/>
      <c r="W429" s="128"/>
      <c r="X429" s="128"/>
      <c r="Y429" s="128"/>
      <c r="Z429" s="128"/>
      <c r="AA429" s="128"/>
    </row>
    <row r="430">
      <c r="A430" s="134"/>
      <c r="B430" s="134"/>
      <c r="C430" s="128"/>
      <c r="D430" s="128"/>
      <c r="E430" s="128"/>
      <c r="F430" s="128"/>
      <c r="G430" s="128"/>
      <c r="H430" s="128"/>
      <c r="I430" s="128"/>
      <c r="J430" s="128"/>
      <c r="K430" s="128"/>
      <c r="L430" s="128"/>
      <c r="M430" s="128"/>
      <c r="N430" s="128"/>
      <c r="O430" s="128"/>
      <c r="P430" s="128"/>
      <c r="Q430" s="128"/>
      <c r="R430" s="128"/>
      <c r="S430" s="128"/>
      <c r="T430" s="128"/>
      <c r="U430" s="128"/>
      <c r="V430" s="128"/>
      <c r="W430" s="128"/>
      <c r="X430" s="128"/>
      <c r="Y430" s="128"/>
      <c r="Z430" s="128"/>
      <c r="AA430" s="128"/>
    </row>
    <row r="431">
      <c r="A431" s="134"/>
      <c r="B431" s="134"/>
      <c r="C431" s="128"/>
      <c r="D431" s="128"/>
      <c r="E431" s="128"/>
      <c r="F431" s="128"/>
      <c r="G431" s="128"/>
      <c r="H431" s="128"/>
      <c r="I431" s="128"/>
      <c r="J431" s="128"/>
      <c r="K431" s="128"/>
      <c r="L431" s="128"/>
      <c r="M431" s="128"/>
      <c r="N431" s="128"/>
      <c r="O431" s="128"/>
      <c r="P431" s="128"/>
      <c r="Q431" s="128"/>
      <c r="R431" s="128"/>
      <c r="S431" s="128"/>
      <c r="T431" s="128"/>
      <c r="U431" s="128"/>
      <c r="V431" s="128"/>
      <c r="W431" s="128"/>
      <c r="X431" s="128"/>
      <c r="Y431" s="128"/>
      <c r="Z431" s="128"/>
      <c r="AA431" s="128"/>
    </row>
    <row r="432">
      <c r="A432" s="134"/>
      <c r="B432" s="134"/>
      <c r="C432" s="128"/>
      <c r="D432" s="128"/>
      <c r="E432" s="128"/>
      <c r="F432" s="128"/>
      <c r="G432" s="128"/>
      <c r="H432" s="128"/>
      <c r="I432" s="128"/>
      <c r="J432" s="128"/>
      <c r="K432" s="128"/>
      <c r="L432" s="128"/>
      <c r="M432" s="128"/>
      <c r="N432" s="128"/>
      <c r="O432" s="128"/>
      <c r="P432" s="128"/>
      <c r="Q432" s="128"/>
      <c r="R432" s="128"/>
      <c r="S432" s="128"/>
      <c r="T432" s="128"/>
      <c r="U432" s="128"/>
      <c r="V432" s="128"/>
      <c r="W432" s="128"/>
      <c r="X432" s="128"/>
      <c r="Y432" s="128"/>
      <c r="Z432" s="128"/>
      <c r="AA432" s="128"/>
    </row>
    <row r="433">
      <c r="A433" s="134"/>
      <c r="B433" s="134"/>
      <c r="C433" s="128"/>
      <c r="D433" s="128"/>
      <c r="E433" s="128"/>
      <c r="F433" s="128"/>
      <c r="G433" s="128"/>
      <c r="H433" s="128"/>
      <c r="I433" s="128"/>
      <c r="J433" s="128"/>
      <c r="K433" s="128"/>
      <c r="L433" s="128"/>
      <c r="M433" s="128"/>
      <c r="N433" s="128"/>
      <c r="O433" s="128"/>
      <c r="P433" s="128"/>
      <c r="Q433" s="128"/>
      <c r="R433" s="128"/>
      <c r="S433" s="128"/>
      <c r="T433" s="128"/>
      <c r="U433" s="128"/>
      <c r="V433" s="128"/>
      <c r="W433" s="128"/>
      <c r="X433" s="128"/>
      <c r="Y433" s="128"/>
      <c r="Z433" s="128"/>
      <c r="AA433" s="128"/>
    </row>
    <row r="434">
      <c r="A434" s="134"/>
      <c r="B434" s="134"/>
      <c r="C434" s="128"/>
      <c r="D434" s="128"/>
      <c r="E434" s="128"/>
      <c r="F434" s="128"/>
      <c r="G434" s="128"/>
      <c r="H434" s="128"/>
      <c r="I434" s="128"/>
      <c r="J434" s="128"/>
      <c r="K434" s="128"/>
      <c r="L434" s="128"/>
      <c r="M434" s="128"/>
      <c r="N434" s="128"/>
      <c r="O434" s="128"/>
      <c r="P434" s="128"/>
      <c r="Q434" s="128"/>
      <c r="R434" s="128"/>
      <c r="S434" s="128"/>
      <c r="T434" s="128"/>
      <c r="U434" s="128"/>
      <c r="V434" s="128"/>
      <c r="W434" s="128"/>
      <c r="X434" s="128"/>
      <c r="Y434" s="128"/>
      <c r="Z434" s="128"/>
      <c r="AA434" s="128"/>
    </row>
    <row r="435">
      <c r="A435" s="134"/>
      <c r="B435" s="134"/>
      <c r="C435" s="128"/>
      <c r="D435" s="128"/>
      <c r="E435" s="128"/>
      <c r="F435" s="128"/>
      <c r="G435" s="128"/>
      <c r="H435" s="128"/>
      <c r="I435" s="128"/>
      <c r="J435" s="128"/>
      <c r="K435" s="128"/>
      <c r="L435" s="128"/>
      <c r="M435" s="128"/>
      <c r="N435" s="128"/>
      <c r="O435" s="128"/>
      <c r="P435" s="128"/>
      <c r="Q435" s="128"/>
      <c r="R435" s="128"/>
      <c r="S435" s="128"/>
      <c r="T435" s="128"/>
      <c r="U435" s="128"/>
      <c r="V435" s="128"/>
      <c r="W435" s="128"/>
      <c r="X435" s="128"/>
      <c r="Y435" s="128"/>
      <c r="Z435" s="128"/>
      <c r="AA435" s="128"/>
    </row>
    <row r="436">
      <c r="A436" s="134"/>
      <c r="B436" s="134"/>
      <c r="C436" s="128"/>
      <c r="D436" s="128"/>
      <c r="E436" s="128"/>
      <c r="F436" s="128"/>
      <c r="G436" s="128"/>
      <c r="H436" s="128"/>
      <c r="I436" s="128"/>
      <c r="J436" s="128"/>
      <c r="K436" s="128"/>
      <c r="L436" s="128"/>
      <c r="M436" s="128"/>
      <c r="N436" s="128"/>
      <c r="O436" s="128"/>
      <c r="P436" s="128"/>
      <c r="Q436" s="128"/>
      <c r="R436" s="128"/>
      <c r="S436" s="128"/>
      <c r="T436" s="128"/>
      <c r="U436" s="128"/>
      <c r="V436" s="128"/>
      <c r="W436" s="128"/>
      <c r="X436" s="128"/>
      <c r="Y436" s="128"/>
      <c r="Z436" s="128"/>
      <c r="AA436" s="128"/>
    </row>
    <row r="437">
      <c r="A437" s="134"/>
      <c r="B437" s="134"/>
      <c r="C437" s="128"/>
      <c r="D437" s="128"/>
      <c r="E437" s="128"/>
      <c r="F437" s="128"/>
      <c r="G437" s="128"/>
      <c r="H437" s="128"/>
      <c r="I437" s="128"/>
      <c r="J437" s="128"/>
      <c r="K437" s="128"/>
      <c r="L437" s="128"/>
      <c r="M437" s="128"/>
      <c r="N437" s="128"/>
      <c r="O437" s="128"/>
      <c r="P437" s="128"/>
      <c r="Q437" s="128"/>
      <c r="R437" s="128"/>
      <c r="S437" s="128"/>
      <c r="T437" s="128"/>
      <c r="U437" s="128"/>
      <c r="V437" s="128"/>
      <c r="W437" s="128"/>
      <c r="X437" s="128"/>
      <c r="Y437" s="128"/>
      <c r="Z437" s="128"/>
      <c r="AA437" s="128"/>
    </row>
    <row r="438">
      <c r="A438" s="134"/>
      <c r="B438" s="134"/>
      <c r="C438" s="128"/>
      <c r="D438" s="128"/>
      <c r="E438" s="128"/>
      <c r="F438" s="128"/>
      <c r="G438" s="128"/>
      <c r="H438" s="128"/>
      <c r="I438" s="128"/>
      <c r="J438" s="128"/>
      <c r="K438" s="128"/>
      <c r="L438" s="128"/>
      <c r="M438" s="128"/>
      <c r="N438" s="128"/>
      <c r="O438" s="128"/>
      <c r="P438" s="128"/>
      <c r="Q438" s="128"/>
      <c r="R438" s="128"/>
      <c r="S438" s="128"/>
      <c r="T438" s="128"/>
      <c r="U438" s="128"/>
      <c r="V438" s="128"/>
      <c r="W438" s="128"/>
      <c r="X438" s="128"/>
      <c r="Y438" s="128"/>
      <c r="Z438" s="128"/>
      <c r="AA438" s="128"/>
    </row>
    <row r="439">
      <c r="A439" s="134"/>
      <c r="B439" s="134"/>
      <c r="C439" s="128"/>
      <c r="D439" s="128"/>
      <c r="E439" s="128"/>
      <c r="F439" s="128"/>
      <c r="G439" s="128"/>
      <c r="H439" s="128"/>
      <c r="I439" s="128"/>
      <c r="J439" s="128"/>
      <c r="K439" s="128"/>
      <c r="L439" s="128"/>
      <c r="M439" s="128"/>
      <c r="N439" s="128"/>
      <c r="O439" s="128"/>
      <c r="P439" s="128"/>
      <c r="Q439" s="128"/>
      <c r="R439" s="128"/>
      <c r="S439" s="128"/>
      <c r="T439" s="128"/>
      <c r="U439" s="128"/>
      <c r="V439" s="128"/>
      <c r="W439" s="128"/>
      <c r="X439" s="128"/>
      <c r="Y439" s="128"/>
      <c r="Z439" s="128"/>
      <c r="AA439" s="128"/>
    </row>
    <row r="440">
      <c r="A440" s="134"/>
      <c r="B440" s="134"/>
      <c r="C440" s="128"/>
      <c r="D440" s="128"/>
      <c r="E440" s="128"/>
      <c r="F440" s="128"/>
      <c r="G440" s="128"/>
      <c r="H440" s="128"/>
      <c r="I440" s="128"/>
      <c r="J440" s="128"/>
      <c r="K440" s="128"/>
      <c r="L440" s="128"/>
      <c r="M440" s="128"/>
      <c r="N440" s="128"/>
      <c r="O440" s="128"/>
      <c r="P440" s="128"/>
      <c r="Q440" s="128"/>
      <c r="R440" s="128"/>
      <c r="S440" s="128"/>
      <c r="T440" s="128"/>
      <c r="U440" s="128"/>
      <c r="V440" s="128"/>
      <c r="W440" s="128"/>
      <c r="X440" s="128"/>
      <c r="Y440" s="128"/>
      <c r="Z440" s="128"/>
      <c r="AA440" s="128"/>
    </row>
    <row r="441">
      <c r="A441" s="134"/>
      <c r="B441" s="134"/>
      <c r="C441" s="128"/>
      <c r="D441" s="128"/>
      <c r="E441" s="128"/>
      <c r="F441" s="128"/>
      <c r="G441" s="128"/>
      <c r="H441" s="128"/>
      <c r="I441" s="128"/>
      <c r="J441" s="128"/>
      <c r="K441" s="128"/>
      <c r="L441" s="128"/>
      <c r="M441" s="128"/>
      <c r="N441" s="128"/>
      <c r="O441" s="128"/>
      <c r="P441" s="128"/>
      <c r="Q441" s="128"/>
      <c r="R441" s="128"/>
      <c r="S441" s="128"/>
      <c r="T441" s="128"/>
      <c r="U441" s="128"/>
      <c r="V441" s="128"/>
      <c r="W441" s="128"/>
      <c r="X441" s="128"/>
      <c r="Y441" s="128"/>
      <c r="Z441" s="128"/>
      <c r="AA441" s="128"/>
    </row>
    <row r="442">
      <c r="A442" s="134"/>
      <c r="B442" s="134"/>
      <c r="C442" s="128"/>
      <c r="D442" s="128"/>
      <c r="E442" s="128"/>
      <c r="F442" s="128"/>
      <c r="G442" s="128"/>
      <c r="H442" s="128"/>
      <c r="I442" s="128"/>
      <c r="J442" s="128"/>
      <c r="K442" s="128"/>
      <c r="L442" s="128"/>
      <c r="M442" s="128"/>
      <c r="N442" s="128"/>
      <c r="O442" s="128"/>
      <c r="P442" s="128"/>
      <c r="Q442" s="128"/>
      <c r="R442" s="128"/>
      <c r="S442" s="128"/>
      <c r="T442" s="128"/>
      <c r="U442" s="128"/>
      <c r="V442" s="128"/>
      <c r="W442" s="128"/>
      <c r="X442" s="128"/>
      <c r="Y442" s="128"/>
      <c r="Z442" s="128"/>
      <c r="AA442" s="128"/>
    </row>
    <row r="443">
      <c r="A443" s="134"/>
      <c r="B443" s="134"/>
      <c r="C443" s="128"/>
      <c r="D443" s="128"/>
      <c r="E443" s="128"/>
      <c r="F443" s="128"/>
      <c r="G443" s="128"/>
      <c r="H443" s="128"/>
      <c r="I443" s="128"/>
      <c r="J443" s="128"/>
      <c r="K443" s="128"/>
      <c r="L443" s="128"/>
      <c r="M443" s="128"/>
      <c r="N443" s="128"/>
      <c r="O443" s="128"/>
      <c r="P443" s="128"/>
      <c r="Q443" s="128"/>
      <c r="R443" s="128"/>
      <c r="S443" s="128"/>
      <c r="T443" s="128"/>
      <c r="U443" s="128"/>
      <c r="V443" s="128"/>
      <c r="W443" s="128"/>
      <c r="X443" s="128"/>
      <c r="Y443" s="128"/>
      <c r="Z443" s="128"/>
      <c r="AA443" s="128"/>
    </row>
    <row r="444">
      <c r="A444" s="134"/>
      <c r="B444" s="134"/>
      <c r="C444" s="128"/>
      <c r="D444" s="128"/>
      <c r="E444" s="128"/>
      <c r="F444" s="128"/>
      <c r="G444" s="128"/>
      <c r="H444" s="128"/>
      <c r="I444" s="128"/>
      <c r="J444" s="128"/>
      <c r="K444" s="128"/>
      <c r="L444" s="128"/>
      <c r="M444" s="128"/>
      <c r="N444" s="128"/>
      <c r="O444" s="128"/>
      <c r="P444" s="128"/>
      <c r="Q444" s="128"/>
      <c r="R444" s="128"/>
      <c r="S444" s="128"/>
      <c r="T444" s="128"/>
      <c r="U444" s="128"/>
      <c r="V444" s="128"/>
      <c r="W444" s="128"/>
      <c r="X444" s="128"/>
      <c r="Y444" s="128"/>
      <c r="Z444" s="128"/>
      <c r="AA444" s="128"/>
    </row>
    <row r="445">
      <c r="A445" s="134"/>
      <c r="B445" s="134"/>
      <c r="C445" s="128"/>
      <c r="D445" s="128"/>
      <c r="E445" s="128"/>
      <c r="F445" s="128"/>
      <c r="G445" s="128"/>
      <c r="H445" s="128"/>
      <c r="I445" s="128"/>
      <c r="J445" s="128"/>
      <c r="K445" s="128"/>
      <c r="L445" s="128"/>
      <c r="M445" s="128"/>
      <c r="N445" s="128"/>
      <c r="O445" s="128"/>
      <c r="P445" s="128"/>
      <c r="Q445" s="128"/>
      <c r="R445" s="128"/>
      <c r="S445" s="128"/>
      <c r="T445" s="128"/>
      <c r="U445" s="128"/>
      <c r="V445" s="128"/>
      <c r="W445" s="128"/>
      <c r="X445" s="128"/>
      <c r="Y445" s="128"/>
      <c r="Z445" s="128"/>
      <c r="AA445" s="128"/>
    </row>
    <row r="446">
      <c r="A446" s="134"/>
      <c r="B446" s="134"/>
      <c r="C446" s="128"/>
      <c r="D446" s="128"/>
      <c r="E446" s="128"/>
      <c r="F446" s="128"/>
      <c r="G446" s="128"/>
      <c r="H446" s="128"/>
      <c r="I446" s="128"/>
      <c r="J446" s="128"/>
      <c r="K446" s="128"/>
      <c r="L446" s="128"/>
      <c r="M446" s="128"/>
      <c r="N446" s="128"/>
      <c r="O446" s="128"/>
      <c r="P446" s="128"/>
      <c r="Q446" s="128"/>
      <c r="R446" s="128"/>
      <c r="S446" s="128"/>
      <c r="T446" s="128"/>
      <c r="U446" s="128"/>
      <c r="V446" s="128"/>
      <c r="W446" s="128"/>
      <c r="X446" s="128"/>
      <c r="Y446" s="128"/>
      <c r="Z446" s="128"/>
      <c r="AA446" s="128"/>
    </row>
    <row r="447">
      <c r="A447" s="134"/>
      <c r="B447" s="134"/>
      <c r="C447" s="128"/>
      <c r="D447" s="128"/>
      <c r="E447" s="128"/>
      <c r="F447" s="128"/>
      <c r="G447" s="128"/>
      <c r="H447" s="128"/>
      <c r="I447" s="128"/>
      <c r="J447" s="128"/>
      <c r="K447" s="128"/>
      <c r="L447" s="128"/>
      <c r="M447" s="128"/>
      <c r="N447" s="128"/>
      <c r="O447" s="128"/>
      <c r="P447" s="128"/>
      <c r="Q447" s="128"/>
      <c r="R447" s="128"/>
      <c r="S447" s="128"/>
      <c r="T447" s="128"/>
      <c r="U447" s="128"/>
      <c r="V447" s="128"/>
      <c r="W447" s="128"/>
      <c r="X447" s="128"/>
      <c r="Y447" s="128"/>
      <c r="Z447" s="128"/>
      <c r="AA447" s="128"/>
    </row>
    <row r="448">
      <c r="A448" s="134"/>
      <c r="B448" s="134"/>
      <c r="C448" s="128"/>
      <c r="D448" s="128"/>
      <c r="E448" s="128"/>
      <c r="F448" s="128"/>
      <c r="G448" s="128"/>
      <c r="H448" s="128"/>
      <c r="I448" s="128"/>
      <c r="J448" s="128"/>
      <c r="K448" s="128"/>
      <c r="L448" s="128"/>
      <c r="M448" s="128"/>
      <c r="N448" s="128"/>
      <c r="O448" s="128"/>
      <c r="P448" s="128"/>
      <c r="Q448" s="128"/>
      <c r="R448" s="128"/>
      <c r="S448" s="128"/>
      <c r="T448" s="128"/>
      <c r="U448" s="128"/>
      <c r="V448" s="128"/>
      <c r="W448" s="128"/>
      <c r="X448" s="128"/>
      <c r="Y448" s="128"/>
      <c r="Z448" s="128"/>
      <c r="AA448" s="128"/>
    </row>
    <row r="449">
      <c r="A449" s="134"/>
      <c r="B449" s="134"/>
      <c r="C449" s="128"/>
      <c r="D449" s="128"/>
      <c r="E449" s="128"/>
      <c r="F449" s="128"/>
      <c r="G449" s="128"/>
      <c r="H449" s="128"/>
      <c r="I449" s="128"/>
      <c r="J449" s="128"/>
      <c r="K449" s="128"/>
      <c r="L449" s="128"/>
      <c r="M449" s="128"/>
      <c r="N449" s="128"/>
      <c r="O449" s="128"/>
      <c r="P449" s="128"/>
      <c r="Q449" s="128"/>
      <c r="R449" s="128"/>
      <c r="S449" s="128"/>
      <c r="T449" s="128"/>
      <c r="U449" s="128"/>
      <c r="V449" s="128"/>
      <c r="W449" s="128"/>
      <c r="X449" s="128"/>
      <c r="Y449" s="128"/>
      <c r="Z449" s="128"/>
      <c r="AA449" s="128"/>
    </row>
    <row r="450">
      <c r="A450" s="134"/>
      <c r="B450" s="134"/>
      <c r="C450" s="128"/>
      <c r="D450" s="128"/>
      <c r="E450" s="128"/>
      <c r="F450" s="128"/>
      <c r="G450" s="128"/>
      <c r="H450" s="128"/>
      <c r="I450" s="128"/>
      <c r="J450" s="128"/>
      <c r="K450" s="128"/>
      <c r="L450" s="128"/>
      <c r="M450" s="128"/>
      <c r="N450" s="128"/>
      <c r="O450" s="128"/>
      <c r="P450" s="128"/>
      <c r="Q450" s="128"/>
      <c r="R450" s="128"/>
      <c r="S450" s="128"/>
      <c r="T450" s="128"/>
      <c r="U450" s="128"/>
      <c r="V450" s="128"/>
      <c r="W450" s="128"/>
      <c r="X450" s="128"/>
      <c r="Y450" s="128"/>
      <c r="Z450" s="128"/>
      <c r="AA450" s="128"/>
    </row>
    <row r="451">
      <c r="A451" s="134"/>
      <c r="B451" s="134"/>
      <c r="C451" s="128"/>
      <c r="D451" s="128"/>
      <c r="E451" s="128"/>
      <c r="F451" s="128"/>
      <c r="G451" s="128"/>
      <c r="H451" s="128"/>
      <c r="I451" s="128"/>
      <c r="J451" s="128"/>
      <c r="K451" s="128"/>
      <c r="L451" s="128"/>
      <c r="M451" s="128"/>
      <c r="N451" s="128"/>
      <c r="O451" s="128"/>
      <c r="P451" s="128"/>
      <c r="Q451" s="128"/>
      <c r="R451" s="128"/>
      <c r="S451" s="128"/>
      <c r="T451" s="128"/>
      <c r="U451" s="128"/>
      <c r="V451" s="128"/>
      <c r="W451" s="128"/>
      <c r="X451" s="128"/>
      <c r="Y451" s="128"/>
      <c r="Z451" s="128"/>
      <c r="AA451" s="128"/>
    </row>
    <row r="452">
      <c r="A452" s="134"/>
      <c r="B452" s="134"/>
      <c r="C452" s="128"/>
      <c r="D452" s="128"/>
      <c r="E452" s="128"/>
      <c r="F452" s="128"/>
      <c r="G452" s="128"/>
      <c r="H452" s="128"/>
      <c r="I452" s="128"/>
      <c r="J452" s="128"/>
      <c r="K452" s="128"/>
      <c r="L452" s="128"/>
      <c r="M452" s="128"/>
      <c r="N452" s="128"/>
      <c r="O452" s="128"/>
      <c r="P452" s="128"/>
      <c r="Q452" s="128"/>
      <c r="R452" s="128"/>
      <c r="S452" s="128"/>
      <c r="T452" s="128"/>
      <c r="U452" s="128"/>
      <c r="V452" s="128"/>
      <c r="W452" s="128"/>
      <c r="X452" s="128"/>
      <c r="Y452" s="128"/>
      <c r="Z452" s="128"/>
      <c r="AA452" s="128"/>
    </row>
    <row r="453">
      <c r="A453" s="134"/>
      <c r="B453" s="134"/>
      <c r="C453" s="128"/>
      <c r="D453" s="128"/>
      <c r="E453" s="128"/>
      <c r="F453" s="128"/>
      <c r="G453" s="128"/>
      <c r="H453" s="128"/>
      <c r="I453" s="128"/>
      <c r="J453" s="128"/>
      <c r="K453" s="128"/>
      <c r="L453" s="128"/>
      <c r="M453" s="128"/>
      <c r="N453" s="128"/>
      <c r="O453" s="128"/>
      <c r="P453" s="128"/>
      <c r="Q453" s="128"/>
      <c r="R453" s="128"/>
      <c r="S453" s="128"/>
      <c r="T453" s="128"/>
      <c r="U453" s="128"/>
      <c r="V453" s="128"/>
      <c r="W453" s="128"/>
      <c r="X453" s="128"/>
      <c r="Y453" s="128"/>
      <c r="Z453" s="128"/>
      <c r="AA453" s="128"/>
    </row>
    <row r="454">
      <c r="A454" s="134"/>
      <c r="B454" s="134"/>
      <c r="C454" s="128"/>
      <c r="D454" s="128"/>
      <c r="E454" s="128"/>
      <c r="F454" s="128"/>
      <c r="G454" s="128"/>
      <c r="H454" s="128"/>
      <c r="I454" s="128"/>
      <c r="J454" s="128"/>
      <c r="K454" s="128"/>
      <c r="L454" s="128"/>
      <c r="M454" s="128"/>
      <c r="N454" s="128"/>
      <c r="O454" s="128"/>
      <c r="P454" s="128"/>
      <c r="Q454" s="128"/>
      <c r="R454" s="128"/>
      <c r="S454" s="128"/>
      <c r="T454" s="128"/>
      <c r="U454" s="128"/>
      <c r="V454" s="128"/>
      <c r="W454" s="128"/>
      <c r="X454" s="128"/>
      <c r="Y454" s="128"/>
      <c r="Z454" s="128"/>
      <c r="AA454" s="128"/>
    </row>
    <row r="455">
      <c r="A455" s="134"/>
      <c r="B455" s="134"/>
      <c r="C455" s="128"/>
      <c r="D455" s="128"/>
      <c r="E455" s="128"/>
      <c r="F455" s="128"/>
      <c r="G455" s="128"/>
      <c r="H455" s="128"/>
      <c r="I455" s="128"/>
      <c r="J455" s="128"/>
      <c r="K455" s="128"/>
      <c r="L455" s="128"/>
      <c r="M455" s="128"/>
      <c r="N455" s="128"/>
      <c r="O455" s="128"/>
      <c r="P455" s="128"/>
      <c r="Q455" s="128"/>
      <c r="R455" s="128"/>
      <c r="S455" s="128"/>
      <c r="T455" s="128"/>
      <c r="U455" s="128"/>
      <c r="V455" s="128"/>
      <c r="W455" s="128"/>
      <c r="X455" s="128"/>
      <c r="Y455" s="128"/>
      <c r="Z455" s="128"/>
      <c r="AA455" s="128"/>
    </row>
    <row r="456">
      <c r="A456" s="134"/>
      <c r="B456" s="134"/>
      <c r="C456" s="128"/>
      <c r="D456" s="128"/>
      <c r="E456" s="128"/>
      <c r="F456" s="128"/>
      <c r="G456" s="128"/>
      <c r="H456" s="128"/>
      <c r="I456" s="128"/>
      <c r="J456" s="128"/>
      <c r="K456" s="128"/>
      <c r="L456" s="128"/>
      <c r="M456" s="128"/>
      <c r="N456" s="128"/>
      <c r="O456" s="128"/>
      <c r="P456" s="128"/>
      <c r="Q456" s="128"/>
      <c r="R456" s="128"/>
      <c r="S456" s="128"/>
      <c r="T456" s="128"/>
      <c r="U456" s="128"/>
      <c r="V456" s="128"/>
      <c r="W456" s="128"/>
      <c r="X456" s="128"/>
      <c r="Y456" s="128"/>
      <c r="Z456" s="128"/>
      <c r="AA456" s="128"/>
    </row>
    <row r="457">
      <c r="A457" s="134"/>
      <c r="B457" s="134"/>
      <c r="C457" s="128"/>
      <c r="D457" s="128"/>
      <c r="E457" s="128"/>
      <c r="F457" s="128"/>
      <c r="G457" s="128"/>
      <c r="H457" s="128"/>
      <c r="I457" s="128"/>
      <c r="J457" s="128"/>
      <c r="K457" s="128"/>
      <c r="L457" s="128"/>
      <c r="M457" s="128"/>
      <c r="N457" s="128"/>
      <c r="O457" s="128"/>
      <c r="P457" s="128"/>
      <c r="Q457" s="128"/>
      <c r="R457" s="128"/>
      <c r="S457" s="128"/>
      <c r="T457" s="128"/>
      <c r="U457" s="128"/>
      <c r="V457" s="128"/>
      <c r="W457" s="128"/>
      <c r="X457" s="128"/>
      <c r="Y457" s="128"/>
      <c r="Z457" s="128"/>
      <c r="AA457" s="128"/>
    </row>
    <row r="458">
      <c r="A458" s="134"/>
      <c r="B458" s="134"/>
      <c r="C458" s="128"/>
      <c r="D458" s="128"/>
      <c r="E458" s="128"/>
      <c r="F458" s="128"/>
      <c r="G458" s="128"/>
      <c r="H458" s="128"/>
      <c r="I458" s="128"/>
      <c r="J458" s="128"/>
      <c r="K458" s="128"/>
      <c r="L458" s="128"/>
      <c r="M458" s="128"/>
      <c r="N458" s="128"/>
      <c r="O458" s="128"/>
      <c r="P458" s="128"/>
      <c r="Q458" s="128"/>
      <c r="R458" s="128"/>
      <c r="S458" s="128"/>
      <c r="T458" s="128"/>
      <c r="U458" s="128"/>
      <c r="V458" s="128"/>
      <c r="W458" s="128"/>
      <c r="X458" s="128"/>
      <c r="Y458" s="128"/>
      <c r="Z458" s="128"/>
      <c r="AA458" s="128"/>
    </row>
    <row r="459">
      <c r="A459" s="134"/>
      <c r="B459" s="134"/>
      <c r="C459" s="128"/>
      <c r="D459" s="128"/>
      <c r="E459" s="128"/>
      <c r="F459" s="128"/>
      <c r="G459" s="128"/>
      <c r="H459" s="128"/>
      <c r="I459" s="128"/>
      <c r="J459" s="128"/>
      <c r="K459" s="128"/>
      <c r="L459" s="128"/>
      <c r="M459" s="128"/>
      <c r="N459" s="128"/>
      <c r="O459" s="128"/>
      <c r="P459" s="128"/>
      <c r="Q459" s="128"/>
      <c r="R459" s="128"/>
      <c r="S459" s="128"/>
      <c r="T459" s="128"/>
      <c r="U459" s="128"/>
      <c r="V459" s="128"/>
      <c r="W459" s="128"/>
      <c r="X459" s="128"/>
      <c r="Y459" s="128"/>
      <c r="Z459" s="128"/>
      <c r="AA459" s="128"/>
    </row>
    <row r="460">
      <c r="A460" s="134"/>
      <c r="B460" s="134"/>
      <c r="C460" s="128"/>
      <c r="D460" s="128"/>
      <c r="E460" s="128"/>
      <c r="F460" s="128"/>
      <c r="G460" s="128"/>
      <c r="H460" s="128"/>
      <c r="I460" s="128"/>
      <c r="J460" s="128"/>
      <c r="K460" s="128"/>
      <c r="L460" s="128"/>
      <c r="M460" s="128"/>
      <c r="N460" s="128"/>
      <c r="O460" s="128"/>
      <c r="P460" s="128"/>
      <c r="Q460" s="128"/>
      <c r="R460" s="128"/>
      <c r="S460" s="128"/>
      <c r="T460" s="128"/>
      <c r="U460" s="128"/>
      <c r="V460" s="128"/>
      <c r="W460" s="128"/>
      <c r="X460" s="128"/>
      <c r="Y460" s="128"/>
      <c r="Z460" s="128"/>
      <c r="AA460" s="128"/>
    </row>
    <row r="461">
      <c r="A461" s="134"/>
      <c r="B461" s="134"/>
      <c r="C461" s="128"/>
      <c r="D461" s="128"/>
      <c r="E461" s="128"/>
      <c r="F461" s="128"/>
      <c r="G461" s="128"/>
      <c r="H461" s="128"/>
      <c r="I461" s="128"/>
      <c r="J461" s="128"/>
      <c r="K461" s="128"/>
      <c r="L461" s="128"/>
      <c r="M461" s="128"/>
      <c r="N461" s="128"/>
      <c r="O461" s="128"/>
      <c r="P461" s="128"/>
      <c r="Q461" s="128"/>
      <c r="R461" s="128"/>
      <c r="S461" s="128"/>
      <c r="T461" s="128"/>
      <c r="U461" s="128"/>
      <c r="V461" s="128"/>
      <c r="W461" s="128"/>
      <c r="X461" s="128"/>
      <c r="Y461" s="128"/>
      <c r="Z461" s="128"/>
      <c r="AA461" s="128"/>
    </row>
    <row r="462">
      <c r="A462" s="134"/>
      <c r="B462" s="134"/>
      <c r="C462" s="128"/>
      <c r="D462" s="128"/>
      <c r="E462" s="128"/>
      <c r="F462" s="128"/>
      <c r="G462" s="128"/>
      <c r="H462" s="128"/>
      <c r="I462" s="128"/>
      <c r="J462" s="128"/>
      <c r="K462" s="128"/>
      <c r="L462" s="128"/>
      <c r="M462" s="128"/>
      <c r="N462" s="128"/>
      <c r="O462" s="128"/>
      <c r="P462" s="128"/>
      <c r="Q462" s="128"/>
      <c r="R462" s="128"/>
      <c r="S462" s="128"/>
      <c r="T462" s="128"/>
      <c r="U462" s="128"/>
      <c r="V462" s="128"/>
      <c r="W462" s="128"/>
      <c r="X462" s="128"/>
      <c r="Y462" s="128"/>
      <c r="Z462" s="128"/>
      <c r="AA462" s="128"/>
    </row>
    <row r="463">
      <c r="A463" s="134"/>
      <c r="B463" s="134"/>
      <c r="C463" s="128"/>
      <c r="D463" s="128"/>
      <c r="E463" s="128"/>
      <c r="F463" s="128"/>
      <c r="G463" s="128"/>
      <c r="H463" s="128"/>
      <c r="I463" s="128"/>
      <c r="J463" s="128"/>
      <c r="K463" s="128"/>
      <c r="L463" s="128"/>
      <c r="M463" s="128"/>
      <c r="N463" s="128"/>
      <c r="O463" s="128"/>
      <c r="P463" s="128"/>
      <c r="Q463" s="128"/>
      <c r="R463" s="128"/>
      <c r="S463" s="128"/>
      <c r="T463" s="128"/>
      <c r="U463" s="128"/>
      <c r="V463" s="128"/>
      <c r="W463" s="128"/>
      <c r="X463" s="128"/>
      <c r="Y463" s="128"/>
      <c r="Z463" s="128"/>
      <c r="AA463" s="128"/>
    </row>
    <row r="464">
      <c r="A464" s="134"/>
      <c r="B464" s="134"/>
      <c r="C464" s="128"/>
      <c r="D464" s="128"/>
      <c r="E464" s="128"/>
      <c r="F464" s="128"/>
      <c r="G464" s="128"/>
      <c r="H464" s="128"/>
      <c r="I464" s="128"/>
      <c r="J464" s="128"/>
      <c r="K464" s="128"/>
      <c r="L464" s="128"/>
      <c r="M464" s="128"/>
      <c r="N464" s="128"/>
      <c r="O464" s="128"/>
      <c r="P464" s="128"/>
      <c r="Q464" s="128"/>
      <c r="R464" s="128"/>
      <c r="S464" s="128"/>
      <c r="T464" s="128"/>
      <c r="U464" s="128"/>
      <c r="V464" s="128"/>
      <c r="W464" s="128"/>
      <c r="X464" s="128"/>
      <c r="Y464" s="128"/>
      <c r="Z464" s="128"/>
      <c r="AA464" s="128"/>
    </row>
    <row r="465">
      <c r="A465" s="134"/>
      <c r="B465" s="134"/>
      <c r="C465" s="128"/>
      <c r="D465" s="128"/>
      <c r="E465" s="128"/>
      <c r="F465" s="128"/>
      <c r="G465" s="128"/>
      <c r="H465" s="128"/>
      <c r="I465" s="128"/>
      <c r="J465" s="128"/>
      <c r="K465" s="128"/>
      <c r="L465" s="128"/>
      <c r="M465" s="128"/>
      <c r="N465" s="128"/>
      <c r="O465" s="128"/>
      <c r="P465" s="128"/>
      <c r="Q465" s="128"/>
      <c r="R465" s="128"/>
      <c r="S465" s="128"/>
      <c r="T465" s="128"/>
      <c r="U465" s="128"/>
      <c r="V465" s="128"/>
      <c r="W465" s="128"/>
      <c r="X465" s="128"/>
      <c r="Y465" s="128"/>
      <c r="Z465" s="128"/>
      <c r="AA465" s="128"/>
    </row>
    <row r="466">
      <c r="A466" s="134"/>
      <c r="B466" s="134"/>
      <c r="C466" s="128"/>
      <c r="D466" s="128"/>
      <c r="E466" s="128"/>
      <c r="F466" s="128"/>
      <c r="G466" s="128"/>
      <c r="H466" s="128"/>
      <c r="I466" s="128"/>
      <c r="J466" s="128"/>
      <c r="K466" s="128"/>
      <c r="L466" s="128"/>
      <c r="M466" s="128"/>
      <c r="N466" s="128"/>
      <c r="O466" s="128"/>
      <c r="P466" s="128"/>
      <c r="Q466" s="128"/>
      <c r="R466" s="128"/>
      <c r="S466" s="128"/>
      <c r="T466" s="128"/>
      <c r="U466" s="128"/>
      <c r="V466" s="128"/>
      <c r="W466" s="128"/>
      <c r="X466" s="128"/>
      <c r="Y466" s="128"/>
      <c r="Z466" s="128"/>
      <c r="AA466" s="128"/>
    </row>
    <row r="467">
      <c r="A467" s="134"/>
      <c r="B467" s="134"/>
      <c r="C467" s="128"/>
      <c r="D467" s="128"/>
      <c r="E467" s="128"/>
      <c r="F467" s="128"/>
      <c r="G467" s="128"/>
      <c r="H467" s="128"/>
      <c r="I467" s="128"/>
      <c r="J467" s="128"/>
      <c r="K467" s="128"/>
      <c r="L467" s="128"/>
      <c r="M467" s="128"/>
      <c r="N467" s="128"/>
      <c r="O467" s="128"/>
      <c r="P467" s="128"/>
      <c r="Q467" s="128"/>
      <c r="R467" s="128"/>
      <c r="S467" s="128"/>
      <c r="T467" s="128"/>
      <c r="U467" s="128"/>
      <c r="V467" s="128"/>
      <c r="W467" s="128"/>
      <c r="X467" s="128"/>
      <c r="Y467" s="128"/>
      <c r="Z467" s="128"/>
      <c r="AA467" s="128"/>
    </row>
    <row r="468">
      <c r="A468" s="134"/>
      <c r="B468" s="134"/>
      <c r="C468" s="128"/>
      <c r="D468" s="128"/>
      <c r="E468" s="128"/>
      <c r="F468" s="128"/>
      <c r="G468" s="128"/>
      <c r="H468" s="128"/>
      <c r="I468" s="128"/>
      <c r="J468" s="128"/>
      <c r="K468" s="128"/>
      <c r="L468" s="128"/>
      <c r="M468" s="128"/>
      <c r="N468" s="128"/>
      <c r="O468" s="128"/>
      <c r="P468" s="128"/>
      <c r="Q468" s="128"/>
      <c r="R468" s="128"/>
      <c r="S468" s="128"/>
      <c r="T468" s="128"/>
      <c r="U468" s="128"/>
      <c r="V468" s="128"/>
      <c r="W468" s="128"/>
      <c r="X468" s="128"/>
      <c r="Y468" s="128"/>
      <c r="Z468" s="128"/>
      <c r="AA468" s="128"/>
    </row>
    <row r="469">
      <c r="A469" s="134"/>
      <c r="B469" s="134"/>
      <c r="C469" s="128"/>
      <c r="D469" s="128"/>
      <c r="E469" s="128"/>
      <c r="F469" s="128"/>
      <c r="G469" s="128"/>
      <c r="H469" s="128"/>
      <c r="I469" s="128"/>
      <c r="J469" s="128"/>
      <c r="K469" s="128"/>
      <c r="L469" s="128"/>
      <c r="M469" s="128"/>
      <c r="N469" s="128"/>
      <c r="O469" s="128"/>
      <c r="P469" s="128"/>
      <c r="Q469" s="128"/>
      <c r="R469" s="128"/>
      <c r="S469" s="128"/>
      <c r="T469" s="128"/>
      <c r="U469" s="128"/>
      <c r="V469" s="128"/>
      <c r="W469" s="128"/>
      <c r="X469" s="128"/>
      <c r="Y469" s="128"/>
      <c r="Z469" s="128"/>
      <c r="AA469" s="128"/>
    </row>
    <row r="470">
      <c r="A470" s="134"/>
      <c r="B470" s="134"/>
      <c r="C470" s="128"/>
      <c r="D470" s="128"/>
      <c r="E470" s="128"/>
      <c r="F470" s="128"/>
      <c r="G470" s="128"/>
      <c r="H470" s="128"/>
      <c r="I470" s="128"/>
      <c r="J470" s="128"/>
      <c r="K470" s="128"/>
      <c r="L470" s="128"/>
      <c r="M470" s="128"/>
      <c r="N470" s="128"/>
      <c r="O470" s="128"/>
      <c r="P470" s="128"/>
      <c r="Q470" s="128"/>
      <c r="R470" s="128"/>
      <c r="S470" s="128"/>
      <c r="T470" s="128"/>
      <c r="U470" s="128"/>
      <c r="V470" s="128"/>
      <c r="W470" s="128"/>
      <c r="X470" s="128"/>
      <c r="Y470" s="128"/>
      <c r="Z470" s="128"/>
      <c r="AA470" s="128"/>
    </row>
    <row r="471">
      <c r="A471" s="134"/>
      <c r="B471" s="134"/>
      <c r="C471" s="128"/>
      <c r="D471" s="128"/>
      <c r="E471" s="128"/>
      <c r="F471" s="128"/>
      <c r="G471" s="128"/>
      <c r="H471" s="128"/>
      <c r="I471" s="128"/>
      <c r="J471" s="128"/>
      <c r="K471" s="128"/>
      <c r="L471" s="128"/>
      <c r="M471" s="128"/>
      <c r="N471" s="128"/>
      <c r="O471" s="128"/>
      <c r="P471" s="128"/>
      <c r="Q471" s="128"/>
      <c r="R471" s="128"/>
      <c r="S471" s="128"/>
      <c r="T471" s="128"/>
      <c r="U471" s="128"/>
      <c r="V471" s="128"/>
      <c r="W471" s="128"/>
      <c r="X471" s="128"/>
      <c r="Y471" s="128"/>
      <c r="Z471" s="128"/>
      <c r="AA471" s="128"/>
    </row>
    <row r="472">
      <c r="A472" s="134"/>
      <c r="B472" s="134"/>
      <c r="C472" s="128"/>
      <c r="D472" s="128"/>
      <c r="E472" s="128"/>
      <c r="F472" s="128"/>
      <c r="G472" s="128"/>
      <c r="H472" s="128"/>
      <c r="I472" s="128"/>
      <c r="J472" s="128"/>
      <c r="K472" s="128"/>
      <c r="L472" s="128"/>
      <c r="M472" s="128"/>
      <c r="N472" s="128"/>
      <c r="O472" s="128"/>
      <c r="P472" s="128"/>
      <c r="Q472" s="128"/>
      <c r="R472" s="128"/>
      <c r="S472" s="128"/>
      <c r="T472" s="128"/>
      <c r="U472" s="128"/>
      <c r="V472" s="128"/>
      <c r="W472" s="128"/>
      <c r="X472" s="128"/>
      <c r="Y472" s="128"/>
      <c r="Z472" s="128"/>
      <c r="AA472" s="128"/>
    </row>
    <row r="473">
      <c r="A473" s="134"/>
      <c r="B473" s="134"/>
      <c r="C473" s="128"/>
      <c r="D473" s="128"/>
      <c r="E473" s="128"/>
      <c r="F473" s="128"/>
      <c r="G473" s="128"/>
      <c r="H473" s="128"/>
      <c r="I473" s="128"/>
      <c r="J473" s="128"/>
      <c r="K473" s="128"/>
      <c r="L473" s="128"/>
      <c r="M473" s="128"/>
      <c r="N473" s="128"/>
      <c r="O473" s="128"/>
      <c r="P473" s="128"/>
      <c r="Q473" s="128"/>
      <c r="R473" s="128"/>
      <c r="S473" s="128"/>
      <c r="T473" s="128"/>
      <c r="U473" s="128"/>
      <c r="V473" s="128"/>
      <c r="W473" s="128"/>
      <c r="X473" s="128"/>
      <c r="Y473" s="128"/>
      <c r="Z473" s="128"/>
      <c r="AA473" s="128"/>
    </row>
    <row r="474">
      <c r="A474" s="134"/>
      <c r="B474" s="134"/>
      <c r="C474" s="128"/>
      <c r="D474" s="128"/>
      <c r="E474" s="128"/>
      <c r="F474" s="128"/>
      <c r="G474" s="128"/>
      <c r="H474" s="128"/>
      <c r="I474" s="128"/>
      <c r="J474" s="128"/>
      <c r="K474" s="128"/>
      <c r="L474" s="128"/>
      <c r="M474" s="128"/>
      <c r="N474" s="128"/>
      <c r="O474" s="128"/>
      <c r="P474" s="128"/>
      <c r="Q474" s="128"/>
      <c r="R474" s="128"/>
      <c r="S474" s="128"/>
      <c r="T474" s="128"/>
      <c r="U474" s="128"/>
      <c r="V474" s="128"/>
      <c r="W474" s="128"/>
      <c r="X474" s="128"/>
      <c r="Y474" s="128"/>
      <c r="Z474" s="128"/>
      <c r="AA474" s="128"/>
    </row>
    <row r="475">
      <c r="A475" s="134"/>
      <c r="B475" s="134"/>
      <c r="C475" s="128"/>
      <c r="D475" s="128"/>
      <c r="E475" s="128"/>
      <c r="F475" s="128"/>
      <c r="G475" s="128"/>
      <c r="H475" s="128"/>
      <c r="I475" s="128"/>
      <c r="J475" s="128"/>
      <c r="K475" s="128"/>
      <c r="L475" s="128"/>
      <c r="M475" s="128"/>
      <c r="N475" s="128"/>
      <c r="O475" s="128"/>
      <c r="P475" s="128"/>
      <c r="Q475" s="128"/>
      <c r="R475" s="128"/>
      <c r="S475" s="128"/>
      <c r="T475" s="128"/>
      <c r="U475" s="128"/>
      <c r="V475" s="128"/>
      <c r="W475" s="128"/>
      <c r="X475" s="128"/>
      <c r="Y475" s="128"/>
      <c r="Z475" s="128"/>
      <c r="AA475" s="128"/>
    </row>
    <row r="476">
      <c r="A476" s="134"/>
      <c r="B476" s="134"/>
      <c r="C476" s="128"/>
      <c r="D476" s="128"/>
      <c r="E476" s="128"/>
      <c r="F476" s="128"/>
      <c r="G476" s="128"/>
      <c r="H476" s="128"/>
      <c r="I476" s="128"/>
      <c r="J476" s="128"/>
      <c r="K476" s="128"/>
      <c r="L476" s="128"/>
      <c r="M476" s="128"/>
      <c r="N476" s="128"/>
      <c r="O476" s="128"/>
      <c r="P476" s="128"/>
      <c r="Q476" s="128"/>
      <c r="R476" s="128"/>
      <c r="S476" s="128"/>
      <c r="T476" s="128"/>
      <c r="U476" s="128"/>
      <c r="V476" s="128"/>
      <c r="W476" s="128"/>
      <c r="X476" s="128"/>
      <c r="Y476" s="128"/>
      <c r="Z476" s="128"/>
      <c r="AA476" s="128"/>
    </row>
    <row r="477">
      <c r="A477" s="134"/>
      <c r="B477" s="134"/>
      <c r="C477" s="128"/>
      <c r="D477" s="128"/>
      <c r="E477" s="128"/>
      <c r="F477" s="128"/>
      <c r="G477" s="128"/>
      <c r="H477" s="128"/>
      <c r="I477" s="128"/>
      <c r="J477" s="128"/>
      <c r="K477" s="128"/>
      <c r="L477" s="128"/>
      <c r="M477" s="128"/>
      <c r="N477" s="128"/>
      <c r="O477" s="128"/>
      <c r="P477" s="128"/>
      <c r="Q477" s="128"/>
      <c r="R477" s="128"/>
      <c r="S477" s="128"/>
      <c r="T477" s="128"/>
      <c r="U477" s="128"/>
      <c r="V477" s="128"/>
      <c r="W477" s="128"/>
      <c r="X477" s="128"/>
      <c r="Y477" s="128"/>
      <c r="Z477" s="128"/>
      <c r="AA477" s="128"/>
    </row>
    <row r="478">
      <c r="A478" s="134"/>
      <c r="B478" s="134"/>
      <c r="C478" s="128"/>
      <c r="D478" s="128"/>
      <c r="E478" s="128"/>
      <c r="F478" s="128"/>
      <c r="G478" s="128"/>
      <c r="H478" s="128"/>
      <c r="I478" s="128"/>
      <c r="J478" s="128"/>
      <c r="K478" s="128"/>
      <c r="L478" s="128"/>
      <c r="M478" s="128"/>
      <c r="N478" s="128"/>
      <c r="O478" s="128"/>
      <c r="P478" s="128"/>
      <c r="Q478" s="128"/>
      <c r="R478" s="128"/>
      <c r="S478" s="128"/>
      <c r="T478" s="128"/>
      <c r="U478" s="128"/>
      <c r="V478" s="128"/>
      <c r="W478" s="128"/>
      <c r="X478" s="128"/>
      <c r="Y478" s="128"/>
      <c r="Z478" s="128"/>
      <c r="AA478" s="128"/>
    </row>
    <row r="479">
      <c r="A479" s="134"/>
      <c r="B479" s="134"/>
      <c r="C479" s="128"/>
      <c r="D479" s="128"/>
      <c r="E479" s="128"/>
      <c r="F479" s="128"/>
      <c r="G479" s="128"/>
      <c r="H479" s="128"/>
      <c r="I479" s="128"/>
      <c r="J479" s="128"/>
      <c r="K479" s="128"/>
      <c r="L479" s="128"/>
      <c r="M479" s="128"/>
      <c r="N479" s="128"/>
      <c r="O479" s="128"/>
      <c r="P479" s="128"/>
      <c r="Q479" s="128"/>
      <c r="R479" s="128"/>
      <c r="S479" s="128"/>
      <c r="T479" s="128"/>
      <c r="U479" s="128"/>
      <c r="V479" s="128"/>
      <c r="W479" s="128"/>
      <c r="X479" s="128"/>
      <c r="Y479" s="128"/>
      <c r="Z479" s="128"/>
      <c r="AA479" s="128"/>
    </row>
    <row r="480">
      <c r="A480" s="134"/>
      <c r="B480" s="134"/>
      <c r="C480" s="128"/>
      <c r="D480" s="128"/>
      <c r="E480" s="128"/>
      <c r="F480" s="128"/>
      <c r="G480" s="128"/>
      <c r="H480" s="128"/>
      <c r="I480" s="128"/>
      <c r="J480" s="128"/>
      <c r="K480" s="128"/>
      <c r="L480" s="128"/>
      <c r="M480" s="128"/>
      <c r="N480" s="128"/>
      <c r="O480" s="128"/>
      <c r="P480" s="128"/>
      <c r="Q480" s="128"/>
      <c r="R480" s="128"/>
      <c r="S480" s="128"/>
      <c r="T480" s="128"/>
      <c r="U480" s="128"/>
      <c r="V480" s="128"/>
      <c r="W480" s="128"/>
      <c r="X480" s="128"/>
      <c r="Y480" s="128"/>
      <c r="Z480" s="128"/>
      <c r="AA480" s="128"/>
    </row>
    <row r="481">
      <c r="A481" s="134"/>
      <c r="B481" s="134"/>
      <c r="C481" s="128"/>
      <c r="D481" s="128"/>
      <c r="E481" s="128"/>
      <c r="F481" s="128"/>
      <c r="G481" s="128"/>
      <c r="H481" s="128"/>
      <c r="I481" s="128"/>
      <c r="J481" s="128"/>
      <c r="K481" s="128"/>
      <c r="L481" s="128"/>
      <c r="M481" s="128"/>
      <c r="N481" s="128"/>
      <c r="O481" s="128"/>
      <c r="P481" s="128"/>
      <c r="Q481" s="128"/>
      <c r="R481" s="128"/>
      <c r="S481" s="128"/>
      <c r="T481" s="128"/>
      <c r="U481" s="128"/>
      <c r="V481" s="128"/>
      <c r="W481" s="128"/>
      <c r="X481" s="128"/>
      <c r="Y481" s="128"/>
      <c r="Z481" s="128"/>
      <c r="AA481" s="128"/>
    </row>
    <row r="482">
      <c r="A482" s="134"/>
      <c r="B482" s="134"/>
      <c r="C482" s="128"/>
      <c r="D482" s="128"/>
      <c r="E482" s="128"/>
      <c r="F482" s="128"/>
      <c r="G482" s="128"/>
      <c r="H482" s="128"/>
      <c r="I482" s="128"/>
      <c r="J482" s="128"/>
      <c r="K482" s="128"/>
      <c r="L482" s="128"/>
      <c r="M482" s="128"/>
      <c r="N482" s="128"/>
      <c r="O482" s="128"/>
      <c r="P482" s="128"/>
      <c r="Q482" s="128"/>
      <c r="R482" s="128"/>
      <c r="S482" s="128"/>
      <c r="T482" s="128"/>
      <c r="U482" s="128"/>
      <c r="V482" s="128"/>
      <c r="W482" s="128"/>
      <c r="X482" s="128"/>
      <c r="Y482" s="128"/>
      <c r="Z482" s="128"/>
      <c r="AA482" s="128"/>
    </row>
    <row r="483">
      <c r="A483" s="134"/>
      <c r="B483" s="134"/>
      <c r="C483" s="128"/>
      <c r="D483" s="128"/>
      <c r="E483" s="128"/>
      <c r="F483" s="128"/>
      <c r="G483" s="128"/>
      <c r="H483" s="128"/>
      <c r="I483" s="128"/>
      <c r="J483" s="128"/>
      <c r="K483" s="128"/>
      <c r="L483" s="128"/>
      <c r="M483" s="128"/>
      <c r="N483" s="128"/>
      <c r="O483" s="128"/>
      <c r="P483" s="128"/>
      <c r="Q483" s="128"/>
      <c r="R483" s="128"/>
      <c r="S483" s="128"/>
      <c r="T483" s="128"/>
      <c r="U483" s="128"/>
      <c r="V483" s="128"/>
      <c r="W483" s="128"/>
      <c r="X483" s="128"/>
      <c r="Y483" s="128"/>
      <c r="Z483" s="128"/>
      <c r="AA483" s="128"/>
    </row>
    <row r="484">
      <c r="A484" s="134"/>
      <c r="B484" s="134"/>
      <c r="C484" s="128"/>
      <c r="D484" s="128"/>
      <c r="E484" s="128"/>
      <c r="F484" s="128"/>
      <c r="G484" s="128"/>
      <c r="H484" s="128"/>
      <c r="I484" s="128"/>
      <c r="J484" s="128"/>
      <c r="K484" s="128"/>
      <c r="L484" s="128"/>
      <c r="M484" s="128"/>
      <c r="N484" s="128"/>
      <c r="O484" s="128"/>
      <c r="P484" s="128"/>
      <c r="Q484" s="128"/>
      <c r="R484" s="128"/>
      <c r="S484" s="128"/>
      <c r="T484" s="128"/>
      <c r="U484" s="128"/>
      <c r="V484" s="128"/>
      <c r="W484" s="128"/>
      <c r="X484" s="128"/>
      <c r="Y484" s="128"/>
      <c r="Z484" s="128"/>
      <c r="AA484" s="128"/>
    </row>
    <row r="485">
      <c r="A485" s="134"/>
      <c r="B485" s="134"/>
      <c r="C485" s="128"/>
      <c r="D485" s="128"/>
      <c r="E485" s="128"/>
      <c r="F485" s="128"/>
      <c r="G485" s="128"/>
      <c r="H485" s="128"/>
      <c r="I485" s="128"/>
      <c r="J485" s="128"/>
      <c r="K485" s="128"/>
      <c r="L485" s="128"/>
      <c r="M485" s="128"/>
      <c r="N485" s="128"/>
      <c r="O485" s="128"/>
      <c r="P485" s="128"/>
      <c r="Q485" s="128"/>
      <c r="R485" s="128"/>
      <c r="S485" s="128"/>
      <c r="T485" s="128"/>
      <c r="U485" s="128"/>
      <c r="V485" s="128"/>
      <c r="W485" s="128"/>
      <c r="X485" s="128"/>
      <c r="Y485" s="128"/>
      <c r="Z485" s="128"/>
      <c r="AA485" s="128"/>
    </row>
    <row r="486">
      <c r="A486" s="134"/>
      <c r="B486" s="134"/>
      <c r="C486" s="128"/>
      <c r="D486" s="128"/>
      <c r="E486" s="128"/>
      <c r="F486" s="128"/>
      <c r="G486" s="128"/>
      <c r="H486" s="128"/>
      <c r="I486" s="128"/>
      <c r="J486" s="128"/>
      <c r="K486" s="128"/>
      <c r="L486" s="128"/>
      <c r="M486" s="128"/>
      <c r="N486" s="128"/>
      <c r="O486" s="128"/>
      <c r="P486" s="128"/>
      <c r="Q486" s="128"/>
      <c r="R486" s="128"/>
      <c r="S486" s="128"/>
      <c r="T486" s="128"/>
      <c r="U486" s="128"/>
      <c r="V486" s="128"/>
      <c r="W486" s="128"/>
      <c r="X486" s="128"/>
      <c r="Y486" s="128"/>
      <c r="Z486" s="128"/>
      <c r="AA486" s="128"/>
    </row>
    <row r="487">
      <c r="A487" s="134"/>
      <c r="B487" s="134"/>
      <c r="C487" s="128"/>
      <c r="D487" s="128"/>
      <c r="E487" s="128"/>
      <c r="F487" s="128"/>
      <c r="G487" s="128"/>
      <c r="H487" s="128"/>
      <c r="I487" s="128"/>
      <c r="J487" s="128"/>
      <c r="K487" s="128"/>
      <c r="L487" s="128"/>
      <c r="M487" s="128"/>
      <c r="N487" s="128"/>
      <c r="O487" s="128"/>
      <c r="P487" s="128"/>
      <c r="Q487" s="128"/>
      <c r="R487" s="128"/>
      <c r="S487" s="128"/>
      <c r="T487" s="128"/>
      <c r="U487" s="128"/>
      <c r="V487" s="128"/>
      <c r="W487" s="128"/>
      <c r="X487" s="128"/>
      <c r="Y487" s="128"/>
      <c r="Z487" s="128"/>
      <c r="AA487" s="128"/>
    </row>
    <row r="488">
      <c r="A488" s="134"/>
      <c r="B488" s="134"/>
      <c r="C488" s="128"/>
      <c r="D488" s="128"/>
      <c r="E488" s="128"/>
      <c r="F488" s="128"/>
      <c r="G488" s="128"/>
      <c r="H488" s="128"/>
      <c r="I488" s="128"/>
      <c r="J488" s="128"/>
      <c r="K488" s="128"/>
      <c r="L488" s="128"/>
      <c r="M488" s="128"/>
      <c r="N488" s="128"/>
      <c r="O488" s="128"/>
      <c r="P488" s="128"/>
      <c r="Q488" s="128"/>
      <c r="R488" s="128"/>
      <c r="S488" s="128"/>
      <c r="T488" s="128"/>
      <c r="U488" s="128"/>
      <c r="V488" s="128"/>
      <c r="W488" s="128"/>
      <c r="X488" s="128"/>
      <c r="Y488" s="128"/>
      <c r="Z488" s="128"/>
      <c r="AA488" s="128"/>
    </row>
    <row r="489">
      <c r="A489" s="134"/>
      <c r="B489" s="134"/>
      <c r="C489" s="128"/>
      <c r="D489" s="128"/>
      <c r="E489" s="128"/>
      <c r="F489" s="128"/>
      <c r="G489" s="128"/>
      <c r="H489" s="128"/>
      <c r="I489" s="128"/>
      <c r="J489" s="128"/>
      <c r="K489" s="128"/>
      <c r="L489" s="128"/>
      <c r="M489" s="128"/>
      <c r="N489" s="128"/>
      <c r="O489" s="128"/>
      <c r="P489" s="128"/>
      <c r="Q489" s="128"/>
      <c r="R489" s="128"/>
      <c r="S489" s="128"/>
      <c r="T489" s="128"/>
      <c r="U489" s="128"/>
      <c r="V489" s="128"/>
      <c r="W489" s="128"/>
      <c r="X489" s="128"/>
      <c r="Y489" s="128"/>
      <c r="Z489" s="128"/>
      <c r="AA489" s="128"/>
    </row>
    <row r="490">
      <c r="A490" s="134"/>
      <c r="B490" s="134"/>
      <c r="C490" s="128"/>
      <c r="D490" s="128"/>
      <c r="E490" s="128"/>
      <c r="F490" s="128"/>
      <c r="G490" s="128"/>
      <c r="H490" s="128"/>
      <c r="I490" s="128"/>
      <c r="J490" s="128"/>
      <c r="K490" s="128"/>
      <c r="L490" s="128"/>
      <c r="M490" s="128"/>
      <c r="N490" s="128"/>
      <c r="O490" s="128"/>
      <c r="P490" s="128"/>
      <c r="Q490" s="128"/>
      <c r="R490" s="128"/>
      <c r="S490" s="128"/>
      <c r="T490" s="128"/>
      <c r="U490" s="128"/>
      <c r="V490" s="128"/>
      <c r="W490" s="128"/>
      <c r="X490" s="128"/>
      <c r="Y490" s="128"/>
      <c r="Z490" s="128"/>
      <c r="AA490" s="128"/>
    </row>
    <row r="491">
      <c r="A491" s="134"/>
      <c r="B491" s="134"/>
      <c r="C491" s="128"/>
      <c r="D491" s="128"/>
      <c r="E491" s="128"/>
      <c r="F491" s="128"/>
      <c r="G491" s="128"/>
      <c r="H491" s="128"/>
      <c r="I491" s="128"/>
      <c r="J491" s="128"/>
      <c r="K491" s="128"/>
      <c r="L491" s="128"/>
      <c r="M491" s="128"/>
      <c r="N491" s="128"/>
      <c r="O491" s="128"/>
      <c r="P491" s="128"/>
      <c r="Q491" s="128"/>
      <c r="R491" s="128"/>
      <c r="S491" s="128"/>
      <c r="T491" s="128"/>
      <c r="U491" s="128"/>
      <c r="V491" s="128"/>
      <c r="W491" s="128"/>
      <c r="X491" s="128"/>
      <c r="Y491" s="128"/>
      <c r="Z491" s="128"/>
      <c r="AA491" s="128"/>
    </row>
    <row r="492">
      <c r="A492" s="134"/>
      <c r="B492" s="134"/>
      <c r="C492" s="128"/>
      <c r="D492" s="128"/>
      <c r="E492" s="128"/>
      <c r="F492" s="128"/>
      <c r="G492" s="128"/>
      <c r="H492" s="128"/>
      <c r="I492" s="128"/>
      <c r="J492" s="128"/>
      <c r="K492" s="128"/>
      <c r="L492" s="128"/>
      <c r="M492" s="128"/>
      <c r="N492" s="128"/>
      <c r="O492" s="128"/>
      <c r="P492" s="128"/>
      <c r="Q492" s="128"/>
      <c r="R492" s="128"/>
      <c r="S492" s="128"/>
      <c r="T492" s="128"/>
      <c r="U492" s="128"/>
      <c r="V492" s="128"/>
      <c r="W492" s="128"/>
      <c r="X492" s="128"/>
      <c r="Y492" s="128"/>
      <c r="Z492" s="128"/>
      <c r="AA492" s="128"/>
    </row>
    <row r="493">
      <c r="A493" s="134"/>
      <c r="B493" s="134"/>
      <c r="C493" s="128"/>
      <c r="D493" s="128"/>
      <c r="E493" s="128"/>
      <c r="F493" s="128"/>
      <c r="G493" s="128"/>
      <c r="H493" s="128"/>
      <c r="I493" s="128"/>
      <c r="J493" s="128"/>
      <c r="K493" s="128"/>
      <c r="L493" s="128"/>
      <c r="M493" s="128"/>
      <c r="N493" s="128"/>
      <c r="O493" s="128"/>
      <c r="P493" s="128"/>
      <c r="Q493" s="128"/>
      <c r="R493" s="128"/>
      <c r="S493" s="128"/>
      <c r="T493" s="128"/>
      <c r="U493" s="128"/>
      <c r="V493" s="128"/>
      <c r="W493" s="128"/>
      <c r="X493" s="128"/>
      <c r="Y493" s="128"/>
      <c r="Z493" s="128"/>
      <c r="AA493" s="128"/>
    </row>
    <row r="494">
      <c r="A494" s="134"/>
      <c r="B494" s="134"/>
      <c r="C494" s="128"/>
      <c r="D494" s="128"/>
      <c r="E494" s="128"/>
      <c r="F494" s="128"/>
      <c r="G494" s="128"/>
      <c r="H494" s="128"/>
      <c r="I494" s="128"/>
      <c r="J494" s="128"/>
      <c r="K494" s="128"/>
      <c r="L494" s="128"/>
      <c r="M494" s="128"/>
      <c r="N494" s="128"/>
      <c r="O494" s="128"/>
      <c r="P494" s="128"/>
      <c r="Q494" s="128"/>
      <c r="R494" s="128"/>
      <c r="S494" s="128"/>
      <c r="T494" s="128"/>
      <c r="U494" s="128"/>
      <c r="V494" s="128"/>
      <c r="W494" s="128"/>
      <c r="X494" s="128"/>
      <c r="Y494" s="128"/>
      <c r="Z494" s="128"/>
      <c r="AA494" s="128"/>
    </row>
    <row r="495">
      <c r="A495" s="134"/>
      <c r="B495" s="134"/>
      <c r="C495" s="128"/>
      <c r="D495" s="128"/>
      <c r="E495" s="128"/>
      <c r="F495" s="128"/>
      <c r="G495" s="128"/>
      <c r="H495" s="128"/>
      <c r="I495" s="128"/>
      <c r="J495" s="128"/>
      <c r="K495" s="128"/>
      <c r="L495" s="128"/>
      <c r="M495" s="128"/>
      <c r="N495" s="128"/>
      <c r="O495" s="128"/>
      <c r="P495" s="128"/>
      <c r="Q495" s="128"/>
      <c r="R495" s="128"/>
      <c r="S495" s="128"/>
      <c r="T495" s="128"/>
      <c r="U495" s="128"/>
      <c r="V495" s="128"/>
      <c r="W495" s="128"/>
      <c r="X495" s="128"/>
      <c r="Y495" s="128"/>
      <c r="Z495" s="128"/>
      <c r="AA495" s="128"/>
    </row>
    <row r="496">
      <c r="A496" s="134"/>
      <c r="B496" s="134"/>
      <c r="C496" s="128"/>
      <c r="D496" s="128"/>
      <c r="E496" s="128"/>
      <c r="F496" s="128"/>
      <c r="G496" s="128"/>
      <c r="H496" s="128"/>
      <c r="I496" s="128"/>
      <c r="J496" s="128"/>
      <c r="K496" s="128"/>
      <c r="L496" s="128"/>
      <c r="M496" s="128"/>
      <c r="N496" s="128"/>
      <c r="O496" s="128"/>
      <c r="P496" s="128"/>
      <c r="Q496" s="128"/>
      <c r="R496" s="128"/>
      <c r="S496" s="128"/>
      <c r="T496" s="128"/>
      <c r="U496" s="128"/>
      <c r="V496" s="128"/>
      <c r="W496" s="128"/>
      <c r="X496" s="128"/>
      <c r="Y496" s="128"/>
      <c r="Z496" s="128"/>
      <c r="AA496" s="128"/>
    </row>
    <row r="497">
      <c r="A497" s="134"/>
      <c r="B497" s="134"/>
      <c r="C497" s="128"/>
      <c r="D497" s="128"/>
      <c r="E497" s="128"/>
      <c r="F497" s="128"/>
      <c r="G497" s="128"/>
      <c r="H497" s="128"/>
      <c r="I497" s="128"/>
      <c r="J497" s="128"/>
      <c r="K497" s="128"/>
      <c r="L497" s="128"/>
      <c r="M497" s="128"/>
      <c r="N497" s="128"/>
      <c r="O497" s="128"/>
      <c r="P497" s="128"/>
      <c r="Q497" s="128"/>
      <c r="R497" s="128"/>
      <c r="S497" s="128"/>
      <c r="T497" s="128"/>
      <c r="U497" s="128"/>
      <c r="V497" s="128"/>
      <c r="W497" s="128"/>
      <c r="X497" s="128"/>
      <c r="Y497" s="128"/>
      <c r="Z497" s="128"/>
      <c r="AA497" s="128"/>
    </row>
    <row r="498">
      <c r="A498" s="134"/>
      <c r="B498" s="134"/>
      <c r="C498" s="128"/>
      <c r="D498" s="128"/>
      <c r="E498" s="128"/>
      <c r="F498" s="128"/>
      <c r="G498" s="128"/>
      <c r="H498" s="128"/>
      <c r="I498" s="128"/>
      <c r="J498" s="128"/>
      <c r="K498" s="128"/>
      <c r="L498" s="128"/>
      <c r="M498" s="128"/>
      <c r="N498" s="128"/>
      <c r="O498" s="128"/>
      <c r="P498" s="128"/>
      <c r="Q498" s="128"/>
      <c r="R498" s="128"/>
      <c r="S498" s="128"/>
      <c r="T498" s="128"/>
      <c r="U498" s="128"/>
      <c r="V498" s="128"/>
      <c r="W498" s="128"/>
      <c r="X498" s="128"/>
      <c r="Y498" s="128"/>
      <c r="Z498" s="128"/>
      <c r="AA498" s="128"/>
    </row>
    <row r="499">
      <c r="A499" s="134"/>
      <c r="B499" s="134"/>
      <c r="C499" s="128"/>
      <c r="D499" s="128"/>
      <c r="E499" s="128"/>
      <c r="F499" s="128"/>
      <c r="G499" s="128"/>
      <c r="H499" s="128"/>
      <c r="I499" s="128"/>
      <c r="J499" s="128"/>
      <c r="K499" s="128"/>
      <c r="L499" s="128"/>
      <c r="M499" s="128"/>
      <c r="N499" s="128"/>
      <c r="O499" s="128"/>
      <c r="P499" s="128"/>
      <c r="Q499" s="128"/>
      <c r="R499" s="128"/>
      <c r="S499" s="128"/>
      <c r="T499" s="128"/>
      <c r="U499" s="128"/>
      <c r="V499" s="128"/>
      <c r="W499" s="128"/>
      <c r="X499" s="128"/>
      <c r="Y499" s="128"/>
      <c r="Z499" s="128"/>
      <c r="AA499" s="128"/>
    </row>
    <row r="500">
      <c r="A500" s="134"/>
      <c r="B500" s="134"/>
      <c r="C500" s="128"/>
      <c r="D500" s="128"/>
      <c r="E500" s="128"/>
      <c r="F500" s="128"/>
      <c r="G500" s="128"/>
      <c r="H500" s="128"/>
      <c r="I500" s="128"/>
      <c r="J500" s="128"/>
      <c r="K500" s="128"/>
      <c r="L500" s="128"/>
      <c r="M500" s="128"/>
      <c r="N500" s="128"/>
      <c r="O500" s="128"/>
      <c r="P500" s="128"/>
      <c r="Q500" s="128"/>
      <c r="R500" s="128"/>
      <c r="S500" s="128"/>
      <c r="T500" s="128"/>
      <c r="U500" s="128"/>
      <c r="V500" s="128"/>
      <c r="W500" s="128"/>
      <c r="X500" s="128"/>
      <c r="Y500" s="128"/>
      <c r="Z500" s="128"/>
      <c r="AA500" s="128"/>
    </row>
    <row r="501">
      <c r="A501" s="134"/>
      <c r="B501" s="134"/>
      <c r="C501" s="128"/>
      <c r="D501" s="128"/>
      <c r="E501" s="128"/>
      <c r="F501" s="128"/>
      <c r="G501" s="128"/>
      <c r="H501" s="128"/>
      <c r="I501" s="128"/>
      <c r="J501" s="128"/>
      <c r="K501" s="128"/>
      <c r="L501" s="128"/>
      <c r="M501" s="128"/>
      <c r="N501" s="128"/>
      <c r="O501" s="128"/>
      <c r="P501" s="128"/>
      <c r="Q501" s="128"/>
      <c r="R501" s="128"/>
      <c r="S501" s="128"/>
      <c r="T501" s="128"/>
      <c r="U501" s="128"/>
      <c r="V501" s="128"/>
      <c r="W501" s="128"/>
      <c r="X501" s="128"/>
      <c r="Y501" s="128"/>
      <c r="Z501" s="128"/>
      <c r="AA501" s="128"/>
    </row>
    <row r="502">
      <c r="A502" s="134"/>
      <c r="B502" s="134"/>
      <c r="C502" s="128"/>
      <c r="D502" s="128"/>
      <c r="E502" s="128"/>
      <c r="F502" s="128"/>
      <c r="G502" s="128"/>
      <c r="H502" s="128"/>
      <c r="I502" s="128"/>
      <c r="J502" s="128"/>
      <c r="K502" s="128"/>
      <c r="L502" s="128"/>
      <c r="M502" s="128"/>
      <c r="N502" s="128"/>
      <c r="O502" s="128"/>
      <c r="P502" s="128"/>
      <c r="Q502" s="128"/>
      <c r="R502" s="128"/>
      <c r="S502" s="128"/>
      <c r="T502" s="128"/>
      <c r="U502" s="128"/>
      <c r="V502" s="128"/>
      <c r="W502" s="128"/>
      <c r="X502" s="128"/>
      <c r="Y502" s="128"/>
      <c r="Z502" s="128"/>
      <c r="AA502" s="128"/>
    </row>
    <row r="503">
      <c r="A503" s="134"/>
      <c r="B503" s="134"/>
      <c r="C503" s="128"/>
      <c r="D503" s="128"/>
      <c r="E503" s="128"/>
      <c r="F503" s="128"/>
      <c r="G503" s="128"/>
      <c r="H503" s="128"/>
      <c r="I503" s="128"/>
      <c r="J503" s="128"/>
      <c r="K503" s="128"/>
      <c r="L503" s="128"/>
      <c r="M503" s="128"/>
      <c r="N503" s="128"/>
      <c r="O503" s="128"/>
      <c r="P503" s="128"/>
      <c r="Q503" s="128"/>
      <c r="R503" s="128"/>
      <c r="S503" s="128"/>
      <c r="T503" s="128"/>
      <c r="U503" s="128"/>
      <c r="V503" s="128"/>
      <c r="W503" s="128"/>
      <c r="X503" s="128"/>
      <c r="Y503" s="128"/>
      <c r="Z503" s="128"/>
      <c r="AA503" s="128"/>
    </row>
    <row r="504">
      <c r="A504" s="134"/>
      <c r="B504" s="134"/>
      <c r="C504" s="128"/>
      <c r="D504" s="128"/>
      <c r="E504" s="128"/>
      <c r="F504" s="128"/>
      <c r="G504" s="128"/>
      <c r="H504" s="128"/>
      <c r="I504" s="128"/>
      <c r="J504" s="128"/>
      <c r="K504" s="128"/>
      <c r="L504" s="128"/>
      <c r="M504" s="128"/>
      <c r="N504" s="128"/>
      <c r="O504" s="128"/>
      <c r="P504" s="128"/>
      <c r="Q504" s="128"/>
      <c r="R504" s="128"/>
      <c r="S504" s="128"/>
      <c r="T504" s="128"/>
      <c r="U504" s="128"/>
      <c r="V504" s="128"/>
      <c r="W504" s="128"/>
      <c r="X504" s="128"/>
      <c r="Y504" s="128"/>
      <c r="Z504" s="128"/>
      <c r="AA504" s="128"/>
    </row>
    <row r="505">
      <c r="A505" s="134"/>
      <c r="B505" s="134"/>
      <c r="C505" s="128"/>
      <c r="D505" s="128"/>
      <c r="E505" s="128"/>
      <c r="F505" s="128"/>
      <c r="G505" s="128"/>
      <c r="H505" s="128"/>
      <c r="I505" s="128"/>
      <c r="J505" s="128"/>
      <c r="K505" s="128"/>
      <c r="L505" s="128"/>
      <c r="M505" s="128"/>
      <c r="N505" s="128"/>
      <c r="O505" s="128"/>
      <c r="P505" s="128"/>
      <c r="Q505" s="128"/>
      <c r="R505" s="128"/>
      <c r="S505" s="128"/>
      <c r="T505" s="128"/>
      <c r="U505" s="128"/>
      <c r="V505" s="128"/>
      <c r="W505" s="128"/>
      <c r="X505" s="128"/>
      <c r="Y505" s="128"/>
      <c r="Z505" s="128"/>
      <c r="AA505" s="128"/>
    </row>
    <row r="506">
      <c r="A506" s="134"/>
      <c r="B506" s="134"/>
      <c r="C506" s="128"/>
      <c r="D506" s="128"/>
      <c r="E506" s="128"/>
      <c r="F506" s="128"/>
      <c r="G506" s="128"/>
      <c r="H506" s="128"/>
      <c r="I506" s="128"/>
      <c r="J506" s="128"/>
      <c r="K506" s="128"/>
      <c r="L506" s="128"/>
      <c r="M506" s="128"/>
      <c r="N506" s="128"/>
      <c r="O506" s="128"/>
      <c r="P506" s="128"/>
      <c r="Q506" s="128"/>
      <c r="R506" s="128"/>
      <c r="S506" s="128"/>
      <c r="T506" s="128"/>
      <c r="U506" s="128"/>
      <c r="V506" s="128"/>
      <c r="W506" s="128"/>
      <c r="X506" s="128"/>
      <c r="Y506" s="128"/>
      <c r="Z506" s="128"/>
      <c r="AA506" s="128"/>
    </row>
    <row r="507">
      <c r="A507" s="134"/>
      <c r="B507" s="134"/>
      <c r="C507" s="128"/>
      <c r="D507" s="128"/>
      <c r="E507" s="128"/>
      <c r="F507" s="128"/>
      <c r="G507" s="128"/>
      <c r="H507" s="128"/>
      <c r="I507" s="128"/>
      <c r="J507" s="128"/>
      <c r="K507" s="128"/>
      <c r="L507" s="128"/>
      <c r="M507" s="128"/>
      <c r="N507" s="128"/>
      <c r="O507" s="128"/>
      <c r="P507" s="128"/>
      <c r="Q507" s="128"/>
      <c r="R507" s="128"/>
      <c r="S507" s="128"/>
      <c r="T507" s="128"/>
      <c r="U507" s="128"/>
      <c r="V507" s="128"/>
      <c r="W507" s="128"/>
      <c r="X507" s="128"/>
      <c r="Y507" s="128"/>
      <c r="Z507" s="128"/>
      <c r="AA507" s="128"/>
    </row>
    <row r="508">
      <c r="A508" s="134"/>
      <c r="B508" s="134"/>
      <c r="C508" s="128"/>
      <c r="D508" s="128"/>
      <c r="E508" s="128"/>
      <c r="F508" s="128"/>
      <c r="G508" s="128"/>
      <c r="H508" s="128"/>
      <c r="I508" s="128"/>
      <c r="J508" s="128"/>
      <c r="K508" s="128"/>
      <c r="L508" s="128"/>
      <c r="M508" s="128"/>
      <c r="N508" s="128"/>
      <c r="O508" s="128"/>
      <c r="P508" s="128"/>
      <c r="Q508" s="128"/>
      <c r="R508" s="128"/>
      <c r="S508" s="128"/>
      <c r="T508" s="128"/>
      <c r="U508" s="128"/>
      <c r="V508" s="128"/>
      <c r="W508" s="128"/>
      <c r="X508" s="128"/>
      <c r="Y508" s="128"/>
      <c r="Z508" s="128"/>
      <c r="AA508" s="128"/>
    </row>
    <row r="509">
      <c r="A509" s="134"/>
      <c r="B509" s="134"/>
      <c r="C509" s="128"/>
      <c r="D509" s="128"/>
      <c r="E509" s="128"/>
      <c r="F509" s="128"/>
      <c r="G509" s="128"/>
      <c r="H509" s="128"/>
      <c r="I509" s="128"/>
      <c r="J509" s="128"/>
      <c r="K509" s="128"/>
      <c r="L509" s="128"/>
      <c r="M509" s="128"/>
      <c r="N509" s="128"/>
      <c r="O509" s="128"/>
      <c r="P509" s="128"/>
      <c r="Q509" s="128"/>
      <c r="R509" s="128"/>
      <c r="S509" s="128"/>
      <c r="T509" s="128"/>
      <c r="U509" s="128"/>
      <c r="V509" s="128"/>
      <c r="W509" s="128"/>
      <c r="X509" s="128"/>
      <c r="Y509" s="128"/>
      <c r="Z509" s="128"/>
      <c r="AA509" s="128"/>
    </row>
    <row r="510">
      <c r="A510" s="134"/>
      <c r="B510" s="134"/>
      <c r="C510" s="128"/>
      <c r="D510" s="128"/>
      <c r="E510" s="128"/>
      <c r="F510" s="128"/>
      <c r="G510" s="128"/>
      <c r="H510" s="128"/>
      <c r="I510" s="128"/>
      <c r="J510" s="128"/>
      <c r="K510" s="128"/>
      <c r="L510" s="128"/>
      <c r="M510" s="128"/>
      <c r="N510" s="128"/>
      <c r="O510" s="128"/>
      <c r="P510" s="128"/>
      <c r="Q510" s="128"/>
      <c r="R510" s="128"/>
      <c r="S510" s="128"/>
      <c r="T510" s="128"/>
      <c r="U510" s="128"/>
      <c r="V510" s="128"/>
      <c r="W510" s="128"/>
      <c r="X510" s="128"/>
      <c r="Y510" s="128"/>
      <c r="Z510" s="128"/>
      <c r="AA510" s="128"/>
    </row>
    <row r="511">
      <c r="A511" s="134"/>
      <c r="B511" s="134"/>
      <c r="C511" s="128"/>
      <c r="D511" s="128"/>
      <c r="E511" s="128"/>
      <c r="F511" s="128"/>
      <c r="G511" s="128"/>
      <c r="H511" s="128"/>
      <c r="I511" s="128"/>
      <c r="J511" s="128"/>
      <c r="K511" s="128"/>
      <c r="L511" s="128"/>
      <c r="M511" s="128"/>
      <c r="N511" s="128"/>
      <c r="O511" s="128"/>
      <c r="P511" s="128"/>
      <c r="Q511" s="128"/>
      <c r="R511" s="128"/>
      <c r="S511" s="128"/>
      <c r="T511" s="128"/>
      <c r="U511" s="128"/>
      <c r="V511" s="128"/>
      <c r="W511" s="128"/>
      <c r="X511" s="128"/>
      <c r="Y511" s="128"/>
      <c r="Z511" s="128"/>
      <c r="AA511" s="128"/>
    </row>
    <row r="512">
      <c r="A512" s="134"/>
      <c r="B512" s="134"/>
      <c r="C512" s="128"/>
      <c r="D512" s="128"/>
      <c r="E512" s="128"/>
      <c r="F512" s="128"/>
      <c r="G512" s="128"/>
      <c r="H512" s="128"/>
      <c r="I512" s="128"/>
      <c r="J512" s="128"/>
      <c r="K512" s="128"/>
      <c r="L512" s="128"/>
      <c r="M512" s="128"/>
      <c r="N512" s="128"/>
      <c r="O512" s="128"/>
      <c r="P512" s="128"/>
      <c r="Q512" s="128"/>
      <c r="R512" s="128"/>
      <c r="S512" s="128"/>
      <c r="T512" s="128"/>
      <c r="U512" s="128"/>
      <c r="V512" s="128"/>
      <c r="W512" s="128"/>
      <c r="X512" s="128"/>
      <c r="Y512" s="128"/>
      <c r="Z512" s="128"/>
      <c r="AA512" s="128"/>
    </row>
    <row r="513">
      <c r="A513" s="134"/>
      <c r="B513" s="134"/>
      <c r="C513" s="128"/>
      <c r="D513" s="128"/>
      <c r="E513" s="128"/>
      <c r="F513" s="128"/>
      <c r="G513" s="128"/>
      <c r="H513" s="128"/>
      <c r="I513" s="128"/>
      <c r="J513" s="128"/>
      <c r="K513" s="128"/>
      <c r="L513" s="128"/>
      <c r="M513" s="128"/>
      <c r="N513" s="128"/>
      <c r="O513" s="128"/>
      <c r="P513" s="128"/>
      <c r="Q513" s="128"/>
      <c r="R513" s="128"/>
      <c r="S513" s="128"/>
      <c r="T513" s="128"/>
      <c r="U513" s="128"/>
      <c r="V513" s="128"/>
      <c r="W513" s="128"/>
      <c r="X513" s="128"/>
      <c r="Y513" s="128"/>
      <c r="Z513" s="128"/>
      <c r="AA513" s="128"/>
    </row>
    <row r="514">
      <c r="A514" s="134"/>
      <c r="B514" s="134"/>
      <c r="C514" s="128"/>
      <c r="D514" s="128"/>
      <c r="E514" s="128"/>
      <c r="F514" s="128"/>
      <c r="G514" s="128"/>
      <c r="H514" s="128"/>
      <c r="I514" s="128"/>
      <c r="J514" s="128"/>
      <c r="K514" s="128"/>
      <c r="L514" s="128"/>
      <c r="M514" s="128"/>
      <c r="N514" s="128"/>
      <c r="O514" s="128"/>
      <c r="P514" s="128"/>
      <c r="Q514" s="128"/>
      <c r="R514" s="128"/>
      <c r="S514" s="128"/>
      <c r="T514" s="128"/>
      <c r="U514" s="128"/>
      <c r="V514" s="128"/>
      <c r="W514" s="128"/>
      <c r="X514" s="128"/>
      <c r="Y514" s="128"/>
      <c r="Z514" s="128"/>
      <c r="AA514" s="128"/>
    </row>
    <row r="515">
      <c r="A515" s="134"/>
      <c r="B515" s="134"/>
      <c r="C515" s="128"/>
      <c r="D515" s="128"/>
      <c r="E515" s="128"/>
      <c r="F515" s="128"/>
      <c r="G515" s="128"/>
      <c r="H515" s="128"/>
      <c r="I515" s="128"/>
      <c r="J515" s="128"/>
      <c r="K515" s="128"/>
      <c r="L515" s="128"/>
      <c r="M515" s="128"/>
      <c r="N515" s="128"/>
      <c r="O515" s="128"/>
      <c r="P515" s="128"/>
      <c r="Q515" s="128"/>
      <c r="R515" s="128"/>
      <c r="S515" s="128"/>
      <c r="T515" s="128"/>
      <c r="U515" s="128"/>
      <c r="V515" s="128"/>
      <c r="W515" s="128"/>
      <c r="X515" s="128"/>
      <c r="Y515" s="128"/>
      <c r="Z515" s="128"/>
      <c r="AA515" s="128"/>
    </row>
    <row r="516">
      <c r="A516" s="134"/>
      <c r="B516" s="134"/>
      <c r="C516" s="128"/>
      <c r="D516" s="128"/>
      <c r="E516" s="128"/>
      <c r="F516" s="128"/>
      <c r="G516" s="128"/>
      <c r="H516" s="128"/>
      <c r="I516" s="128"/>
      <c r="J516" s="128"/>
      <c r="K516" s="128"/>
      <c r="L516" s="128"/>
      <c r="M516" s="128"/>
      <c r="N516" s="128"/>
      <c r="O516" s="128"/>
      <c r="P516" s="128"/>
      <c r="Q516" s="128"/>
      <c r="R516" s="128"/>
      <c r="S516" s="128"/>
      <c r="T516" s="128"/>
      <c r="U516" s="128"/>
      <c r="V516" s="128"/>
      <c r="W516" s="128"/>
      <c r="X516" s="128"/>
      <c r="Y516" s="128"/>
      <c r="Z516" s="128"/>
      <c r="AA516" s="128"/>
    </row>
    <row r="517">
      <c r="A517" s="134"/>
      <c r="B517" s="134"/>
      <c r="C517" s="128"/>
      <c r="D517" s="128"/>
      <c r="E517" s="128"/>
      <c r="F517" s="128"/>
      <c r="G517" s="128"/>
      <c r="H517" s="128"/>
      <c r="I517" s="128"/>
      <c r="J517" s="128"/>
      <c r="K517" s="128"/>
      <c r="L517" s="128"/>
      <c r="M517" s="128"/>
      <c r="N517" s="128"/>
      <c r="O517" s="128"/>
      <c r="P517" s="128"/>
      <c r="Q517" s="128"/>
      <c r="R517" s="128"/>
      <c r="S517" s="128"/>
      <c r="T517" s="128"/>
      <c r="U517" s="128"/>
      <c r="V517" s="128"/>
      <c r="W517" s="128"/>
      <c r="X517" s="128"/>
      <c r="Y517" s="128"/>
      <c r="Z517" s="128"/>
      <c r="AA517" s="128"/>
    </row>
    <row r="518">
      <c r="A518" s="134"/>
      <c r="B518" s="134"/>
      <c r="C518" s="128"/>
      <c r="D518" s="128"/>
      <c r="E518" s="128"/>
      <c r="F518" s="128"/>
      <c r="G518" s="128"/>
      <c r="H518" s="128"/>
      <c r="I518" s="128"/>
      <c r="J518" s="128"/>
      <c r="K518" s="128"/>
      <c r="L518" s="128"/>
      <c r="M518" s="128"/>
      <c r="N518" s="128"/>
      <c r="O518" s="128"/>
      <c r="P518" s="128"/>
      <c r="Q518" s="128"/>
      <c r="R518" s="128"/>
      <c r="S518" s="128"/>
      <c r="T518" s="128"/>
      <c r="U518" s="128"/>
      <c r="V518" s="128"/>
      <c r="W518" s="128"/>
      <c r="X518" s="128"/>
      <c r="Y518" s="128"/>
      <c r="Z518" s="128"/>
      <c r="AA518" s="128"/>
    </row>
    <row r="519">
      <c r="A519" s="134"/>
      <c r="B519" s="134"/>
      <c r="C519" s="128"/>
      <c r="D519" s="128"/>
      <c r="E519" s="128"/>
      <c r="F519" s="128"/>
      <c r="G519" s="128"/>
      <c r="H519" s="128"/>
      <c r="I519" s="128"/>
      <c r="J519" s="128"/>
      <c r="K519" s="128"/>
      <c r="L519" s="128"/>
      <c r="M519" s="128"/>
      <c r="N519" s="128"/>
      <c r="O519" s="128"/>
      <c r="P519" s="128"/>
      <c r="Q519" s="128"/>
      <c r="R519" s="128"/>
      <c r="S519" s="128"/>
      <c r="T519" s="128"/>
      <c r="U519" s="128"/>
      <c r="V519" s="128"/>
      <c r="W519" s="128"/>
      <c r="X519" s="128"/>
      <c r="Y519" s="128"/>
      <c r="Z519" s="128"/>
      <c r="AA519" s="128"/>
    </row>
    <row r="520">
      <c r="A520" s="134"/>
      <c r="B520" s="134"/>
      <c r="C520" s="128"/>
      <c r="D520" s="128"/>
      <c r="E520" s="128"/>
      <c r="F520" s="128"/>
      <c r="G520" s="128"/>
      <c r="H520" s="128"/>
      <c r="I520" s="128"/>
      <c r="J520" s="128"/>
      <c r="K520" s="128"/>
      <c r="L520" s="128"/>
      <c r="M520" s="128"/>
      <c r="N520" s="128"/>
      <c r="O520" s="128"/>
      <c r="P520" s="128"/>
      <c r="Q520" s="128"/>
      <c r="R520" s="128"/>
      <c r="S520" s="128"/>
      <c r="T520" s="128"/>
      <c r="U520" s="128"/>
      <c r="V520" s="128"/>
      <c r="W520" s="128"/>
      <c r="X520" s="128"/>
      <c r="Y520" s="128"/>
      <c r="Z520" s="128"/>
      <c r="AA520" s="128"/>
    </row>
    <row r="521">
      <c r="A521" s="134"/>
      <c r="B521" s="134"/>
      <c r="C521" s="128"/>
      <c r="D521" s="128"/>
      <c r="E521" s="128"/>
      <c r="F521" s="128"/>
      <c r="G521" s="128"/>
      <c r="H521" s="128"/>
      <c r="I521" s="128"/>
      <c r="J521" s="128"/>
      <c r="K521" s="128"/>
      <c r="L521" s="128"/>
      <c r="M521" s="128"/>
      <c r="N521" s="128"/>
      <c r="O521" s="128"/>
      <c r="P521" s="128"/>
      <c r="Q521" s="128"/>
      <c r="R521" s="128"/>
      <c r="S521" s="128"/>
      <c r="T521" s="128"/>
      <c r="U521" s="128"/>
      <c r="V521" s="128"/>
      <c r="W521" s="128"/>
      <c r="X521" s="128"/>
      <c r="Y521" s="128"/>
      <c r="Z521" s="128"/>
      <c r="AA521" s="128"/>
    </row>
    <row r="522">
      <c r="A522" s="134"/>
      <c r="B522" s="134"/>
      <c r="C522" s="128"/>
      <c r="D522" s="128"/>
      <c r="E522" s="128"/>
      <c r="F522" s="128"/>
      <c r="G522" s="128"/>
      <c r="H522" s="128"/>
      <c r="I522" s="128"/>
      <c r="J522" s="128"/>
      <c r="K522" s="128"/>
      <c r="L522" s="128"/>
      <c r="M522" s="128"/>
      <c r="N522" s="128"/>
      <c r="O522" s="128"/>
      <c r="P522" s="128"/>
      <c r="Q522" s="128"/>
      <c r="R522" s="128"/>
      <c r="S522" s="128"/>
      <c r="T522" s="128"/>
      <c r="U522" s="128"/>
      <c r="V522" s="128"/>
      <c r="W522" s="128"/>
      <c r="X522" s="128"/>
      <c r="Y522" s="128"/>
      <c r="Z522" s="128"/>
      <c r="AA522" s="128"/>
    </row>
    <row r="523">
      <c r="A523" s="134"/>
      <c r="B523" s="134"/>
      <c r="C523" s="128"/>
      <c r="D523" s="128"/>
      <c r="E523" s="128"/>
      <c r="F523" s="128"/>
      <c r="G523" s="128"/>
      <c r="H523" s="128"/>
      <c r="I523" s="128"/>
      <c r="J523" s="128"/>
      <c r="K523" s="128"/>
      <c r="L523" s="128"/>
      <c r="M523" s="128"/>
      <c r="N523" s="128"/>
      <c r="O523" s="128"/>
      <c r="P523" s="128"/>
      <c r="Q523" s="128"/>
      <c r="R523" s="128"/>
      <c r="S523" s="128"/>
      <c r="T523" s="128"/>
      <c r="U523" s="128"/>
      <c r="V523" s="128"/>
      <c r="W523" s="128"/>
      <c r="X523" s="128"/>
      <c r="Y523" s="128"/>
      <c r="Z523" s="128"/>
      <c r="AA523" s="128"/>
    </row>
    <row r="524">
      <c r="A524" s="134"/>
      <c r="B524" s="134"/>
      <c r="C524" s="128"/>
      <c r="D524" s="128"/>
      <c r="E524" s="128"/>
      <c r="F524" s="128"/>
      <c r="G524" s="128"/>
      <c r="H524" s="128"/>
      <c r="I524" s="128"/>
      <c r="J524" s="128"/>
      <c r="K524" s="128"/>
      <c r="L524" s="128"/>
      <c r="M524" s="128"/>
      <c r="N524" s="128"/>
      <c r="O524" s="128"/>
      <c r="P524" s="128"/>
      <c r="Q524" s="128"/>
      <c r="R524" s="128"/>
      <c r="S524" s="128"/>
      <c r="T524" s="128"/>
      <c r="U524" s="128"/>
      <c r="V524" s="128"/>
      <c r="W524" s="128"/>
      <c r="X524" s="128"/>
      <c r="Y524" s="128"/>
      <c r="Z524" s="128"/>
      <c r="AA524" s="128"/>
    </row>
    <row r="525">
      <c r="A525" s="134"/>
      <c r="B525" s="134"/>
      <c r="C525" s="128"/>
      <c r="D525" s="128"/>
      <c r="E525" s="128"/>
      <c r="F525" s="128"/>
      <c r="G525" s="128"/>
      <c r="H525" s="128"/>
      <c r="I525" s="128"/>
      <c r="J525" s="128"/>
      <c r="K525" s="128"/>
      <c r="L525" s="128"/>
      <c r="M525" s="128"/>
      <c r="N525" s="128"/>
      <c r="O525" s="128"/>
      <c r="P525" s="128"/>
      <c r="Q525" s="128"/>
      <c r="R525" s="128"/>
      <c r="S525" s="128"/>
      <c r="T525" s="128"/>
      <c r="U525" s="128"/>
      <c r="V525" s="128"/>
      <c r="W525" s="128"/>
      <c r="X525" s="128"/>
      <c r="Y525" s="128"/>
      <c r="Z525" s="128"/>
      <c r="AA525" s="128"/>
    </row>
    <row r="526">
      <c r="A526" s="134"/>
      <c r="B526" s="134"/>
      <c r="C526" s="128"/>
      <c r="D526" s="128"/>
      <c r="E526" s="128"/>
      <c r="F526" s="128"/>
      <c r="G526" s="128"/>
      <c r="H526" s="128"/>
      <c r="I526" s="128"/>
      <c r="J526" s="128"/>
      <c r="K526" s="128"/>
      <c r="L526" s="128"/>
      <c r="M526" s="128"/>
      <c r="N526" s="128"/>
      <c r="O526" s="128"/>
      <c r="P526" s="128"/>
      <c r="Q526" s="128"/>
      <c r="R526" s="128"/>
      <c r="S526" s="128"/>
      <c r="T526" s="128"/>
      <c r="U526" s="128"/>
      <c r="V526" s="128"/>
      <c r="W526" s="128"/>
      <c r="X526" s="128"/>
      <c r="Y526" s="128"/>
      <c r="Z526" s="128"/>
      <c r="AA526" s="128"/>
    </row>
    <row r="527">
      <c r="A527" s="134"/>
      <c r="B527" s="134"/>
      <c r="C527" s="128"/>
      <c r="D527" s="128"/>
      <c r="E527" s="128"/>
      <c r="F527" s="128"/>
      <c r="G527" s="128"/>
      <c r="H527" s="128"/>
      <c r="I527" s="128"/>
      <c r="J527" s="128"/>
      <c r="K527" s="128"/>
      <c r="L527" s="128"/>
      <c r="M527" s="128"/>
      <c r="N527" s="128"/>
      <c r="O527" s="128"/>
      <c r="P527" s="128"/>
      <c r="Q527" s="128"/>
      <c r="R527" s="128"/>
      <c r="S527" s="128"/>
      <c r="T527" s="128"/>
      <c r="U527" s="128"/>
      <c r="V527" s="128"/>
      <c r="W527" s="128"/>
      <c r="X527" s="128"/>
      <c r="Y527" s="128"/>
      <c r="Z527" s="128"/>
      <c r="AA527" s="128"/>
    </row>
    <row r="528">
      <c r="A528" s="134"/>
      <c r="B528" s="134"/>
      <c r="C528" s="128"/>
      <c r="D528" s="128"/>
      <c r="E528" s="128"/>
      <c r="F528" s="128"/>
      <c r="G528" s="128"/>
      <c r="H528" s="128"/>
      <c r="I528" s="128"/>
      <c r="J528" s="128"/>
      <c r="K528" s="128"/>
      <c r="L528" s="128"/>
      <c r="M528" s="128"/>
      <c r="N528" s="128"/>
      <c r="O528" s="128"/>
      <c r="P528" s="128"/>
      <c r="Q528" s="128"/>
      <c r="R528" s="128"/>
      <c r="S528" s="128"/>
      <c r="T528" s="128"/>
      <c r="U528" s="128"/>
      <c r="V528" s="128"/>
      <c r="W528" s="128"/>
      <c r="X528" s="128"/>
      <c r="Y528" s="128"/>
      <c r="Z528" s="128"/>
      <c r="AA528" s="128"/>
    </row>
    <row r="529">
      <c r="A529" s="134"/>
      <c r="B529" s="134"/>
      <c r="C529" s="128"/>
      <c r="D529" s="128"/>
      <c r="E529" s="128"/>
      <c r="F529" s="128"/>
      <c r="G529" s="128"/>
      <c r="H529" s="128"/>
      <c r="I529" s="128"/>
      <c r="J529" s="128"/>
      <c r="K529" s="128"/>
      <c r="L529" s="128"/>
      <c r="M529" s="128"/>
      <c r="N529" s="128"/>
      <c r="O529" s="128"/>
      <c r="P529" s="128"/>
      <c r="Q529" s="128"/>
      <c r="R529" s="128"/>
      <c r="S529" s="128"/>
      <c r="T529" s="128"/>
      <c r="U529" s="128"/>
      <c r="V529" s="128"/>
      <c r="W529" s="128"/>
      <c r="X529" s="128"/>
      <c r="Y529" s="128"/>
      <c r="Z529" s="128"/>
      <c r="AA529" s="128"/>
    </row>
    <row r="530">
      <c r="A530" s="134"/>
      <c r="B530" s="134"/>
      <c r="C530" s="128"/>
      <c r="D530" s="128"/>
      <c r="E530" s="128"/>
      <c r="F530" s="128"/>
      <c r="G530" s="128"/>
      <c r="H530" s="128"/>
      <c r="I530" s="128"/>
      <c r="J530" s="128"/>
      <c r="K530" s="128"/>
      <c r="L530" s="128"/>
      <c r="M530" s="128"/>
      <c r="N530" s="128"/>
      <c r="O530" s="128"/>
      <c r="P530" s="128"/>
      <c r="Q530" s="128"/>
      <c r="R530" s="128"/>
      <c r="S530" s="128"/>
      <c r="T530" s="128"/>
      <c r="U530" s="128"/>
      <c r="V530" s="128"/>
      <c r="W530" s="128"/>
      <c r="X530" s="128"/>
      <c r="Y530" s="128"/>
      <c r="Z530" s="128"/>
      <c r="AA530" s="128"/>
    </row>
    <row r="531">
      <c r="A531" s="134"/>
      <c r="B531" s="134"/>
      <c r="C531" s="128"/>
      <c r="D531" s="128"/>
      <c r="E531" s="128"/>
      <c r="F531" s="128"/>
      <c r="G531" s="128"/>
      <c r="H531" s="128"/>
      <c r="I531" s="128"/>
      <c r="J531" s="128"/>
      <c r="K531" s="128"/>
      <c r="L531" s="128"/>
      <c r="M531" s="128"/>
      <c r="N531" s="128"/>
      <c r="O531" s="128"/>
      <c r="P531" s="128"/>
      <c r="Q531" s="128"/>
      <c r="R531" s="128"/>
      <c r="S531" s="128"/>
      <c r="T531" s="128"/>
      <c r="U531" s="128"/>
      <c r="V531" s="128"/>
      <c r="W531" s="128"/>
      <c r="X531" s="128"/>
      <c r="Y531" s="128"/>
      <c r="Z531" s="128"/>
      <c r="AA531" s="128"/>
    </row>
    <row r="532">
      <c r="A532" s="134"/>
      <c r="B532" s="134"/>
      <c r="C532" s="128"/>
      <c r="D532" s="128"/>
      <c r="E532" s="128"/>
      <c r="F532" s="128"/>
      <c r="G532" s="128"/>
      <c r="H532" s="128"/>
      <c r="I532" s="128"/>
      <c r="J532" s="128"/>
      <c r="K532" s="128"/>
      <c r="L532" s="128"/>
      <c r="M532" s="128"/>
      <c r="N532" s="128"/>
      <c r="O532" s="128"/>
      <c r="P532" s="128"/>
      <c r="Q532" s="128"/>
      <c r="R532" s="128"/>
      <c r="S532" s="128"/>
      <c r="T532" s="128"/>
      <c r="U532" s="128"/>
      <c r="V532" s="128"/>
      <c r="W532" s="128"/>
      <c r="X532" s="128"/>
      <c r="Y532" s="128"/>
      <c r="Z532" s="128"/>
      <c r="AA532" s="128"/>
    </row>
    <row r="533">
      <c r="A533" s="134"/>
      <c r="B533" s="134"/>
      <c r="C533" s="128"/>
      <c r="D533" s="128"/>
      <c r="E533" s="128"/>
      <c r="F533" s="128"/>
      <c r="G533" s="128"/>
      <c r="H533" s="128"/>
      <c r="I533" s="128"/>
      <c r="J533" s="128"/>
      <c r="K533" s="128"/>
      <c r="L533" s="128"/>
      <c r="M533" s="128"/>
      <c r="N533" s="128"/>
      <c r="O533" s="128"/>
      <c r="P533" s="128"/>
      <c r="Q533" s="128"/>
      <c r="R533" s="128"/>
      <c r="S533" s="128"/>
      <c r="T533" s="128"/>
      <c r="U533" s="128"/>
      <c r="V533" s="128"/>
      <c r="W533" s="128"/>
      <c r="X533" s="128"/>
      <c r="Y533" s="128"/>
      <c r="Z533" s="128"/>
      <c r="AA533" s="128"/>
    </row>
    <row r="534">
      <c r="A534" s="134"/>
      <c r="B534" s="134"/>
      <c r="C534" s="128"/>
      <c r="D534" s="128"/>
      <c r="E534" s="128"/>
      <c r="F534" s="128"/>
      <c r="G534" s="128"/>
      <c r="H534" s="128"/>
      <c r="I534" s="128"/>
      <c r="J534" s="128"/>
      <c r="K534" s="128"/>
      <c r="L534" s="128"/>
      <c r="M534" s="128"/>
      <c r="N534" s="128"/>
      <c r="O534" s="128"/>
      <c r="P534" s="128"/>
      <c r="Q534" s="128"/>
      <c r="R534" s="128"/>
      <c r="S534" s="128"/>
      <c r="T534" s="128"/>
      <c r="U534" s="128"/>
      <c r="V534" s="128"/>
      <c r="W534" s="128"/>
      <c r="X534" s="128"/>
      <c r="Y534" s="128"/>
      <c r="Z534" s="128"/>
      <c r="AA534" s="128"/>
    </row>
    <row r="535">
      <c r="A535" s="134"/>
      <c r="B535" s="134"/>
      <c r="C535" s="128"/>
      <c r="D535" s="128"/>
      <c r="E535" s="128"/>
      <c r="F535" s="128"/>
      <c r="G535" s="128"/>
      <c r="H535" s="128"/>
      <c r="I535" s="128"/>
      <c r="J535" s="128"/>
      <c r="K535" s="128"/>
      <c r="L535" s="128"/>
      <c r="M535" s="128"/>
      <c r="N535" s="128"/>
      <c r="O535" s="128"/>
      <c r="P535" s="128"/>
      <c r="Q535" s="128"/>
      <c r="R535" s="128"/>
      <c r="S535" s="128"/>
      <c r="T535" s="128"/>
      <c r="U535" s="128"/>
      <c r="V535" s="128"/>
      <c r="W535" s="128"/>
      <c r="X535" s="128"/>
      <c r="Y535" s="128"/>
      <c r="Z535" s="128"/>
      <c r="AA535" s="128"/>
    </row>
    <row r="536">
      <c r="A536" s="134"/>
      <c r="B536" s="134"/>
      <c r="C536" s="128"/>
      <c r="D536" s="128"/>
      <c r="E536" s="128"/>
      <c r="F536" s="128"/>
      <c r="G536" s="128"/>
      <c r="H536" s="128"/>
      <c r="I536" s="128"/>
      <c r="J536" s="128"/>
      <c r="K536" s="128"/>
      <c r="L536" s="128"/>
      <c r="M536" s="128"/>
      <c r="N536" s="128"/>
      <c r="O536" s="128"/>
      <c r="P536" s="128"/>
      <c r="Q536" s="128"/>
      <c r="R536" s="128"/>
      <c r="S536" s="128"/>
      <c r="T536" s="128"/>
      <c r="U536" s="128"/>
      <c r="V536" s="128"/>
      <c r="W536" s="128"/>
      <c r="X536" s="128"/>
      <c r="Y536" s="128"/>
      <c r="Z536" s="128"/>
      <c r="AA536" s="128"/>
    </row>
    <row r="537">
      <c r="A537" s="134"/>
      <c r="B537" s="134"/>
      <c r="C537" s="128"/>
      <c r="D537" s="128"/>
      <c r="E537" s="128"/>
      <c r="F537" s="128"/>
      <c r="G537" s="128"/>
      <c r="H537" s="128"/>
      <c r="I537" s="128"/>
      <c r="J537" s="128"/>
      <c r="K537" s="128"/>
      <c r="L537" s="128"/>
      <c r="M537" s="128"/>
      <c r="N537" s="128"/>
      <c r="O537" s="128"/>
      <c r="P537" s="128"/>
      <c r="Q537" s="128"/>
      <c r="R537" s="128"/>
      <c r="S537" s="128"/>
      <c r="T537" s="128"/>
      <c r="U537" s="128"/>
      <c r="V537" s="128"/>
      <c r="W537" s="128"/>
      <c r="X537" s="128"/>
      <c r="Y537" s="128"/>
      <c r="Z537" s="128"/>
      <c r="AA537" s="128"/>
    </row>
    <row r="538">
      <c r="A538" s="134"/>
      <c r="B538" s="134"/>
      <c r="C538" s="128"/>
      <c r="D538" s="128"/>
      <c r="E538" s="128"/>
      <c r="F538" s="128"/>
      <c r="G538" s="128"/>
      <c r="H538" s="128"/>
      <c r="I538" s="128"/>
      <c r="J538" s="128"/>
      <c r="K538" s="128"/>
      <c r="L538" s="128"/>
      <c r="M538" s="128"/>
      <c r="N538" s="128"/>
      <c r="O538" s="128"/>
      <c r="P538" s="128"/>
      <c r="Q538" s="128"/>
      <c r="R538" s="128"/>
      <c r="S538" s="128"/>
      <c r="T538" s="128"/>
      <c r="U538" s="128"/>
      <c r="V538" s="128"/>
      <c r="W538" s="128"/>
      <c r="X538" s="128"/>
      <c r="Y538" s="128"/>
      <c r="Z538" s="128"/>
      <c r="AA538" s="128"/>
    </row>
    <row r="539">
      <c r="A539" s="134"/>
      <c r="B539" s="134"/>
      <c r="C539" s="128"/>
      <c r="D539" s="128"/>
      <c r="E539" s="128"/>
      <c r="F539" s="128"/>
      <c r="G539" s="128"/>
      <c r="H539" s="128"/>
      <c r="I539" s="128"/>
      <c r="J539" s="128"/>
      <c r="K539" s="128"/>
      <c r="L539" s="128"/>
      <c r="M539" s="128"/>
      <c r="N539" s="128"/>
      <c r="O539" s="128"/>
      <c r="P539" s="128"/>
      <c r="Q539" s="128"/>
      <c r="R539" s="128"/>
      <c r="S539" s="128"/>
      <c r="T539" s="128"/>
      <c r="U539" s="128"/>
      <c r="V539" s="128"/>
      <c r="W539" s="128"/>
      <c r="X539" s="128"/>
      <c r="Y539" s="128"/>
      <c r="Z539" s="128"/>
      <c r="AA539" s="128"/>
    </row>
    <row r="540">
      <c r="A540" s="134"/>
      <c r="B540" s="134"/>
      <c r="C540" s="128"/>
      <c r="D540" s="128"/>
      <c r="E540" s="128"/>
      <c r="F540" s="128"/>
      <c r="G540" s="128"/>
      <c r="H540" s="128"/>
      <c r="I540" s="128"/>
      <c r="J540" s="128"/>
      <c r="K540" s="128"/>
      <c r="L540" s="128"/>
      <c r="M540" s="128"/>
      <c r="N540" s="128"/>
      <c r="O540" s="128"/>
      <c r="P540" s="128"/>
      <c r="Q540" s="128"/>
      <c r="R540" s="128"/>
      <c r="S540" s="128"/>
      <c r="T540" s="128"/>
      <c r="U540" s="128"/>
      <c r="V540" s="128"/>
      <c r="W540" s="128"/>
      <c r="X540" s="128"/>
      <c r="Y540" s="128"/>
      <c r="Z540" s="128"/>
      <c r="AA540" s="128"/>
    </row>
    <row r="541">
      <c r="A541" s="134"/>
      <c r="B541" s="134"/>
      <c r="C541" s="128"/>
      <c r="D541" s="128"/>
      <c r="E541" s="128"/>
      <c r="F541" s="128"/>
      <c r="G541" s="128"/>
      <c r="H541" s="128"/>
      <c r="I541" s="128"/>
      <c r="J541" s="128"/>
      <c r="K541" s="128"/>
      <c r="L541" s="128"/>
      <c r="M541" s="128"/>
      <c r="N541" s="128"/>
      <c r="O541" s="128"/>
      <c r="P541" s="128"/>
      <c r="Q541" s="128"/>
      <c r="R541" s="128"/>
      <c r="S541" s="128"/>
      <c r="T541" s="128"/>
      <c r="U541" s="128"/>
      <c r="V541" s="128"/>
      <c r="W541" s="128"/>
      <c r="X541" s="128"/>
      <c r="Y541" s="128"/>
      <c r="Z541" s="128"/>
      <c r="AA541" s="128"/>
    </row>
    <row r="542">
      <c r="A542" s="134"/>
      <c r="B542" s="134"/>
      <c r="C542" s="128"/>
      <c r="D542" s="128"/>
      <c r="E542" s="128"/>
      <c r="F542" s="128"/>
      <c r="G542" s="128"/>
      <c r="H542" s="128"/>
      <c r="I542" s="128"/>
      <c r="J542" s="128"/>
      <c r="K542" s="128"/>
      <c r="L542" s="128"/>
      <c r="M542" s="128"/>
      <c r="N542" s="128"/>
      <c r="O542" s="128"/>
      <c r="P542" s="128"/>
      <c r="Q542" s="128"/>
      <c r="R542" s="128"/>
      <c r="S542" s="128"/>
      <c r="T542" s="128"/>
      <c r="U542" s="128"/>
      <c r="V542" s="128"/>
      <c r="W542" s="128"/>
      <c r="X542" s="128"/>
      <c r="Y542" s="128"/>
      <c r="Z542" s="128"/>
      <c r="AA542" s="128"/>
    </row>
    <row r="543">
      <c r="A543" s="134"/>
      <c r="B543" s="134"/>
      <c r="C543" s="128"/>
      <c r="D543" s="128"/>
      <c r="E543" s="128"/>
      <c r="F543" s="128"/>
      <c r="G543" s="128"/>
      <c r="H543" s="128"/>
      <c r="I543" s="128"/>
      <c r="J543" s="128"/>
      <c r="K543" s="128"/>
      <c r="L543" s="128"/>
      <c r="M543" s="128"/>
      <c r="N543" s="128"/>
      <c r="O543" s="128"/>
      <c r="P543" s="128"/>
      <c r="Q543" s="128"/>
      <c r="R543" s="128"/>
      <c r="S543" s="128"/>
      <c r="T543" s="128"/>
      <c r="U543" s="128"/>
      <c r="V543" s="128"/>
      <c r="W543" s="128"/>
      <c r="X543" s="128"/>
      <c r="Y543" s="128"/>
      <c r="Z543" s="128"/>
      <c r="AA543" s="128"/>
    </row>
    <row r="544">
      <c r="A544" s="134"/>
      <c r="B544" s="134"/>
      <c r="C544" s="128"/>
      <c r="D544" s="128"/>
      <c r="E544" s="128"/>
      <c r="F544" s="128"/>
      <c r="G544" s="128"/>
      <c r="H544" s="128"/>
      <c r="I544" s="128"/>
      <c r="J544" s="128"/>
      <c r="K544" s="128"/>
      <c r="L544" s="128"/>
      <c r="M544" s="128"/>
      <c r="N544" s="128"/>
      <c r="O544" s="128"/>
      <c r="P544" s="128"/>
      <c r="Q544" s="128"/>
      <c r="R544" s="128"/>
      <c r="S544" s="128"/>
      <c r="T544" s="128"/>
      <c r="U544" s="128"/>
      <c r="V544" s="128"/>
      <c r="W544" s="128"/>
      <c r="X544" s="128"/>
      <c r="Y544" s="128"/>
      <c r="Z544" s="128"/>
      <c r="AA544" s="128"/>
    </row>
    <row r="545">
      <c r="A545" s="134"/>
      <c r="B545" s="134"/>
      <c r="C545" s="128"/>
      <c r="D545" s="128"/>
      <c r="E545" s="128"/>
      <c r="F545" s="128"/>
      <c r="G545" s="128"/>
      <c r="H545" s="128"/>
      <c r="I545" s="128"/>
      <c r="J545" s="128"/>
      <c r="K545" s="128"/>
      <c r="L545" s="128"/>
      <c r="M545" s="128"/>
      <c r="N545" s="128"/>
      <c r="O545" s="128"/>
      <c r="P545" s="128"/>
      <c r="Q545" s="128"/>
      <c r="R545" s="128"/>
      <c r="S545" s="128"/>
      <c r="T545" s="128"/>
      <c r="U545" s="128"/>
      <c r="V545" s="128"/>
      <c r="W545" s="128"/>
      <c r="X545" s="128"/>
      <c r="Y545" s="128"/>
      <c r="Z545" s="128"/>
      <c r="AA545" s="128"/>
    </row>
    <row r="546">
      <c r="A546" s="134"/>
      <c r="B546" s="134"/>
      <c r="C546" s="128"/>
      <c r="D546" s="128"/>
      <c r="E546" s="128"/>
      <c r="F546" s="128"/>
      <c r="G546" s="128"/>
      <c r="H546" s="128"/>
      <c r="I546" s="128"/>
      <c r="J546" s="128"/>
      <c r="K546" s="128"/>
      <c r="L546" s="128"/>
      <c r="M546" s="128"/>
      <c r="N546" s="128"/>
      <c r="O546" s="128"/>
      <c r="P546" s="128"/>
      <c r="Q546" s="128"/>
      <c r="R546" s="128"/>
      <c r="S546" s="128"/>
      <c r="T546" s="128"/>
      <c r="U546" s="128"/>
      <c r="V546" s="128"/>
      <c r="W546" s="128"/>
      <c r="X546" s="128"/>
      <c r="Y546" s="128"/>
      <c r="Z546" s="128"/>
      <c r="AA546" s="128"/>
    </row>
    <row r="547">
      <c r="A547" s="134"/>
      <c r="B547" s="134"/>
      <c r="C547" s="128"/>
      <c r="D547" s="128"/>
      <c r="E547" s="128"/>
      <c r="F547" s="128"/>
      <c r="G547" s="128"/>
      <c r="H547" s="128"/>
      <c r="I547" s="128"/>
      <c r="J547" s="128"/>
      <c r="K547" s="128"/>
      <c r="L547" s="128"/>
      <c r="M547" s="128"/>
      <c r="N547" s="128"/>
      <c r="O547" s="128"/>
      <c r="P547" s="128"/>
      <c r="Q547" s="128"/>
      <c r="R547" s="128"/>
      <c r="S547" s="128"/>
      <c r="T547" s="128"/>
      <c r="U547" s="128"/>
      <c r="V547" s="128"/>
      <c r="W547" s="128"/>
      <c r="X547" s="128"/>
      <c r="Y547" s="128"/>
      <c r="Z547" s="128"/>
      <c r="AA547" s="128"/>
    </row>
    <row r="548">
      <c r="A548" s="134"/>
      <c r="B548" s="134"/>
      <c r="C548" s="128"/>
      <c r="D548" s="128"/>
      <c r="E548" s="128"/>
      <c r="F548" s="128"/>
      <c r="G548" s="128"/>
      <c r="H548" s="128"/>
      <c r="I548" s="128"/>
      <c r="J548" s="128"/>
      <c r="K548" s="128"/>
      <c r="L548" s="128"/>
      <c r="M548" s="128"/>
      <c r="N548" s="128"/>
      <c r="O548" s="128"/>
      <c r="P548" s="128"/>
      <c r="Q548" s="128"/>
      <c r="R548" s="128"/>
      <c r="S548" s="128"/>
      <c r="T548" s="128"/>
      <c r="U548" s="128"/>
      <c r="V548" s="128"/>
      <c r="W548" s="128"/>
      <c r="X548" s="128"/>
      <c r="Y548" s="128"/>
      <c r="Z548" s="128"/>
      <c r="AA548" s="128"/>
    </row>
    <row r="549">
      <c r="A549" s="134"/>
      <c r="B549" s="134"/>
      <c r="C549" s="128"/>
      <c r="D549" s="128"/>
      <c r="E549" s="128"/>
      <c r="F549" s="128"/>
      <c r="G549" s="128"/>
      <c r="H549" s="128"/>
      <c r="I549" s="128"/>
      <c r="J549" s="128"/>
      <c r="K549" s="128"/>
      <c r="L549" s="128"/>
      <c r="M549" s="128"/>
      <c r="N549" s="128"/>
      <c r="O549" s="128"/>
      <c r="P549" s="128"/>
      <c r="Q549" s="128"/>
      <c r="R549" s="128"/>
      <c r="S549" s="128"/>
      <c r="T549" s="128"/>
      <c r="U549" s="128"/>
      <c r="V549" s="128"/>
      <c r="W549" s="128"/>
      <c r="X549" s="128"/>
      <c r="Y549" s="128"/>
      <c r="Z549" s="128"/>
      <c r="AA549" s="128"/>
    </row>
    <row r="550">
      <c r="A550" s="134"/>
      <c r="B550" s="134"/>
      <c r="C550" s="128"/>
      <c r="D550" s="128"/>
      <c r="E550" s="128"/>
      <c r="F550" s="128"/>
      <c r="G550" s="128"/>
      <c r="H550" s="128"/>
      <c r="I550" s="128"/>
      <c r="J550" s="128"/>
      <c r="K550" s="128"/>
      <c r="L550" s="128"/>
      <c r="M550" s="128"/>
      <c r="N550" s="128"/>
      <c r="O550" s="128"/>
      <c r="P550" s="128"/>
      <c r="Q550" s="128"/>
      <c r="R550" s="128"/>
      <c r="S550" s="128"/>
      <c r="T550" s="128"/>
      <c r="U550" s="128"/>
      <c r="V550" s="128"/>
      <c r="W550" s="128"/>
      <c r="X550" s="128"/>
      <c r="Y550" s="128"/>
      <c r="Z550" s="128"/>
      <c r="AA550" s="128"/>
    </row>
    <row r="551">
      <c r="A551" s="134"/>
      <c r="B551" s="134"/>
      <c r="C551" s="128"/>
      <c r="D551" s="128"/>
      <c r="E551" s="128"/>
      <c r="F551" s="128"/>
      <c r="G551" s="128"/>
      <c r="H551" s="128"/>
      <c r="I551" s="128"/>
      <c r="J551" s="128"/>
      <c r="K551" s="128"/>
      <c r="L551" s="128"/>
      <c r="M551" s="128"/>
      <c r="N551" s="128"/>
      <c r="O551" s="128"/>
      <c r="P551" s="128"/>
      <c r="Q551" s="128"/>
      <c r="R551" s="128"/>
      <c r="S551" s="128"/>
      <c r="T551" s="128"/>
      <c r="U551" s="128"/>
      <c r="V551" s="128"/>
      <c r="W551" s="128"/>
      <c r="X551" s="128"/>
      <c r="Y551" s="128"/>
      <c r="Z551" s="128"/>
      <c r="AA551" s="128"/>
    </row>
    <row r="552">
      <c r="A552" s="134"/>
      <c r="B552" s="134"/>
      <c r="C552" s="128"/>
      <c r="D552" s="128"/>
      <c r="E552" s="128"/>
      <c r="F552" s="128"/>
      <c r="G552" s="128"/>
      <c r="H552" s="128"/>
      <c r="I552" s="128"/>
      <c r="J552" s="128"/>
      <c r="K552" s="128"/>
      <c r="L552" s="128"/>
      <c r="M552" s="128"/>
      <c r="N552" s="128"/>
      <c r="O552" s="128"/>
      <c r="P552" s="128"/>
      <c r="Q552" s="128"/>
      <c r="R552" s="128"/>
      <c r="S552" s="128"/>
      <c r="T552" s="128"/>
      <c r="U552" s="128"/>
      <c r="V552" s="128"/>
      <c r="W552" s="128"/>
      <c r="X552" s="128"/>
      <c r="Y552" s="128"/>
      <c r="Z552" s="128"/>
      <c r="AA552" s="128"/>
    </row>
    <row r="553">
      <c r="A553" s="134"/>
      <c r="B553" s="134"/>
      <c r="C553" s="128"/>
      <c r="D553" s="128"/>
      <c r="E553" s="128"/>
      <c r="F553" s="128"/>
      <c r="G553" s="128"/>
      <c r="H553" s="128"/>
      <c r="I553" s="128"/>
      <c r="J553" s="128"/>
      <c r="K553" s="128"/>
      <c r="L553" s="128"/>
      <c r="M553" s="128"/>
      <c r="N553" s="128"/>
      <c r="O553" s="128"/>
      <c r="P553" s="128"/>
      <c r="Q553" s="128"/>
      <c r="R553" s="128"/>
      <c r="S553" s="128"/>
      <c r="T553" s="128"/>
      <c r="U553" s="128"/>
      <c r="V553" s="128"/>
      <c r="W553" s="128"/>
      <c r="X553" s="128"/>
      <c r="Y553" s="128"/>
      <c r="Z553" s="128"/>
      <c r="AA553" s="128"/>
    </row>
    <row r="554">
      <c r="A554" s="134"/>
      <c r="B554" s="134"/>
      <c r="C554" s="128"/>
      <c r="D554" s="128"/>
      <c r="E554" s="128"/>
      <c r="F554" s="128"/>
      <c r="G554" s="128"/>
      <c r="H554" s="128"/>
      <c r="I554" s="128"/>
      <c r="J554" s="128"/>
      <c r="K554" s="128"/>
      <c r="L554" s="128"/>
      <c r="M554" s="128"/>
      <c r="N554" s="128"/>
      <c r="O554" s="128"/>
      <c r="P554" s="128"/>
      <c r="Q554" s="128"/>
      <c r="R554" s="128"/>
      <c r="S554" s="128"/>
      <c r="T554" s="128"/>
      <c r="U554" s="128"/>
      <c r="V554" s="128"/>
      <c r="W554" s="128"/>
      <c r="X554" s="128"/>
      <c r="Y554" s="128"/>
      <c r="Z554" s="128"/>
      <c r="AA554" s="128"/>
    </row>
    <row r="555">
      <c r="A555" s="134"/>
      <c r="B555" s="134"/>
      <c r="C555" s="128"/>
      <c r="D555" s="128"/>
      <c r="E555" s="128"/>
      <c r="F555" s="128"/>
      <c r="G555" s="128"/>
      <c r="H555" s="128"/>
      <c r="I555" s="128"/>
      <c r="J555" s="128"/>
      <c r="K555" s="128"/>
      <c r="L555" s="128"/>
      <c r="M555" s="128"/>
      <c r="N555" s="128"/>
      <c r="O555" s="128"/>
      <c r="P555" s="128"/>
      <c r="Q555" s="128"/>
      <c r="R555" s="128"/>
      <c r="S555" s="128"/>
      <c r="T555" s="128"/>
      <c r="U555" s="128"/>
      <c r="V555" s="128"/>
      <c r="W555" s="128"/>
      <c r="X555" s="128"/>
      <c r="Y555" s="128"/>
      <c r="Z555" s="128"/>
      <c r="AA555" s="128"/>
    </row>
    <row r="556">
      <c r="A556" s="134"/>
      <c r="B556" s="134"/>
      <c r="C556" s="128"/>
      <c r="D556" s="128"/>
      <c r="E556" s="128"/>
      <c r="F556" s="128"/>
      <c r="G556" s="128"/>
      <c r="H556" s="128"/>
      <c r="I556" s="128"/>
      <c r="J556" s="128"/>
      <c r="K556" s="128"/>
      <c r="L556" s="128"/>
      <c r="M556" s="128"/>
      <c r="N556" s="128"/>
      <c r="O556" s="128"/>
      <c r="P556" s="128"/>
      <c r="Q556" s="128"/>
      <c r="R556" s="128"/>
      <c r="S556" s="128"/>
      <c r="T556" s="128"/>
      <c r="U556" s="128"/>
      <c r="V556" s="128"/>
      <c r="W556" s="128"/>
      <c r="X556" s="128"/>
      <c r="Y556" s="128"/>
      <c r="Z556" s="128"/>
      <c r="AA556" s="128"/>
    </row>
    <row r="557">
      <c r="A557" s="134"/>
      <c r="B557" s="134"/>
      <c r="C557" s="128"/>
      <c r="D557" s="128"/>
      <c r="E557" s="128"/>
      <c r="F557" s="128"/>
      <c r="G557" s="128"/>
      <c r="H557" s="128"/>
      <c r="I557" s="128"/>
      <c r="J557" s="128"/>
      <c r="K557" s="128"/>
      <c r="L557" s="128"/>
      <c r="M557" s="128"/>
      <c r="N557" s="128"/>
      <c r="O557" s="128"/>
      <c r="P557" s="128"/>
      <c r="Q557" s="128"/>
      <c r="R557" s="128"/>
      <c r="S557" s="128"/>
      <c r="T557" s="128"/>
      <c r="U557" s="128"/>
      <c r="V557" s="128"/>
      <c r="W557" s="128"/>
      <c r="X557" s="128"/>
      <c r="Y557" s="128"/>
      <c r="Z557" s="128"/>
      <c r="AA557" s="128"/>
    </row>
    <row r="558">
      <c r="A558" s="134"/>
      <c r="B558" s="134"/>
      <c r="C558" s="128"/>
      <c r="D558" s="128"/>
      <c r="E558" s="128"/>
      <c r="F558" s="128"/>
      <c r="G558" s="128"/>
      <c r="H558" s="128"/>
      <c r="I558" s="128"/>
      <c r="J558" s="128"/>
      <c r="K558" s="128"/>
      <c r="L558" s="128"/>
      <c r="M558" s="128"/>
      <c r="N558" s="128"/>
      <c r="O558" s="128"/>
      <c r="P558" s="128"/>
      <c r="Q558" s="128"/>
      <c r="R558" s="128"/>
      <c r="S558" s="128"/>
      <c r="T558" s="128"/>
      <c r="U558" s="128"/>
      <c r="V558" s="128"/>
      <c r="W558" s="128"/>
      <c r="X558" s="128"/>
      <c r="Y558" s="128"/>
      <c r="Z558" s="128"/>
      <c r="AA558" s="128"/>
    </row>
    <row r="559">
      <c r="A559" s="134"/>
      <c r="B559" s="134"/>
      <c r="C559" s="128"/>
      <c r="D559" s="128"/>
      <c r="E559" s="128"/>
      <c r="F559" s="128"/>
      <c r="G559" s="128"/>
      <c r="H559" s="128"/>
      <c r="I559" s="128"/>
      <c r="J559" s="128"/>
      <c r="K559" s="128"/>
      <c r="L559" s="128"/>
      <c r="M559" s="128"/>
      <c r="N559" s="128"/>
      <c r="O559" s="128"/>
      <c r="P559" s="128"/>
      <c r="Q559" s="128"/>
      <c r="R559" s="128"/>
      <c r="S559" s="128"/>
      <c r="T559" s="128"/>
      <c r="U559" s="128"/>
      <c r="V559" s="128"/>
      <c r="W559" s="128"/>
      <c r="X559" s="128"/>
      <c r="Y559" s="128"/>
      <c r="Z559" s="128"/>
      <c r="AA559" s="128"/>
    </row>
    <row r="560">
      <c r="A560" s="134"/>
      <c r="B560" s="134"/>
      <c r="C560" s="128"/>
      <c r="D560" s="128"/>
      <c r="E560" s="128"/>
      <c r="F560" s="128"/>
      <c r="G560" s="128"/>
      <c r="H560" s="128"/>
      <c r="I560" s="128"/>
      <c r="J560" s="128"/>
      <c r="K560" s="128"/>
      <c r="L560" s="128"/>
      <c r="M560" s="128"/>
      <c r="N560" s="128"/>
      <c r="O560" s="128"/>
      <c r="P560" s="128"/>
      <c r="Q560" s="128"/>
      <c r="R560" s="128"/>
      <c r="S560" s="128"/>
      <c r="T560" s="128"/>
      <c r="U560" s="128"/>
      <c r="V560" s="128"/>
      <c r="W560" s="128"/>
      <c r="X560" s="128"/>
      <c r="Y560" s="128"/>
      <c r="Z560" s="128"/>
      <c r="AA560" s="128"/>
    </row>
    <row r="561">
      <c r="A561" s="134"/>
      <c r="B561" s="134"/>
      <c r="C561" s="128"/>
      <c r="D561" s="128"/>
      <c r="E561" s="128"/>
      <c r="F561" s="128"/>
      <c r="G561" s="128"/>
      <c r="H561" s="128"/>
      <c r="I561" s="128"/>
      <c r="J561" s="128"/>
      <c r="K561" s="128"/>
      <c r="L561" s="128"/>
      <c r="M561" s="128"/>
      <c r="N561" s="128"/>
      <c r="O561" s="128"/>
      <c r="P561" s="128"/>
      <c r="Q561" s="128"/>
      <c r="R561" s="128"/>
      <c r="S561" s="128"/>
      <c r="T561" s="128"/>
      <c r="U561" s="128"/>
      <c r="V561" s="128"/>
      <c r="W561" s="128"/>
      <c r="X561" s="128"/>
      <c r="Y561" s="128"/>
      <c r="Z561" s="128"/>
      <c r="AA561" s="128"/>
    </row>
    <row r="562">
      <c r="A562" s="134"/>
      <c r="B562" s="134"/>
      <c r="C562" s="128"/>
      <c r="D562" s="128"/>
      <c r="E562" s="128"/>
      <c r="F562" s="128"/>
      <c r="G562" s="128"/>
      <c r="H562" s="128"/>
      <c r="I562" s="128"/>
      <c r="J562" s="128"/>
      <c r="K562" s="128"/>
      <c r="L562" s="128"/>
      <c r="M562" s="128"/>
      <c r="N562" s="128"/>
      <c r="O562" s="128"/>
      <c r="P562" s="128"/>
      <c r="Q562" s="128"/>
      <c r="R562" s="128"/>
      <c r="S562" s="128"/>
      <c r="T562" s="128"/>
      <c r="U562" s="128"/>
      <c r="V562" s="128"/>
      <c r="W562" s="128"/>
      <c r="X562" s="128"/>
      <c r="Y562" s="128"/>
      <c r="Z562" s="128"/>
      <c r="AA562" s="128"/>
    </row>
    <row r="563">
      <c r="A563" s="134"/>
      <c r="B563" s="134"/>
      <c r="C563" s="128"/>
      <c r="D563" s="128"/>
      <c r="E563" s="128"/>
      <c r="F563" s="128"/>
      <c r="G563" s="128"/>
      <c r="H563" s="128"/>
      <c r="I563" s="128"/>
      <c r="J563" s="128"/>
      <c r="K563" s="128"/>
      <c r="L563" s="128"/>
      <c r="M563" s="128"/>
      <c r="N563" s="128"/>
      <c r="O563" s="128"/>
      <c r="P563" s="128"/>
      <c r="Q563" s="128"/>
      <c r="R563" s="128"/>
      <c r="S563" s="128"/>
      <c r="T563" s="128"/>
      <c r="U563" s="128"/>
      <c r="V563" s="128"/>
      <c r="W563" s="128"/>
      <c r="X563" s="128"/>
      <c r="Y563" s="128"/>
      <c r="Z563" s="128"/>
      <c r="AA563" s="128"/>
    </row>
    <row r="564">
      <c r="A564" s="134"/>
      <c r="B564" s="134"/>
      <c r="C564" s="128"/>
      <c r="D564" s="128"/>
      <c r="E564" s="128"/>
      <c r="F564" s="128"/>
      <c r="G564" s="128"/>
      <c r="H564" s="128"/>
      <c r="I564" s="128"/>
      <c r="J564" s="128"/>
      <c r="K564" s="128"/>
      <c r="L564" s="128"/>
      <c r="M564" s="128"/>
      <c r="N564" s="128"/>
      <c r="O564" s="128"/>
      <c r="P564" s="128"/>
      <c r="Q564" s="128"/>
      <c r="R564" s="128"/>
      <c r="S564" s="128"/>
      <c r="T564" s="128"/>
      <c r="U564" s="128"/>
      <c r="V564" s="128"/>
      <c r="W564" s="128"/>
      <c r="X564" s="128"/>
      <c r="Y564" s="128"/>
      <c r="Z564" s="128"/>
      <c r="AA564" s="128"/>
    </row>
    <row r="565">
      <c r="A565" s="134"/>
      <c r="B565" s="134"/>
      <c r="C565" s="128"/>
      <c r="D565" s="128"/>
      <c r="E565" s="128"/>
      <c r="F565" s="128"/>
      <c r="G565" s="128"/>
      <c r="H565" s="128"/>
      <c r="I565" s="128"/>
      <c r="J565" s="128"/>
      <c r="K565" s="128"/>
      <c r="L565" s="128"/>
      <c r="M565" s="128"/>
      <c r="N565" s="128"/>
      <c r="O565" s="128"/>
      <c r="P565" s="128"/>
      <c r="Q565" s="128"/>
      <c r="R565" s="128"/>
      <c r="S565" s="128"/>
      <c r="T565" s="128"/>
      <c r="U565" s="128"/>
      <c r="V565" s="128"/>
      <c r="W565" s="128"/>
      <c r="X565" s="128"/>
      <c r="Y565" s="128"/>
      <c r="Z565" s="128"/>
      <c r="AA565" s="128"/>
    </row>
    <row r="566">
      <c r="A566" s="134"/>
      <c r="B566" s="134"/>
      <c r="C566" s="128"/>
      <c r="D566" s="128"/>
      <c r="E566" s="128"/>
      <c r="F566" s="128"/>
      <c r="G566" s="128"/>
      <c r="H566" s="128"/>
      <c r="I566" s="128"/>
      <c r="J566" s="128"/>
      <c r="K566" s="128"/>
      <c r="L566" s="128"/>
      <c r="M566" s="128"/>
      <c r="N566" s="128"/>
      <c r="O566" s="128"/>
      <c r="P566" s="128"/>
      <c r="Q566" s="128"/>
      <c r="R566" s="128"/>
      <c r="S566" s="128"/>
      <c r="T566" s="128"/>
      <c r="U566" s="128"/>
      <c r="V566" s="128"/>
      <c r="W566" s="128"/>
      <c r="X566" s="128"/>
      <c r="Y566" s="128"/>
      <c r="Z566" s="128"/>
      <c r="AA566" s="128"/>
    </row>
    <row r="567">
      <c r="A567" s="134"/>
      <c r="B567" s="134"/>
      <c r="C567" s="128"/>
      <c r="D567" s="128"/>
      <c r="E567" s="128"/>
      <c r="F567" s="128"/>
      <c r="G567" s="128"/>
      <c r="H567" s="128"/>
      <c r="I567" s="128"/>
      <c r="J567" s="128"/>
      <c r="K567" s="128"/>
      <c r="L567" s="128"/>
      <c r="M567" s="128"/>
      <c r="N567" s="128"/>
      <c r="O567" s="128"/>
      <c r="P567" s="128"/>
      <c r="Q567" s="128"/>
      <c r="R567" s="128"/>
      <c r="S567" s="128"/>
      <c r="T567" s="128"/>
      <c r="U567" s="128"/>
      <c r="V567" s="128"/>
      <c r="W567" s="128"/>
      <c r="X567" s="128"/>
      <c r="Y567" s="128"/>
      <c r="Z567" s="128"/>
      <c r="AA567" s="128"/>
    </row>
    <row r="568">
      <c r="A568" s="134"/>
      <c r="B568" s="134"/>
      <c r="C568" s="128"/>
      <c r="D568" s="128"/>
      <c r="E568" s="128"/>
      <c r="F568" s="128"/>
      <c r="G568" s="128"/>
      <c r="H568" s="128"/>
      <c r="I568" s="128"/>
      <c r="J568" s="128"/>
      <c r="K568" s="128"/>
      <c r="L568" s="128"/>
      <c r="M568" s="128"/>
      <c r="N568" s="128"/>
      <c r="O568" s="128"/>
      <c r="P568" s="128"/>
      <c r="Q568" s="128"/>
      <c r="R568" s="128"/>
      <c r="S568" s="128"/>
      <c r="T568" s="128"/>
      <c r="U568" s="128"/>
      <c r="V568" s="128"/>
      <c r="W568" s="128"/>
      <c r="X568" s="128"/>
      <c r="Y568" s="128"/>
      <c r="Z568" s="128"/>
      <c r="AA568" s="128"/>
    </row>
    <row r="569">
      <c r="A569" s="134"/>
      <c r="B569" s="134"/>
      <c r="C569" s="128"/>
      <c r="D569" s="128"/>
      <c r="E569" s="128"/>
      <c r="F569" s="128"/>
      <c r="G569" s="128"/>
      <c r="H569" s="128"/>
      <c r="I569" s="128"/>
      <c r="J569" s="128"/>
      <c r="K569" s="128"/>
      <c r="L569" s="128"/>
      <c r="M569" s="128"/>
      <c r="N569" s="128"/>
      <c r="O569" s="128"/>
      <c r="P569" s="128"/>
      <c r="Q569" s="128"/>
      <c r="R569" s="128"/>
      <c r="S569" s="128"/>
      <c r="T569" s="128"/>
      <c r="U569" s="128"/>
      <c r="V569" s="128"/>
      <c r="W569" s="128"/>
      <c r="X569" s="128"/>
      <c r="Y569" s="128"/>
      <c r="Z569" s="128"/>
      <c r="AA569" s="128"/>
    </row>
    <row r="570">
      <c r="A570" s="134"/>
      <c r="B570" s="134"/>
      <c r="C570" s="128"/>
      <c r="D570" s="128"/>
      <c r="E570" s="128"/>
      <c r="F570" s="128"/>
      <c r="G570" s="128"/>
      <c r="H570" s="128"/>
      <c r="I570" s="128"/>
      <c r="J570" s="128"/>
      <c r="K570" s="128"/>
      <c r="L570" s="128"/>
      <c r="M570" s="128"/>
      <c r="N570" s="128"/>
      <c r="O570" s="128"/>
      <c r="P570" s="128"/>
      <c r="Q570" s="128"/>
      <c r="R570" s="128"/>
      <c r="S570" s="128"/>
      <c r="T570" s="128"/>
      <c r="U570" s="128"/>
      <c r="V570" s="128"/>
      <c r="W570" s="128"/>
      <c r="X570" s="128"/>
      <c r="Y570" s="128"/>
      <c r="Z570" s="128"/>
      <c r="AA570" s="128"/>
    </row>
    <row r="571">
      <c r="A571" s="134"/>
      <c r="B571" s="134"/>
      <c r="C571" s="128"/>
      <c r="D571" s="128"/>
      <c r="E571" s="128"/>
      <c r="F571" s="128"/>
      <c r="G571" s="128"/>
      <c r="H571" s="128"/>
      <c r="I571" s="128"/>
      <c r="J571" s="128"/>
      <c r="K571" s="128"/>
      <c r="L571" s="128"/>
      <c r="M571" s="128"/>
      <c r="N571" s="128"/>
      <c r="O571" s="128"/>
      <c r="P571" s="128"/>
      <c r="Q571" s="128"/>
      <c r="R571" s="128"/>
      <c r="S571" s="128"/>
      <c r="T571" s="128"/>
      <c r="U571" s="128"/>
      <c r="V571" s="128"/>
      <c r="W571" s="128"/>
      <c r="X571" s="128"/>
      <c r="Y571" s="128"/>
      <c r="Z571" s="128"/>
      <c r="AA571" s="128"/>
    </row>
    <row r="572">
      <c r="A572" s="134"/>
      <c r="B572" s="134"/>
      <c r="C572" s="128"/>
      <c r="D572" s="128"/>
      <c r="E572" s="128"/>
      <c r="F572" s="128"/>
      <c r="G572" s="128"/>
      <c r="H572" s="128"/>
      <c r="I572" s="128"/>
      <c r="J572" s="128"/>
      <c r="K572" s="128"/>
      <c r="L572" s="128"/>
      <c r="M572" s="128"/>
      <c r="N572" s="128"/>
      <c r="O572" s="128"/>
      <c r="P572" s="128"/>
      <c r="Q572" s="128"/>
      <c r="R572" s="128"/>
      <c r="S572" s="128"/>
      <c r="T572" s="128"/>
      <c r="U572" s="128"/>
      <c r="V572" s="128"/>
      <c r="W572" s="128"/>
      <c r="X572" s="128"/>
      <c r="Y572" s="128"/>
      <c r="Z572" s="128"/>
      <c r="AA572" s="128"/>
    </row>
    <row r="573">
      <c r="A573" s="134"/>
      <c r="B573" s="134"/>
      <c r="C573" s="128"/>
      <c r="D573" s="128"/>
      <c r="E573" s="128"/>
      <c r="F573" s="128"/>
      <c r="G573" s="128"/>
      <c r="H573" s="128"/>
      <c r="I573" s="128"/>
      <c r="J573" s="128"/>
      <c r="K573" s="128"/>
      <c r="L573" s="128"/>
      <c r="M573" s="128"/>
      <c r="N573" s="128"/>
      <c r="O573" s="128"/>
      <c r="P573" s="128"/>
      <c r="Q573" s="128"/>
      <c r="R573" s="128"/>
      <c r="S573" s="128"/>
      <c r="T573" s="128"/>
      <c r="U573" s="128"/>
      <c r="V573" s="128"/>
      <c r="W573" s="128"/>
      <c r="X573" s="128"/>
      <c r="Y573" s="128"/>
      <c r="Z573" s="128"/>
      <c r="AA573" s="128"/>
    </row>
    <row r="574">
      <c r="A574" s="134"/>
      <c r="B574" s="134"/>
      <c r="C574" s="128"/>
      <c r="D574" s="128"/>
      <c r="E574" s="128"/>
      <c r="F574" s="128"/>
      <c r="G574" s="128"/>
      <c r="H574" s="128"/>
      <c r="I574" s="128"/>
      <c r="J574" s="128"/>
      <c r="K574" s="128"/>
      <c r="L574" s="128"/>
      <c r="M574" s="128"/>
      <c r="N574" s="128"/>
      <c r="O574" s="128"/>
      <c r="P574" s="128"/>
      <c r="Q574" s="128"/>
      <c r="R574" s="128"/>
      <c r="S574" s="128"/>
      <c r="T574" s="128"/>
      <c r="U574" s="128"/>
      <c r="V574" s="128"/>
      <c r="W574" s="128"/>
      <c r="X574" s="128"/>
      <c r="Y574" s="128"/>
      <c r="Z574" s="128"/>
      <c r="AA574" s="128"/>
    </row>
    <row r="575">
      <c r="A575" s="134"/>
      <c r="B575" s="134"/>
      <c r="C575" s="128"/>
      <c r="D575" s="128"/>
      <c r="E575" s="128"/>
      <c r="F575" s="128"/>
      <c r="G575" s="128"/>
      <c r="H575" s="128"/>
      <c r="I575" s="128"/>
      <c r="J575" s="128"/>
      <c r="K575" s="128"/>
      <c r="L575" s="128"/>
      <c r="M575" s="128"/>
      <c r="N575" s="128"/>
      <c r="O575" s="128"/>
      <c r="P575" s="128"/>
      <c r="Q575" s="128"/>
      <c r="R575" s="128"/>
      <c r="S575" s="128"/>
      <c r="T575" s="128"/>
      <c r="U575" s="128"/>
      <c r="V575" s="128"/>
      <c r="W575" s="128"/>
      <c r="X575" s="128"/>
      <c r="Y575" s="128"/>
      <c r="Z575" s="128"/>
      <c r="AA575" s="128"/>
    </row>
    <row r="576">
      <c r="A576" s="134"/>
      <c r="B576" s="134"/>
      <c r="C576" s="128"/>
      <c r="D576" s="128"/>
      <c r="E576" s="128"/>
      <c r="F576" s="128"/>
      <c r="G576" s="128"/>
      <c r="H576" s="128"/>
      <c r="I576" s="128"/>
      <c r="J576" s="128"/>
      <c r="K576" s="128"/>
      <c r="L576" s="128"/>
      <c r="M576" s="128"/>
      <c r="N576" s="128"/>
      <c r="O576" s="128"/>
      <c r="P576" s="128"/>
      <c r="Q576" s="128"/>
      <c r="R576" s="128"/>
      <c r="S576" s="128"/>
      <c r="T576" s="128"/>
      <c r="U576" s="128"/>
      <c r="V576" s="128"/>
      <c r="W576" s="128"/>
      <c r="X576" s="128"/>
      <c r="Y576" s="128"/>
      <c r="Z576" s="128"/>
      <c r="AA576" s="128"/>
    </row>
    <row r="577">
      <c r="A577" s="134"/>
      <c r="B577" s="134"/>
      <c r="C577" s="128"/>
      <c r="D577" s="128"/>
      <c r="E577" s="128"/>
      <c r="F577" s="128"/>
      <c r="G577" s="128"/>
      <c r="H577" s="128"/>
      <c r="I577" s="128"/>
      <c r="J577" s="128"/>
      <c r="K577" s="128"/>
      <c r="L577" s="128"/>
      <c r="M577" s="128"/>
      <c r="N577" s="128"/>
      <c r="O577" s="128"/>
      <c r="P577" s="128"/>
      <c r="Q577" s="128"/>
      <c r="R577" s="128"/>
      <c r="S577" s="128"/>
      <c r="T577" s="128"/>
      <c r="U577" s="128"/>
      <c r="V577" s="128"/>
      <c r="W577" s="128"/>
      <c r="X577" s="128"/>
      <c r="Y577" s="128"/>
      <c r="Z577" s="128"/>
      <c r="AA577" s="128"/>
    </row>
    <row r="578">
      <c r="A578" s="134"/>
      <c r="B578" s="134"/>
      <c r="C578" s="128"/>
      <c r="D578" s="128"/>
      <c r="E578" s="128"/>
      <c r="F578" s="128"/>
      <c r="G578" s="128"/>
      <c r="H578" s="128"/>
      <c r="I578" s="128"/>
      <c r="J578" s="128"/>
      <c r="K578" s="128"/>
      <c r="L578" s="128"/>
      <c r="M578" s="128"/>
      <c r="N578" s="128"/>
      <c r="O578" s="128"/>
      <c r="P578" s="128"/>
      <c r="Q578" s="128"/>
      <c r="R578" s="128"/>
      <c r="S578" s="128"/>
      <c r="T578" s="128"/>
      <c r="U578" s="128"/>
      <c r="V578" s="128"/>
      <c r="W578" s="128"/>
      <c r="X578" s="128"/>
      <c r="Y578" s="128"/>
      <c r="Z578" s="128"/>
      <c r="AA578" s="128"/>
    </row>
    <row r="579">
      <c r="A579" s="134"/>
      <c r="B579" s="134"/>
      <c r="C579" s="128"/>
      <c r="D579" s="128"/>
      <c r="E579" s="128"/>
      <c r="F579" s="128"/>
      <c r="G579" s="128"/>
      <c r="H579" s="128"/>
      <c r="I579" s="128"/>
      <c r="J579" s="128"/>
      <c r="K579" s="128"/>
      <c r="L579" s="128"/>
      <c r="M579" s="128"/>
      <c r="N579" s="128"/>
      <c r="O579" s="128"/>
      <c r="P579" s="128"/>
      <c r="Q579" s="128"/>
      <c r="R579" s="128"/>
      <c r="S579" s="128"/>
      <c r="T579" s="128"/>
      <c r="U579" s="128"/>
      <c r="V579" s="128"/>
      <c r="W579" s="128"/>
      <c r="X579" s="128"/>
      <c r="Y579" s="128"/>
      <c r="Z579" s="128"/>
      <c r="AA579" s="128"/>
    </row>
    <row r="580">
      <c r="A580" s="134"/>
      <c r="B580" s="134"/>
      <c r="C580" s="128"/>
      <c r="D580" s="128"/>
      <c r="E580" s="128"/>
      <c r="F580" s="128"/>
      <c r="G580" s="128"/>
      <c r="H580" s="128"/>
      <c r="I580" s="128"/>
      <c r="J580" s="128"/>
      <c r="K580" s="128"/>
      <c r="L580" s="128"/>
      <c r="M580" s="128"/>
      <c r="N580" s="128"/>
      <c r="O580" s="128"/>
      <c r="P580" s="128"/>
      <c r="Q580" s="128"/>
      <c r="R580" s="128"/>
      <c r="S580" s="128"/>
      <c r="T580" s="128"/>
      <c r="U580" s="128"/>
      <c r="V580" s="128"/>
      <c r="W580" s="128"/>
      <c r="X580" s="128"/>
      <c r="Y580" s="128"/>
      <c r="Z580" s="128"/>
      <c r="AA580" s="128"/>
    </row>
    <row r="581">
      <c r="A581" s="134"/>
      <c r="B581" s="134"/>
      <c r="C581" s="128"/>
      <c r="D581" s="128"/>
      <c r="E581" s="128"/>
      <c r="F581" s="128"/>
      <c r="G581" s="128"/>
      <c r="H581" s="128"/>
      <c r="I581" s="128"/>
      <c r="J581" s="128"/>
      <c r="K581" s="128"/>
      <c r="L581" s="128"/>
      <c r="M581" s="128"/>
      <c r="N581" s="128"/>
      <c r="O581" s="128"/>
      <c r="P581" s="128"/>
      <c r="Q581" s="128"/>
      <c r="R581" s="128"/>
      <c r="S581" s="128"/>
      <c r="T581" s="128"/>
      <c r="U581" s="128"/>
      <c r="V581" s="128"/>
      <c r="W581" s="128"/>
      <c r="X581" s="128"/>
      <c r="Y581" s="128"/>
      <c r="Z581" s="128"/>
      <c r="AA581" s="128"/>
    </row>
    <row r="582">
      <c r="A582" s="134"/>
      <c r="B582" s="134"/>
      <c r="C582" s="128"/>
      <c r="D582" s="128"/>
      <c r="E582" s="128"/>
      <c r="F582" s="128"/>
      <c r="G582" s="128"/>
      <c r="H582" s="128"/>
      <c r="I582" s="128"/>
      <c r="J582" s="128"/>
      <c r="K582" s="128"/>
      <c r="L582" s="128"/>
      <c r="M582" s="128"/>
      <c r="N582" s="128"/>
      <c r="O582" s="128"/>
      <c r="P582" s="128"/>
      <c r="Q582" s="128"/>
      <c r="R582" s="128"/>
      <c r="S582" s="128"/>
      <c r="T582" s="128"/>
      <c r="U582" s="128"/>
      <c r="V582" s="128"/>
      <c r="W582" s="128"/>
      <c r="X582" s="128"/>
      <c r="Y582" s="128"/>
      <c r="Z582" s="128"/>
      <c r="AA582" s="128"/>
    </row>
    <row r="583">
      <c r="A583" s="134"/>
      <c r="B583" s="134"/>
      <c r="C583" s="128"/>
      <c r="D583" s="128"/>
      <c r="E583" s="128"/>
      <c r="F583" s="128"/>
      <c r="G583" s="128"/>
      <c r="H583" s="128"/>
      <c r="I583" s="128"/>
      <c r="J583" s="128"/>
      <c r="K583" s="128"/>
      <c r="L583" s="128"/>
      <c r="M583" s="128"/>
      <c r="N583" s="128"/>
      <c r="O583" s="128"/>
      <c r="P583" s="128"/>
      <c r="Q583" s="128"/>
      <c r="R583" s="128"/>
      <c r="S583" s="128"/>
      <c r="T583" s="128"/>
      <c r="U583" s="128"/>
      <c r="V583" s="128"/>
      <c r="W583" s="128"/>
      <c r="X583" s="128"/>
      <c r="Y583" s="128"/>
      <c r="Z583" s="128"/>
      <c r="AA583" s="128"/>
    </row>
    <row r="584">
      <c r="A584" s="134"/>
      <c r="B584" s="134"/>
      <c r="C584" s="128"/>
      <c r="D584" s="128"/>
      <c r="E584" s="128"/>
      <c r="F584" s="128"/>
      <c r="G584" s="128"/>
      <c r="H584" s="128"/>
      <c r="I584" s="128"/>
      <c r="J584" s="128"/>
      <c r="K584" s="128"/>
      <c r="L584" s="128"/>
      <c r="M584" s="128"/>
      <c r="N584" s="128"/>
      <c r="O584" s="128"/>
      <c r="P584" s="128"/>
      <c r="Q584" s="128"/>
      <c r="R584" s="128"/>
      <c r="S584" s="128"/>
      <c r="T584" s="128"/>
      <c r="U584" s="128"/>
      <c r="V584" s="128"/>
      <c r="W584" s="128"/>
      <c r="X584" s="128"/>
      <c r="Y584" s="128"/>
      <c r="Z584" s="128"/>
      <c r="AA584" s="128"/>
    </row>
    <row r="585">
      <c r="A585" s="134"/>
      <c r="B585" s="134"/>
      <c r="C585" s="128"/>
      <c r="D585" s="128"/>
      <c r="E585" s="128"/>
      <c r="F585" s="128"/>
      <c r="G585" s="128"/>
      <c r="H585" s="128"/>
      <c r="I585" s="128"/>
      <c r="J585" s="128"/>
      <c r="K585" s="128"/>
      <c r="L585" s="128"/>
      <c r="M585" s="128"/>
      <c r="N585" s="128"/>
      <c r="O585" s="128"/>
      <c r="P585" s="128"/>
      <c r="Q585" s="128"/>
      <c r="R585" s="128"/>
      <c r="S585" s="128"/>
      <c r="T585" s="128"/>
      <c r="U585" s="128"/>
      <c r="V585" s="128"/>
      <c r="W585" s="128"/>
      <c r="X585" s="128"/>
      <c r="Y585" s="128"/>
      <c r="Z585" s="128"/>
      <c r="AA585" s="128"/>
    </row>
    <row r="586">
      <c r="A586" s="134"/>
      <c r="B586" s="134"/>
      <c r="C586" s="128"/>
      <c r="D586" s="128"/>
      <c r="E586" s="128"/>
      <c r="F586" s="128"/>
      <c r="G586" s="128"/>
      <c r="H586" s="128"/>
      <c r="I586" s="128"/>
      <c r="J586" s="128"/>
      <c r="K586" s="128"/>
      <c r="L586" s="128"/>
      <c r="M586" s="128"/>
      <c r="N586" s="128"/>
      <c r="O586" s="128"/>
      <c r="P586" s="128"/>
      <c r="Q586" s="128"/>
      <c r="R586" s="128"/>
      <c r="S586" s="128"/>
      <c r="T586" s="128"/>
      <c r="U586" s="128"/>
      <c r="V586" s="128"/>
      <c r="W586" s="128"/>
      <c r="X586" s="128"/>
      <c r="Y586" s="128"/>
      <c r="Z586" s="128"/>
      <c r="AA586" s="128"/>
    </row>
    <row r="587">
      <c r="A587" s="134"/>
      <c r="B587" s="134"/>
      <c r="C587" s="128"/>
      <c r="D587" s="128"/>
      <c r="E587" s="128"/>
      <c r="F587" s="128"/>
      <c r="G587" s="128"/>
      <c r="H587" s="128"/>
      <c r="I587" s="128"/>
      <c r="J587" s="128"/>
      <c r="K587" s="128"/>
      <c r="L587" s="128"/>
      <c r="M587" s="128"/>
      <c r="N587" s="128"/>
      <c r="O587" s="128"/>
      <c r="P587" s="128"/>
      <c r="Q587" s="128"/>
      <c r="R587" s="128"/>
      <c r="S587" s="128"/>
      <c r="T587" s="128"/>
      <c r="U587" s="128"/>
      <c r="V587" s="128"/>
      <c r="W587" s="128"/>
      <c r="X587" s="128"/>
      <c r="Y587" s="128"/>
      <c r="Z587" s="128"/>
      <c r="AA587" s="128"/>
    </row>
    <row r="588">
      <c r="A588" s="134"/>
      <c r="B588" s="134"/>
      <c r="C588" s="128"/>
      <c r="D588" s="128"/>
      <c r="E588" s="128"/>
      <c r="F588" s="128"/>
      <c r="G588" s="128"/>
      <c r="H588" s="128"/>
      <c r="I588" s="128"/>
      <c r="J588" s="128"/>
      <c r="K588" s="128"/>
      <c r="L588" s="128"/>
      <c r="M588" s="128"/>
      <c r="N588" s="128"/>
      <c r="O588" s="128"/>
      <c r="P588" s="128"/>
      <c r="Q588" s="128"/>
      <c r="R588" s="128"/>
      <c r="S588" s="128"/>
      <c r="T588" s="128"/>
      <c r="U588" s="128"/>
      <c r="V588" s="128"/>
      <c r="W588" s="128"/>
      <c r="X588" s="128"/>
      <c r="Y588" s="128"/>
      <c r="Z588" s="128"/>
      <c r="AA588" s="128"/>
    </row>
    <row r="589">
      <c r="A589" s="134"/>
      <c r="B589" s="134"/>
      <c r="C589" s="128"/>
      <c r="D589" s="128"/>
      <c r="E589" s="128"/>
      <c r="F589" s="128"/>
      <c r="G589" s="128"/>
      <c r="H589" s="128"/>
      <c r="I589" s="128"/>
      <c r="J589" s="128"/>
      <c r="K589" s="128"/>
      <c r="L589" s="128"/>
      <c r="M589" s="128"/>
      <c r="N589" s="128"/>
      <c r="O589" s="128"/>
      <c r="P589" s="128"/>
      <c r="Q589" s="128"/>
      <c r="R589" s="128"/>
      <c r="S589" s="128"/>
      <c r="T589" s="128"/>
      <c r="U589" s="128"/>
      <c r="V589" s="128"/>
      <c r="W589" s="128"/>
      <c r="X589" s="128"/>
      <c r="Y589" s="128"/>
      <c r="Z589" s="128"/>
      <c r="AA589" s="128"/>
    </row>
    <row r="590">
      <c r="A590" s="134"/>
      <c r="B590" s="134"/>
      <c r="C590" s="128"/>
      <c r="D590" s="128"/>
      <c r="E590" s="128"/>
      <c r="F590" s="128"/>
      <c r="G590" s="128"/>
      <c r="H590" s="128"/>
      <c r="I590" s="128"/>
      <c r="J590" s="128"/>
      <c r="K590" s="128"/>
      <c r="L590" s="128"/>
      <c r="M590" s="128"/>
      <c r="N590" s="128"/>
      <c r="O590" s="128"/>
      <c r="P590" s="128"/>
      <c r="Q590" s="128"/>
      <c r="R590" s="128"/>
      <c r="S590" s="128"/>
      <c r="T590" s="128"/>
      <c r="U590" s="128"/>
      <c r="V590" s="128"/>
      <c r="W590" s="128"/>
      <c r="X590" s="128"/>
      <c r="Y590" s="128"/>
      <c r="Z590" s="128"/>
      <c r="AA590" s="128"/>
    </row>
    <row r="591">
      <c r="A591" s="134"/>
      <c r="B591" s="134"/>
      <c r="C591" s="128"/>
      <c r="D591" s="128"/>
      <c r="E591" s="128"/>
      <c r="F591" s="128"/>
      <c r="G591" s="128"/>
      <c r="H591" s="128"/>
      <c r="I591" s="128"/>
      <c r="J591" s="128"/>
      <c r="K591" s="128"/>
      <c r="L591" s="128"/>
      <c r="M591" s="128"/>
      <c r="N591" s="128"/>
      <c r="O591" s="128"/>
      <c r="P591" s="128"/>
      <c r="Q591" s="128"/>
      <c r="R591" s="128"/>
      <c r="S591" s="128"/>
      <c r="T591" s="128"/>
      <c r="U591" s="128"/>
      <c r="V591" s="128"/>
      <c r="W591" s="128"/>
      <c r="X591" s="128"/>
      <c r="Y591" s="128"/>
      <c r="Z591" s="128"/>
      <c r="AA591" s="128"/>
    </row>
    <row r="592">
      <c r="A592" s="134"/>
      <c r="B592" s="134"/>
      <c r="C592" s="128"/>
      <c r="D592" s="128"/>
      <c r="E592" s="128"/>
      <c r="F592" s="128"/>
      <c r="G592" s="128"/>
      <c r="H592" s="128"/>
      <c r="I592" s="128"/>
      <c r="J592" s="128"/>
      <c r="K592" s="128"/>
      <c r="L592" s="128"/>
      <c r="M592" s="128"/>
      <c r="N592" s="128"/>
      <c r="O592" s="128"/>
      <c r="P592" s="128"/>
      <c r="Q592" s="128"/>
      <c r="R592" s="128"/>
      <c r="S592" s="128"/>
      <c r="T592" s="128"/>
      <c r="U592" s="128"/>
      <c r="V592" s="128"/>
      <c r="W592" s="128"/>
      <c r="X592" s="128"/>
      <c r="Y592" s="128"/>
      <c r="Z592" s="128"/>
      <c r="AA592" s="128"/>
    </row>
    <row r="593">
      <c r="A593" s="134"/>
      <c r="B593" s="134"/>
      <c r="C593" s="128"/>
      <c r="D593" s="128"/>
      <c r="E593" s="128"/>
      <c r="F593" s="128"/>
      <c r="G593" s="128"/>
      <c r="H593" s="128"/>
      <c r="I593" s="128"/>
      <c r="J593" s="128"/>
      <c r="K593" s="128"/>
      <c r="L593" s="128"/>
      <c r="M593" s="128"/>
      <c r="N593" s="128"/>
      <c r="O593" s="128"/>
      <c r="P593" s="128"/>
      <c r="Q593" s="128"/>
      <c r="R593" s="128"/>
      <c r="S593" s="128"/>
      <c r="T593" s="128"/>
      <c r="U593" s="128"/>
      <c r="V593" s="128"/>
      <c r="W593" s="128"/>
      <c r="X593" s="128"/>
      <c r="Y593" s="128"/>
      <c r="Z593" s="128"/>
      <c r="AA593" s="128"/>
    </row>
    <row r="594">
      <c r="A594" s="134"/>
      <c r="B594" s="134"/>
      <c r="C594" s="128"/>
      <c r="D594" s="128"/>
      <c r="E594" s="128"/>
      <c r="F594" s="128"/>
      <c r="G594" s="128"/>
      <c r="H594" s="128"/>
      <c r="I594" s="128"/>
      <c r="J594" s="128"/>
      <c r="K594" s="128"/>
      <c r="L594" s="128"/>
      <c r="M594" s="128"/>
      <c r="N594" s="128"/>
      <c r="O594" s="128"/>
      <c r="P594" s="128"/>
      <c r="Q594" s="128"/>
      <c r="R594" s="128"/>
      <c r="S594" s="128"/>
      <c r="T594" s="128"/>
      <c r="U594" s="128"/>
      <c r="V594" s="128"/>
      <c r="W594" s="128"/>
      <c r="X594" s="128"/>
      <c r="Y594" s="128"/>
      <c r="Z594" s="128"/>
      <c r="AA594" s="128"/>
    </row>
    <row r="595">
      <c r="A595" s="134"/>
      <c r="B595" s="134"/>
      <c r="C595" s="128"/>
      <c r="D595" s="128"/>
      <c r="E595" s="128"/>
      <c r="F595" s="128"/>
      <c r="G595" s="128"/>
      <c r="H595" s="128"/>
      <c r="I595" s="128"/>
      <c r="J595" s="128"/>
      <c r="K595" s="128"/>
      <c r="L595" s="128"/>
      <c r="M595" s="128"/>
      <c r="N595" s="128"/>
      <c r="O595" s="128"/>
      <c r="P595" s="128"/>
      <c r="Q595" s="128"/>
      <c r="R595" s="128"/>
      <c r="S595" s="128"/>
      <c r="T595" s="128"/>
      <c r="U595" s="128"/>
      <c r="V595" s="128"/>
      <c r="W595" s="128"/>
      <c r="X595" s="128"/>
      <c r="Y595" s="128"/>
      <c r="Z595" s="128"/>
      <c r="AA595" s="128"/>
    </row>
    <row r="596">
      <c r="A596" s="134"/>
      <c r="B596" s="134"/>
      <c r="C596" s="128"/>
      <c r="D596" s="128"/>
      <c r="E596" s="128"/>
      <c r="F596" s="128"/>
      <c r="G596" s="128"/>
      <c r="H596" s="128"/>
      <c r="I596" s="128"/>
      <c r="J596" s="128"/>
      <c r="K596" s="128"/>
      <c r="L596" s="128"/>
      <c r="M596" s="128"/>
      <c r="N596" s="128"/>
      <c r="O596" s="128"/>
      <c r="P596" s="128"/>
      <c r="Q596" s="128"/>
      <c r="R596" s="128"/>
      <c r="S596" s="128"/>
      <c r="T596" s="128"/>
      <c r="U596" s="128"/>
      <c r="V596" s="128"/>
      <c r="W596" s="128"/>
      <c r="X596" s="128"/>
      <c r="Y596" s="128"/>
      <c r="Z596" s="128"/>
      <c r="AA596" s="128"/>
    </row>
    <row r="597">
      <c r="A597" s="134"/>
      <c r="B597" s="134"/>
      <c r="C597" s="128"/>
      <c r="D597" s="128"/>
      <c r="E597" s="128"/>
      <c r="F597" s="128"/>
      <c r="G597" s="128"/>
      <c r="H597" s="128"/>
      <c r="I597" s="128"/>
      <c r="J597" s="128"/>
      <c r="K597" s="128"/>
      <c r="L597" s="128"/>
      <c r="M597" s="128"/>
      <c r="N597" s="128"/>
      <c r="O597" s="128"/>
      <c r="P597" s="128"/>
      <c r="Q597" s="128"/>
      <c r="R597" s="128"/>
      <c r="S597" s="128"/>
      <c r="T597" s="128"/>
      <c r="U597" s="128"/>
      <c r="V597" s="128"/>
      <c r="W597" s="128"/>
      <c r="X597" s="128"/>
      <c r="Y597" s="128"/>
      <c r="Z597" s="128"/>
      <c r="AA597" s="128"/>
    </row>
    <row r="598">
      <c r="A598" s="134"/>
      <c r="B598" s="134"/>
      <c r="C598" s="128"/>
      <c r="D598" s="128"/>
      <c r="E598" s="128"/>
      <c r="F598" s="128"/>
      <c r="G598" s="128"/>
      <c r="H598" s="128"/>
      <c r="I598" s="128"/>
      <c r="J598" s="128"/>
      <c r="K598" s="128"/>
      <c r="L598" s="128"/>
      <c r="M598" s="128"/>
      <c r="N598" s="128"/>
      <c r="O598" s="128"/>
      <c r="P598" s="128"/>
      <c r="Q598" s="128"/>
      <c r="R598" s="128"/>
      <c r="S598" s="128"/>
      <c r="T598" s="128"/>
      <c r="U598" s="128"/>
      <c r="V598" s="128"/>
      <c r="W598" s="128"/>
      <c r="X598" s="128"/>
      <c r="Y598" s="128"/>
      <c r="Z598" s="128"/>
      <c r="AA598" s="128"/>
    </row>
    <row r="599">
      <c r="A599" s="134"/>
      <c r="B599" s="134"/>
      <c r="C599" s="128"/>
      <c r="D599" s="128"/>
      <c r="E599" s="128"/>
      <c r="F599" s="128"/>
      <c r="G599" s="128"/>
      <c r="H599" s="128"/>
      <c r="I599" s="128"/>
      <c r="J599" s="128"/>
      <c r="K599" s="128"/>
      <c r="L599" s="128"/>
      <c r="M599" s="128"/>
      <c r="N599" s="128"/>
      <c r="O599" s="128"/>
      <c r="P599" s="128"/>
      <c r="Q599" s="128"/>
      <c r="R599" s="128"/>
      <c r="S599" s="128"/>
      <c r="T599" s="128"/>
      <c r="U599" s="128"/>
      <c r="V599" s="128"/>
      <c r="W599" s="128"/>
      <c r="X599" s="128"/>
      <c r="Y599" s="128"/>
      <c r="Z599" s="128"/>
      <c r="AA599" s="128"/>
    </row>
    <row r="600">
      <c r="A600" s="134"/>
      <c r="B600" s="134"/>
      <c r="C600" s="128"/>
      <c r="D600" s="128"/>
      <c r="E600" s="128"/>
      <c r="F600" s="128"/>
      <c r="G600" s="128"/>
      <c r="H600" s="128"/>
      <c r="I600" s="128"/>
      <c r="J600" s="128"/>
      <c r="K600" s="128"/>
      <c r="L600" s="128"/>
      <c r="M600" s="128"/>
      <c r="N600" s="128"/>
      <c r="O600" s="128"/>
      <c r="P600" s="128"/>
      <c r="Q600" s="128"/>
      <c r="R600" s="128"/>
      <c r="S600" s="128"/>
      <c r="T600" s="128"/>
      <c r="U600" s="128"/>
      <c r="V600" s="128"/>
      <c r="W600" s="128"/>
      <c r="X600" s="128"/>
      <c r="Y600" s="128"/>
      <c r="Z600" s="128"/>
      <c r="AA600" s="128"/>
    </row>
    <row r="601">
      <c r="A601" s="134"/>
      <c r="B601" s="134"/>
      <c r="C601" s="128"/>
      <c r="D601" s="128"/>
      <c r="E601" s="128"/>
      <c r="F601" s="128"/>
      <c r="G601" s="128"/>
      <c r="H601" s="128"/>
      <c r="I601" s="128"/>
      <c r="J601" s="128"/>
      <c r="K601" s="128"/>
      <c r="L601" s="128"/>
      <c r="M601" s="128"/>
      <c r="N601" s="128"/>
      <c r="O601" s="128"/>
      <c r="P601" s="128"/>
      <c r="Q601" s="128"/>
      <c r="R601" s="128"/>
      <c r="S601" s="128"/>
      <c r="T601" s="128"/>
      <c r="U601" s="128"/>
      <c r="V601" s="128"/>
      <c r="W601" s="128"/>
      <c r="X601" s="128"/>
      <c r="Y601" s="128"/>
      <c r="Z601" s="128"/>
      <c r="AA601" s="128"/>
    </row>
    <row r="602">
      <c r="A602" s="134"/>
      <c r="B602" s="134"/>
      <c r="C602" s="128"/>
      <c r="D602" s="128"/>
      <c r="E602" s="128"/>
      <c r="F602" s="128"/>
      <c r="G602" s="128"/>
      <c r="H602" s="128"/>
      <c r="I602" s="128"/>
      <c r="J602" s="128"/>
      <c r="K602" s="128"/>
      <c r="L602" s="128"/>
      <c r="M602" s="128"/>
      <c r="N602" s="128"/>
      <c r="O602" s="128"/>
      <c r="P602" s="128"/>
      <c r="Q602" s="128"/>
      <c r="R602" s="128"/>
      <c r="S602" s="128"/>
      <c r="T602" s="128"/>
      <c r="U602" s="128"/>
      <c r="V602" s="128"/>
      <c r="W602" s="128"/>
      <c r="X602" s="128"/>
      <c r="Y602" s="128"/>
      <c r="Z602" s="128"/>
      <c r="AA602" s="128"/>
    </row>
    <row r="603">
      <c r="A603" s="134"/>
      <c r="B603" s="134"/>
      <c r="C603" s="128"/>
      <c r="D603" s="128"/>
      <c r="E603" s="128"/>
      <c r="F603" s="128"/>
      <c r="G603" s="128"/>
      <c r="H603" s="128"/>
      <c r="I603" s="128"/>
      <c r="J603" s="128"/>
      <c r="K603" s="128"/>
      <c r="L603" s="128"/>
      <c r="M603" s="128"/>
      <c r="N603" s="128"/>
      <c r="O603" s="128"/>
      <c r="P603" s="128"/>
      <c r="Q603" s="128"/>
      <c r="R603" s="128"/>
      <c r="S603" s="128"/>
      <c r="T603" s="128"/>
      <c r="U603" s="128"/>
      <c r="V603" s="128"/>
      <c r="W603" s="128"/>
      <c r="X603" s="128"/>
      <c r="Y603" s="128"/>
      <c r="Z603" s="128"/>
      <c r="AA603" s="128"/>
    </row>
    <row r="604">
      <c r="A604" s="134"/>
      <c r="B604" s="134"/>
      <c r="C604" s="128"/>
      <c r="D604" s="128"/>
      <c r="E604" s="128"/>
      <c r="F604" s="128"/>
      <c r="G604" s="128"/>
      <c r="H604" s="128"/>
      <c r="I604" s="128"/>
      <c r="J604" s="128"/>
      <c r="K604" s="128"/>
      <c r="L604" s="128"/>
      <c r="M604" s="128"/>
      <c r="N604" s="128"/>
      <c r="O604" s="128"/>
      <c r="P604" s="128"/>
      <c r="Q604" s="128"/>
      <c r="R604" s="128"/>
      <c r="S604" s="128"/>
      <c r="T604" s="128"/>
      <c r="U604" s="128"/>
      <c r="V604" s="128"/>
      <c r="W604" s="128"/>
      <c r="X604" s="128"/>
      <c r="Y604" s="128"/>
      <c r="Z604" s="128"/>
      <c r="AA604" s="128"/>
    </row>
    <row r="605">
      <c r="A605" s="134"/>
      <c r="B605" s="134"/>
      <c r="C605" s="128"/>
      <c r="D605" s="128"/>
      <c r="E605" s="128"/>
      <c r="F605" s="128"/>
      <c r="G605" s="128"/>
      <c r="H605" s="128"/>
      <c r="I605" s="128"/>
      <c r="J605" s="128"/>
      <c r="K605" s="128"/>
      <c r="L605" s="128"/>
      <c r="M605" s="128"/>
      <c r="N605" s="128"/>
      <c r="O605" s="128"/>
      <c r="P605" s="128"/>
      <c r="Q605" s="128"/>
      <c r="R605" s="128"/>
      <c r="S605" s="128"/>
      <c r="T605" s="128"/>
      <c r="U605" s="128"/>
      <c r="V605" s="128"/>
      <c r="W605" s="128"/>
      <c r="X605" s="128"/>
      <c r="Y605" s="128"/>
      <c r="Z605" s="128"/>
      <c r="AA605" s="128"/>
    </row>
    <row r="606">
      <c r="A606" s="134"/>
      <c r="B606" s="134"/>
      <c r="C606" s="128"/>
      <c r="D606" s="128"/>
      <c r="E606" s="128"/>
      <c r="F606" s="128"/>
      <c r="G606" s="128"/>
      <c r="H606" s="128"/>
      <c r="I606" s="128"/>
      <c r="J606" s="128"/>
      <c r="K606" s="128"/>
      <c r="L606" s="128"/>
      <c r="M606" s="128"/>
      <c r="N606" s="128"/>
      <c r="O606" s="128"/>
      <c r="P606" s="128"/>
      <c r="Q606" s="128"/>
      <c r="R606" s="128"/>
      <c r="S606" s="128"/>
      <c r="T606" s="128"/>
      <c r="U606" s="128"/>
      <c r="V606" s="128"/>
      <c r="W606" s="128"/>
      <c r="X606" s="128"/>
      <c r="Y606" s="128"/>
      <c r="Z606" s="128"/>
      <c r="AA606" s="128"/>
    </row>
    <row r="607">
      <c r="A607" s="134"/>
      <c r="B607" s="134"/>
      <c r="C607" s="128"/>
      <c r="D607" s="128"/>
      <c r="E607" s="128"/>
      <c r="F607" s="128"/>
      <c r="G607" s="128"/>
      <c r="H607" s="128"/>
      <c r="I607" s="128"/>
      <c r="J607" s="128"/>
      <c r="K607" s="128"/>
      <c r="L607" s="128"/>
      <c r="M607" s="128"/>
      <c r="N607" s="128"/>
      <c r="O607" s="128"/>
      <c r="P607" s="128"/>
      <c r="Q607" s="128"/>
      <c r="R607" s="128"/>
      <c r="S607" s="128"/>
      <c r="T607" s="128"/>
      <c r="U607" s="128"/>
      <c r="V607" s="128"/>
      <c r="W607" s="128"/>
      <c r="X607" s="128"/>
      <c r="Y607" s="128"/>
      <c r="Z607" s="128"/>
      <c r="AA607" s="128"/>
    </row>
    <row r="608">
      <c r="A608" s="134"/>
      <c r="B608" s="134"/>
      <c r="C608" s="128"/>
      <c r="D608" s="128"/>
      <c r="E608" s="128"/>
      <c r="F608" s="128"/>
      <c r="G608" s="128"/>
      <c r="H608" s="128"/>
      <c r="I608" s="128"/>
      <c r="J608" s="128"/>
      <c r="K608" s="128"/>
      <c r="L608" s="128"/>
      <c r="M608" s="128"/>
      <c r="N608" s="128"/>
      <c r="O608" s="128"/>
      <c r="P608" s="128"/>
      <c r="Q608" s="128"/>
      <c r="R608" s="128"/>
      <c r="S608" s="128"/>
      <c r="T608" s="128"/>
      <c r="U608" s="128"/>
      <c r="V608" s="128"/>
      <c r="W608" s="128"/>
      <c r="X608" s="128"/>
      <c r="Y608" s="128"/>
      <c r="Z608" s="128"/>
      <c r="AA608" s="128"/>
    </row>
    <row r="609">
      <c r="A609" s="134"/>
      <c r="B609" s="134"/>
      <c r="C609" s="128"/>
      <c r="D609" s="128"/>
      <c r="E609" s="128"/>
      <c r="F609" s="128"/>
      <c r="G609" s="128"/>
      <c r="H609" s="128"/>
      <c r="I609" s="128"/>
      <c r="J609" s="128"/>
      <c r="K609" s="128"/>
      <c r="L609" s="128"/>
      <c r="M609" s="128"/>
      <c r="N609" s="128"/>
      <c r="O609" s="128"/>
      <c r="P609" s="128"/>
      <c r="Q609" s="128"/>
      <c r="R609" s="128"/>
      <c r="S609" s="128"/>
      <c r="T609" s="128"/>
      <c r="U609" s="128"/>
      <c r="V609" s="128"/>
      <c r="W609" s="128"/>
      <c r="X609" s="128"/>
      <c r="Y609" s="128"/>
      <c r="Z609" s="128"/>
      <c r="AA609" s="128"/>
    </row>
    <row r="610">
      <c r="A610" s="134"/>
      <c r="B610" s="134"/>
      <c r="C610" s="128"/>
      <c r="D610" s="128"/>
      <c r="E610" s="128"/>
      <c r="F610" s="128"/>
      <c r="G610" s="128"/>
      <c r="H610" s="128"/>
      <c r="I610" s="128"/>
      <c r="J610" s="128"/>
      <c r="K610" s="128"/>
      <c r="L610" s="128"/>
      <c r="M610" s="128"/>
      <c r="N610" s="128"/>
      <c r="O610" s="128"/>
      <c r="P610" s="128"/>
      <c r="Q610" s="128"/>
      <c r="R610" s="128"/>
      <c r="S610" s="128"/>
      <c r="T610" s="128"/>
      <c r="U610" s="128"/>
      <c r="V610" s="128"/>
      <c r="W610" s="128"/>
      <c r="X610" s="128"/>
      <c r="Y610" s="128"/>
      <c r="Z610" s="128"/>
      <c r="AA610" s="128"/>
    </row>
    <row r="611">
      <c r="A611" s="134"/>
      <c r="B611" s="134"/>
      <c r="C611" s="128"/>
      <c r="D611" s="128"/>
      <c r="E611" s="128"/>
      <c r="F611" s="128"/>
      <c r="G611" s="128"/>
      <c r="H611" s="128"/>
      <c r="I611" s="128"/>
      <c r="J611" s="128"/>
      <c r="K611" s="128"/>
      <c r="L611" s="128"/>
      <c r="M611" s="128"/>
      <c r="N611" s="128"/>
      <c r="O611" s="128"/>
      <c r="P611" s="128"/>
      <c r="Q611" s="128"/>
      <c r="R611" s="128"/>
      <c r="S611" s="128"/>
      <c r="T611" s="128"/>
      <c r="U611" s="128"/>
      <c r="V611" s="128"/>
      <c r="W611" s="128"/>
      <c r="X611" s="128"/>
      <c r="Y611" s="128"/>
      <c r="Z611" s="128"/>
      <c r="AA611" s="128"/>
    </row>
    <row r="612">
      <c r="A612" s="134"/>
      <c r="B612" s="134"/>
      <c r="C612" s="128"/>
      <c r="D612" s="128"/>
      <c r="E612" s="128"/>
      <c r="F612" s="128"/>
      <c r="G612" s="128"/>
      <c r="H612" s="128"/>
      <c r="I612" s="128"/>
      <c r="J612" s="128"/>
      <c r="K612" s="128"/>
      <c r="L612" s="128"/>
      <c r="M612" s="128"/>
      <c r="N612" s="128"/>
      <c r="O612" s="128"/>
      <c r="P612" s="128"/>
      <c r="Q612" s="128"/>
      <c r="R612" s="128"/>
      <c r="S612" s="128"/>
      <c r="T612" s="128"/>
      <c r="U612" s="128"/>
      <c r="V612" s="128"/>
      <c r="W612" s="128"/>
      <c r="X612" s="128"/>
      <c r="Y612" s="128"/>
      <c r="Z612" s="128"/>
      <c r="AA612" s="128"/>
    </row>
    <row r="613">
      <c r="A613" s="134"/>
      <c r="B613" s="134"/>
      <c r="C613" s="128"/>
      <c r="D613" s="128"/>
      <c r="E613" s="128"/>
      <c r="F613" s="128"/>
      <c r="G613" s="128"/>
      <c r="H613" s="128"/>
      <c r="I613" s="128"/>
      <c r="J613" s="128"/>
      <c r="K613" s="128"/>
      <c r="L613" s="128"/>
      <c r="M613" s="128"/>
      <c r="N613" s="128"/>
      <c r="O613" s="128"/>
      <c r="P613" s="128"/>
      <c r="Q613" s="128"/>
      <c r="R613" s="128"/>
      <c r="S613" s="128"/>
      <c r="T613" s="128"/>
      <c r="U613" s="128"/>
      <c r="V613" s="128"/>
      <c r="W613" s="128"/>
      <c r="X613" s="128"/>
      <c r="Y613" s="128"/>
      <c r="Z613" s="128"/>
      <c r="AA613" s="128"/>
    </row>
    <row r="614">
      <c r="A614" s="134"/>
      <c r="B614" s="134"/>
      <c r="C614" s="128"/>
      <c r="D614" s="128"/>
      <c r="E614" s="128"/>
      <c r="F614" s="128"/>
      <c r="G614" s="128"/>
      <c r="H614" s="128"/>
      <c r="I614" s="128"/>
      <c r="J614" s="128"/>
      <c r="K614" s="128"/>
      <c r="L614" s="128"/>
      <c r="M614" s="128"/>
      <c r="N614" s="128"/>
      <c r="O614" s="128"/>
      <c r="P614" s="128"/>
      <c r="Q614" s="128"/>
      <c r="R614" s="128"/>
      <c r="S614" s="128"/>
      <c r="T614" s="128"/>
      <c r="U614" s="128"/>
      <c r="V614" s="128"/>
      <c r="W614" s="128"/>
      <c r="X614" s="128"/>
      <c r="Y614" s="128"/>
      <c r="Z614" s="128"/>
      <c r="AA614" s="128"/>
    </row>
    <row r="615">
      <c r="A615" s="134"/>
      <c r="B615" s="134"/>
      <c r="C615" s="128"/>
      <c r="D615" s="128"/>
      <c r="E615" s="128"/>
      <c r="F615" s="128"/>
      <c r="G615" s="128"/>
      <c r="H615" s="128"/>
      <c r="I615" s="128"/>
      <c r="J615" s="128"/>
      <c r="K615" s="128"/>
      <c r="L615" s="128"/>
      <c r="M615" s="128"/>
      <c r="N615" s="128"/>
      <c r="O615" s="128"/>
      <c r="P615" s="128"/>
      <c r="Q615" s="128"/>
      <c r="R615" s="128"/>
      <c r="S615" s="128"/>
      <c r="T615" s="128"/>
      <c r="U615" s="128"/>
      <c r="V615" s="128"/>
      <c r="W615" s="128"/>
      <c r="X615" s="128"/>
      <c r="Y615" s="128"/>
      <c r="Z615" s="128"/>
      <c r="AA615" s="128"/>
    </row>
    <row r="616">
      <c r="A616" s="134"/>
      <c r="B616" s="134"/>
      <c r="C616" s="128"/>
      <c r="D616" s="128"/>
      <c r="E616" s="128"/>
      <c r="F616" s="128"/>
      <c r="G616" s="128"/>
      <c r="H616" s="128"/>
      <c r="I616" s="128"/>
      <c r="J616" s="128"/>
      <c r="K616" s="128"/>
      <c r="L616" s="128"/>
      <c r="M616" s="128"/>
      <c r="N616" s="128"/>
      <c r="O616" s="128"/>
      <c r="P616" s="128"/>
      <c r="Q616" s="128"/>
      <c r="R616" s="128"/>
      <c r="S616" s="128"/>
      <c r="T616" s="128"/>
      <c r="U616" s="128"/>
      <c r="V616" s="128"/>
      <c r="W616" s="128"/>
      <c r="X616" s="128"/>
      <c r="Y616" s="128"/>
      <c r="Z616" s="128"/>
      <c r="AA616" s="128"/>
    </row>
    <row r="617">
      <c r="A617" s="134"/>
      <c r="B617" s="134"/>
      <c r="C617" s="128"/>
      <c r="D617" s="128"/>
      <c r="E617" s="128"/>
      <c r="F617" s="128"/>
      <c r="G617" s="128"/>
      <c r="H617" s="128"/>
      <c r="I617" s="128"/>
      <c r="J617" s="128"/>
      <c r="K617" s="128"/>
      <c r="L617" s="128"/>
      <c r="M617" s="128"/>
      <c r="N617" s="128"/>
      <c r="O617" s="128"/>
      <c r="P617" s="128"/>
      <c r="Q617" s="128"/>
      <c r="R617" s="128"/>
      <c r="S617" s="128"/>
      <c r="T617" s="128"/>
      <c r="U617" s="128"/>
      <c r="V617" s="128"/>
      <c r="W617" s="128"/>
      <c r="X617" s="128"/>
      <c r="Y617" s="128"/>
      <c r="Z617" s="128"/>
      <c r="AA617" s="128"/>
    </row>
    <row r="618">
      <c r="A618" s="134"/>
      <c r="B618" s="134"/>
      <c r="C618" s="128"/>
      <c r="D618" s="128"/>
      <c r="E618" s="128"/>
      <c r="F618" s="128"/>
      <c r="G618" s="128"/>
      <c r="H618" s="128"/>
      <c r="I618" s="128"/>
      <c r="J618" s="128"/>
      <c r="K618" s="128"/>
      <c r="L618" s="128"/>
      <c r="M618" s="128"/>
      <c r="N618" s="128"/>
      <c r="O618" s="128"/>
      <c r="P618" s="128"/>
      <c r="Q618" s="128"/>
      <c r="R618" s="128"/>
      <c r="S618" s="128"/>
      <c r="T618" s="128"/>
      <c r="U618" s="128"/>
      <c r="V618" s="128"/>
      <c r="W618" s="128"/>
      <c r="X618" s="128"/>
      <c r="Y618" s="128"/>
      <c r="Z618" s="128"/>
      <c r="AA618" s="128"/>
    </row>
    <row r="619">
      <c r="A619" s="134"/>
      <c r="B619" s="134"/>
      <c r="C619" s="128"/>
      <c r="D619" s="128"/>
      <c r="E619" s="128"/>
      <c r="F619" s="128"/>
      <c r="G619" s="128"/>
      <c r="H619" s="128"/>
      <c r="I619" s="128"/>
      <c r="J619" s="128"/>
      <c r="K619" s="128"/>
      <c r="L619" s="128"/>
      <c r="M619" s="128"/>
      <c r="N619" s="128"/>
      <c r="O619" s="128"/>
      <c r="P619" s="128"/>
      <c r="Q619" s="128"/>
      <c r="R619" s="128"/>
      <c r="S619" s="128"/>
      <c r="T619" s="128"/>
      <c r="U619" s="128"/>
      <c r="V619" s="128"/>
      <c r="W619" s="128"/>
      <c r="X619" s="128"/>
      <c r="Y619" s="128"/>
      <c r="Z619" s="128"/>
      <c r="AA619" s="128"/>
    </row>
    <row r="620">
      <c r="A620" s="134"/>
      <c r="B620" s="134"/>
      <c r="C620" s="128"/>
      <c r="D620" s="128"/>
      <c r="E620" s="128"/>
      <c r="F620" s="128"/>
      <c r="G620" s="128"/>
      <c r="H620" s="128"/>
      <c r="I620" s="128"/>
      <c r="J620" s="128"/>
      <c r="K620" s="128"/>
      <c r="L620" s="128"/>
      <c r="M620" s="128"/>
      <c r="N620" s="128"/>
      <c r="O620" s="128"/>
      <c r="P620" s="128"/>
      <c r="Q620" s="128"/>
      <c r="R620" s="128"/>
      <c r="S620" s="128"/>
      <c r="T620" s="128"/>
      <c r="U620" s="128"/>
      <c r="V620" s="128"/>
      <c r="W620" s="128"/>
      <c r="X620" s="128"/>
      <c r="Y620" s="128"/>
      <c r="Z620" s="128"/>
      <c r="AA620" s="128"/>
    </row>
    <row r="621">
      <c r="A621" s="134"/>
      <c r="B621" s="134"/>
      <c r="C621" s="128"/>
      <c r="D621" s="128"/>
      <c r="E621" s="128"/>
      <c r="F621" s="128"/>
      <c r="G621" s="128"/>
      <c r="H621" s="128"/>
      <c r="I621" s="128"/>
      <c r="J621" s="128"/>
      <c r="K621" s="128"/>
      <c r="L621" s="128"/>
      <c r="M621" s="128"/>
      <c r="N621" s="128"/>
      <c r="O621" s="128"/>
      <c r="P621" s="128"/>
      <c r="Q621" s="128"/>
      <c r="R621" s="128"/>
      <c r="S621" s="128"/>
      <c r="T621" s="128"/>
      <c r="U621" s="128"/>
      <c r="V621" s="128"/>
      <c r="W621" s="128"/>
      <c r="X621" s="128"/>
      <c r="Y621" s="128"/>
      <c r="Z621" s="128"/>
      <c r="AA621" s="128"/>
    </row>
    <row r="622">
      <c r="A622" s="134"/>
      <c r="B622" s="134"/>
      <c r="C622" s="128"/>
      <c r="D622" s="128"/>
      <c r="E622" s="128"/>
      <c r="F622" s="128"/>
      <c r="G622" s="128"/>
      <c r="H622" s="128"/>
      <c r="I622" s="128"/>
      <c r="J622" s="128"/>
      <c r="K622" s="128"/>
      <c r="L622" s="128"/>
      <c r="M622" s="128"/>
      <c r="N622" s="128"/>
      <c r="O622" s="128"/>
      <c r="P622" s="128"/>
      <c r="Q622" s="128"/>
      <c r="R622" s="128"/>
      <c r="S622" s="128"/>
      <c r="T622" s="128"/>
      <c r="U622" s="128"/>
      <c r="V622" s="128"/>
      <c r="W622" s="128"/>
      <c r="X622" s="128"/>
      <c r="Y622" s="128"/>
      <c r="Z622" s="128"/>
      <c r="AA622" s="128"/>
    </row>
    <row r="623">
      <c r="A623" s="134"/>
      <c r="B623" s="134"/>
      <c r="C623" s="128"/>
      <c r="D623" s="128"/>
      <c r="E623" s="128"/>
      <c r="F623" s="128"/>
      <c r="G623" s="128"/>
      <c r="H623" s="128"/>
      <c r="I623" s="128"/>
      <c r="J623" s="128"/>
      <c r="K623" s="128"/>
      <c r="L623" s="128"/>
      <c r="M623" s="128"/>
      <c r="N623" s="128"/>
      <c r="O623" s="128"/>
      <c r="P623" s="128"/>
      <c r="Q623" s="128"/>
      <c r="R623" s="128"/>
      <c r="S623" s="128"/>
      <c r="T623" s="128"/>
      <c r="U623" s="128"/>
      <c r="V623" s="128"/>
      <c r="W623" s="128"/>
      <c r="X623" s="128"/>
      <c r="Y623" s="128"/>
      <c r="Z623" s="128"/>
      <c r="AA623" s="128"/>
    </row>
    <row r="624">
      <c r="A624" s="134"/>
      <c r="B624" s="134"/>
      <c r="C624" s="128"/>
      <c r="D624" s="128"/>
      <c r="E624" s="128"/>
      <c r="F624" s="128"/>
      <c r="G624" s="128"/>
      <c r="H624" s="128"/>
      <c r="I624" s="128"/>
      <c r="J624" s="128"/>
      <c r="K624" s="128"/>
      <c r="L624" s="128"/>
      <c r="M624" s="128"/>
      <c r="N624" s="128"/>
      <c r="O624" s="128"/>
      <c r="P624" s="128"/>
      <c r="Q624" s="128"/>
      <c r="R624" s="128"/>
      <c r="S624" s="128"/>
      <c r="T624" s="128"/>
      <c r="U624" s="128"/>
      <c r="V624" s="128"/>
      <c r="W624" s="128"/>
      <c r="X624" s="128"/>
      <c r="Y624" s="128"/>
      <c r="Z624" s="128"/>
      <c r="AA624" s="128"/>
    </row>
    <row r="625">
      <c r="A625" s="134"/>
      <c r="B625" s="134"/>
      <c r="C625" s="128"/>
      <c r="D625" s="128"/>
      <c r="E625" s="128"/>
      <c r="F625" s="128"/>
      <c r="G625" s="128"/>
      <c r="H625" s="128"/>
      <c r="I625" s="128"/>
      <c r="J625" s="128"/>
      <c r="K625" s="128"/>
      <c r="L625" s="128"/>
      <c r="M625" s="128"/>
      <c r="N625" s="128"/>
      <c r="O625" s="128"/>
      <c r="P625" s="128"/>
      <c r="Q625" s="128"/>
      <c r="R625" s="128"/>
      <c r="S625" s="128"/>
      <c r="T625" s="128"/>
      <c r="U625" s="128"/>
      <c r="V625" s="128"/>
      <c r="W625" s="128"/>
      <c r="X625" s="128"/>
      <c r="Y625" s="128"/>
      <c r="Z625" s="128"/>
      <c r="AA625" s="128"/>
    </row>
    <row r="626">
      <c r="A626" s="134"/>
      <c r="B626" s="134"/>
      <c r="C626" s="128"/>
      <c r="D626" s="128"/>
      <c r="E626" s="128"/>
      <c r="F626" s="128"/>
      <c r="G626" s="128"/>
      <c r="H626" s="128"/>
      <c r="I626" s="128"/>
      <c r="J626" s="128"/>
      <c r="K626" s="128"/>
      <c r="L626" s="128"/>
      <c r="M626" s="128"/>
      <c r="N626" s="128"/>
      <c r="O626" s="128"/>
      <c r="P626" s="128"/>
      <c r="Q626" s="128"/>
      <c r="R626" s="128"/>
      <c r="S626" s="128"/>
      <c r="T626" s="128"/>
      <c r="U626" s="128"/>
      <c r="V626" s="128"/>
      <c r="W626" s="128"/>
      <c r="X626" s="128"/>
      <c r="Y626" s="128"/>
      <c r="Z626" s="128"/>
      <c r="AA626" s="128"/>
    </row>
    <row r="627">
      <c r="A627" s="134"/>
      <c r="B627" s="134"/>
      <c r="C627" s="128"/>
      <c r="D627" s="128"/>
      <c r="E627" s="128"/>
      <c r="F627" s="128"/>
      <c r="G627" s="128"/>
      <c r="H627" s="128"/>
      <c r="I627" s="128"/>
      <c r="J627" s="128"/>
      <c r="K627" s="128"/>
      <c r="L627" s="128"/>
      <c r="M627" s="128"/>
      <c r="N627" s="128"/>
      <c r="O627" s="128"/>
      <c r="P627" s="128"/>
      <c r="Q627" s="128"/>
      <c r="R627" s="128"/>
      <c r="S627" s="128"/>
      <c r="T627" s="128"/>
      <c r="U627" s="128"/>
      <c r="V627" s="128"/>
      <c r="W627" s="128"/>
      <c r="X627" s="128"/>
      <c r="Y627" s="128"/>
      <c r="Z627" s="128"/>
      <c r="AA627" s="128"/>
    </row>
    <row r="628">
      <c r="A628" s="134"/>
      <c r="B628" s="134"/>
      <c r="C628" s="128"/>
      <c r="D628" s="128"/>
      <c r="E628" s="128"/>
      <c r="F628" s="128"/>
      <c r="G628" s="128"/>
      <c r="H628" s="128"/>
      <c r="I628" s="128"/>
      <c r="J628" s="128"/>
      <c r="K628" s="128"/>
      <c r="L628" s="128"/>
      <c r="M628" s="128"/>
      <c r="N628" s="128"/>
      <c r="O628" s="128"/>
      <c r="P628" s="128"/>
      <c r="Q628" s="128"/>
      <c r="R628" s="128"/>
      <c r="S628" s="128"/>
      <c r="T628" s="128"/>
      <c r="U628" s="128"/>
      <c r="V628" s="128"/>
      <c r="W628" s="128"/>
      <c r="X628" s="128"/>
      <c r="Y628" s="128"/>
      <c r="Z628" s="128"/>
      <c r="AA628" s="128"/>
    </row>
    <row r="629">
      <c r="A629" s="134"/>
      <c r="B629" s="134"/>
      <c r="C629" s="128"/>
      <c r="D629" s="128"/>
      <c r="E629" s="128"/>
      <c r="F629" s="128"/>
      <c r="G629" s="128"/>
      <c r="H629" s="128"/>
      <c r="I629" s="128"/>
      <c r="J629" s="128"/>
      <c r="K629" s="128"/>
      <c r="L629" s="128"/>
      <c r="M629" s="128"/>
      <c r="N629" s="128"/>
      <c r="O629" s="128"/>
      <c r="P629" s="128"/>
      <c r="Q629" s="128"/>
      <c r="R629" s="128"/>
      <c r="S629" s="128"/>
      <c r="T629" s="128"/>
      <c r="U629" s="128"/>
      <c r="V629" s="128"/>
      <c r="W629" s="128"/>
      <c r="X629" s="128"/>
      <c r="Y629" s="128"/>
      <c r="Z629" s="128"/>
      <c r="AA629" s="128"/>
    </row>
    <row r="630">
      <c r="A630" s="134"/>
      <c r="B630" s="134"/>
      <c r="C630" s="128"/>
      <c r="D630" s="128"/>
      <c r="E630" s="128"/>
      <c r="F630" s="128"/>
      <c r="G630" s="128"/>
      <c r="H630" s="128"/>
      <c r="I630" s="128"/>
      <c r="J630" s="128"/>
      <c r="K630" s="128"/>
      <c r="L630" s="128"/>
      <c r="M630" s="128"/>
      <c r="N630" s="128"/>
      <c r="O630" s="128"/>
      <c r="P630" s="128"/>
      <c r="Q630" s="128"/>
      <c r="R630" s="128"/>
      <c r="S630" s="128"/>
      <c r="T630" s="128"/>
      <c r="U630" s="128"/>
      <c r="V630" s="128"/>
      <c r="W630" s="128"/>
      <c r="X630" s="128"/>
      <c r="Y630" s="128"/>
      <c r="Z630" s="128"/>
      <c r="AA630" s="128"/>
    </row>
    <row r="631">
      <c r="A631" s="134"/>
      <c r="B631" s="134"/>
      <c r="C631" s="128"/>
      <c r="D631" s="128"/>
      <c r="E631" s="128"/>
      <c r="F631" s="128"/>
      <c r="G631" s="128"/>
      <c r="H631" s="128"/>
      <c r="I631" s="128"/>
      <c r="J631" s="128"/>
      <c r="K631" s="128"/>
      <c r="L631" s="128"/>
      <c r="M631" s="128"/>
      <c r="N631" s="128"/>
      <c r="O631" s="128"/>
      <c r="P631" s="128"/>
      <c r="Q631" s="128"/>
      <c r="R631" s="128"/>
      <c r="S631" s="128"/>
      <c r="T631" s="128"/>
      <c r="U631" s="128"/>
      <c r="V631" s="128"/>
      <c r="W631" s="128"/>
      <c r="X631" s="128"/>
      <c r="Y631" s="128"/>
      <c r="Z631" s="128"/>
      <c r="AA631" s="128"/>
    </row>
    <row r="632">
      <c r="A632" s="134"/>
      <c r="B632" s="134"/>
      <c r="C632" s="128"/>
      <c r="D632" s="128"/>
      <c r="E632" s="128"/>
      <c r="F632" s="128"/>
      <c r="G632" s="128"/>
      <c r="H632" s="128"/>
      <c r="I632" s="128"/>
      <c r="J632" s="128"/>
      <c r="K632" s="128"/>
      <c r="L632" s="128"/>
      <c r="M632" s="128"/>
      <c r="N632" s="128"/>
      <c r="O632" s="128"/>
      <c r="P632" s="128"/>
      <c r="Q632" s="128"/>
      <c r="R632" s="128"/>
      <c r="S632" s="128"/>
      <c r="T632" s="128"/>
      <c r="U632" s="128"/>
      <c r="V632" s="128"/>
      <c r="W632" s="128"/>
      <c r="X632" s="128"/>
      <c r="Y632" s="128"/>
      <c r="Z632" s="128"/>
      <c r="AA632" s="128"/>
    </row>
    <row r="633">
      <c r="A633" s="134"/>
      <c r="B633" s="134"/>
      <c r="C633" s="128"/>
      <c r="D633" s="128"/>
      <c r="E633" s="128"/>
      <c r="F633" s="128"/>
      <c r="G633" s="128"/>
      <c r="H633" s="128"/>
      <c r="I633" s="128"/>
      <c r="J633" s="128"/>
      <c r="K633" s="128"/>
      <c r="L633" s="128"/>
      <c r="M633" s="128"/>
      <c r="N633" s="128"/>
      <c r="O633" s="128"/>
      <c r="P633" s="128"/>
      <c r="Q633" s="128"/>
      <c r="R633" s="128"/>
      <c r="S633" s="128"/>
      <c r="T633" s="128"/>
      <c r="U633" s="128"/>
      <c r="V633" s="128"/>
      <c r="W633" s="128"/>
      <c r="X633" s="128"/>
      <c r="Y633" s="128"/>
      <c r="Z633" s="128"/>
      <c r="AA633" s="128"/>
    </row>
    <row r="634">
      <c r="A634" s="134"/>
      <c r="B634" s="134"/>
      <c r="C634" s="128"/>
      <c r="D634" s="128"/>
      <c r="E634" s="128"/>
      <c r="F634" s="128"/>
      <c r="G634" s="128"/>
      <c r="H634" s="128"/>
      <c r="I634" s="128"/>
      <c r="J634" s="128"/>
      <c r="K634" s="128"/>
      <c r="L634" s="128"/>
      <c r="M634" s="128"/>
      <c r="N634" s="128"/>
      <c r="O634" s="128"/>
      <c r="P634" s="128"/>
      <c r="Q634" s="128"/>
      <c r="R634" s="128"/>
      <c r="S634" s="128"/>
      <c r="T634" s="128"/>
      <c r="U634" s="128"/>
      <c r="V634" s="128"/>
      <c r="W634" s="128"/>
      <c r="X634" s="128"/>
      <c r="Y634" s="128"/>
      <c r="Z634" s="128"/>
      <c r="AA634" s="128"/>
    </row>
    <row r="635">
      <c r="A635" s="134"/>
      <c r="B635" s="134"/>
      <c r="C635" s="128"/>
      <c r="D635" s="128"/>
      <c r="E635" s="128"/>
      <c r="F635" s="128"/>
      <c r="G635" s="128"/>
      <c r="H635" s="128"/>
      <c r="I635" s="128"/>
      <c r="J635" s="128"/>
      <c r="K635" s="128"/>
      <c r="L635" s="128"/>
      <c r="M635" s="128"/>
      <c r="N635" s="128"/>
      <c r="O635" s="128"/>
      <c r="P635" s="128"/>
      <c r="Q635" s="128"/>
      <c r="R635" s="128"/>
      <c r="S635" s="128"/>
      <c r="T635" s="128"/>
      <c r="U635" s="128"/>
      <c r="V635" s="128"/>
      <c r="W635" s="128"/>
      <c r="X635" s="128"/>
      <c r="Y635" s="128"/>
      <c r="Z635" s="128"/>
      <c r="AA635" s="128"/>
    </row>
    <row r="636">
      <c r="A636" s="134"/>
      <c r="B636" s="134"/>
      <c r="C636" s="128"/>
      <c r="D636" s="128"/>
      <c r="E636" s="128"/>
      <c r="F636" s="128"/>
      <c r="G636" s="128"/>
      <c r="H636" s="128"/>
      <c r="I636" s="128"/>
      <c r="J636" s="128"/>
      <c r="K636" s="128"/>
      <c r="L636" s="128"/>
      <c r="M636" s="128"/>
      <c r="N636" s="128"/>
      <c r="O636" s="128"/>
      <c r="P636" s="128"/>
      <c r="Q636" s="128"/>
      <c r="R636" s="128"/>
      <c r="S636" s="128"/>
      <c r="T636" s="128"/>
      <c r="U636" s="128"/>
      <c r="V636" s="128"/>
      <c r="W636" s="128"/>
      <c r="X636" s="128"/>
      <c r="Y636" s="128"/>
      <c r="Z636" s="128"/>
      <c r="AA636" s="128"/>
    </row>
    <row r="637">
      <c r="A637" s="134"/>
      <c r="B637" s="134"/>
      <c r="C637" s="128"/>
      <c r="D637" s="128"/>
      <c r="E637" s="128"/>
      <c r="F637" s="128"/>
      <c r="G637" s="128"/>
      <c r="H637" s="128"/>
      <c r="I637" s="128"/>
      <c r="J637" s="128"/>
      <c r="K637" s="128"/>
      <c r="L637" s="128"/>
      <c r="M637" s="128"/>
      <c r="N637" s="128"/>
      <c r="O637" s="128"/>
      <c r="P637" s="128"/>
      <c r="Q637" s="128"/>
      <c r="R637" s="128"/>
      <c r="S637" s="128"/>
      <c r="T637" s="128"/>
      <c r="U637" s="128"/>
      <c r="V637" s="128"/>
      <c r="W637" s="128"/>
      <c r="X637" s="128"/>
      <c r="Y637" s="128"/>
      <c r="Z637" s="128"/>
      <c r="AA637" s="128"/>
    </row>
    <row r="638">
      <c r="A638" s="134"/>
      <c r="B638" s="134"/>
      <c r="C638" s="128"/>
      <c r="D638" s="128"/>
      <c r="E638" s="128"/>
      <c r="F638" s="128"/>
      <c r="G638" s="128"/>
      <c r="H638" s="128"/>
      <c r="I638" s="128"/>
      <c r="J638" s="128"/>
      <c r="K638" s="128"/>
      <c r="L638" s="128"/>
      <c r="M638" s="128"/>
      <c r="N638" s="128"/>
      <c r="O638" s="128"/>
      <c r="P638" s="128"/>
      <c r="Q638" s="128"/>
      <c r="R638" s="128"/>
      <c r="S638" s="128"/>
      <c r="T638" s="128"/>
      <c r="U638" s="128"/>
      <c r="V638" s="128"/>
      <c r="W638" s="128"/>
      <c r="X638" s="128"/>
      <c r="Y638" s="128"/>
      <c r="Z638" s="128"/>
      <c r="AA638" s="128"/>
    </row>
    <row r="639">
      <c r="A639" s="134"/>
      <c r="B639" s="134"/>
      <c r="C639" s="128"/>
      <c r="D639" s="128"/>
      <c r="E639" s="128"/>
      <c r="F639" s="128"/>
      <c r="G639" s="128"/>
      <c r="H639" s="128"/>
      <c r="I639" s="128"/>
      <c r="J639" s="128"/>
      <c r="K639" s="128"/>
      <c r="L639" s="128"/>
      <c r="M639" s="128"/>
      <c r="N639" s="128"/>
      <c r="O639" s="128"/>
      <c r="P639" s="128"/>
      <c r="Q639" s="128"/>
      <c r="R639" s="128"/>
      <c r="S639" s="128"/>
      <c r="T639" s="128"/>
      <c r="U639" s="128"/>
      <c r="V639" s="128"/>
      <c r="W639" s="128"/>
      <c r="X639" s="128"/>
      <c r="Y639" s="128"/>
      <c r="Z639" s="128"/>
      <c r="AA639" s="128"/>
    </row>
    <row r="640">
      <c r="A640" s="134"/>
      <c r="B640" s="134"/>
      <c r="C640" s="128"/>
      <c r="D640" s="128"/>
      <c r="E640" s="128"/>
      <c r="F640" s="128"/>
      <c r="G640" s="128"/>
      <c r="H640" s="128"/>
      <c r="I640" s="128"/>
      <c r="J640" s="128"/>
      <c r="K640" s="128"/>
      <c r="L640" s="128"/>
      <c r="M640" s="128"/>
      <c r="N640" s="128"/>
      <c r="O640" s="128"/>
      <c r="P640" s="128"/>
      <c r="Q640" s="128"/>
      <c r="R640" s="128"/>
      <c r="S640" s="128"/>
      <c r="T640" s="128"/>
      <c r="U640" s="128"/>
      <c r="V640" s="128"/>
      <c r="W640" s="128"/>
      <c r="X640" s="128"/>
      <c r="Y640" s="128"/>
      <c r="Z640" s="128"/>
      <c r="AA640" s="128"/>
    </row>
    <row r="641">
      <c r="A641" s="134"/>
      <c r="B641" s="134"/>
      <c r="C641" s="128"/>
      <c r="D641" s="128"/>
      <c r="E641" s="128"/>
      <c r="F641" s="128"/>
      <c r="G641" s="128"/>
      <c r="H641" s="128"/>
      <c r="I641" s="128"/>
      <c r="J641" s="128"/>
      <c r="K641" s="128"/>
      <c r="L641" s="128"/>
      <c r="M641" s="128"/>
      <c r="N641" s="128"/>
      <c r="O641" s="128"/>
      <c r="P641" s="128"/>
      <c r="Q641" s="128"/>
      <c r="R641" s="128"/>
      <c r="S641" s="128"/>
      <c r="T641" s="128"/>
      <c r="U641" s="128"/>
      <c r="V641" s="128"/>
      <c r="W641" s="128"/>
      <c r="X641" s="128"/>
      <c r="Y641" s="128"/>
      <c r="Z641" s="128"/>
      <c r="AA641" s="128"/>
    </row>
    <row r="642">
      <c r="A642" s="134"/>
      <c r="B642" s="134"/>
      <c r="C642" s="128"/>
      <c r="D642" s="128"/>
      <c r="E642" s="128"/>
      <c r="F642" s="128"/>
      <c r="G642" s="128"/>
      <c r="H642" s="128"/>
      <c r="I642" s="128"/>
      <c r="J642" s="128"/>
      <c r="K642" s="128"/>
      <c r="L642" s="128"/>
      <c r="M642" s="128"/>
      <c r="N642" s="128"/>
      <c r="O642" s="128"/>
      <c r="P642" s="128"/>
      <c r="Q642" s="128"/>
      <c r="R642" s="128"/>
      <c r="S642" s="128"/>
      <c r="T642" s="128"/>
      <c r="U642" s="128"/>
      <c r="V642" s="128"/>
      <c r="W642" s="128"/>
      <c r="X642" s="128"/>
      <c r="Y642" s="128"/>
      <c r="Z642" s="128"/>
      <c r="AA642" s="128"/>
    </row>
    <row r="643">
      <c r="A643" s="134"/>
      <c r="B643" s="134"/>
      <c r="C643" s="128"/>
      <c r="D643" s="128"/>
      <c r="E643" s="128"/>
      <c r="F643" s="128"/>
      <c r="G643" s="128"/>
      <c r="H643" s="128"/>
      <c r="I643" s="128"/>
      <c r="J643" s="128"/>
      <c r="K643" s="128"/>
      <c r="L643" s="128"/>
      <c r="M643" s="128"/>
      <c r="N643" s="128"/>
      <c r="O643" s="128"/>
      <c r="P643" s="128"/>
      <c r="Q643" s="128"/>
      <c r="R643" s="128"/>
      <c r="S643" s="128"/>
      <c r="T643" s="128"/>
      <c r="U643" s="128"/>
      <c r="V643" s="128"/>
      <c r="W643" s="128"/>
      <c r="X643" s="128"/>
      <c r="Y643" s="128"/>
      <c r="Z643" s="128"/>
      <c r="AA643" s="128"/>
    </row>
    <row r="644">
      <c r="A644" s="134"/>
      <c r="B644" s="134"/>
      <c r="C644" s="128"/>
      <c r="D644" s="128"/>
      <c r="E644" s="128"/>
      <c r="F644" s="128"/>
      <c r="G644" s="128"/>
      <c r="H644" s="128"/>
      <c r="I644" s="128"/>
      <c r="J644" s="128"/>
      <c r="K644" s="128"/>
      <c r="L644" s="128"/>
      <c r="M644" s="128"/>
      <c r="N644" s="128"/>
      <c r="O644" s="128"/>
      <c r="P644" s="128"/>
      <c r="Q644" s="128"/>
      <c r="R644" s="128"/>
      <c r="S644" s="128"/>
      <c r="T644" s="128"/>
      <c r="U644" s="128"/>
      <c r="V644" s="128"/>
      <c r="W644" s="128"/>
      <c r="X644" s="128"/>
      <c r="Y644" s="128"/>
      <c r="Z644" s="128"/>
      <c r="AA644" s="128"/>
    </row>
    <row r="645">
      <c r="A645" s="134"/>
      <c r="B645" s="134"/>
      <c r="C645" s="128"/>
      <c r="D645" s="128"/>
      <c r="E645" s="128"/>
      <c r="F645" s="128"/>
      <c r="G645" s="128"/>
      <c r="H645" s="128"/>
      <c r="I645" s="128"/>
      <c r="J645" s="128"/>
      <c r="K645" s="128"/>
      <c r="L645" s="128"/>
      <c r="M645" s="128"/>
      <c r="N645" s="128"/>
      <c r="O645" s="128"/>
      <c r="P645" s="128"/>
      <c r="Q645" s="128"/>
      <c r="R645" s="128"/>
      <c r="S645" s="128"/>
      <c r="T645" s="128"/>
      <c r="U645" s="128"/>
      <c r="V645" s="128"/>
      <c r="W645" s="128"/>
      <c r="X645" s="128"/>
      <c r="Y645" s="128"/>
      <c r="Z645" s="128"/>
      <c r="AA645" s="128"/>
    </row>
    <row r="646">
      <c r="A646" s="134"/>
      <c r="B646" s="134"/>
      <c r="C646" s="128"/>
      <c r="D646" s="128"/>
      <c r="E646" s="128"/>
      <c r="F646" s="128"/>
      <c r="G646" s="128"/>
      <c r="H646" s="128"/>
      <c r="I646" s="128"/>
      <c r="J646" s="128"/>
      <c r="K646" s="128"/>
      <c r="L646" s="128"/>
      <c r="M646" s="128"/>
      <c r="N646" s="128"/>
      <c r="O646" s="128"/>
      <c r="P646" s="128"/>
      <c r="Q646" s="128"/>
      <c r="R646" s="128"/>
      <c r="S646" s="128"/>
      <c r="T646" s="128"/>
      <c r="U646" s="128"/>
      <c r="V646" s="128"/>
      <c r="W646" s="128"/>
      <c r="X646" s="128"/>
      <c r="Y646" s="128"/>
      <c r="Z646" s="128"/>
      <c r="AA646" s="128"/>
    </row>
    <row r="647">
      <c r="A647" s="134"/>
      <c r="B647" s="134"/>
      <c r="C647" s="128"/>
      <c r="D647" s="128"/>
      <c r="E647" s="128"/>
      <c r="F647" s="128"/>
      <c r="G647" s="128"/>
      <c r="H647" s="128"/>
      <c r="I647" s="128"/>
      <c r="J647" s="128"/>
      <c r="K647" s="128"/>
      <c r="L647" s="128"/>
      <c r="M647" s="128"/>
      <c r="N647" s="128"/>
      <c r="O647" s="128"/>
      <c r="P647" s="128"/>
      <c r="Q647" s="128"/>
      <c r="R647" s="128"/>
      <c r="S647" s="128"/>
      <c r="T647" s="128"/>
      <c r="U647" s="128"/>
      <c r="V647" s="128"/>
      <c r="W647" s="128"/>
      <c r="X647" s="128"/>
      <c r="Y647" s="128"/>
      <c r="Z647" s="128"/>
      <c r="AA647" s="128"/>
    </row>
    <row r="648">
      <c r="A648" s="134"/>
      <c r="B648" s="134"/>
      <c r="C648" s="128"/>
      <c r="D648" s="128"/>
      <c r="E648" s="128"/>
      <c r="F648" s="128"/>
      <c r="G648" s="128"/>
      <c r="H648" s="128"/>
      <c r="I648" s="128"/>
      <c r="J648" s="128"/>
      <c r="K648" s="128"/>
      <c r="L648" s="128"/>
      <c r="M648" s="128"/>
      <c r="N648" s="128"/>
      <c r="O648" s="128"/>
      <c r="P648" s="128"/>
      <c r="Q648" s="128"/>
      <c r="R648" s="128"/>
      <c r="S648" s="128"/>
      <c r="T648" s="128"/>
      <c r="U648" s="128"/>
      <c r="V648" s="128"/>
      <c r="W648" s="128"/>
      <c r="X648" s="128"/>
      <c r="Y648" s="128"/>
      <c r="Z648" s="128"/>
      <c r="AA648" s="128"/>
    </row>
    <row r="649">
      <c r="A649" s="134"/>
      <c r="B649" s="134"/>
      <c r="C649" s="128"/>
      <c r="D649" s="128"/>
      <c r="E649" s="128"/>
      <c r="F649" s="128"/>
      <c r="G649" s="128"/>
      <c r="H649" s="128"/>
      <c r="I649" s="128"/>
      <c r="J649" s="128"/>
      <c r="K649" s="128"/>
      <c r="L649" s="128"/>
      <c r="M649" s="128"/>
      <c r="N649" s="128"/>
      <c r="O649" s="128"/>
      <c r="P649" s="128"/>
      <c r="Q649" s="128"/>
      <c r="R649" s="128"/>
      <c r="S649" s="128"/>
      <c r="T649" s="128"/>
      <c r="U649" s="128"/>
      <c r="V649" s="128"/>
      <c r="W649" s="128"/>
      <c r="X649" s="128"/>
      <c r="Y649" s="128"/>
      <c r="Z649" s="128"/>
      <c r="AA649" s="128"/>
    </row>
    <row r="650">
      <c r="A650" s="134"/>
      <c r="B650" s="134"/>
      <c r="C650" s="128"/>
      <c r="D650" s="128"/>
      <c r="E650" s="128"/>
      <c r="F650" s="128"/>
      <c r="G650" s="128"/>
      <c r="H650" s="128"/>
      <c r="I650" s="128"/>
      <c r="J650" s="128"/>
      <c r="K650" s="128"/>
      <c r="L650" s="128"/>
      <c r="M650" s="128"/>
      <c r="N650" s="128"/>
      <c r="O650" s="128"/>
      <c r="P650" s="128"/>
      <c r="Q650" s="128"/>
      <c r="R650" s="128"/>
      <c r="S650" s="128"/>
      <c r="T650" s="128"/>
      <c r="U650" s="128"/>
      <c r="V650" s="128"/>
      <c r="W650" s="128"/>
      <c r="X650" s="128"/>
      <c r="Y650" s="128"/>
      <c r="Z650" s="128"/>
      <c r="AA650" s="128"/>
    </row>
    <row r="651">
      <c r="A651" s="134"/>
      <c r="B651" s="134"/>
      <c r="C651" s="128"/>
      <c r="D651" s="128"/>
      <c r="E651" s="128"/>
      <c r="F651" s="128"/>
      <c r="G651" s="128"/>
      <c r="H651" s="128"/>
      <c r="I651" s="128"/>
      <c r="J651" s="128"/>
      <c r="K651" s="128"/>
      <c r="L651" s="128"/>
      <c r="M651" s="128"/>
      <c r="N651" s="128"/>
      <c r="O651" s="128"/>
      <c r="P651" s="128"/>
      <c r="Q651" s="128"/>
      <c r="R651" s="128"/>
      <c r="S651" s="128"/>
      <c r="T651" s="128"/>
      <c r="U651" s="128"/>
      <c r="V651" s="128"/>
      <c r="W651" s="128"/>
      <c r="X651" s="128"/>
      <c r="Y651" s="128"/>
      <c r="Z651" s="128"/>
      <c r="AA651" s="128"/>
    </row>
    <row r="652">
      <c r="A652" s="134"/>
      <c r="B652" s="134"/>
      <c r="C652" s="128"/>
      <c r="D652" s="128"/>
      <c r="E652" s="128"/>
      <c r="F652" s="128"/>
      <c r="G652" s="128"/>
      <c r="H652" s="128"/>
      <c r="I652" s="128"/>
      <c r="J652" s="128"/>
      <c r="K652" s="128"/>
      <c r="L652" s="128"/>
      <c r="M652" s="128"/>
      <c r="N652" s="128"/>
      <c r="O652" s="128"/>
      <c r="P652" s="128"/>
      <c r="Q652" s="128"/>
      <c r="R652" s="128"/>
      <c r="S652" s="128"/>
      <c r="T652" s="128"/>
      <c r="U652" s="128"/>
      <c r="V652" s="128"/>
      <c r="W652" s="128"/>
      <c r="X652" s="128"/>
      <c r="Y652" s="128"/>
      <c r="Z652" s="128"/>
      <c r="AA652" s="128"/>
    </row>
    <row r="653">
      <c r="A653" s="134"/>
      <c r="B653" s="134"/>
      <c r="C653" s="128"/>
      <c r="D653" s="128"/>
      <c r="E653" s="128"/>
      <c r="F653" s="128"/>
      <c r="G653" s="128"/>
      <c r="H653" s="128"/>
      <c r="I653" s="128"/>
      <c r="J653" s="128"/>
      <c r="K653" s="128"/>
      <c r="L653" s="128"/>
      <c r="M653" s="128"/>
      <c r="N653" s="128"/>
      <c r="O653" s="128"/>
      <c r="P653" s="128"/>
      <c r="Q653" s="128"/>
      <c r="R653" s="128"/>
      <c r="S653" s="128"/>
      <c r="T653" s="128"/>
      <c r="U653" s="128"/>
      <c r="V653" s="128"/>
      <c r="W653" s="128"/>
      <c r="X653" s="128"/>
      <c r="Y653" s="128"/>
      <c r="Z653" s="128"/>
      <c r="AA653" s="128"/>
    </row>
    <row r="654">
      <c r="A654" s="134"/>
      <c r="B654" s="134"/>
      <c r="C654" s="128"/>
      <c r="D654" s="128"/>
      <c r="E654" s="128"/>
      <c r="F654" s="128"/>
      <c r="G654" s="128"/>
      <c r="H654" s="128"/>
      <c r="I654" s="128"/>
      <c r="J654" s="128"/>
      <c r="K654" s="128"/>
      <c r="L654" s="128"/>
      <c r="M654" s="128"/>
      <c r="N654" s="128"/>
      <c r="O654" s="128"/>
      <c r="P654" s="128"/>
      <c r="Q654" s="128"/>
      <c r="R654" s="128"/>
      <c r="S654" s="128"/>
      <c r="T654" s="128"/>
      <c r="U654" s="128"/>
      <c r="V654" s="128"/>
      <c r="W654" s="128"/>
      <c r="X654" s="128"/>
      <c r="Y654" s="128"/>
      <c r="Z654" s="128"/>
      <c r="AA654" s="128"/>
    </row>
    <row r="655">
      <c r="A655" s="134"/>
      <c r="B655" s="134"/>
      <c r="C655" s="128"/>
      <c r="D655" s="128"/>
      <c r="E655" s="128"/>
      <c r="F655" s="128"/>
      <c r="G655" s="128"/>
      <c r="H655" s="128"/>
      <c r="I655" s="128"/>
      <c r="J655" s="128"/>
      <c r="K655" s="128"/>
      <c r="L655" s="128"/>
      <c r="M655" s="128"/>
      <c r="N655" s="128"/>
      <c r="O655" s="128"/>
      <c r="P655" s="128"/>
      <c r="Q655" s="128"/>
      <c r="R655" s="128"/>
      <c r="S655" s="128"/>
      <c r="T655" s="128"/>
      <c r="U655" s="128"/>
      <c r="V655" s="128"/>
      <c r="W655" s="128"/>
      <c r="X655" s="128"/>
      <c r="Y655" s="128"/>
      <c r="Z655" s="128"/>
      <c r="AA655" s="128"/>
    </row>
    <row r="656">
      <c r="A656" s="134"/>
      <c r="B656" s="134"/>
      <c r="C656" s="128"/>
      <c r="D656" s="128"/>
      <c r="E656" s="128"/>
      <c r="F656" s="128"/>
      <c r="G656" s="128"/>
      <c r="H656" s="128"/>
      <c r="I656" s="128"/>
      <c r="J656" s="128"/>
      <c r="K656" s="128"/>
      <c r="L656" s="128"/>
      <c r="M656" s="128"/>
      <c r="N656" s="128"/>
      <c r="O656" s="128"/>
      <c r="P656" s="128"/>
      <c r="Q656" s="128"/>
      <c r="R656" s="128"/>
      <c r="S656" s="128"/>
      <c r="T656" s="128"/>
      <c r="U656" s="128"/>
      <c r="V656" s="128"/>
      <c r="W656" s="128"/>
      <c r="X656" s="128"/>
      <c r="Y656" s="128"/>
      <c r="Z656" s="128"/>
      <c r="AA656" s="128"/>
    </row>
    <row r="657">
      <c r="A657" s="134"/>
      <c r="B657" s="134"/>
      <c r="C657" s="128"/>
      <c r="D657" s="128"/>
      <c r="E657" s="128"/>
      <c r="F657" s="128"/>
      <c r="G657" s="128"/>
      <c r="H657" s="128"/>
      <c r="I657" s="128"/>
      <c r="J657" s="128"/>
      <c r="K657" s="128"/>
      <c r="L657" s="128"/>
      <c r="M657" s="128"/>
      <c r="N657" s="128"/>
      <c r="O657" s="128"/>
      <c r="P657" s="128"/>
      <c r="Q657" s="128"/>
      <c r="R657" s="128"/>
      <c r="S657" s="128"/>
      <c r="T657" s="128"/>
      <c r="U657" s="128"/>
      <c r="V657" s="128"/>
      <c r="W657" s="128"/>
      <c r="X657" s="128"/>
      <c r="Y657" s="128"/>
      <c r="Z657" s="128"/>
      <c r="AA657" s="128"/>
    </row>
    <row r="658">
      <c r="A658" s="134"/>
      <c r="B658" s="134"/>
      <c r="C658" s="128"/>
      <c r="D658" s="128"/>
      <c r="E658" s="128"/>
      <c r="F658" s="128"/>
      <c r="G658" s="128"/>
      <c r="H658" s="128"/>
      <c r="I658" s="128"/>
      <c r="J658" s="128"/>
      <c r="K658" s="128"/>
      <c r="L658" s="128"/>
      <c r="M658" s="128"/>
      <c r="N658" s="128"/>
      <c r="O658" s="128"/>
      <c r="P658" s="128"/>
      <c r="Q658" s="128"/>
      <c r="R658" s="128"/>
      <c r="S658" s="128"/>
      <c r="T658" s="128"/>
      <c r="U658" s="128"/>
      <c r="V658" s="128"/>
      <c r="W658" s="128"/>
      <c r="X658" s="128"/>
      <c r="Y658" s="128"/>
      <c r="Z658" s="128"/>
      <c r="AA658" s="128"/>
    </row>
    <row r="659">
      <c r="A659" s="134"/>
      <c r="B659" s="134"/>
      <c r="C659" s="128"/>
      <c r="D659" s="128"/>
      <c r="E659" s="128"/>
      <c r="F659" s="128"/>
      <c r="G659" s="128"/>
      <c r="H659" s="128"/>
      <c r="I659" s="128"/>
      <c r="J659" s="128"/>
      <c r="K659" s="128"/>
      <c r="L659" s="128"/>
      <c r="M659" s="128"/>
      <c r="N659" s="128"/>
      <c r="O659" s="128"/>
      <c r="P659" s="128"/>
      <c r="Q659" s="128"/>
      <c r="R659" s="128"/>
      <c r="S659" s="128"/>
      <c r="T659" s="128"/>
      <c r="U659" s="128"/>
      <c r="V659" s="128"/>
      <c r="W659" s="128"/>
      <c r="X659" s="128"/>
      <c r="Y659" s="128"/>
      <c r="Z659" s="128"/>
      <c r="AA659" s="128"/>
    </row>
    <row r="660">
      <c r="A660" s="134"/>
      <c r="B660" s="134"/>
      <c r="C660" s="128"/>
      <c r="D660" s="128"/>
      <c r="E660" s="128"/>
      <c r="F660" s="128"/>
      <c r="G660" s="128"/>
      <c r="H660" s="128"/>
      <c r="I660" s="128"/>
      <c r="J660" s="128"/>
      <c r="K660" s="128"/>
      <c r="L660" s="128"/>
      <c r="M660" s="128"/>
      <c r="N660" s="128"/>
      <c r="O660" s="128"/>
      <c r="P660" s="128"/>
      <c r="Q660" s="128"/>
      <c r="R660" s="128"/>
      <c r="S660" s="128"/>
      <c r="T660" s="128"/>
      <c r="U660" s="128"/>
      <c r="V660" s="128"/>
      <c r="W660" s="128"/>
      <c r="X660" s="128"/>
      <c r="Y660" s="128"/>
      <c r="Z660" s="128"/>
      <c r="AA660" s="128"/>
    </row>
    <row r="661">
      <c r="A661" s="134"/>
      <c r="B661" s="134"/>
      <c r="C661" s="128"/>
      <c r="D661" s="128"/>
      <c r="E661" s="128"/>
      <c r="F661" s="128"/>
      <c r="G661" s="128"/>
      <c r="H661" s="128"/>
      <c r="I661" s="128"/>
      <c r="J661" s="128"/>
      <c r="K661" s="128"/>
      <c r="L661" s="128"/>
      <c r="M661" s="128"/>
      <c r="N661" s="128"/>
      <c r="O661" s="128"/>
      <c r="P661" s="128"/>
      <c r="Q661" s="128"/>
      <c r="R661" s="128"/>
      <c r="S661" s="128"/>
      <c r="T661" s="128"/>
      <c r="U661" s="128"/>
      <c r="V661" s="128"/>
      <c r="W661" s="128"/>
      <c r="X661" s="128"/>
      <c r="Y661" s="128"/>
      <c r="Z661" s="128"/>
      <c r="AA661" s="128"/>
    </row>
    <row r="662">
      <c r="A662" s="134"/>
      <c r="B662" s="134"/>
      <c r="C662" s="128"/>
      <c r="D662" s="128"/>
      <c r="E662" s="128"/>
      <c r="F662" s="128"/>
      <c r="G662" s="128"/>
      <c r="H662" s="128"/>
      <c r="I662" s="128"/>
      <c r="J662" s="128"/>
      <c r="K662" s="128"/>
      <c r="L662" s="128"/>
      <c r="M662" s="128"/>
      <c r="N662" s="128"/>
      <c r="O662" s="128"/>
      <c r="P662" s="128"/>
      <c r="Q662" s="128"/>
      <c r="R662" s="128"/>
      <c r="S662" s="128"/>
      <c r="T662" s="128"/>
      <c r="U662" s="128"/>
      <c r="V662" s="128"/>
      <c r="W662" s="128"/>
      <c r="X662" s="128"/>
      <c r="Y662" s="128"/>
      <c r="Z662" s="128"/>
      <c r="AA662" s="128"/>
    </row>
    <row r="663">
      <c r="A663" s="134"/>
      <c r="B663" s="134"/>
      <c r="C663" s="128"/>
      <c r="D663" s="128"/>
      <c r="E663" s="128"/>
      <c r="F663" s="128"/>
      <c r="G663" s="128"/>
      <c r="H663" s="128"/>
      <c r="I663" s="128"/>
      <c r="J663" s="128"/>
      <c r="K663" s="128"/>
      <c r="L663" s="128"/>
      <c r="M663" s="128"/>
      <c r="N663" s="128"/>
      <c r="O663" s="128"/>
      <c r="P663" s="128"/>
      <c r="Q663" s="128"/>
      <c r="R663" s="128"/>
      <c r="S663" s="128"/>
      <c r="T663" s="128"/>
      <c r="U663" s="128"/>
      <c r="V663" s="128"/>
      <c r="W663" s="128"/>
      <c r="X663" s="128"/>
      <c r="Y663" s="128"/>
      <c r="Z663" s="128"/>
      <c r="AA663" s="128"/>
    </row>
    <row r="664">
      <c r="A664" s="134"/>
      <c r="B664" s="134"/>
      <c r="C664" s="128"/>
      <c r="D664" s="128"/>
      <c r="E664" s="128"/>
      <c r="F664" s="128"/>
      <c r="G664" s="128"/>
      <c r="H664" s="128"/>
      <c r="I664" s="128"/>
      <c r="J664" s="128"/>
      <c r="K664" s="128"/>
      <c r="L664" s="128"/>
      <c r="M664" s="128"/>
      <c r="N664" s="128"/>
      <c r="O664" s="128"/>
      <c r="P664" s="128"/>
      <c r="Q664" s="128"/>
      <c r="R664" s="128"/>
      <c r="S664" s="128"/>
      <c r="T664" s="128"/>
      <c r="U664" s="128"/>
      <c r="V664" s="128"/>
      <c r="W664" s="128"/>
      <c r="X664" s="128"/>
      <c r="Y664" s="128"/>
      <c r="Z664" s="128"/>
      <c r="AA664" s="128"/>
    </row>
    <row r="665">
      <c r="A665" s="134"/>
      <c r="B665" s="134"/>
      <c r="C665" s="128"/>
      <c r="D665" s="128"/>
      <c r="E665" s="128"/>
      <c r="F665" s="128"/>
      <c r="G665" s="128"/>
      <c r="H665" s="128"/>
      <c r="I665" s="128"/>
      <c r="J665" s="128"/>
      <c r="K665" s="128"/>
      <c r="L665" s="128"/>
      <c r="M665" s="128"/>
      <c r="N665" s="128"/>
      <c r="O665" s="128"/>
      <c r="P665" s="128"/>
      <c r="Q665" s="128"/>
      <c r="R665" s="128"/>
      <c r="S665" s="128"/>
      <c r="T665" s="128"/>
      <c r="U665" s="128"/>
      <c r="V665" s="128"/>
      <c r="W665" s="128"/>
      <c r="X665" s="128"/>
      <c r="Y665" s="128"/>
      <c r="Z665" s="128"/>
      <c r="AA665" s="128"/>
    </row>
    <row r="666">
      <c r="A666" s="134"/>
      <c r="B666" s="134"/>
      <c r="C666" s="128"/>
      <c r="D666" s="128"/>
      <c r="E666" s="128"/>
      <c r="F666" s="128"/>
      <c r="G666" s="128"/>
      <c r="H666" s="128"/>
      <c r="I666" s="128"/>
      <c r="J666" s="128"/>
      <c r="K666" s="128"/>
      <c r="L666" s="128"/>
      <c r="M666" s="128"/>
      <c r="N666" s="128"/>
      <c r="O666" s="128"/>
      <c r="P666" s="128"/>
      <c r="Q666" s="128"/>
      <c r="R666" s="128"/>
      <c r="S666" s="128"/>
      <c r="T666" s="128"/>
      <c r="U666" s="128"/>
      <c r="V666" s="128"/>
      <c r="W666" s="128"/>
      <c r="X666" s="128"/>
      <c r="Y666" s="128"/>
      <c r="Z666" s="128"/>
      <c r="AA666" s="128"/>
    </row>
    <row r="667">
      <c r="A667" s="134"/>
      <c r="B667" s="134"/>
      <c r="C667" s="128"/>
      <c r="D667" s="128"/>
      <c r="E667" s="128"/>
      <c r="F667" s="128"/>
      <c r="G667" s="128"/>
      <c r="H667" s="128"/>
      <c r="I667" s="128"/>
      <c r="J667" s="128"/>
      <c r="K667" s="128"/>
      <c r="L667" s="128"/>
      <c r="M667" s="128"/>
      <c r="N667" s="128"/>
      <c r="O667" s="128"/>
      <c r="P667" s="128"/>
      <c r="Q667" s="128"/>
      <c r="R667" s="128"/>
      <c r="S667" s="128"/>
      <c r="T667" s="128"/>
      <c r="U667" s="128"/>
      <c r="V667" s="128"/>
      <c r="W667" s="128"/>
      <c r="X667" s="128"/>
      <c r="Y667" s="128"/>
      <c r="Z667" s="128"/>
      <c r="AA667" s="128"/>
    </row>
    <row r="668">
      <c r="A668" s="134"/>
      <c r="B668" s="134"/>
      <c r="C668" s="128"/>
      <c r="D668" s="128"/>
      <c r="E668" s="128"/>
      <c r="F668" s="128"/>
      <c r="G668" s="128"/>
      <c r="H668" s="128"/>
      <c r="I668" s="128"/>
      <c r="J668" s="128"/>
      <c r="K668" s="128"/>
      <c r="L668" s="128"/>
      <c r="M668" s="128"/>
      <c r="N668" s="128"/>
      <c r="O668" s="128"/>
      <c r="P668" s="128"/>
      <c r="Q668" s="128"/>
      <c r="R668" s="128"/>
      <c r="S668" s="128"/>
      <c r="T668" s="128"/>
      <c r="U668" s="128"/>
      <c r="V668" s="128"/>
      <c r="W668" s="128"/>
      <c r="X668" s="128"/>
      <c r="Y668" s="128"/>
      <c r="Z668" s="128"/>
      <c r="AA668" s="128"/>
    </row>
    <row r="669">
      <c r="A669" s="134"/>
      <c r="B669" s="134"/>
      <c r="C669" s="128"/>
      <c r="D669" s="128"/>
      <c r="E669" s="128"/>
      <c r="F669" s="128"/>
      <c r="G669" s="128"/>
      <c r="H669" s="128"/>
      <c r="I669" s="128"/>
      <c r="J669" s="128"/>
      <c r="K669" s="128"/>
      <c r="L669" s="128"/>
      <c r="M669" s="128"/>
      <c r="N669" s="128"/>
      <c r="O669" s="128"/>
      <c r="P669" s="128"/>
      <c r="Q669" s="128"/>
      <c r="R669" s="128"/>
      <c r="S669" s="128"/>
      <c r="T669" s="128"/>
      <c r="U669" s="128"/>
      <c r="V669" s="128"/>
      <c r="W669" s="128"/>
      <c r="X669" s="128"/>
      <c r="Y669" s="128"/>
      <c r="Z669" s="128"/>
      <c r="AA669" s="128"/>
    </row>
    <row r="670">
      <c r="A670" s="134"/>
      <c r="B670" s="134"/>
      <c r="C670" s="128"/>
      <c r="D670" s="128"/>
      <c r="E670" s="128"/>
      <c r="F670" s="128"/>
      <c r="G670" s="128"/>
      <c r="H670" s="128"/>
      <c r="I670" s="128"/>
      <c r="J670" s="128"/>
      <c r="K670" s="128"/>
      <c r="L670" s="128"/>
      <c r="M670" s="128"/>
      <c r="N670" s="128"/>
      <c r="O670" s="128"/>
      <c r="P670" s="128"/>
      <c r="Q670" s="128"/>
      <c r="R670" s="128"/>
      <c r="S670" s="128"/>
      <c r="T670" s="128"/>
      <c r="U670" s="128"/>
      <c r="V670" s="128"/>
      <c r="W670" s="128"/>
      <c r="X670" s="128"/>
      <c r="Y670" s="128"/>
      <c r="Z670" s="128"/>
      <c r="AA670" s="128"/>
    </row>
    <row r="671">
      <c r="A671" s="134"/>
      <c r="B671" s="134"/>
      <c r="C671" s="128"/>
      <c r="D671" s="128"/>
      <c r="E671" s="128"/>
      <c r="F671" s="128"/>
      <c r="G671" s="128"/>
      <c r="H671" s="128"/>
      <c r="I671" s="128"/>
      <c r="J671" s="128"/>
      <c r="K671" s="128"/>
      <c r="L671" s="128"/>
      <c r="M671" s="128"/>
      <c r="N671" s="128"/>
      <c r="O671" s="128"/>
      <c r="P671" s="128"/>
      <c r="Q671" s="128"/>
      <c r="R671" s="128"/>
      <c r="S671" s="128"/>
      <c r="T671" s="128"/>
      <c r="U671" s="128"/>
      <c r="V671" s="128"/>
      <c r="W671" s="128"/>
      <c r="X671" s="128"/>
      <c r="Y671" s="128"/>
      <c r="Z671" s="128"/>
      <c r="AA671" s="128"/>
    </row>
    <row r="672">
      <c r="A672" s="134"/>
      <c r="B672" s="134"/>
      <c r="C672" s="128"/>
      <c r="D672" s="128"/>
      <c r="E672" s="128"/>
      <c r="F672" s="128"/>
      <c r="G672" s="128"/>
      <c r="H672" s="128"/>
      <c r="I672" s="128"/>
      <c r="J672" s="128"/>
      <c r="K672" s="128"/>
      <c r="L672" s="128"/>
      <c r="M672" s="128"/>
      <c r="N672" s="128"/>
      <c r="O672" s="128"/>
      <c r="P672" s="128"/>
      <c r="Q672" s="128"/>
      <c r="R672" s="128"/>
      <c r="S672" s="128"/>
      <c r="T672" s="128"/>
      <c r="U672" s="128"/>
      <c r="V672" s="128"/>
      <c r="W672" s="128"/>
      <c r="X672" s="128"/>
      <c r="Y672" s="128"/>
      <c r="Z672" s="128"/>
      <c r="AA672" s="128"/>
    </row>
    <row r="673">
      <c r="A673" s="134"/>
      <c r="B673" s="134"/>
      <c r="C673" s="128"/>
      <c r="D673" s="128"/>
      <c r="E673" s="128"/>
      <c r="F673" s="128"/>
      <c r="G673" s="128"/>
      <c r="H673" s="128"/>
      <c r="I673" s="128"/>
      <c r="J673" s="128"/>
      <c r="K673" s="128"/>
      <c r="L673" s="128"/>
      <c r="M673" s="128"/>
      <c r="N673" s="128"/>
      <c r="O673" s="128"/>
      <c r="P673" s="128"/>
      <c r="Q673" s="128"/>
      <c r="R673" s="128"/>
      <c r="S673" s="128"/>
      <c r="T673" s="128"/>
      <c r="U673" s="128"/>
      <c r="V673" s="128"/>
      <c r="W673" s="128"/>
      <c r="X673" s="128"/>
      <c r="Y673" s="128"/>
      <c r="Z673" s="128"/>
      <c r="AA673" s="128"/>
    </row>
    <row r="674">
      <c r="A674" s="134"/>
      <c r="B674" s="134"/>
      <c r="C674" s="128"/>
      <c r="D674" s="128"/>
      <c r="E674" s="128"/>
      <c r="F674" s="128"/>
      <c r="G674" s="128"/>
      <c r="H674" s="128"/>
      <c r="I674" s="128"/>
      <c r="J674" s="128"/>
      <c r="K674" s="128"/>
      <c r="L674" s="128"/>
      <c r="M674" s="128"/>
      <c r="N674" s="128"/>
      <c r="O674" s="128"/>
      <c r="P674" s="128"/>
      <c r="Q674" s="128"/>
      <c r="R674" s="128"/>
      <c r="S674" s="128"/>
      <c r="T674" s="128"/>
      <c r="U674" s="128"/>
      <c r="V674" s="128"/>
      <c r="W674" s="128"/>
      <c r="X674" s="128"/>
      <c r="Y674" s="128"/>
      <c r="Z674" s="128"/>
      <c r="AA674" s="128"/>
    </row>
    <row r="675">
      <c r="A675" s="134"/>
      <c r="B675" s="134"/>
      <c r="C675" s="128"/>
      <c r="D675" s="128"/>
      <c r="E675" s="128"/>
      <c r="F675" s="128"/>
      <c r="G675" s="128"/>
      <c r="H675" s="128"/>
      <c r="I675" s="128"/>
      <c r="J675" s="128"/>
      <c r="K675" s="128"/>
      <c r="L675" s="128"/>
      <c r="M675" s="128"/>
      <c r="N675" s="128"/>
      <c r="O675" s="128"/>
      <c r="P675" s="128"/>
      <c r="Q675" s="128"/>
      <c r="R675" s="128"/>
      <c r="S675" s="128"/>
      <c r="T675" s="128"/>
      <c r="U675" s="128"/>
      <c r="V675" s="128"/>
      <c r="W675" s="128"/>
      <c r="X675" s="128"/>
      <c r="Y675" s="128"/>
      <c r="Z675" s="128"/>
      <c r="AA675" s="128"/>
    </row>
    <row r="676">
      <c r="A676" s="134"/>
      <c r="B676" s="134"/>
      <c r="C676" s="128"/>
      <c r="D676" s="128"/>
      <c r="E676" s="128"/>
      <c r="F676" s="128"/>
      <c r="G676" s="128"/>
      <c r="H676" s="128"/>
      <c r="I676" s="128"/>
      <c r="J676" s="128"/>
      <c r="K676" s="128"/>
      <c r="L676" s="128"/>
      <c r="M676" s="128"/>
      <c r="N676" s="128"/>
      <c r="O676" s="128"/>
      <c r="P676" s="128"/>
      <c r="Q676" s="128"/>
      <c r="R676" s="128"/>
      <c r="S676" s="128"/>
      <c r="T676" s="128"/>
      <c r="U676" s="128"/>
      <c r="V676" s="128"/>
      <c r="W676" s="128"/>
      <c r="X676" s="128"/>
      <c r="Y676" s="128"/>
      <c r="Z676" s="128"/>
      <c r="AA676" s="128"/>
    </row>
    <row r="677">
      <c r="A677" s="134"/>
      <c r="B677" s="134"/>
      <c r="C677" s="128"/>
      <c r="D677" s="128"/>
      <c r="E677" s="128"/>
      <c r="F677" s="128"/>
      <c r="G677" s="128"/>
      <c r="H677" s="128"/>
      <c r="I677" s="128"/>
      <c r="J677" s="128"/>
      <c r="K677" s="128"/>
      <c r="L677" s="128"/>
      <c r="M677" s="128"/>
      <c r="N677" s="128"/>
      <c r="O677" s="128"/>
      <c r="P677" s="128"/>
      <c r="Q677" s="128"/>
      <c r="R677" s="128"/>
      <c r="S677" s="128"/>
      <c r="T677" s="128"/>
      <c r="U677" s="128"/>
      <c r="V677" s="128"/>
      <c r="W677" s="128"/>
      <c r="X677" s="128"/>
      <c r="Y677" s="128"/>
      <c r="Z677" s="128"/>
      <c r="AA677" s="128"/>
    </row>
    <row r="678">
      <c r="A678" s="134"/>
      <c r="B678" s="134"/>
      <c r="C678" s="128"/>
      <c r="D678" s="128"/>
      <c r="E678" s="128"/>
      <c r="F678" s="128"/>
      <c r="G678" s="128"/>
      <c r="H678" s="128"/>
      <c r="I678" s="128"/>
      <c r="J678" s="128"/>
      <c r="K678" s="128"/>
      <c r="L678" s="128"/>
      <c r="M678" s="128"/>
      <c r="N678" s="128"/>
      <c r="O678" s="128"/>
      <c r="P678" s="128"/>
      <c r="Q678" s="128"/>
      <c r="R678" s="128"/>
      <c r="S678" s="128"/>
      <c r="T678" s="128"/>
      <c r="U678" s="128"/>
      <c r="V678" s="128"/>
      <c r="W678" s="128"/>
      <c r="X678" s="128"/>
      <c r="Y678" s="128"/>
      <c r="Z678" s="128"/>
      <c r="AA678" s="128"/>
    </row>
    <row r="679">
      <c r="A679" s="134"/>
      <c r="B679" s="134"/>
      <c r="C679" s="128"/>
      <c r="D679" s="128"/>
      <c r="E679" s="128"/>
      <c r="F679" s="128"/>
      <c r="G679" s="128"/>
      <c r="H679" s="128"/>
      <c r="I679" s="128"/>
      <c r="J679" s="128"/>
      <c r="K679" s="128"/>
      <c r="L679" s="128"/>
      <c r="M679" s="128"/>
      <c r="N679" s="128"/>
      <c r="O679" s="128"/>
      <c r="P679" s="128"/>
      <c r="Q679" s="128"/>
      <c r="R679" s="128"/>
      <c r="S679" s="128"/>
      <c r="T679" s="128"/>
      <c r="U679" s="128"/>
      <c r="V679" s="128"/>
      <c r="W679" s="128"/>
      <c r="X679" s="128"/>
      <c r="Y679" s="128"/>
      <c r="Z679" s="128"/>
      <c r="AA679" s="128"/>
    </row>
    <row r="680">
      <c r="A680" s="134"/>
      <c r="B680" s="134"/>
      <c r="C680" s="128"/>
      <c r="D680" s="128"/>
      <c r="E680" s="128"/>
      <c r="F680" s="128"/>
      <c r="G680" s="128"/>
      <c r="H680" s="128"/>
      <c r="I680" s="128"/>
      <c r="J680" s="128"/>
      <c r="K680" s="128"/>
      <c r="L680" s="128"/>
      <c r="M680" s="128"/>
      <c r="N680" s="128"/>
      <c r="O680" s="128"/>
      <c r="P680" s="128"/>
      <c r="Q680" s="128"/>
      <c r="R680" s="128"/>
      <c r="S680" s="128"/>
      <c r="T680" s="128"/>
      <c r="U680" s="128"/>
      <c r="V680" s="128"/>
      <c r="W680" s="128"/>
      <c r="X680" s="128"/>
      <c r="Y680" s="128"/>
      <c r="Z680" s="128"/>
      <c r="AA680" s="128"/>
    </row>
    <row r="681">
      <c r="A681" s="134"/>
      <c r="B681" s="134"/>
      <c r="C681" s="128"/>
      <c r="D681" s="128"/>
      <c r="E681" s="128"/>
      <c r="F681" s="128"/>
      <c r="G681" s="128"/>
      <c r="H681" s="128"/>
      <c r="I681" s="128"/>
      <c r="J681" s="128"/>
      <c r="K681" s="128"/>
      <c r="L681" s="128"/>
      <c r="M681" s="128"/>
      <c r="N681" s="128"/>
      <c r="O681" s="128"/>
      <c r="P681" s="128"/>
      <c r="Q681" s="128"/>
      <c r="R681" s="128"/>
      <c r="S681" s="128"/>
      <c r="T681" s="128"/>
      <c r="U681" s="128"/>
      <c r="V681" s="128"/>
      <c r="W681" s="128"/>
      <c r="X681" s="128"/>
      <c r="Y681" s="128"/>
      <c r="Z681" s="128"/>
      <c r="AA681" s="128"/>
    </row>
    <row r="682">
      <c r="A682" s="134"/>
      <c r="B682" s="134"/>
      <c r="C682" s="128"/>
      <c r="D682" s="128"/>
      <c r="E682" s="128"/>
      <c r="F682" s="128"/>
      <c r="G682" s="128"/>
      <c r="H682" s="128"/>
      <c r="I682" s="128"/>
      <c r="J682" s="128"/>
      <c r="K682" s="128"/>
      <c r="L682" s="128"/>
      <c r="M682" s="128"/>
      <c r="N682" s="128"/>
      <c r="O682" s="128"/>
      <c r="P682" s="128"/>
      <c r="Q682" s="128"/>
      <c r="R682" s="128"/>
      <c r="S682" s="128"/>
      <c r="T682" s="128"/>
      <c r="U682" s="128"/>
      <c r="V682" s="128"/>
      <c r="W682" s="128"/>
      <c r="X682" s="128"/>
      <c r="Y682" s="128"/>
      <c r="Z682" s="128"/>
      <c r="AA682" s="128"/>
    </row>
    <row r="683">
      <c r="A683" s="134"/>
      <c r="B683" s="134"/>
      <c r="C683" s="128"/>
      <c r="D683" s="128"/>
      <c r="E683" s="128"/>
      <c r="F683" s="128"/>
      <c r="G683" s="128"/>
      <c r="H683" s="128"/>
      <c r="I683" s="128"/>
      <c r="J683" s="128"/>
      <c r="K683" s="128"/>
      <c r="L683" s="128"/>
      <c r="M683" s="128"/>
      <c r="N683" s="128"/>
      <c r="O683" s="128"/>
      <c r="P683" s="128"/>
      <c r="Q683" s="128"/>
      <c r="R683" s="128"/>
      <c r="S683" s="128"/>
      <c r="T683" s="128"/>
      <c r="U683" s="128"/>
      <c r="V683" s="128"/>
      <c r="W683" s="128"/>
      <c r="X683" s="128"/>
      <c r="Y683" s="128"/>
      <c r="Z683" s="128"/>
      <c r="AA683" s="128"/>
    </row>
    <row r="684">
      <c r="A684" s="134"/>
      <c r="B684" s="134"/>
      <c r="C684" s="128"/>
      <c r="D684" s="128"/>
      <c r="E684" s="128"/>
      <c r="F684" s="128"/>
      <c r="G684" s="128"/>
      <c r="H684" s="128"/>
      <c r="I684" s="128"/>
      <c r="J684" s="128"/>
      <c r="K684" s="128"/>
      <c r="L684" s="128"/>
      <c r="M684" s="128"/>
      <c r="N684" s="128"/>
      <c r="O684" s="128"/>
      <c r="P684" s="128"/>
      <c r="Q684" s="128"/>
      <c r="R684" s="128"/>
      <c r="S684" s="128"/>
      <c r="T684" s="128"/>
      <c r="U684" s="128"/>
      <c r="V684" s="128"/>
      <c r="W684" s="128"/>
      <c r="X684" s="128"/>
      <c r="Y684" s="128"/>
      <c r="Z684" s="128"/>
      <c r="AA684" s="128"/>
    </row>
    <row r="685">
      <c r="A685" s="134"/>
      <c r="B685" s="134"/>
      <c r="C685" s="128"/>
      <c r="D685" s="128"/>
      <c r="E685" s="128"/>
      <c r="F685" s="128"/>
      <c r="G685" s="128"/>
      <c r="H685" s="128"/>
      <c r="I685" s="128"/>
      <c r="J685" s="128"/>
      <c r="K685" s="128"/>
      <c r="L685" s="128"/>
      <c r="M685" s="128"/>
      <c r="N685" s="128"/>
      <c r="O685" s="128"/>
      <c r="P685" s="128"/>
      <c r="Q685" s="128"/>
      <c r="R685" s="128"/>
      <c r="S685" s="128"/>
      <c r="T685" s="128"/>
      <c r="U685" s="128"/>
      <c r="V685" s="128"/>
      <c r="W685" s="128"/>
      <c r="X685" s="128"/>
      <c r="Y685" s="128"/>
      <c r="Z685" s="128"/>
      <c r="AA685" s="128"/>
    </row>
    <row r="686">
      <c r="A686" s="134"/>
      <c r="B686" s="134"/>
      <c r="C686" s="128"/>
      <c r="D686" s="128"/>
      <c r="E686" s="128"/>
      <c r="F686" s="128"/>
      <c r="G686" s="128"/>
      <c r="H686" s="128"/>
      <c r="I686" s="128"/>
      <c r="J686" s="128"/>
      <c r="K686" s="128"/>
      <c r="L686" s="128"/>
      <c r="M686" s="128"/>
      <c r="N686" s="128"/>
      <c r="O686" s="128"/>
      <c r="P686" s="128"/>
      <c r="Q686" s="128"/>
      <c r="R686" s="128"/>
      <c r="S686" s="128"/>
      <c r="T686" s="128"/>
      <c r="U686" s="128"/>
      <c r="V686" s="128"/>
      <c r="W686" s="128"/>
      <c r="X686" s="128"/>
      <c r="Y686" s="128"/>
      <c r="Z686" s="128"/>
      <c r="AA686" s="128"/>
    </row>
    <row r="687">
      <c r="A687" s="134"/>
      <c r="B687" s="134"/>
      <c r="C687" s="128"/>
      <c r="D687" s="128"/>
      <c r="E687" s="128"/>
      <c r="F687" s="128"/>
      <c r="G687" s="128"/>
      <c r="H687" s="128"/>
      <c r="I687" s="128"/>
      <c r="J687" s="128"/>
      <c r="K687" s="128"/>
      <c r="L687" s="128"/>
      <c r="M687" s="128"/>
      <c r="N687" s="128"/>
      <c r="O687" s="128"/>
      <c r="P687" s="128"/>
      <c r="Q687" s="128"/>
      <c r="R687" s="128"/>
      <c r="S687" s="128"/>
      <c r="T687" s="128"/>
      <c r="U687" s="128"/>
      <c r="V687" s="128"/>
      <c r="W687" s="128"/>
      <c r="X687" s="128"/>
      <c r="Y687" s="128"/>
      <c r="Z687" s="128"/>
      <c r="AA687" s="128"/>
    </row>
    <row r="688">
      <c r="A688" s="134"/>
      <c r="B688" s="134"/>
      <c r="C688" s="128"/>
      <c r="D688" s="128"/>
      <c r="E688" s="128"/>
      <c r="F688" s="128"/>
      <c r="G688" s="128"/>
      <c r="H688" s="128"/>
      <c r="I688" s="128"/>
      <c r="J688" s="128"/>
      <c r="K688" s="128"/>
      <c r="L688" s="128"/>
      <c r="M688" s="128"/>
      <c r="N688" s="128"/>
      <c r="O688" s="128"/>
      <c r="P688" s="128"/>
      <c r="Q688" s="128"/>
      <c r="R688" s="128"/>
      <c r="S688" s="128"/>
      <c r="T688" s="128"/>
      <c r="U688" s="128"/>
      <c r="V688" s="128"/>
      <c r="W688" s="128"/>
      <c r="X688" s="128"/>
      <c r="Y688" s="128"/>
      <c r="Z688" s="128"/>
      <c r="AA688" s="128"/>
    </row>
    <row r="689">
      <c r="A689" s="134"/>
      <c r="B689" s="134"/>
      <c r="C689" s="128"/>
      <c r="D689" s="128"/>
      <c r="E689" s="128"/>
      <c r="F689" s="128"/>
      <c r="G689" s="128"/>
      <c r="H689" s="128"/>
      <c r="I689" s="128"/>
      <c r="J689" s="128"/>
      <c r="K689" s="128"/>
      <c r="L689" s="128"/>
      <c r="M689" s="128"/>
      <c r="N689" s="128"/>
      <c r="O689" s="128"/>
      <c r="P689" s="128"/>
      <c r="Q689" s="128"/>
      <c r="R689" s="128"/>
      <c r="S689" s="128"/>
      <c r="T689" s="128"/>
      <c r="U689" s="128"/>
      <c r="V689" s="128"/>
      <c r="W689" s="128"/>
      <c r="X689" s="128"/>
      <c r="Y689" s="128"/>
      <c r="Z689" s="128"/>
      <c r="AA689" s="128"/>
    </row>
    <row r="690">
      <c r="A690" s="134"/>
      <c r="B690" s="134"/>
      <c r="C690" s="128"/>
      <c r="D690" s="128"/>
      <c r="E690" s="128"/>
      <c r="F690" s="128"/>
      <c r="G690" s="128"/>
      <c r="H690" s="128"/>
      <c r="I690" s="128"/>
      <c r="J690" s="128"/>
      <c r="K690" s="128"/>
      <c r="L690" s="128"/>
      <c r="M690" s="128"/>
      <c r="N690" s="128"/>
      <c r="O690" s="128"/>
      <c r="P690" s="128"/>
      <c r="Q690" s="128"/>
      <c r="R690" s="128"/>
      <c r="S690" s="128"/>
      <c r="T690" s="128"/>
      <c r="U690" s="128"/>
      <c r="V690" s="128"/>
      <c r="W690" s="128"/>
      <c r="X690" s="128"/>
      <c r="Y690" s="128"/>
      <c r="Z690" s="128"/>
      <c r="AA690" s="128"/>
    </row>
    <row r="691">
      <c r="A691" s="134"/>
      <c r="B691" s="134"/>
      <c r="C691" s="128"/>
      <c r="D691" s="128"/>
      <c r="E691" s="128"/>
      <c r="F691" s="128"/>
      <c r="G691" s="128"/>
      <c r="H691" s="128"/>
      <c r="I691" s="128"/>
      <c r="J691" s="128"/>
      <c r="K691" s="128"/>
      <c r="L691" s="128"/>
      <c r="M691" s="128"/>
      <c r="N691" s="128"/>
      <c r="O691" s="128"/>
      <c r="P691" s="128"/>
      <c r="Q691" s="128"/>
      <c r="R691" s="128"/>
      <c r="S691" s="128"/>
      <c r="T691" s="128"/>
      <c r="U691" s="128"/>
      <c r="V691" s="128"/>
      <c r="W691" s="128"/>
      <c r="X691" s="128"/>
      <c r="Y691" s="128"/>
      <c r="Z691" s="128"/>
      <c r="AA691" s="128"/>
    </row>
    <row r="692">
      <c r="A692" s="134"/>
      <c r="B692" s="134"/>
      <c r="C692" s="128"/>
      <c r="D692" s="128"/>
      <c r="E692" s="128"/>
      <c r="F692" s="128"/>
      <c r="G692" s="128"/>
      <c r="H692" s="128"/>
      <c r="I692" s="128"/>
      <c r="J692" s="128"/>
      <c r="K692" s="128"/>
      <c r="L692" s="128"/>
      <c r="M692" s="128"/>
      <c r="N692" s="128"/>
      <c r="O692" s="128"/>
      <c r="P692" s="128"/>
      <c r="Q692" s="128"/>
      <c r="R692" s="128"/>
      <c r="S692" s="128"/>
      <c r="T692" s="128"/>
      <c r="U692" s="128"/>
      <c r="V692" s="128"/>
      <c r="W692" s="128"/>
      <c r="X692" s="128"/>
      <c r="Y692" s="128"/>
      <c r="Z692" s="128"/>
      <c r="AA692" s="128"/>
    </row>
    <row r="693">
      <c r="A693" s="134"/>
      <c r="B693" s="134"/>
      <c r="C693" s="128"/>
      <c r="D693" s="128"/>
      <c r="E693" s="128"/>
      <c r="F693" s="128"/>
      <c r="G693" s="128"/>
      <c r="H693" s="128"/>
      <c r="I693" s="128"/>
      <c r="J693" s="128"/>
      <c r="K693" s="128"/>
      <c r="L693" s="128"/>
      <c r="M693" s="128"/>
      <c r="N693" s="128"/>
      <c r="O693" s="128"/>
      <c r="P693" s="128"/>
      <c r="Q693" s="128"/>
      <c r="R693" s="128"/>
      <c r="S693" s="128"/>
      <c r="T693" s="128"/>
      <c r="U693" s="128"/>
      <c r="V693" s="128"/>
      <c r="W693" s="128"/>
      <c r="X693" s="128"/>
      <c r="Y693" s="128"/>
      <c r="Z693" s="128"/>
      <c r="AA693" s="128"/>
    </row>
    <row r="694">
      <c r="A694" s="134"/>
      <c r="B694" s="134"/>
      <c r="C694" s="128"/>
      <c r="D694" s="128"/>
      <c r="E694" s="128"/>
      <c r="F694" s="128"/>
      <c r="G694" s="128"/>
      <c r="H694" s="128"/>
      <c r="I694" s="128"/>
      <c r="J694" s="128"/>
      <c r="K694" s="128"/>
      <c r="L694" s="128"/>
      <c r="M694" s="128"/>
      <c r="N694" s="128"/>
      <c r="O694" s="128"/>
      <c r="P694" s="128"/>
      <c r="Q694" s="128"/>
      <c r="R694" s="128"/>
      <c r="S694" s="128"/>
      <c r="T694" s="128"/>
      <c r="U694" s="128"/>
      <c r="V694" s="128"/>
      <c r="W694" s="128"/>
      <c r="X694" s="128"/>
      <c r="Y694" s="128"/>
      <c r="Z694" s="128"/>
      <c r="AA694" s="128"/>
    </row>
    <row r="695">
      <c r="A695" s="134"/>
      <c r="B695" s="134"/>
      <c r="C695" s="128"/>
      <c r="D695" s="128"/>
      <c r="E695" s="128"/>
      <c r="F695" s="128"/>
      <c r="G695" s="128"/>
      <c r="H695" s="128"/>
      <c r="I695" s="128"/>
      <c r="J695" s="128"/>
      <c r="K695" s="128"/>
      <c r="L695" s="128"/>
      <c r="M695" s="128"/>
      <c r="N695" s="128"/>
      <c r="O695" s="128"/>
      <c r="P695" s="128"/>
      <c r="Q695" s="128"/>
      <c r="R695" s="128"/>
      <c r="S695" s="128"/>
      <c r="T695" s="128"/>
      <c r="U695" s="128"/>
      <c r="V695" s="128"/>
      <c r="W695" s="128"/>
      <c r="X695" s="128"/>
      <c r="Y695" s="128"/>
      <c r="Z695" s="128"/>
      <c r="AA695" s="128"/>
    </row>
    <row r="696">
      <c r="A696" s="134"/>
      <c r="B696" s="134"/>
      <c r="C696" s="128"/>
      <c r="D696" s="128"/>
      <c r="E696" s="128"/>
      <c r="F696" s="128"/>
      <c r="G696" s="128"/>
      <c r="H696" s="128"/>
      <c r="I696" s="128"/>
      <c r="J696" s="128"/>
      <c r="K696" s="128"/>
      <c r="L696" s="128"/>
      <c r="M696" s="128"/>
      <c r="N696" s="128"/>
      <c r="O696" s="128"/>
      <c r="P696" s="128"/>
      <c r="Q696" s="128"/>
      <c r="R696" s="128"/>
      <c r="S696" s="128"/>
      <c r="T696" s="128"/>
      <c r="U696" s="128"/>
      <c r="V696" s="128"/>
      <c r="W696" s="128"/>
      <c r="X696" s="128"/>
      <c r="Y696" s="128"/>
      <c r="Z696" s="128"/>
      <c r="AA696" s="128"/>
    </row>
    <row r="697">
      <c r="A697" s="134"/>
      <c r="B697" s="134"/>
      <c r="C697" s="128"/>
      <c r="D697" s="128"/>
      <c r="E697" s="128"/>
      <c r="F697" s="128"/>
      <c r="G697" s="128"/>
      <c r="H697" s="128"/>
      <c r="I697" s="128"/>
      <c r="J697" s="128"/>
      <c r="K697" s="128"/>
      <c r="L697" s="128"/>
      <c r="M697" s="128"/>
      <c r="N697" s="128"/>
      <c r="O697" s="128"/>
      <c r="P697" s="128"/>
      <c r="Q697" s="128"/>
      <c r="R697" s="128"/>
      <c r="S697" s="128"/>
      <c r="T697" s="128"/>
      <c r="U697" s="128"/>
      <c r="V697" s="128"/>
      <c r="W697" s="128"/>
      <c r="X697" s="128"/>
      <c r="Y697" s="128"/>
      <c r="Z697" s="128"/>
      <c r="AA697" s="128"/>
    </row>
    <row r="698">
      <c r="A698" s="134"/>
      <c r="B698" s="134"/>
      <c r="C698" s="128"/>
      <c r="D698" s="128"/>
      <c r="E698" s="128"/>
      <c r="F698" s="128"/>
      <c r="G698" s="128"/>
      <c r="H698" s="128"/>
      <c r="I698" s="128"/>
      <c r="J698" s="128"/>
      <c r="K698" s="128"/>
      <c r="L698" s="128"/>
      <c r="M698" s="128"/>
      <c r="N698" s="128"/>
      <c r="O698" s="128"/>
      <c r="P698" s="128"/>
      <c r="Q698" s="128"/>
      <c r="R698" s="128"/>
      <c r="S698" s="128"/>
      <c r="T698" s="128"/>
      <c r="U698" s="128"/>
      <c r="V698" s="128"/>
      <c r="W698" s="128"/>
      <c r="X698" s="128"/>
      <c r="Y698" s="128"/>
      <c r="Z698" s="128"/>
      <c r="AA698" s="128"/>
    </row>
    <row r="699">
      <c r="A699" s="134"/>
      <c r="B699" s="134"/>
      <c r="C699" s="128"/>
      <c r="D699" s="128"/>
      <c r="E699" s="128"/>
      <c r="F699" s="128"/>
      <c r="G699" s="128"/>
      <c r="H699" s="128"/>
      <c r="I699" s="128"/>
      <c r="J699" s="128"/>
      <c r="K699" s="128"/>
      <c r="L699" s="128"/>
      <c r="M699" s="128"/>
      <c r="N699" s="128"/>
      <c r="O699" s="128"/>
      <c r="P699" s="128"/>
      <c r="Q699" s="128"/>
      <c r="R699" s="128"/>
      <c r="S699" s="128"/>
      <c r="T699" s="128"/>
      <c r="U699" s="128"/>
      <c r="V699" s="128"/>
      <c r="W699" s="128"/>
      <c r="X699" s="128"/>
      <c r="Y699" s="128"/>
      <c r="Z699" s="128"/>
      <c r="AA699" s="128"/>
    </row>
    <row r="700">
      <c r="A700" s="134"/>
      <c r="B700" s="134"/>
      <c r="C700" s="128"/>
      <c r="D700" s="128"/>
      <c r="E700" s="128"/>
      <c r="F700" s="128"/>
      <c r="G700" s="128"/>
      <c r="H700" s="128"/>
      <c r="I700" s="128"/>
      <c r="J700" s="128"/>
      <c r="K700" s="128"/>
      <c r="L700" s="128"/>
      <c r="M700" s="128"/>
      <c r="N700" s="128"/>
      <c r="O700" s="128"/>
      <c r="P700" s="128"/>
      <c r="Q700" s="128"/>
      <c r="R700" s="128"/>
      <c r="S700" s="128"/>
      <c r="T700" s="128"/>
      <c r="U700" s="128"/>
      <c r="V700" s="128"/>
      <c r="W700" s="128"/>
      <c r="X700" s="128"/>
      <c r="Y700" s="128"/>
      <c r="Z700" s="128"/>
      <c r="AA700" s="128"/>
    </row>
    <row r="701">
      <c r="A701" s="134"/>
      <c r="B701" s="134"/>
      <c r="C701" s="128"/>
      <c r="D701" s="128"/>
      <c r="E701" s="128"/>
      <c r="F701" s="128"/>
      <c r="G701" s="128"/>
      <c r="H701" s="128"/>
      <c r="I701" s="128"/>
      <c r="J701" s="128"/>
      <c r="K701" s="128"/>
      <c r="L701" s="128"/>
      <c r="M701" s="128"/>
      <c r="N701" s="128"/>
      <c r="O701" s="128"/>
      <c r="P701" s="128"/>
      <c r="Q701" s="128"/>
      <c r="R701" s="128"/>
      <c r="S701" s="128"/>
      <c r="T701" s="128"/>
      <c r="U701" s="128"/>
      <c r="V701" s="128"/>
      <c r="W701" s="128"/>
      <c r="X701" s="128"/>
      <c r="Y701" s="128"/>
      <c r="Z701" s="128"/>
      <c r="AA701" s="128"/>
    </row>
    <row r="702">
      <c r="A702" s="134"/>
      <c r="B702" s="134"/>
      <c r="C702" s="128"/>
      <c r="D702" s="128"/>
      <c r="E702" s="128"/>
      <c r="F702" s="128"/>
      <c r="G702" s="128"/>
      <c r="H702" s="128"/>
      <c r="I702" s="128"/>
      <c r="J702" s="128"/>
      <c r="K702" s="128"/>
      <c r="L702" s="128"/>
      <c r="M702" s="128"/>
      <c r="N702" s="128"/>
      <c r="O702" s="128"/>
      <c r="P702" s="128"/>
      <c r="Q702" s="128"/>
      <c r="R702" s="128"/>
      <c r="S702" s="128"/>
      <c r="T702" s="128"/>
      <c r="U702" s="128"/>
      <c r="V702" s="128"/>
      <c r="W702" s="128"/>
      <c r="X702" s="128"/>
      <c r="Y702" s="128"/>
      <c r="Z702" s="128"/>
      <c r="AA702" s="128"/>
    </row>
    <row r="703">
      <c r="A703" s="134"/>
      <c r="B703" s="134"/>
      <c r="C703" s="128"/>
      <c r="D703" s="128"/>
      <c r="E703" s="128"/>
      <c r="F703" s="128"/>
      <c r="G703" s="128"/>
      <c r="H703" s="128"/>
      <c r="I703" s="128"/>
      <c r="J703" s="128"/>
      <c r="K703" s="128"/>
      <c r="L703" s="128"/>
      <c r="M703" s="128"/>
      <c r="N703" s="128"/>
      <c r="O703" s="128"/>
      <c r="P703" s="128"/>
      <c r="Q703" s="128"/>
      <c r="R703" s="128"/>
      <c r="S703" s="128"/>
      <c r="T703" s="128"/>
      <c r="U703" s="128"/>
      <c r="V703" s="128"/>
      <c r="W703" s="128"/>
      <c r="X703" s="128"/>
      <c r="Y703" s="128"/>
      <c r="Z703" s="128"/>
      <c r="AA703" s="128"/>
    </row>
    <row r="704">
      <c r="A704" s="134"/>
      <c r="B704" s="134"/>
      <c r="C704" s="128"/>
      <c r="D704" s="128"/>
      <c r="E704" s="128"/>
      <c r="F704" s="128"/>
      <c r="G704" s="128"/>
      <c r="H704" s="128"/>
      <c r="I704" s="128"/>
      <c r="J704" s="128"/>
      <c r="K704" s="128"/>
      <c r="L704" s="128"/>
      <c r="M704" s="128"/>
      <c r="N704" s="128"/>
      <c r="O704" s="128"/>
      <c r="P704" s="128"/>
      <c r="Q704" s="128"/>
      <c r="R704" s="128"/>
      <c r="S704" s="128"/>
      <c r="T704" s="128"/>
      <c r="U704" s="128"/>
      <c r="V704" s="128"/>
      <c r="W704" s="128"/>
      <c r="X704" s="128"/>
      <c r="Y704" s="128"/>
      <c r="Z704" s="128"/>
      <c r="AA704" s="128"/>
    </row>
    <row r="705">
      <c r="A705" s="134"/>
      <c r="B705" s="134"/>
      <c r="C705" s="128"/>
      <c r="D705" s="128"/>
      <c r="E705" s="128"/>
      <c r="F705" s="128"/>
      <c r="G705" s="128"/>
      <c r="H705" s="128"/>
      <c r="I705" s="128"/>
      <c r="J705" s="128"/>
      <c r="K705" s="128"/>
      <c r="L705" s="128"/>
      <c r="M705" s="128"/>
      <c r="N705" s="128"/>
      <c r="O705" s="128"/>
      <c r="P705" s="128"/>
      <c r="Q705" s="128"/>
      <c r="R705" s="128"/>
      <c r="S705" s="128"/>
      <c r="T705" s="128"/>
      <c r="U705" s="128"/>
      <c r="V705" s="128"/>
      <c r="W705" s="128"/>
      <c r="X705" s="128"/>
      <c r="Y705" s="128"/>
      <c r="Z705" s="128"/>
      <c r="AA705" s="128"/>
    </row>
    <row r="706">
      <c r="A706" s="134"/>
      <c r="B706" s="134"/>
      <c r="C706" s="128"/>
      <c r="D706" s="128"/>
      <c r="E706" s="128"/>
      <c r="F706" s="128"/>
      <c r="G706" s="128"/>
      <c r="H706" s="128"/>
      <c r="I706" s="128"/>
      <c r="J706" s="128"/>
      <c r="K706" s="128"/>
      <c r="L706" s="128"/>
      <c r="M706" s="128"/>
      <c r="N706" s="128"/>
      <c r="O706" s="128"/>
      <c r="P706" s="128"/>
      <c r="Q706" s="128"/>
      <c r="R706" s="128"/>
      <c r="S706" s="128"/>
      <c r="T706" s="128"/>
      <c r="U706" s="128"/>
      <c r="V706" s="128"/>
      <c r="W706" s="128"/>
      <c r="X706" s="128"/>
      <c r="Y706" s="128"/>
      <c r="Z706" s="128"/>
      <c r="AA706" s="128"/>
    </row>
    <row r="707">
      <c r="A707" s="134"/>
      <c r="B707" s="134"/>
      <c r="C707" s="128"/>
      <c r="D707" s="128"/>
      <c r="E707" s="128"/>
      <c r="F707" s="128"/>
      <c r="G707" s="128"/>
      <c r="H707" s="128"/>
      <c r="I707" s="128"/>
      <c r="J707" s="128"/>
      <c r="K707" s="128"/>
      <c r="L707" s="128"/>
      <c r="M707" s="128"/>
      <c r="N707" s="128"/>
      <c r="O707" s="128"/>
      <c r="P707" s="128"/>
      <c r="Q707" s="128"/>
      <c r="R707" s="128"/>
      <c r="S707" s="128"/>
      <c r="T707" s="128"/>
      <c r="U707" s="128"/>
      <c r="V707" s="128"/>
      <c r="W707" s="128"/>
      <c r="X707" s="128"/>
      <c r="Y707" s="128"/>
      <c r="Z707" s="128"/>
      <c r="AA707" s="128"/>
    </row>
    <row r="708">
      <c r="A708" s="134"/>
      <c r="B708" s="134"/>
      <c r="C708" s="128"/>
      <c r="D708" s="128"/>
      <c r="E708" s="128"/>
      <c r="F708" s="128"/>
      <c r="G708" s="128"/>
      <c r="H708" s="128"/>
      <c r="I708" s="128"/>
      <c r="J708" s="128"/>
      <c r="K708" s="128"/>
      <c r="L708" s="128"/>
      <c r="M708" s="128"/>
      <c r="N708" s="128"/>
      <c r="O708" s="128"/>
      <c r="P708" s="128"/>
      <c r="Q708" s="128"/>
      <c r="R708" s="128"/>
      <c r="S708" s="128"/>
      <c r="T708" s="128"/>
      <c r="U708" s="128"/>
      <c r="V708" s="128"/>
      <c r="W708" s="128"/>
      <c r="X708" s="128"/>
      <c r="Y708" s="128"/>
      <c r="Z708" s="128"/>
      <c r="AA708" s="128"/>
    </row>
    <row r="709">
      <c r="A709" s="134"/>
      <c r="B709" s="134"/>
      <c r="C709" s="128"/>
      <c r="D709" s="128"/>
      <c r="E709" s="128"/>
      <c r="F709" s="128"/>
      <c r="G709" s="128"/>
      <c r="H709" s="128"/>
      <c r="I709" s="128"/>
      <c r="J709" s="128"/>
      <c r="K709" s="128"/>
      <c r="L709" s="128"/>
      <c r="M709" s="128"/>
      <c r="N709" s="128"/>
      <c r="O709" s="128"/>
      <c r="P709" s="128"/>
      <c r="Q709" s="128"/>
      <c r="R709" s="128"/>
      <c r="S709" s="128"/>
      <c r="T709" s="128"/>
      <c r="U709" s="128"/>
      <c r="V709" s="128"/>
      <c r="W709" s="128"/>
      <c r="X709" s="128"/>
      <c r="Y709" s="128"/>
      <c r="Z709" s="128"/>
      <c r="AA709" s="128"/>
    </row>
    <row r="710">
      <c r="A710" s="134"/>
      <c r="B710" s="134"/>
      <c r="C710" s="128"/>
      <c r="D710" s="128"/>
      <c r="E710" s="128"/>
      <c r="F710" s="128"/>
      <c r="G710" s="128"/>
      <c r="H710" s="128"/>
      <c r="I710" s="128"/>
      <c r="J710" s="128"/>
      <c r="K710" s="128"/>
      <c r="L710" s="128"/>
      <c r="M710" s="128"/>
      <c r="N710" s="128"/>
      <c r="O710" s="128"/>
      <c r="P710" s="128"/>
      <c r="Q710" s="128"/>
      <c r="R710" s="128"/>
      <c r="S710" s="128"/>
      <c r="T710" s="128"/>
      <c r="U710" s="128"/>
      <c r="V710" s="128"/>
      <c r="W710" s="128"/>
      <c r="X710" s="128"/>
      <c r="Y710" s="128"/>
      <c r="Z710" s="128"/>
      <c r="AA710" s="128"/>
    </row>
    <row r="711">
      <c r="A711" s="134"/>
      <c r="B711" s="134"/>
      <c r="C711" s="128"/>
      <c r="D711" s="128"/>
      <c r="E711" s="128"/>
      <c r="F711" s="128"/>
      <c r="G711" s="128"/>
      <c r="H711" s="128"/>
      <c r="I711" s="128"/>
      <c r="J711" s="128"/>
      <c r="K711" s="128"/>
      <c r="L711" s="128"/>
      <c r="M711" s="128"/>
      <c r="N711" s="128"/>
      <c r="O711" s="128"/>
      <c r="P711" s="128"/>
      <c r="Q711" s="128"/>
      <c r="R711" s="128"/>
      <c r="S711" s="128"/>
      <c r="T711" s="128"/>
      <c r="U711" s="128"/>
      <c r="V711" s="128"/>
      <c r="W711" s="128"/>
      <c r="X711" s="128"/>
      <c r="Y711" s="128"/>
      <c r="Z711" s="128"/>
      <c r="AA711" s="128"/>
    </row>
    <row r="712">
      <c r="A712" s="134"/>
      <c r="B712" s="134"/>
      <c r="C712" s="128"/>
      <c r="D712" s="128"/>
      <c r="E712" s="128"/>
      <c r="F712" s="128"/>
      <c r="G712" s="128"/>
      <c r="H712" s="128"/>
      <c r="I712" s="128"/>
      <c r="J712" s="128"/>
      <c r="K712" s="128"/>
      <c r="L712" s="128"/>
      <c r="M712" s="128"/>
      <c r="N712" s="128"/>
      <c r="O712" s="128"/>
      <c r="P712" s="128"/>
      <c r="Q712" s="128"/>
      <c r="R712" s="128"/>
      <c r="S712" s="128"/>
      <c r="T712" s="128"/>
      <c r="U712" s="128"/>
      <c r="V712" s="128"/>
      <c r="W712" s="128"/>
      <c r="X712" s="128"/>
      <c r="Y712" s="128"/>
      <c r="Z712" s="128"/>
      <c r="AA712" s="128"/>
    </row>
    <row r="713">
      <c r="A713" s="134"/>
      <c r="B713" s="134"/>
      <c r="C713" s="128"/>
      <c r="D713" s="128"/>
      <c r="E713" s="128"/>
      <c r="F713" s="128"/>
      <c r="G713" s="128"/>
      <c r="H713" s="128"/>
      <c r="I713" s="128"/>
      <c r="J713" s="128"/>
      <c r="K713" s="128"/>
      <c r="L713" s="128"/>
      <c r="M713" s="128"/>
      <c r="N713" s="128"/>
      <c r="O713" s="128"/>
      <c r="P713" s="128"/>
      <c r="Q713" s="128"/>
      <c r="R713" s="128"/>
      <c r="S713" s="128"/>
      <c r="T713" s="128"/>
      <c r="U713" s="128"/>
      <c r="V713" s="128"/>
      <c r="W713" s="128"/>
      <c r="X713" s="128"/>
      <c r="Y713" s="128"/>
      <c r="Z713" s="128"/>
      <c r="AA713" s="128"/>
    </row>
    <row r="714">
      <c r="A714" s="134"/>
      <c r="B714" s="134"/>
      <c r="C714" s="128"/>
      <c r="D714" s="128"/>
      <c r="E714" s="128"/>
      <c r="F714" s="128"/>
      <c r="G714" s="128"/>
      <c r="H714" s="128"/>
      <c r="I714" s="128"/>
      <c r="J714" s="128"/>
      <c r="K714" s="128"/>
      <c r="L714" s="128"/>
      <c r="M714" s="128"/>
      <c r="N714" s="128"/>
      <c r="O714" s="128"/>
      <c r="P714" s="128"/>
      <c r="Q714" s="128"/>
      <c r="R714" s="128"/>
      <c r="S714" s="128"/>
      <c r="T714" s="128"/>
      <c r="U714" s="128"/>
      <c r="V714" s="128"/>
      <c r="W714" s="128"/>
      <c r="X714" s="128"/>
      <c r="Y714" s="128"/>
      <c r="Z714" s="128"/>
      <c r="AA714" s="128"/>
    </row>
    <row r="715">
      <c r="A715" s="134"/>
      <c r="B715" s="134"/>
      <c r="C715" s="128"/>
      <c r="D715" s="128"/>
      <c r="E715" s="128"/>
      <c r="F715" s="128"/>
      <c r="G715" s="128"/>
      <c r="H715" s="128"/>
      <c r="I715" s="128"/>
      <c r="J715" s="128"/>
      <c r="K715" s="128"/>
      <c r="L715" s="128"/>
      <c r="M715" s="128"/>
      <c r="N715" s="128"/>
      <c r="O715" s="128"/>
      <c r="P715" s="128"/>
      <c r="Q715" s="128"/>
      <c r="R715" s="128"/>
      <c r="S715" s="128"/>
      <c r="T715" s="128"/>
      <c r="U715" s="128"/>
      <c r="V715" s="128"/>
      <c r="W715" s="128"/>
      <c r="X715" s="128"/>
      <c r="Y715" s="128"/>
      <c r="Z715" s="128"/>
      <c r="AA715" s="128"/>
    </row>
    <row r="716">
      <c r="A716" s="134"/>
      <c r="B716" s="134"/>
      <c r="C716" s="128"/>
      <c r="D716" s="128"/>
      <c r="E716" s="128"/>
      <c r="F716" s="128"/>
      <c r="G716" s="128"/>
      <c r="H716" s="128"/>
      <c r="I716" s="128"/>
      <c r="J716" s="128"/>
      <c r="K716" s="128"/>
      <c r="L716" s="128"/>
      <c r="M716" s="128"/>
      <c r="N716" s="128"/>
      <c r="O716" s="128"/>
      <c r="P716" s="128"/>
      <c r="Q716" s="128"/>
      <c r="R716" s="128"/>
      <c r="S716" s="128"/>
      <c r="T716" s="128"/>
      <c r="U716" s="128"/>
      <c r="V716" s="128"/>
      <c r="W716" s="128"/>
      <c r="X716" s="128"/>
      <c r="Y716" s="128"/>
      <c r="Z716" s="128"/>
      <c r="AA716" s="128"/>
    </row>
    <row r="717">
      <c r="A717" s="134"/>
      <c r="B717" s="134"/>
      <c r="C717" s="128"/>
      <c r="D717" s="128"/>
      <c r="E717" s="128"/>
      <c r="F717" s="128"/>
      <c r="G717" s="128"/>
      <c r="H717" s="128"/>
      <c r="I717" s="128"/>
      <c r="J717" s="128"/>
      <c r="K717" s="128"/>
      <c r="L717" s="128"/>
      <c r="M717" s="128"/>
      <c r="N717" s="128"/>
      <c r="O717" s="128"/>
      <c r="P717" s="128"/>
      <c r="Q717" s="128"/>
      <c r="R717" s="128"/>
      <c r="S717" s="128"/>
      <c r="T717" s="128"/>
      <c r="U717" s="128"/>
      <c r="V717" s="128"/>
      <c r="W717" s="128"/>
      <c r="X717" s="128"/>
      <c r="Y717" s="128"/>
      <c r="Z717" s="128"/>
      <c r="AA717" s="128"/>
    </row>
    <row r="718">
      <c r="A718" s="134"/>
      <c r="B718" s="134"/>
      <c r="C718" s="128"/>
      <c r="D718" s="128"/>
      <c r="E718" s="128"/>
      <c r="F718" s="128"/>
      <c r="G718" s="128"/>
      <c r="H718" s="128"/>
      <c r="I718" s="128"/>
      <c r="J718" s="128"/>
      <c r="K718" s="128"/>
      <c r="L718" s="128"/>
      <c r="M718" s="128"/>
      <c r="N718" s="128"/>
      <c r="O718" s="128"/>
      <c r="P718" s="128"/>
      <c r="Q718" s="128"/>
      <c r="R718" s="128"/>
      <c r="S718" s="128"/>
      <c r="T718" s="128"/>
      <c r="U718" s="128"/>
      <c r="V718" s="128"/>
      <c r="W718" s="128"/>
      <c r="X718" s="128"/>
      <c r="Y718" s="128"/>
      <c r="Z718" s="128"/>
      <c r="AA718" s="128"/>
    </row>
    <row r="719">
      <c r="A719" s="134"/>
      <c r="B719" s="134"/>
      <c r="C719" s="128"/>
      <c r="D719" s="128"/>
      <c r="E719" s="128"/>
      <c r="F719" s="128"/>
      <c r="G719" s="128"/>
      <c r="H719" s="128"/>
      <c r="I719" s="128"/>
      <c r="J719" s="128"/>
      <c r="K719" s="128"/>
      <c r="L719" s="128"/>
      <c r="M719" s="128"/>
      <c r="N719" s="128"/>
      <c r="O719" s="128"/>
      <c r="P719" s="128"/>
      <c r="Q719" s="128"/>
      <c r="R719" s="128"/>
      <c r="S719" s="128"/>
      <c r="T719" s="128"/>
      <c r="U719" s="128"/>
      <c r="V719" s="128"/>
      <c r="W719" s="128"/>
      <c r="X719" s="128"/>
      <c r="Y719" s="128"/>
      <c r="Z719" s="128"/>
      <c r="AA719" s="128"/>
    </row>
    <row r="720">
      <c r="A720" s="134"/>
      <c r="B720" s="134"/>
      <c r="C720" s="128"/>
      <c r="D720" s="128"/>
      <c r="E720" s="128"/>
      <c r="F720" s="128"/>
      <c r="G720" s="128"/>
      <c r="H720" s="128"/>
      <c r="I720" s="128"/>
      <c r="J720" s="128"/>
      <c r="K720" s="128"/>
      <c r="L720" s="128"/>
      <c r="M720" s="128"/>
      <c r="N720" s="128"/>
      <c r="O720" s="128"/>
      <c r="P720" s="128"/>
      <c r="Q720" s="128"/>
      <c r="R720" s="128"/>
      <c r="S720" s="128"/>
      <c r="T720" s="128"/>
      <c r="U720" s="128"/>
      <c r="V720" s="128"/>
      <c r="W720" s="128"/>
      <c r="X720" s="128"/>
      <c r="Y720" s="128"/>
      <c r="Z720" s="128"/>
      <c r="AA720" s="128"/>
    </row>
    <row r="721">
      <c r="A721" s="134"/>
      <c r="B721" s="134"/>
      <c r="C721" s="128"/>
      <c r="D721" s="128"/>
      <c r="E721" s="128"/>
      <c r="F721" s="128"/>
      <c r="G721" s="128"/>
      <c r="H721" s="128"/>
      <c r="I721" s="128"/>
      <c r="J721" s="128"/>
      <c r="K721" s="128"/>
      <c r="L721" s="128"/>
      <c r="M721" s="128"/>
      <c r="N721" s="128"/>
      <c r="O721" s="128"/>
      <c r="P721" s="128"/>
      <c r="Q721" s="128"/>
      <c r="R721" s="128"/>
      <c r="S721" s="128"/>
      <c r="T721" s="128"/>
      <c r="U721" s="128"/>
      <c r="V721" s="128"/>
      <c r="W721" s="128"/>
      <c r="X721" s="128"/>
      <c r="Y721" s="128"/>
      <c r="Z721" s="128"/>
      <c r="AA721" s="128"/>
    </row>
    <row r="722">
      <c r="A722" s="134"/>
      <c r="B722" s="134"/>
      <c r="C722" s="128"/>
      <c r="D722" s="128"/>
      <c r="E722" s="128"/>
      <c r="F722" s="128"/>
      <c r="G722" s="128"/>
      <c r="H722" s="128"/>
      <c r="I722" s="128"/>
      <c r="J722" s="128"/>
      <c r="K722" s="128"/>
      <c r="L722" s="128"/>
      <c r="M722" s="128"/>
      <c r="N722" s="128"/>
      <c r="O722" s="128"/>
      <c r="P722" s="128"/>
      <c r="Q722" s="128"/>
      <c r="R722" s="128"/>
      <c r="S722" s="128"/>
      <c r="T722" s="128"/>
      <c r="U722" s="128"/>
      <c r="V722" s="128"/>
      <c r="W722" s="128"/>
      <c r="X722" s="128"/>
      <c r="Y722" s="128"/>
      <c r="Z722" s="128"/>
      <c r="AA722" s="128"/>
    </row>
    <row r="723">
      <c r="A723" s="134"/>
      <c r="B723" s="134"/>
      <c r="C723" s="128"/>
      <c r="D723" s="128"/>
      <c r="E723" s="128"/>
      <c r="F723" s="128"/>
      <c r="G723" s="128"/>
      <c r="H723" s="128"/>
      <c r="I723" s="128"/>
      <c r="J723" s="128"/>
      <c r="K723" s="128"/>
      <c r="L723" s="128"/>
      <c r="M723" s="128"/>
      <c r="N723" s="128"/>
      <c r="O723" s="128"/>
      <c r="P723" s="128"/>
      <c r="Q723" s="128"/>
      <c r="R723" s="128"/>
      <c r="S723" s="128"/>
      <c r="T723" s="128"/>
      <c r="U723" s="128"/>
      <c r="V723" s="128"/>
      <c r="W723" s="128"/>
      <c r="X723" s="128"/>
      <c r="Y723" s="128"/>
      <c r="Z723" s="128"/>
      <c r="AA723" s="128"/>
    </row>
    <row r="724">
      <c r="A724" s="134"/>
      <c r="B724" s="134"/>
      <c r="C724" s="128"/>
      <c r="D724" s="128"/>
      <c r="E724" s="128"/>
      <c r="F724" s="128"/>
      <c r="G724" s="128"/>
      <c r="H724" s="128"/>
      <c r="I724" s="128"/>
      <c r="J724" s="128"/>
      <c r="K724" s="128"/>
      <c r="L724" s="128"/>
      <c r="M724" s="128"/>
      <c r="N724" s="128"/>
      <c r="O724" s="128"/>
      <c r="P724" s="128"/>
      <c r="Q724" s="128"/>
      <c r="R724" s="128"/>
      <c r="S724" s="128"/>
      <c r="T724" s="128"/>
      <c r="U724" s="128"/>
      <c r="V724" s="128"/>
      <c r="W724" s="128"/>
      <c r="X724" s="128"/>
      <c r="Y724" s="128"/>
      <c r="Z724" s="128"/>
      <c r="AA724" s="128"/>
    </row>
    <row r="725">
      <c r="A725" s="134"/>
      <c r="B725" s="134"/>
      <c r="C725" s="128"/>
      <c r="D725" s="128"/>
      <c r="E725" s="128"/>
      <c r="F725" s="128"/>
      <c r="G725" s="128"/>
      <c r="H725" s="128"/>
      <c r="I725" s="128"/>
      <c r="J725" s="128"/>
      <c r="K725" s="128"/>
      <c r="L725" s="128"/>
      <c r="M725" s="128"/>
      <c r="N725" s="128"/>
      <c r="O725" s="128"/>
      <c r="P725" s="128"/>
      <c r="Q725" s="128"/>
      <c r="R725" s="128"/>
      <c r="S725" s="128"/>
      <c r="T725" s="128"/>
      <c r="U725" s="128"/>
      <c r="V725" s="128"/>
      <c r="W725" s="128"/>
      <c r="X725" s="128"/>
      <c r="Y725" s="128"/>
      <c r="Z725" s="128"/>
      <c r="AA725" s="128"/>
    </row>
    <row r="726">
      <c r="A726" s="134"/>
      <c r="B726" s="134"/>
      <c r="C726" s="128"/>
      <c r="D726" s="128"/>
      <c r="E726" s="128"/>
      <c r="F726" s="128"/>
      <c r="G726" s="128"/>
      <c r="H726" s="128"/>
      <c r="I726" s="128"/>
      <c r="J726" s="128"/>
      <c r="K726" s="128"/>
      <c r="L726" s="128"/>
      <c r="M726" s="128"/>
      <c r="N726" s="128"/>
      <c r="O726" s="128"/>
      <c r="P726" s="128"/>
      <c r="Q726" s="128"/>
      <c r="R726" s="128"/>
      <c r="S726" s="128"/>
      <c r="T726" s="128"/>
      <c r="U726" s="128"/>
      <c r="V726" s="128"/>
      <c r="W726" s="128"/>
      <c r="X726" s="128"/>
      <c r="Y726" s="128"/>
      <c r="Z726" s="128"/>
      <c r="AA726" s="128"/>
    </row>
    <row r="727">
      <c r="A727" s="134"/>
      <c r="B727" s="134"/>
      <c r="C727" s="128"/>
      <c r="D727" s="128"/>
      <c r="E727" s="128"/>
      <c r="F727" s="128"/>
      <c r="G727" s="128"/>
      <c r="H727" s="128"/>
      <c r="I727" s="128"/>
      <c r="J727" s="128"/>
      <c r="K727" s="128"/>
      <c r="L727" s="128"/>
      <c r="M727" s="128"/>
      <c r="N727" s="128"/>
      <c r="O727" s="128"/>
      <c r="P727" s="128"/>
      <c r="Q727" s="128"/>
      <c r="R727" s="128"/>
      <c r="S727" s="128"/>
      <c r="T727" s="128"/>
      <c r="U727" s="128"/>
      <c r="V727" s="128"/>
      <c r="W727" s="128"/>
      <c r="X727" s="128"/>
      <c r="Y727" s="128"/>
      <c r="Z727" s="128"/>
      <c r="AA727" s="128"/>
    </row>
    <row r="728">
      <c r="A728" s="134"/>
      <c r="B728" s="134"/>
      <c r="C728" s="128"/>
      <c r="D728" s="128"/>
      <c r="E728" s="128"/>
      <c r="F728" s="128"/>
      <c r="G728" s="128"/>
      <c r="H728" s="128"/>
      <c r="I728" s="128"/>
      <c r="J728" s="128"/>
      <c r="K728" s="128"/>
      <c r="L728" s="128"/>
      <c r="M728" s="128"/>
      <c r="N728" s="128"/>
      <c r="O728" s="128"/>
      <c r="P728" s="128"/>
      <c r="Q728" s="128"/>
      <c r="R728" s="128"/>
      <c r="S728" s="128"/>
      <c r="T728" s="128"/>
      <c r="U728" s="128"/>
      <c r="V728" s="128"/>
      <c r="W728" s="128"/>
      <c r="X728" s="128"/>
      <c r="Y728" s="128"/>
      <c r="Z728" s="128"/>
      <c r="AA728" s="128"/>
    </row>
    <row r="729">
      <c r="A729" s="134"/>
      <c r="B729" s="134"/>
      <c r="C729" s="128"/>
      <c r="D729" s="128"/>
      <c r="E729" s="128"/>
      <c r="F729" s="128"/>
      <c r="G729" s="128"/>
      <c r="H729" s="128"/>
      <c r="I729" s="128"/>
      <c r="J729" s="128"/>
      <c r="K729" s="128"/>
      <c r="L729" s="128"/>
      <c r="M729" s="128"/>
      <c r="N729" s="128"/>
      <c r="O729" s="128"/>
      <c r="P729" s="128"/>
      <c r="Q729" s="128"/>
      <c r="R729" s="128"/>
      <c r="S729" s="128"/>
      <c r="T729" s="128"/>
      <c r="U729" s="128"/>
      <c r="V729" s="128"/>
      <c r="W729" s="128"/>
      <c r="X729" s="128"/>
      <c r="Y729" s="128"/>
      <c r="Z729" s="128"/>
      <c r="AA729" s="128"/>
    </row>
    <row r="730">
      <c r="A730" s="134"/>
      <c r="B730" s="134"/>
      <c r="C730" s="128"/>
      <c r="D730" s="128"/>
      <c r="E730" s="128"/>
      <c r="F730" s="128"/>
      <c r="G730" s="128"/>
      <c r="H730" s="128"/>
      <c r="I730" s="128"/>
      <c r="J730" s="128"/>
      <c r="K730" s="128"/>
      <c r="L730" s="128"/>
      <c r="M730" s="128"/>
      <c r="N730" s="128"/>
      <c r="O730" s="128"/>
      <c r="P730" s="128"/>
      <c r="Q730" s="128"/>
      <c r="R730" s="128"/>
      <c r="S730" s="128"/>
      <c r="T730" s="128"/>
      <c r="U730" s="128"/>
      <c r="V730" s="128"/>
      <c r="W730" s="128"/>
      <c r="X730" s="128"/>
      <c r="Y730" s="128"/>
      <c r="Z730" s="128"/>
      <c r="AA730" s="128"/>
    </row>
    <row r="731">
      <c r="A731" s="134"/>
      <c r="B731" s="134"/>
      <c r="C731" s="128"/>
      <c r="D731" s="128"/>
      <c r="E731" s="128"/>
      <c r="F731" s="128"/>
      <c r="G731" s="128"/>
      <c r="H731" s="128"/>
      <c r="I731" s="128"/>
      <c r="J731" s="128"/>
      <c r="K731" s="128"/>
      <c r="L731" s="128"/>
      <c r="M731" s="128"/>
      <c r="N731" s="128"/>
      <c r="O731" s="128"/>
      <c r="P731" s="128"/>
      <c r="Q731" s="128"/>
      <c r="R731" s="128"/>
      <c r="S731" s="128"/>
      <c r="T731" s="128"/>
      <c r="U731" s="128"/>
      <c r="V731" s="128"/>
      <c r="W731" s="128"/>
      <c r="X731" s="128"/>
      <c r="Y731" s="128"/>
      <c r="Z731" s="128"/>
      <c r="AA731" s="128"/>
    </row>
    <row r="732">
      <c r="A732" s="134"/>
      <c r="B732" s="134"/>
      <c r="C732" s="128"/>
      <c r="D732" s="128"/>
      <c r="E732" s="128"/>
      <c r="F732" s="128"/>
      <c r="G732" s="128"/>
      <c r="H732" s="128"/>
      <c r="I732" s="128"/>
      <c r="J732" s="128"/>
      <c r="K732" s="128"/>
      <c r="L732" s="128"/>
      <c r="M732" s="128"/>
      <c r="N732" s="128"/>
      <c r="O732" s="128"/>
      <c r="P732" s="128"/>
      <c r="Q732" s="128"/>
      <c r="R732" s="128"/>
      <c r="S732" s="128"/>
      <c r="T732" s="128"/>
      <c r="U732" s="128"/>
      <c r="V732" s="128"/>
      <c r="W732" s="128"/>
      <c r="X732" s="128"/>
      <c r="Y732" s="128"/>
      <c r="Z732" s="128"/>
      <c r="AA732" s="128"/>
    </row>
    <row r="733">
      <c r="A733" s="134"/>
      <c r="B733" s="134"/>
      <c r="C733" s="128"/>
      <c r="D733" s="128"/>
      <c r="E733" s="128"/>
      <c r="F733" s="128"/>
      <c r="G733" s="128"/>
      <c r="H733" s="128"/>
      <c r="I733" s="128"/>
      <c r="J733" s="128"/>
      <c r="K733" s="128"/>
      <c r="L733" s="128"/>
      <c r="M733" s="128"/>
      <c r="N733" s="128"/>
      <c r="O733" s="128"/>
      <c r="P733" s="128"/>
      <c r="Q733" s="128"/>
      <c r="R733" s="128"/>
      <c r="S733" s="128"/>
      <c r="T733" s="128"/>
      <c r="U733" s="128"/>
      <c r="V733" s="128"/>
      <c r="W733" s="128"/>
      <c r="X733" s="128"/>
      <c r="Y733" s="128"/>
      <c r="Z733" s="128"/>
      <c r="AA733" s="128"/>
    </row>
    <row r="734">
      <c r="A734" s="134"/>
      <c r="B734" s="134"/>
      <c r="C734" s="128"/>
      <c r="D734" s="128"/>
      <c r="E734" s="128"/>
      <c r="F734" s="128"/>
      <c r="G734" s="128"/>
      <c r="H734" s="128"/>
      <c r="I734" s="128"/>
      <c r="J734" s="128"/>
      <c r="K734" s="128"/>
      <c r="L734" s="128"/>
      <c r="M734" s="128"/>
      <c r="N734" s="128"/>
      <c r="O734" s="128"/>
      <c r="P734" s="128"/>
      <c r="Q734" s="128"/>
      <c r="R734" s="128"/>
      <c r="S734" s="128"/>
      <c r="T734" s="128"/>
      <c r="U734" s="128"/>
      <c r="V734" s="128"/>
      <c r="W734" s="128"/>
      <c r="X734" s="128"/>
      <c r="Y734" s="128"/>
      <c r="Z734" s="128"/>
      <c r="AA734" s="128"/>
    </row>
    <row r="735">
      <c r="A735" s="134"/>
      <c r="B735" s="134"/>
      <c r="C735" s="128"/>
      <c r="D735" s="128"/>
      <c r="E735" s="128"/>
      <c r="F735" s="128"/>
      <c r="G735" s="128"/>
      <c r="H735" s="128"/>
      <c r="I735" s="128"/>
      <c r="J735" s="128"/>
      <c r="K735" s="128"/>
      <c r="L735" s="128"/>
      <c r="M735" s="128"/>
      <c r="N735" s="128"/>
      <c r="O735" s="128"/>
      <c r="P735" s="128"/>
      <c r="Q735" s="128"/>
      <c r="R735" s="128"/>
      <c r="S735" s="128"/>
      <c r="T735" s="128"/>
      <c r="U735" s="128"/>
      <c r="V735" s="128"/>
      <c r="W735" s="128"/>
      <c r="X735" s="128"/>
      <c r="Y735" s="128"/>
      <c r="Z735" s="128"/>
      <c r="AA735" s="128"/>
    </row>
    <row r="736">
      <c r="A736" s="134"/>
      <c r="B736" s="134"/>
      <c r="C736" s="128"/>
      <c r="D736" s="128"/>
      <c r="E736" s="128"/>
      <c r="F736" s="128"/>
      <c r="G736" s="128"/>
      <c r="H736" s="128"/>
      <c r="I736" s="128"/>
      <c r="J736" s="128"/>
      <c r="K736" s="128"/>
      <c r="L736" s="128"/>
      <c r="M736" s="128"/>
      <c r="N736" s="128"/>
      <c r="O736" s="128"/>
      <c r="P736" s="128"/>
      <c r="Q736" s="128"/>
      <c r="R736" s="128"/>
      <c r="S736" s="128"/>
      <c r="T736" s="128"/>
      <c r="U736" s="128"/>
      <c r="V736" s="128"/>
      <c r="W736" s="128"/>
      <c r="X736" s="128"/>
      <c r="Y736" s="128"/>
      <c r="Z736" s="128"/>
      <c r="AA736" s="128"/>
    </row>
    <row r="737">
      <c r="A737" s="134"/>
      <c r="B737" s="134"/>
      <c r="C737" s="128"/>
      <c r="D737" s="128"/>
      <c r="E737" s="128"/>
      <c r="F737" s="128"/>
      <c r="G737" s="128"/>
      <c r="H737" s="128"/>
      <c r="I737" s="128"/>
      <c r="J737" s="128"/>
      <c r="K737" s="128"/>
      <c r="L737" s="128"/>
      <c r="M737" s="128"/>
      <c r="N737" s="128"/>
      <c r="O737" s="128"/>
      <c r="P737" s="128"/>
      <c r="Q737" s="128"/>
      <c r="R737" s="128"/>
      <c r="S737" s="128"/>
      <c r="T737" s="128"/>
      <c r="U737" s="128"/>
      <c r="V737" s="128"/>
      <c r="W737" s="128"/>
      <c r="X737" s="128"/>
      <c r="Y737" s="128"/>
      <c r="Z737" s="128"/>
      <c r="AA737" s="128"/>
    </row>
    <row r="738">
      <c r="A738" s="134"/>
      <c r="B738" s="134"/>
      <c r="C738" s="128"/>
      <c r="D738" s="128"/>
      <c r="E738" s="128"/>
      <c r="F738" s="128"/>
      <c r="G738" s="128"/>
      <c r="H738" s="128"/>
      <c r="I738" s="128"/>
      <c r="J738" s="128"/>
      <c r="K738" s="128"/>
      <c r="L738" s="128"/>
      <c r="M738" s="128"/>
      <c r="N738" s="128"/>
      <c r="O738" s="128"/>
      <c r="P738" s="128"/>
      <c r="Q738" s="128"/>
      <c r="R738" s="128"/>
      <c r="S738" s="128"/>
      <c r="T738" s="128"/>
      <c r="U738" s="128"/>
      <c r="V738" s="128"/>
      <c r="W738" s="128"/>
      <c r="X738" s="128"/>
      <c r="Y738" s="128"/>
      <c r="Z738" s="128"/>
      <c r="AA738" s="128"/>
    </row>
    <row r="739">
      <c r="A739" s="134"/>
      <c r="B739" s="134"/>
      <c r="C739" s="128"/>
      <c r="D739" s="128"/>
      <c r="E739" s="128"/>
      <c r="F739" s="128"/>
      <c r="G739" s="128"/>
      <c r="H739" s="128"/>
      <c r="I739" s="128"/>
      <c r="J739" s="128"/>
      <c r="K739" s="128"/>
      <c r="L739" s="128"/>
      <c r="M739" s="128"/>
      <c r="N739" s="128"/>
      <c r="O739" s="128"/>
      <c r="P739" s="128"/>
      <c r="Q739" s="128"/>
      <c r="R739" s="128"/>
      <c r="S739" s="128"/>
      <c r="T739" s="128"/>
      <c r="U739" s="128"/>
      <c r="V739" s="128"/>
      <c r="W739" s="128"/>
      <c r="X739" s="128"/>
      <c r="Y739" s="128"/>
      <c r="Z739" s="128"/>
      <c r="AA739" s="128"/>
    </row>
    <row r="740">
      <c r="A740" s="134"/>
      <c r="B740" s="134"/>
      <c r="C740" s="128"/>
      <c r="D740" s="128"/>
      <c r="E740" s="128"/>
      <c r="F740" s="128"/>
      <c r="G740" s="128"/>
      <c r="H740" s="128"/>
      <c r="I740" s="128"/>
      <c r="J740" s="128"/>
      <c r="K740" s="128"/>
      <c r="L740" s="128"/>
      <c r="M740" s="128"/>
      <c r="N740" s="128"/>
      <c r="O740" s="128"/>
      <c r="P740" s="128"/>
      <c r="Q740" s="128"/>
      <c r="R740" s="128"/>
      <c r="S740" s="128"/>
      <c r="T740" s="128"/>
      <c r="U740" s="128"/>
      <c r="V740" s="128"/>
      <c r="W740" s="128"/>
      <c r="X740" s="128"/>
      <c r="Y740" s="128"/>
      <c r="Z740" s="128"/>
      <c r="AA740" s="128"/>
    </row>
    <row r="741">
      <c r="A741" s="134"/>
      <c r="B741" s="134"/>
      <c r="C741" s="128"/>
      <c r="D741" s="128"/>
      <c r="E741" s="128"/>
      <c r="F741" s="128"/>
      <c r="G741" s="128"/>
      <c r="H741" s="128"/>
      <c r="I741" s="128"/>
      <c r="J741" s="128"/>
      <c r="K741" s="128"/>
      <c r="L741" s="128"/>
      <c r="M741" s="128"/>
      <c r="N741" s="128"/>
      <c r="O741" s="128"/>
      <c r="P741" s="128"/>
      <c r="Q741" s="128"/>
      <c r="R741" s="128"/>
      <c r="S741" s="128"/>
      <c r="T741" s="128"/>
      <c r="U741" s="128"/>
      <c r="V741" s="128"/>
      <c r="W741" s="128"/>
      <c r="X741" s="128"/>
      <c r="Y741" s="128"/>
      <c r="Z741" s="128"/>
      <c r="AA741" s="128"/>
    </row>
    <row r="742">
      <c r="A742" s="134"/>
      <c r="B742" s="134"/>
      <c r="C742" s="128"/>
      <c r="D742" s="128"/>
      <c r="E742" s="128"/>
      <c r="F742" s="128"/>
      <c r="G742" s="128"/>
      <c r="H742" s="128"/>
      <c r="I742" s="128"/>
      <c r="J742" s="128"/>
      <c r="K742" s="128"/>
      <c r="L742" s="128"/>
      <c r="M742" s="128"/>
      <c r="N742" s="128"/>
      <c r="O742" s="128"/>
      <c r="P742" s="128"/>
      <c r="Q742" s="128"/>
      <c r="R742" s="128"/>
      <c r="S742" s="128"/>
      <c r="T742" s="128"/>
      <c r="U742" s="128"/>
      <c r="V742" s="128"/>
      <c r="W742" s="128"/>
      <c r="X742" s="128"/>
      <c r="Y742" s="128"/>
      <c r="Z742" s="128"/>
      <c r="AA742" s="128"/>
    </row>
    <row r="743">
      <c r="A743" s="134"/>
      <c r="B743" s="134"/>
      <c r="C743" s="128"/>
      <c r="D743" s="128"/>
      <c r="E743" s="128"/>
      <c r="F743" s="128"/>
      <c r="G743" s="128"/>
      <c r="H743" s="128"/>
      <c r="I743" s="128"/>
      <c r="J743" s="128"/>
      <c r="K743" s="128"/>
      <c r="L743" s="128"/>
      <c r="M743" s="128"/>
      <c r="N743" s="128"/>
      <c r="O743" s="128"/>
      <c r="P743" s="128"/>
      <c r="Q743" s="128"/>
      <c r="R743" s="128"/>
      <c r="S743" s="128"/>
      <c r="T743" s="128"/>
      <c r="U743" s="128"/>
      <c r="V743" s="128"/>
      <c r="W743" s="128"/>
      <c r="X743" s="128"/>
      <c r="Y743" s="128"/>
      <c r="Z743" s="128"/>
      <c r="AA743" s="128"/>
    </row>
    <row r="744">
      <c r="A744" s="134"/>
      <c r="B744" s="134"/>
      <c r="C744" s="128"/>
      <c r="D744" s="128"/>
      <c r="E744" s="128"/>
      <c r="F744" s="128"/>
      <c r="G744" s="128"/>
      <c r="H744" s="128"/>
      <c r="I744" s="128"/>
      <c r="J744" s="128"/>
      <c r="K744" s="128"/>
      <c r="L744" s="128"/>
      <c r="M744" s="128"/>
      <c r="N744" s="128"/>
      <c r="O744" s="128"/>
      <c r="P744" s="128"/>
      <c r="Q744" s="128"/>
      <c r="R744" s="128"/>
      <c r="S744" s="128"/>
      <c r="T744" s="128"/>
      <c r="U744" s="128"/>
      <c r="V744" s="128"/>
      <c r="W744" s="128"/>
      <c r="X744" s="128"/>
      <c r="Y744" s="128"/>
      <c r="Z744" s="128"/>
      <c r="AA744" s="128"/>
    </row>
    <row r="745">
      <c r="A745" s="134"/>
      <c r="B745" s="134"/>
      <c r="C745" s="128"/>
      <c r="D745" s="128"/>
      <c r="E745" s="128"/>
      <c r="F745" s="128"/>
      <c r="G745" s="128"/>
      <c r="H745" s="128"/>
      <c r="I745" s="128"/>
      <c r="J745" s="128"/>
      <c r="K745" s="128"/>
      <c r="L745" s="128"/>
      <c r="M745" s="128"/>
      <c r="N745" s="128"/>
      <c r="O745" s="128"/>
      <c r="P745" s="128"/>
      <c r="Q745" s="128"/>
      <c r="R745" s="128"/>
      <c r="S745" s="128"/>
      <c r="T745" s="128"/>
      <c r="U745" s="128"/>
      <c r="V745" s="128"/>
      <c r="W745" s="128"/>
      <c r="X745" s="128"/>
      <c r="Y745" s="128"/>
      <c r="Z745" s="128"/>
      <c r="AA745" s="128"/>
    </row>
    <row r="746">
      <c r="A746" s="134"/>
      <c r="B746" s="134"/>
      <c r="C746" s="128"/>
      <c r="D746" s="128"/>
      <c r="E746" s="128"/>
      <c r="F746" s="128"/>
      <c r="G746" s="128"/>
      <c r="H746" s="128"/>
      <c r="I746" s="128"/>
      <c r="J746" s="128"/>
      <c r="K746" s="128"/>
      <c r="L746" s="128"/>
      <c r="M746" s="128"/>
      <c r="N746" s="128"/>
      <c r="O746" s="128"/>
      <c r="P746" s="128"/>
      <c r="Q746" s="128"/>
      <c r="R746" s="128"/>
      <c r="S746" s="128"/>
      <c r="T746" s="128"/>
      <c r="U746" s="128"/>
      <c r="V746" s="128"/>
      <c r="W746" s="128"/>
      <c r="X746" s="128"/>
      <c r="Y746" s="128"/>
      <c r="Z746" s="128"/>
      <c r="AA746" s="128"/>
    </row>
    <row r="747">
      <c r="A747" s="134"/>
      <c r="B747" s="134"/>
      <c r="C747" s="128"/>
      <c r="D747" s="128"/>
      <c r="E747" s="128"/>
      <c r="F747" s="128"/>
      <c r="G747" s="128"/>
      <c r="H747" s="128"/>
      <c r="I747" s="128"/>
      <c r="J747" s="128"/>
      <c r="K747" s="128"/>
      <c r="L747" s="128"/>
      <c r="M747" s="128"/>
      <c r="N747" s="128"/>
      <c r="O747" s="128"/>
      <c r="P747" s="128"/>
      <c r="Q747" s="128"/>
      <c r="R747" s="128"/>
      <c r="S747" s="128"/>
      <c r="T747" s="128"/>
      <c r="U747" s="128"/>
      <c r="V747" s="128"/>
      <c r="W747" s="128"/>
      <c r="X747" s="128"/>
      <c r="Y747" s="128"/>
      <c r="Z747" s="128"/>
      <c r="AA747" s="128"/>
    </row>
    <row r="748">
      <c r="A748" s="134"/>
      <c r="B748" s="134"/>
      <c r="C748" s="128"/>
      <c r="D748" s="128"/>
      <c r="E748" s="128"/>
      <c r="F748" s="128"/>
      <c r="G748" s="128"/>
      <c r="H748" s="128"/>
      <c r="I748" s="128"/>
      <c r="J748" s="128"/>
      <c r="K748" s="128"/>
      <c r="L748" s="128"/>
      <c r="M748" s="128"/>
      <c r="N748" s="128"/>
      <c r="O748" s="128"/>
      <c r="P748" s="128"/>
      <c r="Q748" s="128"/>
      <c r="R748" s="128"/>
      <c r="S748" s="128"/>
      <c r="T748" s="128"/>
      <c r="U748" s="128"/>
      <c r="V748" s="128"/>
      <c r="W748" s="128"/>
      <c r="X748" s="128"/>
      <c r="Y748" s="128"/>
      <c r="Z748" s="128"/>
      <c r="AA748" s="128"/>
    </row>
    <row r="749">
      <c r="A749" s="134"/>
      <c r="B749" s="134"/>
      <c r="C749" s="128"/>
      <c r="D749" s="128"/>
      <c r="E749" s="128"/>
      <c r="F749" s="128"/>
      <c r="G749" s="128"/>
      <c r="H749" s="128"/>
      <c r="I749" s="128"/>
      <c r="J749" s="128"/>
      <c r="K749" s="128"/>
      <c r="L749" s="128"/>
      <c r="M749" s="128"/>
      <c r="N749" s="128"/>
      <c r="O749" s="128"/>
      <c r="P749" s="128"/>
      <c r="Q749" s="128"/>
      <c r="R749" s="128"/>
      <c r="S749" s="128"/>
      <c r="T749" s="128"/>
      <c r="U749" s="128"/>
      <c r="V749" s="128"/>
      <c r="W749" s="128"/>
      <c r="X749" s="128"/>
      <c r="Y749" s="128"/>
      <c r="Z749" s="128"/>
      <c r="AA749" s="128"/>
    </row>
    <row r="750">
      <c r="A750" s="134"/>
      <c r="B750" s="134"/>
      <c r="C750" s="128"/>
      <c r="D750" s="128"/>
      <c r="E750" s="128"/>
      <c r="F750" s="128"/>
      <c r="G750" s="128"/>
      <c r="H750" s="128"/>
      <c r="I750" s="128"/>
      <c r="J750" s="128"/>
      <c r="K750" s="128"/>
      <c r="L750" s="128"/>
      <c r="M750" s="128"/>
      <c r="N750" s="128"/>
      <c r="O750" s="128"/>
      <c r="P750" s="128"/>
      <c r="Q750" s="128"/>
      <c r="R750" s="128"/>
      <c r="S750" s="128"/>
      <c r="T750" s="128"/>
      <c r="U750" s="128"/>
      <c r="V750" s="128"/>
      <c r="W750" s="128"/>
      <c r="X750" s="128"/>
      <c r="Y750" s="128"/>
      <c r="Z750" s="128"/>
      <c r="AA750" s="128"/>
    </row>
    <row r="751">
      <c r="A751" s="134"/>
      <c r="B751" s="134"/>
      <c r="C751" s="128"/>
      <c r="D751" s="128"/>
      <c r="E751" s="128"/>
      <c r="F751" s="128"/>
      <c r="G751" s="128"/>
      <c r="H751" s="128"/>
      <c r="I751" s="128"/>
      <c r="J751" s="128"/>
      <c r="K751" s="128"/>
      <c r="L751" s="128"/>
      <c r="M751" s="128"/>
      <c r="N751" s="128"/>
      <c r="O751" s="128"/>
      <c r="P751" s="128"/>
      <c r="Q751" s="128"/>
      <c r="R751" s="128"/>
      <c r="S751" s="128"/>
      <c r="T751" s="128"/>
      <c r="U751" s="128"/>
      <c r="V751" s="128"/>
      <c r="W751" s="128"/>
      <c r="X751" s="128"/>
      <c r="Y751" s="128"/>
      <c r="Z751" s="128"/>
      <c r="AA751" s="128"/>
    </row>
    <row r="752">
      <c r="A752" s="134"/>
      <c r="B752" s="134"/>
      <c r="C752" s="128"/>
      <c r="D752" s="128"/>
      <c r="E752" s="128"/>
      <c r="F752" s="128"/>
      <c r="G752" s="128"/>
      <c r="H752" s="128"/>
      <c r="I752" s="128"/>
      <c r="J752" s="128"/>
      <c r="K752" s="128"/>
      <c r="L752" s="128"/>
      <c r="M752" s="128"/>
      <c r="N752" s="128"/>
      <c r="O752" s="128"/>
      <c r="P752" s="128"/>
      <c r="Q752" s="128"/>
      <c r="R752" s="128"/>
      <c r="S752" s="128"/>
      <c r="T752" s="128"/>
      <c r="U752" s="128"/>
      <c r="V752" s="128"/>
      <c r="W752" s="128"/>
      <c r="X752" s="128"/>
      <c r="Y752" s="128"/>
      <c r="Z752" s="128"/>
      <c r="AA752" s="128"/>
    </row>
    <row r="753">
      <c r="A753" s="134"/>
      <c r="B753" s="134"/>
      <c r="C753" s="128"/>
      <c r="D753" s="128"/>
      <c r="E753" s="128"/>
      <c r="F753" s="128"/>
      <c r="G753" s="128"/>
      <c r="H753" s="128"/>
      <c r="I753" s="128"/>
      <c r="J753" s="128"/>
      <c r="K753" s="128"/>
      <c r="L753" s="128"/>
      <c r="M753" s="128"/>
      <c r="N753" s="128"/>
      <c r="O753" s="128"/>
      <c r="P753" s="128"/>
      <c r="Q753" s="128"/>
      <c r="R753" s="128"/>
      <c r="S753" s="128"/>
      <c r="T753" s="128"/>
      <c r="U753" s="128"/>
      <c r="V753" s="128"/>
      <c r="W753" s="128"/>
      <c r="X753" s="128"/>
      <c r="Y753" s="128"/>
      <c r="Z753" s="128"/>
      <c r="AA753" s="128"/>
    </row>
    <row r="754">
      <c r="A754" s="134"/>
      <c r="B754" s="134"/>
      <c r="C754" s="128"/>
      <c r="D754" s="128"/>
      <c r="E754" s="128"/>
      <c r="F754" s="128"/>
      <c r="G754" s="128"/>
      <c r="H754" s="128"/>
      <c r="I754" s="128"/>
      <c r="J754" s="128"/>
      <c r="K754" s="128"/>
      <c r="L754" s="128"/>
      <c r="M754" s="128"/>
      <c r="N754" s="128"/>
      <c r="O754" s="128"/>
      <c r="P754" s="128"/>
      <c r="Q754" s="128"/>
      <c r="R754" s="128"/>
      <c r="S754" s="128"/>
      <c r="T754" s="128"/>
      <c r="U754" s="128"/>
      <c r="V754" s="128"/>
      <c r="W754" s="128"/>
      <c r="X754" s="128"/>
      <c r="Y754" s="128"/>
      <c r="Z754" s="128"/>
      <c r="AA754" s="128"/>
    </row>
    <row r="755">
      <c r="A755" s="134"/>
      <c r="B755" s="134"/>
      <c r="C755" s="128"/>
      <c r="D755" s="128"/>
      <c r="E755" s="128"/>
      <c r="F755" s="128"/>
      <c r="G755" s="128"/>
      <c r="H755" s="128"/>
      <c r="I755" s="128"/>
      <c r="J755" s="128"/>
      <c r="K755" s="128"/>
      <c r="L755" s="128"/>
      <c r="M755" s="128"/>
      <c r="N755" s="128"/>
      <c r="O755" s="128"/>
      <c r="P755" s="128"/>
      <c r="Q755" s="128"/>
      <c r="R755" s="128"/>
      <c r="S755" s="128"/>
      <c r="T755" s="128"/>
      <c r="U755" s="128"/>
      <c r="V755" s="128"/>
      <c r="W755" s="128"/>
      <c r="X755" s="128"/>
      <c r="Y755" s="128"/>
      <c r="Z755" s="128"/>
      <c r="AA755" s="128"/>
    </row>
    <row r="756">
      <c r="A756" s="134"/>
      <c r="B756" s="134"/>
      <c r="C756" s="128"/>
      <c r="D756" s="128"/>
      <c r="E756" s="128"/>
      <c r="F756" s="128"/>
      <c r="G756" s="128"/>
      <c r="H756" s="128"/>
      <c r="I756" s="128"/>
      <c r="J756" s="128"/>
      <c r="K756" s="128"/>
      <c r="L756" s="128"/>
      <c r="M756" s="128"/>
      <c r="N756" s="128"/>
      <c r="O756" s="128"/>
      <c r="P756" s="128"/>
      <c r="Q756" s="128"/>
      <c r="R756" s="128"/>
      <c r="S756" s="128"/>
      <c r="T756" s="128"/>
      <c r="U756" s="128"/>
      <c r="V756" s="128"/>
      <c r="W756" s="128"/>
      <c r="X756" s="128"/>
      <c r="Y756" s="128"/>
      <c r="Z756" s="128"/>
      <c r="AA756" s="128"/>
    </row>
    <row r="757">
      <c r="A757" s="134"/>
      <c r="B757" s="134"/>
      <c r="C757" s="128"/>
      <c r="D757" s="128"/>
      <c r="E757" s="128"/>
      <c r="F757" s="128"/>
      <c r="G757" s="128"/>
      <c r="H757" s="128"/>
      <c r="I757" s="128"/>
      <c r="J757" s="128"/>
      <c r="K757" s="128"/>
      <c r="L757" s="128"/>
      <c r="M757" s="128"/>
      <c r="N757" s="128"/>
      <c r="O757" s="128"/>
      <c r="P757" s="128"/>
      <c r="Q757" s="128"/>
      <c r="R757" s="128"/>
      <c r="S757" s="128"/>
      <c r="T757" s="128"/>
      <c r="U757" s="128"/>
      <c r="V757" s="128"/>
      <c r="W757" s="128"/>
      <c r="X757" s="128"/>
      <c r="Y757" s="128"/>
      <c r="Z757" s="128"/>
      <c r="AA757" s="128"/>
    </row>
    <row r="758">
      <c r="A758" s="134"/>
      <c r="B758" s="134"/>
      <c r="C758" s="128"/>
      <c r="D758" s="128"/>
      <c r="E758" s="128"/>
      <c r="F758" s="128"/>
      <c r="G758" s="128"/>
      <c r="H758" s="128"/>
      <c r="I758" s="128"/>
      <c r="J758" s="128"/>
      <c r="K758" s="128"/>
      <c r="L758" s="128"/>
      <c r="M758" s="128"/>
      <c r="N758" s="128"/>
      <c r="O758" s="128"/>
      <c r="P758" s="128"/>
      <c r="Q758" s="128"/>
      <c r="R758" s="128"/>
      <c r="S758" s="128"/>
      <c r="T758" s="128"/>
      <c r="U758" s="128"/>
      <c r="V758" s="128"/>
      <c r="W758" s="128"/>
      <c r="X758" s="128"/>
      <c r="Y758" s="128"/>
      <c r="Z758" s="128"/>
      <c r="AA758" s="128"/>
    </row>
    <row r="759">
      <c r="A759" s="134"/>
      <c r="B759" s="134"/>
      <c r="C759" s="128"/>
      <c r="D759" s="128"/>
      <c r="E759" s="128"/>
      <c r="F759" s="128"/>
      <c r="G759" s="128"/>
      <c r="H759" s="128"/>
      <c r="I759" s="128"/>
      <c r="J759" s="128"/>
      <c r="K759" s="128"/>
      <c r="L759" s="128"/>
      <c r="M759" s="128"/>
      <c r="N759" s="128"/>
      <c r="O759" s="128"/>
      <c r="P759" s="128"/>
      <c r="Q759" s="128"/>
      <c r="R759" s="128"/>
      <c r="S759" s="128"/>
      <c r="T759" s="128"/>
      <c r="U759" s="128"/>
      <c r="V759" s="128"/>
      <c r="W759" s="128"/>
      <c r="X759" s="128"/>
      <c r="Y759" s="128"/>
      <c r="Z759" s="128"/>
      <c r="AA759" s="128"/>
    </row>
    <row r="760">
      <c r="A760" s="134"/>
      <c r="B760" s="134"/>
      <c r="C760" s="128"/>
      <c r="D760" s="128"/>
      <c r="E760" s="128"/>
      <c r="F760" s="128"/>
      <c r="G760" s="128"/>
      <c r="H760" s="128"/>
      <c r="I760" s="128"/>
      <c r="J760" s="128"/>
      <c r="K760" s="128"/>
      <c r="L760" s="128"/>
      <c r="M760" s="128"/>
      <c r="N760" s="128"/>
      <c r="O760" s="128"/>
      <c r="P760" s="128"/>
      <c r="Q760" s="128"/>
      <c r="R760" s="128"/>
      <c r="S760" s="128"/>
      <c r="T760" s="128"/>
      <c r="U760" s="128"/>
      <c r="V760" s="128"/>
      <c r="W760" s="128"/>
      <c r="X760" s="128"/>
      <c r="Y760" s="128"/>
      <c r="Z760" s="128"/>
      <c r="AA760" s="128"/>
    </row>
    <row r="761">
      <c r="A761" s="134"/>
      <c r="B761" s="134"/>
      <c r="C761" s="128"/>
      <c r="D761" s="128"/>
      <c r="E761" s="128"/>
      <c r="F761" s="128"/>
      <c r="G761" s="128"/>
      <c r="H761" s="128"/>
      <c r="I761" s="128"/>
      <c r="J761" s="128"/>
      <c r="K761" s="128"/>
      <c r="L761" s="128"/>
      <c r="M761" s="128"/>
      <c r="N761" s="128"/>
      <c r="O761" s="128"/>
      <c r="P761" s="128"/>
      <c r="Q761" s="128"/>
      <c r="R761" s="128"/>
      <c r="S761" s="128"/>
      <c r="T761" s="128"/>
      <c r="U761" s="128"/>
      <c r="V761" s="128"/>
      <c r="W761" s="128"/>
      <c r="X761" s="128"/>
      <c r="Y761" s="128"/>
      <c r="Z761" s="128"/>
      <c r="AA761" s="128"/>
    </row>
    <row r="762">
      <c r="A762" s="134"/>
      <c r="B762" s="134"/>
      <c r="C762" s="128"/>
      <c r="D762" s="128"/>
      <c r="E762" s="128"/>
      <c r="F762" s="128"/>
      <c r="G762" s="128"/>
      <c r="H762" s="128"/>
      <c r="I762" s="128"/>
      <c r="J762" s="128"/>
      <c r="K762" s="128"/>
      <c r="L762" s="128"/>
      <c r="M762" s="128"/>
      <c r="N762" s="128"/>
      <c r="O762" s="128"/>
      <c r="P762" s="128"/>
      <c r="Q762" s="128"/>
      <c r="R762" s="128"/>
      <c r="S762" s="128"/>
      <c r="T762" s="128"/>
      <c r="U762" s="128"/>
      <c r="V762" s="128"/>
      <c r="W762" s="128"/>
      <c r="X762" s="128"/>
      <c r="Y762" s="128"/>
      <c r="Z762" s="128"/>
      <c r="AA762" s="128"/>
    </row>
    <row r="763">
      <c r="A763" s="134"/>
      <c r="B763" s="134"/>
      <c r="C763" s="128"/>
      <c r="D763" s="128"/>
      <c r="E763" s="128"/>
      <c r="F763" s="128"/>
      <c r="G763" s="128"/>
      <c r="H763" s="128"/>
      <c r="I763" s="128"/>
      <c r="J763" s="128"/>
      <c r="K763" s="128"/>
      <c r="L763" s="128"/>
      <c r="M763" s="128"/>
      <c r="N763" s="128"/>
      <c r="O763" s="128"/>
      <c r="P763" s="128"/>
      <c r="Q763" s="128"/>
      <c r="R763" s="128"/>
      <c r="S763" s="128"/>
      <c r="T763" s="128"/>
      <c r="U763" s="128"/>
      <c r="V763" s="128"/>
      <c r="W763" s="128"/>
      <c r="X763" s="128"/>
      <c r="Y763" s="128"/>
      <c r="Z763" s="128"/>
      <c r="AA763" s="128"/>
    </row>
    <row r="764">
      <c r="A764" s="134"/>
      <c r="B764" s="134"/>
      <c r="C764" s="128"/>
      <c r="D764" s="128"/>
      <c r="E764" s="128"/>
      <c r="F764" s="128"/>
      <c r="G764" s="128"/>
      <c r="H764" s="128"/>
      <c r="I764" s="128"/>
      <c r="J764" s="128"/>
      <c r="K764" s="128"/>
      <c r="L764" s="128"/>
      <c r="M764" s="128"/>
      <c r="N764" s="128"/>
      <c r="O764" s="128"/>
      <c r="P764" s="128"/>
      <c r="Q764" s="128"/>
      <c r="R764" s="128"/>
      <c r="S764" s="128"/>
      <c r="T764" s="128"/>
      <c r="U764" s="128"/>
      <c r="V764" s="128"/>
      <c r="W764" s="128"/>
      <c r="X764" s="128"/>
      <c r="Y764" s="128"/>
      <c r="Z764" s="128"/>
      <c r="AA764" s="128"/>
    </row>
    <row r="765">
      <c r="A765" s="134"/>
      <c r="B765" s="134"/>
      <c r="C765" s="128"/>
      <c r="D765" s="128"/>
      <c r="E765" s="128"/>
      <c r="F765" s="128"/>
      <c r="G765" s="128"/>
      <c r="H765" s="128"/>
      <c r="I765" s="128"/>
      <c r="J765" s="128"/>
      <c r="K765" s="128"/>
      <c r="L765" s="128"/>
      <c r="M765" s="128"/>
      <c r="N765" s="128"/>
      <c r="O765" s="128"/>
      <c r="P765" s="128"/>
      <c r="Q765" s="128"/>
      <c r="R765" s="128"/>
      <c r="S765" s="128"/>
      <c r="T765" s="128"/>
      <c r="U765" s="128"/>
      <c r="V765" s="128"/>
      <c r="W765" s="128"/>
      <c r="X765" s="128"/>
      <c r="Y765" s="128"/>
      <c r="Z765" s="128"/>
      <c r="AA765" s="128"/>
    </row>
    <row r="766">
      <c r="A766" s="134"/>
      <c r="B766" s="134"/>
      <c r="C766" s="128"/>
      <c r="D766" s="128"/>
      <c r="E766" s="128"/>
      <c r="F766" s="128"/>
      <c r="G766" s="128"/>
      <c r="H766" s="128"/>
      <c r="I766" s="128"/>
      <c r="J766" s="128"/>
      <c r="K766" s="128"/>
      <c r="L766" s="128"/>
      <c r="M766" s="128"/>
      <c r="N766" s="128"/>
      <c r="O766" s="128"/>
      <c r="P766" s="128"/>
      <c r="Q766" s="128"/>
      <c r="R766" s="128"/>
      <c r="S766" s="128"/>
      <c r="T766" s="128"/>
      <c r="U766" s="128"/>
      <c r="V766" s="128"/>
      <c r="W766" s="128"/>
      <c r="X766" s="128"/>
      <c r="Y766" s="128"/>
      <c r="Z766" s="128"/>
      <c r="AA766" s="128"/>
    </row>
    <row r="767">
      <c r="A767" s="134"/>
      <c r="B767" s="134"/>
      <c r="C767" s="128"/>
      <c r="D767" s="128"/>
      <c r="E767" s="128"/>
      <c r="F767" s="128"/>
      <c r="G767" s="128"/>
      <c r="H767" s="128"/>
      <c r="I767" s="128"/>
      <c r="J767" s="128"/>
      <c r="K767" s="128"/>
      <c r="L767" s="128"/>
      <c r="M767" s="128"/>
      <c r="N767" s="128"/>
      <c r="O767" s="128"/>
      <c r="P767" s="128"/>
      <c r="Q767" s="128"/>
      <c r="R767" s="128"/>
      <c r="S767" s="128"/>
      <c r="T767" s="128"/>
      <c r="U767" s="128"/>
      <c r="V767" s="128"/>
      <c r="W767" s="128"/>
      <c r="X767" s="128"/>
      <c r="Y767" s="128"/>
      <c r="Z767" s="128"/>
      <c r="AA767" s="128"/>
    </row>
    <row r="768">
      <c r="A768" s="134"/>
      <c r="B768" s="134"/>
      <c r="C768" s="128"/>
      <c r="D768" s="128"/>
      <c r="E768" s="128"/>
      <c r="F768" s="128"/>
      <c r="G768" s="128"/>
      <c r="H768" s="128"/>
      <c r="I768" s="128"/>
      <c r="J768" s="128"/>
      <c r="K768" s="128"/>
      <c r="L768" s="128"/>
      <c r="M768" s="128"/>
      <c r="N768" s="128"/>
      <c r="O768" s="128"/>
      <c r="P768" s="128"/>
      <c r="Q768" s="128"/>
      <c r="R768" s="128"/>
      <c r="S768" s="128"/>
      <c r="T768" s="128"/>
      <c r="U768" s="128"/>
      <c r="V768" s="128"/>
      <c r="W768" s="128"/>
      <c r="X768" s="128"/>
      <c r="Y768" s="128"/>
      <c r="Z768" s="128"/>
      <c r="AA768" s="128"/>
    </row>
    <row r="769">
      <c r="A769" s="134"/>
      <c r="B769" s="134"/>
      <c r="C769" s="128"/>
      <c r="D769" s="128"/>
      <c r="E769" s="128"/>
      <c r="F769" s="128"/>
      <c r="G769" s="128"/>
      <c r="H769" s="128"/>
      <c r="I769" s="128"/>
      <c r="J769" s="128"/>
      <c r="K769" s="128"/>
      <c r="L769" s="128"/>
      <c r="M769" s="128"/>
      <c r="N769" s="128"/>
      <c r="O769" s="128"/>
      <c r="P769" s="128"/>
      <c r="Q769" s="128"/>
      <c r="R769" s="128"/>
      <c r="S769" s="128"/>
      <c r="T769" s="128"/>
      <c r="U769" s="128"/>
      <c r="V769" s="128"/>
      <c r="W769" s="128"/>
      <c r="X769" s="128"/>
      <c r="Y769" s="128"/>
      <c r="Z769" s="128"/>
      <c r="AA769" s="128"/>
    </row>
    <row r="770">
      <c r="A770" s="134"/>
      <c r="B770" s="134"/>
      <c r="C770" s="128"/>
      <c r="D770" s="128"/>
      <c r="E770" s="128"/>
      <c r="F770" s="128"/>
      <c r="G770" s="128"/>
      <c r="H770" s="128"/>
      <c r="I770" s="128"/>
      <c r="J770" s="128"/>
      <c r="K770" s="128"/>
      <c r="L770" s="128"/>
      <c r="M770" s="128"/>
      <c r="N770" s="128"/>
      <c r="O770" s="128"/>
      <c r="P770" s="128"/>
      <c r="Q770" s="128"/>
      <c r="R770" s="128"/>
      <c r="S770" s="128"/>
      <c r="T770" s="128"/>
      <c r="U770" s="128"/>
      <c r="V770" s="128"/>
      <c r="W770" s="128"/>
      <c r="X770" s="128"/>
      <c r="Y770" s="128"/>
      <c r="Z770" s="128"/>
      <c r="AA770" s="128"/>
    </row>
    <row r="771">
      <c r="A771" s="134"/>
      <c r="B771" s="134"/>
      <c r="C771" s="128"/>
      <c r="D771" s="128"/>
      <c r="E771" s="128"/>
      <c r="F771" s="128"/>
      <c r="G771" s="128"/>
      <c r="H771" s="128"/>
      <c r="I771" s="128"/>
      <c r="J771" s="128"/>
      <c r="K771" s="128"/>
      <c r="L771" s="128"/>
      <c r="M771" s="128"/>
      <c r="N771" s="128"/>
      <c r="O771" s="128"/>
      <c r="P771" s="128"/>
      <c r="Q771" s="128"/>
      <c r="R771" s="128"/>
      <c r="S771" s="128"/>
      <c r="T771" s="128"/>
      <c r="U771" s="128"/>
      <c r="V771" s="128"/>
      <c r="W771" s="128"/>
      <c r="X771" s="128"/>
      <c r="Y771" s="128"/>
      <c r="Z771" s="128"/>
      <c r="AA771" s="128"/>
    </row>
    <row r="772">
      <c r="A772" s="134"/>
      <c r="B772" s="134"/>
      <c r="C772" s="128"/>
      <c r="D772" s="128"/>
      <c r="E772" s="128"/>
      <c r="F772" s="128"/>
      <c r="G772" s="128"/>
      <c r="H772" s="128"/>
      <c r="I772" s="128"/>
      <c r="J772" s="128"/>
      <c r="K772" s="128"/>
      <c r="L772" s="128"/>
      <c r="M772" s="128"/>
      <c r="N772" s="128"/>
      <c r="O772" s="128"/>
      <c r="P772" s="128"/>
      <c r="Q772" s="128"/>
      <c r="R772" s="128"/>
      <c r="S772" s="128"/>
      <c r="T772" s="128"/>
      <c r="U772" s="128"/>
      <c r="V772" s="128"/>
      <c r="W772" s="128"/>
      <c r="X772" s="128"/>
      <c r="Y772" s="128"/>
      <c r="Z772" s="128"/>
      <c r="AA772" s="128"/>
    </row>
    <row r="773">
      <c r="A773" s="134"/>
      <c r="B773" s="134"/>
      <c r="C773" s="128"/>
      <c r="D773" s="128"/>
      <c r="E773" s="128"/>
      <c r="F773" s="128"/>
      <c r="G773" s="128"/>
      <c r="H773" s="128"/>
      <c r="I773" s="128"/>
      <c r="J773" s="128"/>
      <c r="K773" s="128"/>
      <c r="L773" s="128"/>
      <c r="M773" s="128"/>
      <c r="N773" s="128"/>
      <c r="O773" s="128"/>
      <c r="P773" s="128"/>
      <c r="Q773" s="128"/>
      <c r="R773" s="128"/>
      <c r="S773" s="128"/>
      <c r="T773" s="128"/>
      <c r="U773" s="128"/>
      <c r="V773" s="128"/>
      <c r="W773" s="128"/>
      <c r="X773" s="128"/>
      <c r="Y773" s="128"/>
      <c r="Z773" s="128"/>
      <c r="AA773" s="128"/>
    </row>
    <row r="774">
      <c r="A774" s="134"/>
      <c r="B774" s="134"/>
      <c r="C774" s="128"/>
      <c r="D774" s="128"/>
      <c r="E774" s="128"/>
      <c r="F774" s="128"/>
      <c r="G774" s="128"/>
      <c r="H774" s="128"/>
      <c r="I774" s="128"/>
      <c r="J774" s="128"/>
      <c r="K774" s="128"/>
      <c r="L774" s="128"/>
      <c r="M774" s="128"/>
      <c r="N774" s="128"/>
      <c r="O774" s="128"/>
      <c r="P774" s="128"/>
      <c r="Q774" s="128"/>
      <c r="R774" s="128"/>
      <c r="S774" s="128"/>
      <c r="T774" s="128"/>
      <c r="U774" s="128"/>
      <c r="V774" s="128"/>
      <c r="W774" s="128"/>
      <c r="X774" s="128"/>
      <c r="Y774" s="128"/>
      <c r="Z774" s="128"/>
      <c r="AA774" s="128"/>
    </row>
    <row r="775">
      <c r="A775" s="134"/>
      <c r="B775" s="134"/>
      <c r="C775" s="128"/>
      <c r="D775" s="128"/>
      <c r="E775" s="128"/>
      <c r="F775" s="128"/>
      <c r="G775" s="128"/>
      <c r="H775" s="128"/>
      <c r="I775" s="128"/>
      <c r="J775" s="128"/>
      <c r="K775" s="128"/>
      <c r="L775" s="128"/>
      <c r="M775" s="128"/>
      <c r="N775" s="128"/>
      <c r="O775" s="128"/>
      <c r="P775" s="128"/>
      <c r="Q775" s="128"/>
      <c r="R775" s="128"/>
      <c r="S775" s="128"/>
      <c r="T775" s="128"/>
      <c r="U775" s="128"/>
      <c r="V775" s="128"/>
      <c r="W775" s="128"/>
      <c r="X775" s="128"/>
      <c r="Y775" s="128"/>
      <c r="Z775" s="128"/>
      <c r="AA775" s="128"/>
    </row>
    <row r="776">
      <c r="A776" s="134"/>
      <c r="B776" s="134"/>
      <c r="C776" s="128"/>
      <c r="D776" s="128"/>
      <c r="E776" s="128"/>
      <c r="F776" s="128"/>
      <c r="G776" s="128"/>
      <c r="H776" s="128"/>
      <c r="I776" s="128"/>
      <c r="J776" s="128"/>
      <c r="K776" s="128"/>
      <c r="L776" s="128"/>
      <c r="M776" s="128"/>
      <c r="N776" s="128"/>
      <c r="O776" s="128"/>
      <c r="P776" s="128"/>
      <c r="Q776" s="128"/>
      <c r="R776" s="128"/>
      <c r="S776" s="128"/>
      <c r="T776" s="128"/>
      <c r="U776" s="128"/>
      <c r="V776" s="128"/>
      <c r="W776" s="128"/>
      <c r="X776" s="128"/>
      <c r="Y776" s="128"/>
      <c r="Z776" s="128"/>
      <c r="AA776" s="128"/>
    </row>
    <row r="777">
      <c r="A777" s="134"/>
      <c r="B777" s="134"/>
      <c r="C777" s="128"/>
      <c r="D777" s="128"/>
      <c r="E777" s="128"/>
      <c r="F777" s="128"/>
      <c r="G777" s="128"/>
      <c r="H777" s="128"/>
      <c r="I777" s="128"/>
      <c r="J777" s="128"/>
      <c r="K777" s="128"/>
      <c r="L777" s="128"/>
      <c r="M777" s="128"/>
      <c r="N777" s="128"/>
      <c r="O777" s="128"/>
      <c r="P777" s="128"/>
      <c r="Q777" s="128"/>
      <c r="R777" s="128"/>
      <c r="S777" s="128"/>
      <c r="T777" s="128"/>
      <c r="U777" s="128"/>
      <c r="V777" s="128"/>
      <c r="W777" s="128"/>
      <c r="X777" s="128"/>
      <c r="Y777" s="128"/>
      <c r="Z777" s="128"/>
      <c r="AA777" s="128"/>
    </row>
    <row r="778">
      <c r="A778" s="134"/>
      <c r="B778" s="134"/>
      <c r="C778" s="128"/>
      <c r="D778" s="128"/>
      <c r="E778" s="128"/>
      <c r="F778" s="128"/>
      <c r="G778" s="128"/>
      <c r="H778" s="128"/>
      <c r="I778" s="128"/>
      <c r="J778" s="128"/>
      <c r="K778" s="128"/>
      <c r="L778" s="128"/>
      <c r="M778" s="128"/>
      <c r="N778" s="128"/>
      <c r="O778" s="128"/>
      <c r="P778" s="128"/>
      <c r="Q778" s="128"/>
      <c r="R778" s="128"/>
      <c r="S778" s="128"/>
      <c r="T778" s="128"/>
      <c r="U778" s="128"/>
      <c r="V778" s="128"/>
      <c r="W778" s="128"/>
      <c r="X778" s="128"/>
      <c r="Y778" s="128"/>
      <c r="Z778" s="128"/>
      <c r="AA778" s="128"/>
    </row>
    <row r="779">
      <c r="A779" s="134"/>
      <c r="B779" s="134"/>
      <c r="C779" s="128"/>
      <c r="D779" s="128"/>
      <c r="E779" s="128"/>
      <c r="F779" s="128"/>
      <c r="G779" s="128"/>
      <c r="H779" s="128"/>
      <c r="I779" s="128"/>
      <c r="J779" s="128"/>
      <c r="K779" s="128"/>
      <c r="L779" s="128"/>
      <c r="M779" s="128"/>
      <c r="N779" s="128"/>
      <c r="O779" s="128"/>
      <c r="P779" s="128"/>
      <c r="Q779" s="128"/>
      <c r="R779" s="128"/>
      <c r="S779" s="128"/>
      <c r="T779" s="128"/>
      <c r="U779" s="128"/>
      <c r="V779" s="128"/>
      <c r="W779" s="128"/>
      <c r="X779" s="128"/>
      <c r="Y779" s="128"/>
      <c r="Z779" s="128"/>
      <c r="AA779" s="128"/>
    </row>
    <row r="780">
      <c r="A780" s="134"/>
      <c r="B780" s="134"/>
      <c r="C780" s="128"/>
      <c r="D780" s="128"/>
      <c r="E780" s="128"/>
      <c r="F780" s="128"/>
      <c r="G780" s="128"/>
      <c r="H780" s="128"/>
      <c r="I780" s="128"/>
      <c r="J780" s="128"/>
      <c r="K780" s="128"/>
      <c r="L780" s="128"/>
      <c r="M780" s="128"/>
      <c r="N780" s="128"/>
      <c r="O780" s="128"/>
      <c r="P780" s="128"/>
      <c r="Q780" s="128"/>
      <c r="R780" s="128"/>
      <c r="S780" s="128"/>
      <c r="T780" s="128"/>
      <c r="U780" s="128"/>
      <c r="V780" s="128"/>
      <c r="W780" s="128"/>
      <c r="X780" s="128"/>
      <c r="Y780" s="128"/>
      <c r="Z780" s="128"/>
      <c r="AA780" s="128"/>
    </row>
    <row r="781">
      <c r="A781" s="134"/>
      <c r="B781" s="134"/>
      <c r="C781" s="128"/>
      <c r="D781" s="128"/>
      <c r="E781" s="128"/>
      <c r="F781" s="128"/>
      <c r="G781" s="128"/>
      <c r="H781" s="128"/>
      <c r="I781" s="128"/>
      <c r="J781" s="128"/>
      <c r="K781" s="128"/>
      <c r="L781" s="128"/>
      <c r="M781" s="128"/>
      <c r="N781" s="128"/>
      <c r="O781" s="128"/>
      <c r="P781" s="128"/>
      <c r="Q781" s="128"/>
      <c r="R781" s="128"/>
      <c r="S781" s="128"/>
      <c r="T781" s="128"/>
      <c r="U781" s="128"/>
      <c r="V781" s="128"/>
      <c r="W781" s="128"/>
      <c r="X781" s="128"/>
      <c r="Y781" s="128"/>
      <c r="Z781" s="128"/>
      <c r="AA781" s="128"/>
    </row>
    <row r="782">
      <c r="A782" s="134"/>
      <c r="B782" s="134"/>
      <c r="C782" s="128"/>
      <c r="D782" s="128"/>
      <c r="E782" s="128"/>
      <c r="F782" s="128"/>
      <c r="G782" s="128"/>
      <c r="H782" s="128"/>
      <c r="I782" s="128"/>
      <c r="J782" s="128"/>
      <c r="K782" s="128"/>
      <c r="L782" s="128"/>
      <c r="M782" s="128"/>
      <c r="N782" s="128"/>
      <c r="O782" s="128"/>
      <c r="P782" s="128"/>
      <c r="Q782" s="128"/>
      <c r="R782" s="128"/>
      <c r="S782" s="128"/>
      <c r="T782" s="128"/>
      <c r="U782" s="128"/>
      <c r="V782" s="128"/>
      <c r="W782" s="128"/>
      <c r="X782" s="128"/>
      <c r="Y782" s="128"/>
      <c r="Z782" s="128"/>
      <c r="AA782" s="128"/>
    </row>
    <row r="783">
      <c r="A783" s="134"/>
      <c r="B783" s="134"/>
      <c r="C783" s="128"/>
      <c r="D783" s="128"/>
      <c r="E783" s="128"/>
      <c r="F783" s="128"/>
      <c r="G783" s="128"/>
      <c r="H783" s="128"/>
      <c r="I783" s="128"/>
      <c r="J783" s="128"/>
      <c r="K783" s="128"/>
      <c r="L783" s="128"/>
      <c r="M783" s="128"/>
      <c r="N783" s="128"/>
      <c r="O783" s="128"/>
      <c r="P783" s="128"/>
      <c r="Q783" s="128"/>
      <c r="R783" s="128"/>
      <c r="S783" s="128"/>
      <c r="T783" s="128"/>
      <c r="U783" s="128"/>
      <c r="V783" s="128"/>
      <c r="W783" s="128"/>
      <c r="X783" s="128"/>
      <c r="Y783" s="128"/>
      <c r="Z783" s="128"/>
      <c r="AA783" s="128"/>
    </row>
    <row r="784">
      <c r="A784" s="134"/>
      <c r="B784" s="134"/>
      <c r="C784" s="128"/>
      <c r="D784" s="128"/>
      <c r="E784" s="128"/>
      <c r="F784" s="128"/>
      <c r="G784" s="128"/>
      <c r="H784" s="128"/>
      <c r="I784" s="128"/>
      <c r="J784" s="128"/>
      <c r="K784" s="128"/>
      <c r="L784" s="128"/>
      <c r="M784" s="128"/>
      <c r="N784" s="128"/>
      <c r="O784" s="128"/>
      <c r="P784" s="128"/>
      <c r="Q784" s="128"/>
      <c r="R784" s="128"/>
      <c r="S784" s="128"/>
      <c r="T784" s="128"/>
      <c r="U784" s="128"/>
      <c r="V784" s="128"/>
      <c r="W784" s="128"/>
      <c r="X784" s="128"/>
      <c r="Y784" s="128"/>
      <c r="Z784" s="128"/>
      <c r="AA784" s="128"/>
    </row>
    <row r="785">
      <c r="A785" s="134"/>
      <c r="B785" s="134"/>
      <c r="C785" s="128"/>
      <c r="D785" s="128"/>
      <c r="E785" s="128"/>
      <c r="F785" s="128"/>
      <c r="G785" s="128"/>
      <c r="H785" s="128"/>
      <c r="I785" s="128"/>
      <c r="J785" s="128"/>
      <c r="K785" s="128"/>
      <c r="L785" s="128"/>
      <c r="M785" s="128"/>
      <c r="N785" s="128"/>
      <c r="O785" s="128"/>
      <c r="P785" s="128"/>
      <c r="Q785" s="128"/>
      <c r="R785" s="128"/>
      <c r="S785" s="128"/>
      <c r="T785" s="128"/>
      <c r="U785" s="128"/>
      <c r="V785" s="128"/>
      <c r="W785" s="128"/>
      <c r="X785" s="128"/>
      <c r="Y785" s="128"/>
      <c r="Z785" s="128"/>
      <c r="AA785" s="128"/>
    </row>
    <row r="786">
      <c r="A786" s="134"/>
      <c r="B786" s="134"/>
      <c r="C786" s="128"/>
      <c r="D786" s="128"/>
      <c r="E786" s="128"/>
      <c r="F786" s="128"/>
      <c r="G786" s="128"/>
      <c r="H786" s="128"/>
      <c r="I786" s="128"/>
      <c r="J786" s="128"/>
      <c r="K786" s="128"/>
      <c r="L786" s="128"/>
      <c r="M786" s="128"/>
      <c r="N786" s="128"/>
      <c r="O786" s="128"/>
      <c r="P786" s="128"/>
      <c r="Q786" s="128"/>
      <c r="R786" s="128"/>
      <c r="S786" s="128"/>
      <c r="T786" s="128"/>
      <c r="U786" s="128"/>
      <c r="V786" s="128"/>
      <c r="W786" s="128"/>
      <c r="X786" s="128"/>
      <c r="Y786" s="128"/>
      <c r="Z786" s="128"/>
      <c r="AA786" s="128"/>
    </row>
    <row r="787">
      <c r="A787" s="134"/>
      <c r="B787" s="134"/>
      <c r="C787" s="128"/>
      <c r="D787" s="128"/>
      <c r="E787" s="128"/>
      <c r="F787" s="128"/>
      <c r="G787" s="128"/>
      <c r="H787" s="128"/>
      <c r="I787" s="128"/>
      <c r="J787" s="128"/>
      <c r="K787" s="128"/>
      <c r="L787" s="128"/>
      <c r="M787" s="128"/>
      <c r="N787" s="128"/>
      <c r="O787" s="128"/>
      <c r="P787" s="128"/>
      <c r="Q787" s="128"/>
      <c r="R787" s="128"/>
      <c r="S787" s="128"/>
      <c r="T787" s="128"/>
      <c r="U787" s="128"/>
      <c r="V787" s="128"/>
      <c r="W787" s="128"/>
      <c r="X787" s="128"/>
      <c r="Y787" s="128"/>
      <c r="Z787" s="128"/>
      <c r="AA787" s="128"/>
    </row>
    <row r="788">
      <c r="A788" s="134"/>
      <c r="B788" s="134"/>
      <c r="C788" s="128"/>
      <c r="D788" s="128"/>
      <c r="E788" s="128"/>
      <c r="F788" s="128"/>
      <c r="G788" s="128"/>
      <c r="H788" s="128"/>
      <c r="I788" s="128"/>
      <c r="J788" s="128"/>
      <c r="K788" s="128"/>
      <c r="L788" s="128"/>
      <c r="M788" s="128"/>
      <c r="N788" s="128"/>
      <c r="O788" s="128"/>
      <c r="P788" s="128"/>
      <c r="Q788" s="128"/>
      <c r="R788" s="128"/>
      <c r="S788" s="128"/>
      <c r="T788" s="128"/>
      <c r="U788" s="128"/>
      <c r="V788" s="128"/>
      <c r="W788" s="128"/>
      <c r="X788" s="128"/>
      <c r="Y788" s="128"/>
      <c r="Z788" s="128"/>
      <c r="AA788" s="128"/>
    </row>
    <row r="789">
      <c r="A789" s="134"/>
      <c r="B789" s="134"/>
      <c r="C789" s="128"/>
      <c r="D789" s="128"/>
      <c r="E789" s="128"/>
      <c r="F789" s="128"/>
      <c r="G789" s="128"/>
      <c r="H789" s="128"/>
      <c r="I789" s="128"/>
      <c r="J789" s="128"/>
      <c r="K789" s="128"/>
      <c r="L789" s="128"/>
      <c r="M789" s="128"/>
      <c r="N789" s="128"/>
      <c r="O789" s="128"/>
      <c r="P789" s="128"/>
      <c r="Q789" s="128"/>
      <c r="R789" s="128"/>
      <c r="S789" s="128"/>
      <c r="T789" s="128"/>
      <c r="U789" s="128"/>
      <c r="V789" s="128"/>
      <c r="W789" s="128"/>
      <c r="X789" s="128"/>
      <c r="Y789" s="128"/>
      <c r="Z789" s="128"/>
      <c r="AA789" s="128"/>
    </row>
    <row r="790">
      <c r="A790" s="134"/>
      <c r="B790" s="134"/>
      <c r="C790" s="128"/>
      <c r="D790" s="128"/>
      <c r="E790" s="128"/>
      <c r="F790" s="128"/>
      <c r="G790" s="128"/>
      <c r="H790" s="128"/>
      <c r="I790" s="128"/>
      <c r="J790" s="128"/>
      <c r="K790" s="128"/>
      <c r="L790" s="128"/>
      <c r="M790" s="128"/>
      <c r="N790" s="128"/>
      <c r="O790" s="128"/>
      <c r="P790" s="128"/>
      <c r="Q790" s="128"/>
      <c r="R790" s="128"/>
      <c r="S790" s="128"/>
      <c r="T790" s="128"/>
      <c r="U790" s="128"/>
      <c r="V790" s="128"/>
      <c r="W790" s="128"/>
      <c r="X790" s="128"/>
      <c r="Y790" s="128"/>
      <c r="Z790" s="128"/>
      <c r="AA790" s="128"/>
    </row>
    <row r="791">
      <c r="A791" s="134"/>
      <c r="B791" s="134"/>
      <c r="C791" s="128"/>
      <c r="D791" s="128"/>
      <c r="E791" s="128"/>
      <c r="F791" s="128"/>
      <c r="G791" s="128"/>
      <c r="H791" s="128"/>
      <c r="I791" s="128"/>
      <c r="J791" s="128"/>
      <c r="K791" s="128"/>
      <c r="L791" s="128"/>
      <c r="M791" s="128"/>
      <c r="N791" s="128"/>
      <c r="O791" s="128"/>
      <c r="P791" s="128"/>
      <c r="Q791" s="128"/>
      <c r="R791" s="128"/>
      <c r="S791" s="128"/>
      <c r="T791" s="128"/>
      <c r="U791" s="128"/>
      <c r="V791" s="128"/>
      <c r="W791" s="128"/>
      <c r="X791" s="128"/>
      <c r="Y791" s="128"/>
      <c r="Z791" s="128"/>
      <c r="AA791" s="128"/>
    </row>
    <row r="792">
      <c r="A792" s="134"/>
      <c r="B792" s="134"/>
      <c r="C792" s="128"/>
      <c r="D792" s="128"/>
      <c r="E792" s="128"/>
      <c r="F792" s="128"/>
      <c r="G792" s="128"/>
      <c r="H792" s="128"/>
      <c r="I792" s="128"/>
      <c r="J792" s="128"/>
      <c r="K792" s="128"/>
      <c r="L792" s="128"/>
      <c r="M792" s="128"/>
      <c r="N792" s="128"/>
      <c r="O792" s="128"/>
      <c r="P792" s="128"/>
      <c r="Q792" s="128"/>
      <c r="R792" s="128"/>
      <c r="S792" s="128"/>
      <c r="T792" s="128"/>
      <c r="U792" s="128"/>
      <c r="V792" s="128"/>
      <c r="W792" s="128"/>
      <c r="X792" s="128"/>
      <c r="Y792" s="128"/>
      <c r="Z792" s="128"/>
      <c r="AA792" s="128"/>
    </row>
    <row r="793">
      <c r="A793" s="134"/>
      <c r="B793" s="134"/>
      <c r="C793" s="128"/>
      <c r="D793" s="128"/>
      <c r="E793" s="128"/>
      <c r="F793" s="128"/>
      <c r="G793" s="128"/>
      <c r="H793" s="128"/>
      <c r="I793" s="128"/>
      <c r="J793" s="128"/>
      <c r="K793" s="128"/>
      <c r="L793" s="128"/>
      <c r="M793" s="128"/>
      <c r="N793" s="128"/>
      <c r="O793" s="128"/>
      <c r="P793" s="128"/>
      <c r="Q793" s="128"/>
      <c r="R793" s="128"/>
      <c r="S793" s="128"/>
      <c r="T793" s="128"/>
      <c r="U793" s="128"/>
      <c r="V793" s="128"/>
      <c r="W793" s="128"/>
      <c r="X793" s="128"/>
      <c r="Y793" s="128"/>
      <c r="Z793" s="128"/>
      <c r="AA793" s="128"/>
    </row>
    <row r="794">
      <c r="A794" s="134"/>
      <c r="B794" s="134"/>
      <c r="C794" s="128"/>
      <c r="D794" s="128"/>
      <c r="E794" s="128"/>
      <c r="F794" s="128"/>
      <c r="G794" s="128"/>
      <c r="H794" s="128"/>
      <c r="I794" s="128"/>
      <c r="J794" s="128"/>
      <c r="K794" s="128"/>
      <c r="L794" s="128"/>
      <c r="M794" s="128"/>
      <c r="N794" s="128"/>
      <c r="O794" s="128"/>
      <c r="P794" s="128"/>
      <c r="Q794" s="128"/>
      <c r="R794" s="128"/>
      <c r="S794" s="128"/>
      <c r="T794" s="128"/>
      <c r="U794" s="128"/>
      <c r="V794" s="128"/>
      <c r="W794" s="128"/>
      <c r="X794" s="128"/>
      <c r="Y794" s="128"/>
      <c r="Z794" s="128"/>
      <c r="AA794" s="128"/>
    </row>
    <row r="795">
      <c r="A795" s="134"/>
      <c r="B795" s="134"/>
      <c r="C795" s="128"/>
      <c r="D795" s="128"/>
      <c r="E795" s="128"/>
      <c r="F795" s="128"/>
      <c r="G795" s="128"/>
      <c r="H795" s="128"/>
      <c r="I795" s="128"/>
      <c r="J795" s="128"/>
      <c r="K795" s="128"/>
      <c r="L795" s="128"/>
      <c r="M795" s="128"/>
      <c r="N795" s="128"/>
      <c r="O795" s="128"/>
      <c r="P795" s="128"/>
      <c r="Q795" s="128"/>
      <c r="R795" s="128"/>
      <c r="S795" s="128"/>
      <c r="T795" s="128"/>
      <c r="U795" s="128"/>
      <c r="V795" s="128"/>
      <c r="W795" s="128"/>
      <c r="X795" s="128"/>
      <c r="Y795" s="128"/>
      <c r="Z795" s="128"/>
      <c r="AA795" s="128"/>
    </row>
    <row r="796">
      <c r="A796" s="134"/>
      <c r="B796" s="134"/>
      <c r="C796" s="128"/>
      <c r="D796" s="128"/>
      <c r="E796" s="128"/>
      <c r="F796" s="128"/>
      <c r="G796" s="128"/>
      <c r="H796" s="128"/>
      <c r="I796" s="128"/>
      <c r="J796" s="128"/>
      <c r="K796" s="128"/>
      <c r="L796" s="128"/>
      <c r="M796" s="128"/>
      <c r="N796" s="128"/>
      <c r="O796" s="128"/>
      <c r="P796" s="128"/>
      <c r="Q796" s="128"/>
      <c r="R796" s="128"/>
      <c r="S796" s="128"/>
      <c r="T796" s="128"/>
      <c r="U796" s="128"/>
      <c r="V796" s="128"/>
      <c r="W796" s="128"/>
      <c r="X796" s="128"/>
      <c r="Y796" s="128"/>
      <c r="Z796" s="128"/>
      <c r="AA796" s="128"/>
    </row>
    <row r="797">
      <c r="A797" s="134"/>
      <c r="B797" s="134"/>
      <c r="C797" s="128"/>
      <c r="D797" s="128"/>
      <c r="E797" s="128"/>
      <c r="F797" s="128"/>
      <c r="G797" s="128"/>
      <c r="H797" s="128"/>
      <c r="I797" s="128"/>
      <c r="J797" s="128"/>
      <c r="K797" s="128"/>
      <c r="L797" s="128"/>
      <c r="M797" s="128"/>
      <c r="N797" s="128"/>
      <c r="O797" s="128"/>
      <c r="P797" s="128"/>
      <c r="Q797" s="128"/>
      <c r="R797" s="128"/>
      <c r="S797" s="128"/>
      <c r="T797" s="128"/>
      <c r="U797" s="128"/>
      <c r="V797" s="128"/>
      <c r="W797" s="128"/>
      <c r="X797" s="128"/>
      <c r="Y797" s="128"/>
      <c r="Z797" s="128"/>
      <c r="AA797" s="128"/>
    </row>
    <row r="798">
      <c r="A798" s="134"/>
      <c r="B798" s="134"/>
      <c r="C798" s="128"/>
      <c r="D798" s="128"/>
      <c r="E798" s="128"/>
      <c r="F798" s="128"/>
      <c r="G798" s="128"/>
      <c r="H798" s="128"/>
      <c r="I798" s="128"/>
      <c r="J798" s="128"/>
      <c r="K798" s="128"/>
      <c r="L798" s="128"/>
      <c r="M798" s="128"/>
      <c r="N798" s="128"/>
      <c r="O798" s="128"/>
      <c r="P798" s="128"/>
      <c r="Q798" s="128"/>
      <c r="R798" s="128"/>
      <c r="S798" s="128"/>
      <c r="T798" s="128"/>
      <c r="U798" s="128"/>
      <c r="V798" s="128"/>
      <c r="W798" s="128"/>
      <c r="X798" s="128"/>
      <c r="Y798" s="128"/>
      <c r="Z798" s="128"/>
      <c r="AA798" s="128"/>
    </row>
    <row r="799">
      <c r="A799" s="134"/>
      <c r="B799" s="134"/>
      <c r="C799" s="128"/>
      <c r="D799" s="128"/>
      <c r="E799" s="128"/>
      <c r="F799" s="128"/>
      <c r="G799" s="128"/>
      <c r="H799" s="128"/>
      <c r="I799" s="128"/>
      <c r="J799" s="128"/>
      <c r="K799" s="128"/>
      <c r="L799" s="128"/>
      <c r="M799" s="128"/>
      <c r="N799" s="128"/>
      <c r="O799" s="128"/>
      <c r="P799" s="128"/>
      <c r="Q799" s="128"/>
      <c r="R799" s="128"/>
      <c r="S799" s="128"/>
      <c r="T799" s="128"/>
      <c r="U799" s="128"/>
      <c r="V799" s="128"/>
      <c r="W799" s="128"/>
      <c r="X799" s="128"/>
      <c r="Y799" s="128"/>
      <c r="Z799" s="128"/>
      <c r="AA799" s="128"/>
    </row>
    <row r="800">
      <c r="A800" s="134"/>
      <c r="B800" s="134"/>
      <c r="C800" s="128"/>
      <c r="D800" s="128"/>
      <c r="E800" s="128"/>
      <c r="F800" s="128"/>
      <c r="G800" s="128"/>
      <c r="H800" s="128"/>
      <c r="I800" s="128"/>
      <c r="J800" s="128"/>
      <c r="K800" s="128"/>
      <c r="L800" s="128"/>
      <c r="M800" s="128"/>
      <c r="N800" s="128"/>
      <c r="O800" s="128"/>
      <c r="P800" s="128"/>
      <c r="Q800" s="128"/>
      <c r="R800" s="128"/>
      <c r="S800" s="128"/>
      <c r="T800" s="128"/>
      <c r="U800" s="128"/>
      <c r="V800" s="128"/>
      <c r="W800" s="128"/>
      <c r="X800" s="128"/>
      <c r="Y800" s="128"/>
      <c r="Z800" s="128"/>
      <c r="AA800" s="128"/>
    </row>
    <row r="801">
      <c r="A801" s="134"/>
      <c r="B801" s="134"/>
      <c r="C801" s="128"/>
      <c r="D801" s="128"/>
      <c r="E801" s="128"/>
      <c r="F801" s="128"/>
      <c r="G801" s="128"/>
      <c r="H801" s="128"/>
      <c r="I801" s="128"/>
      <c r="J801" s="128"/>
      <c r="K801" s="128"/>
      <c r="L801" s="128"/>
      <c r="M801" s="128"/>
      <c r="N801" s="128"/>
      <c r="O801" s="128"/>
      <c r="P801" s="128"/>
      <c r="Q801" s="128"/>
      <c r="R801" s="128"/>
      <c r="S801" s="128"/>
      <c r="T801" s="128"/>
      <c r="U801" s="128"/>
      <c r="V801" s="128"/>
      <c r="W801" s="128"/>
      <c r="X801" s="128"/>
      <c r="Y801" s="128"/>
      <c r="Z801" s="128"/>
      <c r="AA801" s="128"/>
    </row>
    <row r="802">
      <c r="A802" s="134"/>
      <c r="B802" s="134"/>
      <c r="C802" s="128"/>
      <c r="D802" s="128"/>
      <c r="E802" s="128"/>
      <c r="F802" s="128"/>
      <c r="G802" s="128"/>
      <c r="H802" s="128"/>
      <c r="I802" s="128"/>
      <c r="J802" s="128"/>
      <c r="K802" s="128"/>
      <c r="L802" s="128"/>
      <c r="M802" s="128"/>
      <c r="N802" s="128"/>
      <c r="O802" s="128"/>
      <c r="P802" s="128"/>
      <c r="Q802" s="128"/>
      <c r="R802" s="128"/>
      <c r="S802" s="128"/>
      <c r="T802" s="128"/>
      <c r="U802" s="128"/>
      <c r="V802" s="128"/>
      <c r="W802" s="128"/>
      <c r="X802" s="128"/>
      <c r="Y802" s="128"/>
      <c r="Z802" s="128"/>
      <c r="AA802" s="128"/>
    </row>
    <row r="803">
      <c r="A803" s="134"/>
      <c r="B803" s="134"/>
      <c r="C803" s="128"/>
      <c r="D803" s="128"/>
      <c r="E803" s="128"/>
      <c r="F803" s="128"/>
      <c r="G803" s="128"/>
      <c r="H803" s="128"/>
      <c r="I803" s="128"/>
      <c r="J803" s="128"/>
      <c r="K803" s="128"/>
      <c r="L803" s="128"/>
      <c r="M803" s="128"/>
      <c r="N803" s="128"/>
      <c r="O803" s="128"/>
      <c r="P803" s="128"/>
      <c r="Q803" s="128"/>
      <c r="R803" s="128"/>
      <c r="S803" s="128"/>
      <c r="T803" s="128"/>
      <c r="U803" s="128"/>
      <c r="V803" s="128"/>
      <c r="W803" s="128"/>
      <c r="X803" s="128"/>
      <c r="Y803" s="128"/>
      <c r="Z803" s="128"/>
      <c r="AA803" s="128"/>
    </row>
    <row r="804">
      <c r="A804" s="134"/>
      <c r="B804" s="134"/>
      <c r="C804" s="128"/>
      <c r="D804" s="128"/>
      <c r="E804" s="128"/>
      <c r="F804" s="128"/>
      <c r="G804" s="128"/>
      <c r="H804" s="128"/>
      <c r="I804" s="128"/>
      <c r="J804" s="128"/>
      <c r="K804" s="128"/>
      <c r="L804" s="128"/>
      <c r="M804" s="128"/>
      <c r="N804" s="128"/>
      <c r="O804" s="128"/>
      <c r="P804" s="128"/>
      <c r="Q804" s="128"/>
      <c r="R804" s="128"/>
      <c r="S804" s="128"/>
      <c r="T804" s="128"/>
      <c r="U804" s="128"/>
      <c r="V804" s="128"/>
      <c r="W804" s="128"/>
      <c r="X804" s="128"/>
      <c r="Y804" s="128"/>
      <c r="Z804" s="128"/>
      <c r="AA804" s="128"/>
    </row>
    <row r="805">
      <c r="A805" s="134"/>
      <c r="B805" s="134"/>
      <c r="C805" s="128"/>
      <c r="D805" s="128"/>
      <c r="E805" s="128"/>
      <c r="F805" s="128"/>
      <c r="G805" s="128"/>
      <c r="H805" s="128"/>
      <c r="I805" s="128"/>
      <c r="J805" s="128"/>
      <c r="K805" s="128"/>
      <c r="L805" s="128"/>
      <c r="M805" s="128"/>
      <c r="N805" s="128"/>
      <c r="O805" s="128"/>
      <c r="P805" s="128"/>
      <c r="Q805" s="128"/>
      <c r="R805" s="128"/>
      <c r="S805" s="128"/>
      <c r="T805" s="128"/>
      <c r="U805" s="128"/>
      <c r="V805" s="128"/>
      <c r="W805" s="128"/>
      <c r="X805" s="128"/>
      <c r="Y805" s="128"/>
      <c r="Z805" s="128"/>
      <c r="AA805" s="128"/>
    </row>
    <row r="806">
      <c r="A806" s="134"/>
      <c r="B806" s="134"/>
      <c r="C806" s="128"/>
      <c r="D806" s="128"/>
      <c r="E806" s="128"/>
      <c r="F806" s="128"/>
      <c r="G806" s="128"/>
      <c r="H806" s="128"/>
      <c r="I806" s="128"/>
      <c r="J806" s="128"/>
      <c r="K806" s="128"/>
      <c r="L806" s="128"/>
      <c r="M806" s="128"/>
      <c r="N806" s="128"/>
      <c r="O806" s="128"/>
      <c r="P806" s="128"/>
      <c r="Q806" s="128"/>
      <c r="R806" s="128"/>
      <c r="S806" s="128"/>
      <c r="T806" s="128"/>
      <c r="U806" s="128"/>
      <c r="V806" s="128"/>
      <c r="W806" s="128"/>
      <c r="X806" s="128"/>
      <c r="Y806" s="128"/>
      <c r="Z806" s="128"/>
      <c r="AA806" s="128"/>
    </row>
    <row r="807">
      <c r="A807" s="134"/>
      <c r="B807" s="134"/>
      <c r="C807" s="128"/>
      <c r="D807" s="128"/>
      <c r="E807" s="128"/>
      <c r="F807" s="128"/>
      <c r="G807" s="128"/>
      <c r="H807" s="128"/>
      <c r="I807" s="128"/>
      <c r="J807" s="128"/>
      <c r="K807" s="128"/>
      <c r="L807" s="128"/>
      <c r="M807" s="128"/>
      <c r="N807" s="128"/>
      <c r="O807" s="128"/>
      <c r="P807" s="128"/>
      <c r="Q807" s="128"/>
      <c r="R807" s="128"/>
      <c r="S807" s="128"/>
      <c r="T807" s="128"/>
      <c r="U807" s="128"/>
      <c r="V807" s="128"/>
      <c r="W807" s="128"/>
      <c r="X807" s="128"/>
      <c r="Y807" s="128"/>
      <c r="Z807" s="128"/>
      <c r="AA807" s="128"/>
    </row>
    <row r="808">
      <c r="A808" s="134"/>
      <c r="B808" s="134"/>
      <c r="C808" s="128"/>
      <c r="D808" s="128"/>
      <c r="E808" s="128"/>
      <c r="F808" s="128"/>
      <c r="G808" s="128"/>
      <c r="H808" s="128"/>
      <c r="I808" s="128"/>
      <c r="J808" s="128"/>
      <c r="K808" s="128"/>
      <c r="L808" s="128"/>
      <c r="M808" s="128"/>
      <c r="N808" s="128"/>
      <c r="O808" s="128"/>
      <c r="P808" s="128"/>
      <c r="Q808" s="128"/>
      <c r="R808" s="128"/>
      <c r="S808" s="128"/>
      <c r="T808" s="128"/>
      <c r="U808" s="128"/>
      <c r="V808" s="128"/>
      <c r="W808" s="128"/>
      <c r="X808" s="128"/>
      <c r="Y808" s="128"/>
      <c r="Z808" s="128"/>
      <c r="AA808" s="128"/>
    </row>
    <row r="809">
      <c r="A809" s="134"/>
      <c r="B809" s="134"/>
      <c r="C809" s="128"/>
      <c r="D809" s="128"/>
      <c r="E809" s="128"/>
      <c r="F809" s="128"/>
      <c r="G809" s="128"/>
      <c r="H809" s="128"/>
      <c r="I809" s="128"/>
      <c r="J809" s="128"/>
      <c r="K809" s="128"/>
      <c r="L809" s="128"/>
      <c r="M809" s="128"/>
      <c r="N809" s="128"/>
      <c r="O809" s="128"/>
      <c r="P809" s="128"/>
      <c r="Q809" s="128"/>
      <c r="R809" s="128"/>
      <c r="S809" s="128"/>
      <c r="T809" s="128"/>
      <c r="U809" s="128"/>
      <c r="V809" s="128"/>
      <c r="W809" s="128"/>
      <c r="X809" s="128"/>
      <c r="Y809" s="128"/>
      <c r="Z809" s="128"/>
      <c r="AA809" s="128"/>
    </row>
    <row r="810">
      <c r="A810" s="134"/>
      <c r="B810" s="134"/>
      <c r="C810" s="128"/>
      <c r="D810" s="128"/>
      <c r="E810" s="128"/>
      <c r="F810" s="128"/>
      <c r="G810" s="128"/>
      <c r="H810" s="128"/>
      <c r="I810" s="128"/>
      <c r="J810" s="128"/>
      <c r="K810" s="128"/>
      <c r="L810" s="128"/>
      <c r="M810" s="128"/>
      <c r="N810" s="128"/>
      <c r="O810" s="128"/>
      <c r="P810" s="128"/>
      <c r="Q810" s="128"/>
      <c r="R810" s="128"/>
      <c r="S810" s="128"/>
      <c r="T810" s="128"/>
      <c r="U810" s="128"/>
      <c r="V810" s="128"/>
      <c r="W810" s="128"/>
      <c r="X810" s="128"/>
      <c r="Y810" s="128"/>
      <c r="Z810" s="128"/>
      <c r="AA810" s="128"/>
    </row>
    <row r="811">
      <c r="A811" s="134"/>
      <c r="B811" s="134"/>
      <c r="C811" s="128"/>
      <c r="D811" s="128"/>
      <c r="E811" s="128"/>
      <c r="F811" s="128"/>
      <c r="G811" s="128"/>
      <c r="H811" s="128"/>
      <c r="I811" s="128"/>
      <c r="J811" s="128"/>
      <c r="K811" s="128"/>
      <c r="L811" s="128"/>
      <c r="M811" s="128"/>
      <c r="N811" s="128"/>
      <c r="O811" s="128"/>
      <c r="P811" s="128"/>
      <c r="Q811" s="128"/>
      <c r="R811" s="128"/>
      <c r="S811" s="128"/>
      <c r="T811" s="128"/>
      <c r="U811" s="128"/>
      <c r="V811" s="128"/>
      <c r="W811" s="128"/>
      <c r="X811" s="128"/>
      <c r="Y811" s="128"/>
      <c r="Z811" s="128"/>
      <c r="AA811" s="128"/>
    </row>
    <row r="812">
      <c r="A812" s="134"/>
      <c r="B812" s="134"/>
      <c r="C812" s="128"/>
      <c r="D812" s="128"/>
      <c r="E812" s="128"/>
      <c r="F812" s="128"/>
      <c r="G812" s="128"/>
      <c r="H812" s="128"/>
      <c r="I812" s="128"/>
      <c r="J812" s="128"/>
      <c r="K812" s="128"/>
      <c r="L812" s="128"/>
      <c r="M812" s="128"/>
      <c r="N812" s="128"/>
      <c r="O812" s="128"/>
      <c r="P812" s="128"/>
      <c r="Q812" s="128"/>
      <c r="R812" s="128"/>
      <c r="S812" s="128"/>
      <c r="T812" s="128"/>
      <c r="U812" s="128"/>
      <c r="V812" s="128"/>
      <c r="W812" s="128"/>
      <c r="X812" s="128"/>
      <c r="Y812" s="128"/>
      <c r="Z812" s="128"/>
      <c r="AA812" s="128"/>
    </row>
    <row r="813">
      <c r="A813" s="134"/>
      <c r="B813" s="134"/>
      <c r="C813" s="128"/>
      <c r="D813" s="128"/>
      <c r="E813" s="128"/>
      <c r="F813" s="128"/>
      <c r="G813" s="128"/>
      <c r="H813" s="128"/>
      <c r="I813" s="128"/>
      <c r="J813" s="128"/>
      <c r="K813" s="128"/>
      <c r="L813" s="128"/>
      <c r="M813" s="128"/>
      <c r="N813" s="128"/>
      <c r="O813" s="128"/>
      <c r="P813" s="128"/>
      <c r="Q813" s="128"/>
      <c r="R813" s="128"/>
      <c r="S813" s="128"/>
      <c r="T813" s="128"/>
      <c r="U813" s="128"/>
      <c r="V813" s="128"/>
      <c r="W813" s="128"/>
      <c r="X813" s="128"/>
      <c r="Y813" s="128"/>
      <c r="Z813" s="128"/>
      <c r="AA813" s="128"/>
    </row>
    <row r="814">
      <c r="A814" s="134"/>
      <c r="B814" s="134"/>
      <c r="C814" s="128"/>
      <c r="D814" s="128"/>
      <c r="E814" s="128"/>
      <c r="F814" s="128"/>
      <c r="G814" s="128"/>
      <c r="H814" s="128"/>
      <c r="I814" s="128"/>
      <c r="J814" s="128"/>
      <c r="K814" s="128"/>
      <c r="L814" s="128"/>
      <c r="M814" s="128"/>
      <c r="N814" s="128"/>
      <c r="O814" s="128"/>
      <c r="P814" s="128"/>
      <c r="Q814" s="128"/>
      <c r="R814" s="128"/>
      <c r="S814" s="128"/>
      <c r="T814" s="128"/>
      <c r="U814" s="128"/>
      <c r="V814" s="128"/>
      <c r="W814" s="128"/>
      <c r="X814" s="128"/>
      <c r="Y814" s="128"/>
      <c r="Z814" s="128"/>
      <c r="AA814" s="128"/>
    </row>
    <row r="815">
      <c r="A815" s="134"/>
      <c r="B815" s="134"/>
      <c r="C815" s="128"/>
      <c r="D815" s="128"/>
      <c r="E815" s="128"/>
      <c r="F815" s="128"/>
      <c r="G815" s="128"/>
      <c r="H815" s="128"/>
      <c r="I815" s="128"/>
      <c r="J815" s="128"/>
      <c r="K815" s="128"/>
      <c r="L815" s="128"/>
      <c r="M815" s="128"/>
      <c r="N815" s="128"/>
      <c r="O815" s="128"/>
      <c r="P815" s="128"/>
      <c r="Q815" s="128"/>
      <c r="R815" s="128"/>
      <c r="S815" s="128"/>
      <c r="T815" s="128"/>
      <c r="U815" s="128"/>
      <c r="V815" s="128"/>
      <c r="W815" s="128"/>
      <c r="X815" s="128"/>
      <c r="Y815" s="128"/>
      <c r="Z815" s="128"/>
      <c r="AA815" s="128"/>
    </row>
    <row r="816">
      <c r="A816" s="134"/>
      <c r="B816" s="134"/>
      <c r="C816" s="128"/>
      <c r="D816" s="128"/>
      <c r="E816" s="128"/>
      <c r="F816" s="128"/>
      <c r="G816" s="128"/>
      <c r="H816" s="128"/>
      <c r="I816" s="128"/>
      <c r="J816" s="128"/>
      <c r="K816" s="128"/>
      <c r="L816" s="128"/>
      <c r="M816" s="128"/>
      <c r="N816" s="128"/>
      <c r="O816" s="128"/>
      <c r="P816" s="128"/>
      <c r="Q816" s="128"/>
      <c r="R816" s="128"/>
      <c r="S816" s="128"/>
      <c r="T816" s="128"/>
      <c r="U816" s="128"/>
      <c r="V816" s="128"/>
      <c r="W816" s="128"/>
      <c r="X816" s="128"/>
      <c r="Y816" s="128"/>
      <c r="Z816" s="128"/>
      <c r="AA816" s="128"/>
    </row>
    <row r="817">
      <c r="A817" s="134"/>
      <c r="B817" s="134"/>
      <c r="C817" s="128"/>
      <c r="D817" s="128"/>
      <c r="E817" s="128"/>
      <c r="F817" s="128"/>
      <c r="G817" s="128"/>
      <c r="H817" s="128"/>
      <c r="I817" s="128"/>
      <c r="J817" s="128"/>
      <c r="K817" s="128"/>
      <c r="L817" s="128"/>
      <c r="M817" s="128"/>
      <c r="N817" s="128"/>
      <c r="O817" s="128"/>
      <c r="P817" s="128"/>
      <c r="Q817" s="128"/>
      <c r="R817" s="128"/>
      <c r="S817" s="128"/>
      <c r="T817" s="128"/>
      <c r="U817" s="128"/>
      <c r="V817" s="128"/>
      <c r="W817" s="128"/>
      <c r="X817" s="128"/>
      <c r="Y817" s="128"/>
      <c r="Z817" s="128"/>
      <c r="AA817" s="128"/>
    </row>
    <row r="818">
      <c r="A818" s="134"/>
      <c r="B818" s="134"/>
      <c r="C818" s="128"/>
      <c r="D818" s="128"/>
      <c r="E818" s="128"/>
      <c r="F818" s="128"/>
      <c r="G818" s="128"/>
      <c r="H818" s="128"/>
      <c r="I818" s="128"/>
      <c r="J818" s="128"/>
      <c r="K818" s="128"/>
      <c r="L818" s="128"/>
      <c r="M818" s="128"/>
      <c r="N818" s="128"/>
      <c r="O818" s="128"/>
      <c r="P818" s="128"/>
      <c r="Q818" s="128"/>
      <c r="R818" s="128"/>
      <c r="S818" s="128"/>
      <c r="T818" s="128"/>
      <c r="U818" s="128"/>
      <c r="V818" s="128"/>
      <c r="W818" s="128"/>
      <c r="X818" s="128"/>
      <c r="Y818" s="128"/>
      <c r="Z818" s="128"/>
      <c r="AA818" s="128"/>
    </row>
    <row r="819">
      <c r="A819" s="134"/>
      <c r="B819" s="134"/>
      <c r="C819" s="128"/>
      <c r="D819" s="128"/>
      <c r="E819" s="128"/>
      <c r="F819" s="128"/>
      <c r="G819" s="128"/>
      <c r="H819" s="128"/>
      <c r="I819" s="128"/>
      <c r="J819" s="128"/>
      <c r="K819" s="128"/>
      <c r="L819" s="128"/>
      <c r="M819" s="128"/>
      <c r="N819" s="128"/>
      <c r="O819" s="128"/>
      <c r="P819" s="128"/>
      <c r="Q819" s="128"/>
      <c r="R819" s="128"/>
      <c r="S819" s="128"/>
      <c r="T819" s="128"/>
      <c r="U819" s="128"/>
      <c r="V819" s="128"/>
      <c r="W819" s="128"/>
      <c r="X819" s="128"/>
      <c r="Y819" s="128"/>
      <c r="Z819" s="128"/>
      <c r="AA819" s="128"/>
    </row>
    <row r="820">
      <c r="A820" s="134"/>
      <c r="B820" s="134"/>
      <c r="C820" s="128"/>
      <c r="D820" s="128"/>
      <c r="E820" s="128"/>
      <c r="F820" s="128"/>
      <c r="G820" s="128"/>
      <c r="H820" s="128"/>
      <c r="I820" s="128"/>
      <c r="J820" s="128"/>
      <c r="K820" s="128"/>
      <c r="L820" s="128"/>
      <c r="M820" s="128"/>
      <c r="N820" s="128"/>
      <c r="O820" s="128"/>
      <c r="P820" s="128"/>
      <c r="Q820" s="128"/>
      <c r="R820" s="128"/>
      <c r="S820" s="128"/>
      <c r="T820" s="128"/>
      <c r="U820" s="128"/>
      <c r="V820" s="128"/>
      <c r="W820" s="128"/>
      <c r="X820" s="128"/>
      <c r="Y820" s="128"/>
      <c r="Z820" s="128"/>
      <c r="AA820" s="128"/>
    </row>
    <row r="821">
      <c r="A821" s="134"/>
      <c r="B821" s="134"/>
      <c r="C821" s="128"/>
      <c r="D821" s="128"/>
      <c r="E821" s="128"/>
      <c r="F821" s="128"/>
      <c r="G821" s="128"/>
      <c r="H821" s="128"/>
      <c r="I821" s="128"/>
      <c r="J821" s="128"/>
      <c r="K821" s="128"/>
      <c r="L821" s="128"/>
      <c r="M821" s="128"/>
      <c r="N821" s="128"/>
      <c r="O821" s="128"/>
      <c r="P821" s="128"/>
      <c r="Q821" s="128"/>
      <c r="R821" s="128"/>
      <c r="S821" s="128"/>
      <c r="T821" s="128"/>
      <c r="U821" s="128"/>
      <c r="V821" s="128"/>
      <c r="W821" s="128"/>
      <c r="X821" s="128"/>
      <c r="Y821" s="128"/>
      <c r="Z821" s="128"/>
      <c r="AA821" s="128"/>
    </row>
    <row r="822">
      <c r="A822" s="134"/>
      <c r="B822" s="134"/>
      <c r="C822" s="128"/>
      <c r="D822" s="128"/>
      <c r="E822" s="128"/>
      <c r="F822" s="128"/>
      <c r="G822" s="128"/>
      <c r="H822" s="128"/>
      <c r="I822" s="128"/>
      <c r="J822" s="128"/>
      <c r="K822" s="128"/>
      <c r="L822" s="128"/>
      <c r="M822" s="128"/>
      <c r="N822" s="128"/>
      <c r="O822" s="128"/>
      <c r="P822" s="128"/>
      <c r="Q822" s="128"/>
      <c r="R822" s="128"/>
      <c r="S822" s="128"/>
      <c r="T822" s="128"/>
      <c r="U822" s="128"/>
      <c r="V822" s="128"/>
      <c r="W822" s="128"/>
      <c r="X822" s="128"/>
      <c r="Y822" s="128"/>
      <c r="Z822" s="128"/>
      <c r="AA822" s="128"/>
    </row>
    <row r="823">
      <c r="A823" s="134"/>
      <c r="B823" s="134"/>
      <c r="C823" s="128"/>
      <c r="D823" s="128"/>
      <c r="E823" s="128"/>
      <c r="F823" s="128"/>
      <c r="G823" s="128"/>
      <c r="H823" s="128"/>
      <c r="I823" s="128"/>
      <c r="J823" s="128"/>
      <c r="K823" s="128"/>
      <c r="L823" s="128"/>
      <c r="M823" s="128"/>
      <c r="N823" s="128"/>
      <c r="O823" s="128"/>
      <c r="P823" s="128"/>
      <c r="Q823" s="128"/>
      <c r="R823" s="128"/>
      <c r="S823" s="128"/>
      <c r="T823" s="128"/>
      <c r="U823" s="128"/>
      <c r="V823" s="128"/>
      <c r="W823" s="128"/>
      <c r="X823" s="128"/>
      <c r="Y823" s="128"/>
      <c r="Z823" s="128"/>
      <c r="AA823" s="128"/>
    </row>
    <row r="824">
      <c r="A824" s="134"/>
      <c r="B824" s="134"/>
      <c r="C824" s="128"/>
      <c r="D824" s="128"/>
      <c r="E824" s="128"/>
      <c r="F824" s="128"/>
      <c r="G824" s="128"/>
      <c r="H824" s="128"/>
      <c r="I824" s="128"/>
      <c r="J824" s="128"/>
      <c r="K824" s="128"/>
      <c r="L824" s="128"/>
      <c r="M824" s="128"/>
      <c r="N824" s="128"/>
      <c r="O824" s="128"/>
      <c r="P824" s="128"/>
      <c r="Q824" s="128"/>
      <c r="R824" s="128"/>
      <c r="S824" s="128"/>
      <c r="T824" s="128"/>
      <c r="U824" s="128"/>
      <c r="V824" s="128"/>
      <c r="W824" s="128"/>
      <c r="X824" s="128"/>
      <c r="Y824" s="128"/>
      <c r="Z824" s="128"/>
      <c r="AA824" s="128"/>
    </row>
    <row r="825">
      <c r="A825" s="134"/>
      <c r="B825" s="134"/>
      <c r="C825" s="128"/>
      <c r="D825" s="128"/>
      <c r="E825" s="128"/>
      <c r="F825" s="128"/>
      <c r="G825" s="128"/>
      <c r="H825" s="128"/>
      <c r="I825" s="128"/>
      <c r="J825" s="128"/>
      <c r="K825" s="128"/>
      <c r="L825" s="128"/>
      <c r="M825" s="128"/>
      <c r="N825" s="128"/>
      <c r="O825" s="128"/>
      <c r="P825" s="128"/>
      <c r="Q825" s="128"/>
      <c r="R825" s="128"/>
      <c r="S825" s="128"/>
      <c r="T825" s="128"/>
      <c r="U825" s="128"/>
      <c r="V825" s="128"/>
      <c r="W825" s="128"/>
      <c r="X825" s="128"/>
      <c r="Y825" s="128"/>
      <c r="Z825" s="128"/>
      <c r="AA825" s="128"/>
    </row>
    <row r="826">
      <c r="A826" s="134"/>
      <c r="B826" s="134"/>
      <c r="C826" s="128"/>
      <c r="D826" s="128"/>
      <c r="E826" s="128"/>
      <c r="F826" s="128"/>
      <c r="G826" s="128"/>
      <c r="H826" s="128"/>
      <c r="I826" s="128"/>
      <c r="J826" s="128"/>
      <c r="K826" s="128"/>
      <c r="L826" s="128"/>
      <c r="M826" s="128"/>
      <c r="N826" s="128"/>
      <c r="O826" s="128"/>
      <c r="P826" s="128"/>
      <c r="Q826" s="128"/>
      <c r="R826" s="128"/>
      <c r="S826" s="128"/>
      <c r="T826" s="128"/>
      <c r="U826" s="128"/>
      <c r="V826" s="128"/>
      <c r="W826" s="128"/>
      <c r="X826" s="128"/>
      <c r="Y826" s="128"/>
      <c r="Z826" s="128"/>
      <c r="AA826" s="128"/>
    </row>
    <row r="827">
      <c r="A827" s="134"/>
      <c r="B827" s="134"/>
      <c r="C827" s="128"/>
      <c r="D827" s="128"/>
      <c r="E827" s="128"/>
      <c r="F827" s="128"/>
      <c r="G827" s="128"/>
      <c r="H827" s="128"/>
      <c r="I827" s="128"/>
      <c r="J827" s="128"/>
      <c r="K827" s="128"/>
      <c r="L827" s="128"/>
      <c r="M827" s="128"/>
      <c r="N827" s="128"/>
      <c r="O827" s="128"/>
      <c r="P827" s="128"/>
      <c r="Q827" s="128"/>
      <c r="R827" s="128"/>
      <c r="S827" s="128"/>
      <c r="T827" s="128"/>
      <c r="U827" s="128"/>
      <c r="V827" s="128"/>
      <c r="W827" s="128"/>
      <c r="X827" s="128"/>
      <c r="Y827" s="128"/>
      <c r="Z827" s="128"/>
      <c r="AA827" s="128"/>
    </row>
    <row r="828">
      <c r="A828" s="134"/>
      <c r="B828" s="134"/>
      <c r="C828" s="128"/>
      <c r="D828" s="128"/>
      <c r="E828" s="128"/>
      <c r="F828" s="128"/>
      <c r="G828" s="128"/>
      <c r="H828" s="128"/>
      <c r="I828" s="128"/>
      <c r="J828" s="128"/>
      <c r="K828" s="128"/>
      <c r="L828" s="128"/>
      <c r="M828" s="128"/>
      <c r="N828" s="128"/>
      <c r="O828" s="128"/>
      <c r="P828" s="128"/>
      <c r="Q828" s="128"/>
      <c r="R828" s="128"/>
      <c r="S828" s="128"/>
      <c r="T828" s="128"/>
      <c r="U828" s="128"/>
      <c r="V828" s="128"/>
      <c r="W828" s="128"/>
      <c r="X828" s="128"/>
      <c r="Y828" s="128"/>
      <c r="Z828" s="128"/>
      <c r="AA828" s="128"/>
    </row>
    <row r="829">
      <c r="A829" s="134"/>
      <c r="B829" s="134"/>
      <c r="C829" s="128"/>
      <c r="D829" s="128"/>
      <c r="E829" s="128"/>
      <c r="F829" s="128"/>
      <c r="G829" s="128"/>
      <c r="H829" s="128"/>
      <c r="I829" s="128"/>
      <c r="J829" s="128"/>
      <c r="K829" s="128"/>
      <c r="L829" s="128"/>
      <c r="M829" s="128"/>
      <c r="N829" s="128"/>
      <c r="O829" s="128"/>
      <c r="P829" s="128"/>
      <c r="Q829" s="128"/>
      <c r="R829" s="128"/>
      <c r="S829" s="128"/>
      <c r="T829" s="128"/>
      <c r="U829" s="128"/>
      <c r="V829" s="128"/>
      <c r="W829" s="128"/>
      <c r="X829" s="128"/>
      <c r="Y829" s="128"/>
      <c r="Z829" s="128"/>
      <c r="AA829" s="128"/>
    </row>
    <row r="830">
      <c r="A830" s="134"/>
      <c r="B830" s="134"/>
      <c r="C830" s="128"/>
      <c r="D830" s="128"/>
      <c r="E830" s="128"/>
      <c r="F830" s="128"/>
      <c r="G830" s="128"/>
      <c r="H830" s="128"/>
      <c r="I830" s="128"/>
      <c r="J830" s="128"/>
      <c r="K830" s="128"/>
      <c r="L830" s="128"/>
      <c r="M830" s="128"/>
      <c r="N830" s="128"/>
      <c r="O830" s="128"/>
      <c r="P830" s="128"/>
      <c r="Q830" s="128"/>
      <c r="R830" s="128"/>
      <c r="S830" s="128"/>
      <c r="T830" s="128"/>
      <c r="U830" s="128"/>
      <c r="V830" s="128"/>
      <c r="W830" s="128"/>
      <c r="X830" s="128"/>
      <c r="Y830" s="128"/>
      <c r="Z830" s="128"/>
      <c r="AA830" s="128"/>
    </row>
    <row r="831">
      <c r="A831" s="134"/>
      <c r="B831" s="134"/>
      <c r="C831" s="128"/>
      <c r="D831" s="128"/>
      <c r="E831" s="128"/>
      <c r="F831" s="128"/>
      <c r="G831" s="128"/>
      <c r="H831" s="128"/>
      <c r="I831" s="128"/>
      <c r="J831" s="128"/>
      <c r="K831" s="128"/>
      <c r="L831" s="128"/>
      <c r="M831" s="128"/>
      <c r="N831" s="128"/>
      <c r="O831" s="128"/>
      <c r="P831" s="128"/>
      <c r="Q831" s="128"/>
      <c r="R831" s="128"/>
      <c r="S831" s="128"/>
      <c r="T831" s="128"/>
      <c r="U831" s="128"/>
      <c r="V831" s="128"/>
      <c r="W831" s="128"/>
      <c r="X831" s="128"/>
      <c r="Y831" s="128"/>
      <c r="Z831" s="128"/>
      <c r="AA831" s="128"/>
    </row>
    <row r="832">
      <c r="A832" s="134"/>
      <c r="B832" s="134"/>
      <c r="C832" s="128"/>
      <c r="D832" s="128"/>
      <c r="E832" s="128"/>
      <c r="F832" s="128"/>
      <c r="G832" s="128"/>
      <c r="H832" s="128"/>
      <c r="I832" s="128"/>
      <c r="J832" s="128"/>
      <c r="K832" s="128"/>
      <c r="L832" s="128"/>
      <c r="M832" s="128"/>
      <c r="N832" s="128"/>
      <c r="O832" s="128"/>
      <c r="P832" s="128"/>
      <c r="Q832" s="128"/>
      <c r="R832" s="128"/>
      <c r="S832" s="128"/>
      <c r="T832" s="128"/>
      <c r="U832" s="128"/>
      <c r="V832" s="128"/>
      <c r="W832" s="128"/>
      <c r="X832" s="128"/>
      <c r="Y832" s="128"/>
      <c r="Z832" s="128"/>
      <c r="AA832" s="128"/>
    </row>
    <row r="833">
      <c r="A833" s="134"/>
      <c r="B833" s="134"/>
      <c r="C833" s="128"/>
      <c r="D833" s="128"/>
      <c r="E833" s="128"/>
      <c r="F833" s="128"/>
      <c r="G833" s="128"/>
      <c r="H833" s="128"/>
      <c r="I833" s="128"/>
      <c r="J833" s="128"/>
      <c r="K833" s="128"/>
      <c r="L833" s="128"/>
      <c r="M833" s="128"/>
      <c r="N833" s="128"/>
      <c r="O833" s="128"/>
      <c r="P833" s="128"/>
      <c r="Q833" s="128"/>
      <c r="R833" s="128"/>
      <c r="S833" s="128"/>
      <c r="T833" s="128"/>
      <c r="U833" s="128"/>
      <c r="V833" s="128"/>
      <c r="W833" s="128"/>
      <c r="X833" s="128"/>
      <c r="Y833" s="128"/>
      <c r="Z833" s="128"/>
      <c r="AA833" s="128"/>
    </row>
    <row r="834">
      <c r="A834" s="134"/>
      <c r="B834" s="134"/>
      <c r="C834" s="128"/>
      <c r="D834" s="128"/>
      <c r="E834" s="128"/>
      <c r="F834" s="128"/>
      <c r="G834" s="128"/>
      <c r="H834" s="128"/>
      <c r="I834" s="128"/>
      <c r="J834" s="128"/>
      <c r="K834" s="128"/>
      <c r="L834" s="128"/>
      <c r="M834" s="128"/>
      <c r="N834" s="128"/>
      <c r="O834" s="128"/>
      <c r="P834" s="128"/>
      <c r="Q834" s="128"/>
      <c r="R834" s="128"/>
      <c r="S834" s="128"/>
      <c r="T834" s="128"/>
      <c r="U834" s="128"/>
      <c r="V834" s="128"/>
      <c r="W834" s="128"/>
      <c r="X834" s="128"/>
      <c r="Y834" s="128"/>
      <c r="Z834" s="128"/>
      <c r="AA834" s="128"/>
    </row>
    <row r="835">
      <c r="A835" s="134"/>
      <c r="B835" s="134"/>
      <c r="C835" s="128"/>
      <c r="D835" s="128"/>
      <c r="E835" s="128"/>
      <c r="F835" s="128"/>
      <c r="G835" s="128"/>
      <c r="H835" s="128"/>
      <c r="I835" s="128"/>
      <c r="J835" s="128"/>
      <c r="K835" s="128"/>
      <c r="L835" s="128"/>
      <c r="M835" s="128"/>
      <c r="N835" s="128"/>
      <c r="O835" s="128"/>
      <c r="P835" s="128"/>
      <c r="Q835" s="128"/>
      <c r="R835" s="128"/>
      <c r="S835" s="128"/>
      <c r="T835" s="128"/>
      <c r="U835" s="128"/>
      <c r="V835" s="128"/>
      <c r="W835" s="128"/>
      <c r="X835" s="128"/>
      <c r="Y835" s="128"/>
      <c r="Z835" s="128"/>
      <c r="AA835" s="128"/>
    </row>
    <row r="836">
      <c r="A836" s="134"/>
      <c r="B836" s="134"/>
      <c r="C836" s="128"/>
      <c r="D836" s="128"/>
      <c r="E836" s="128"/>
      <c r="F836" s="128"/>
      <c r="G836" s="128"/>
      <c r="H836" s="128"/>
      <c r="I836" s="128"/>
      <c r="J836" s="128"/>
      <c r="K836" s="128"/>
      <c r="L836" s="128"/>
      <c r="M836" s="128"/>
      <c r="N836" s="128"/>
      <c r="O836" s="128"/>
      <c r="P836" s="128"/>
      <c r="Q836" s="128"/>
      <c r="R836" s="128"/>
      <c r="S836" s="128"/>
      <c r="T836" s="128"/>
      <c r="U836" s="128"/>
      <c r="V836" s="128"/>
      <c r="W836" s="128"/>
      <c r="X836" s="128"/>
      <c r="Y836" s="128"/>
      <c r="Z836" s="128"/>
      <c r="AA836" s="128"/>
    </row>
    <row r="837">
      <c r="A837" s="134"/>
      <c r="B837" s="134"/>
      <c r="C837" s="128"/>
      <c r="D837" s="128"/>
      <c r="E837" s="128"/>
      <c r="F837" s="128"/>
      <c r="G837" s="128"/>
      <c r="H837" s="128"/>
      <c r="I837" s="128"/>
      <c r="J837" s="128"/>
      <c r="K837" s="128"/>
      <c r="L837" s="128"/>
      <c r="M837" s="128"/>
      <c r="N837" s="128"/>
      <c r="O837" s="128"/>
      <c r="P837" s="128"/>
      <c r="Q837" s="128"/>
      <c r="R837" s="128"/>
      <c r="S837" s="128"/>
      <c r="T837" s="128"/>
      <c r="U837" s="128"/>
      <c r="V837" s="128"/>
      <c r="W837" s="128"/>
      <c r="X837" s="128"/>
      <c r="Y837" s="128"/>
      <c r="Z837" s="128"/>
      <c r="AA837" s="128"/>
    </row>
    <row r="838">
      <c r="A838" s="134"/>
      <c r="B838" s="134"/>
      <c r="C838" s="128"/>
      <c r="D838" s="128"/>
      <c r="E838" s="128"/>
      <c r="F838" s="128"/>
      <c r="G838" s="128"/>
      <c r="H838" s="128"/>
      <c r="I838" s="128"/>
      <c r="J838" s="128"/>
      <c r="K838" s="128"/>
      <c r="L838" s="128"/>
      <c r="M838" s="128"/>
      <c r="N838" s="128"/>
      <c r="O838" s="128"/>
      <c r="P838" s="128"/>
      <c r="Q838" s="128"/>
      <c r="R838" s="128"/>
      <c r="S838" s="128"/>
      <c r="T838" s="128"/>
      <c r="U838" s="128"/>
      <c r="V838" s="128"/>
      <c r="W838" s="128"/>
      <c r="X838" s="128"/>
      <c r="Y838" s="128"/>
      <c r="Z838" s="128"/>
      <c r="AA838" s="128"/>
    </row>
    <row r="839">
      <c r="A839" s="134"/>
      <c r="B839" s="134"/>
      <c r="C839" s="128"/>
      <c r="D839" s="128"/>
      <c r="E839" s="128"/>
      <c r="F839" s="128"/>
      <c r="G839" s="128"/>
      <c r="H839" s="128"/>
      <c r="I839" s="128"/>
      <c r="J839" s="128"/>
      <c r="K839" s="128"/>
      <c r="L839" s="128"/>
      <c r="M839" s="128"/>
      <c r="N839" s="128"/>
      <c r="O839" s="128"/>
      <c r="P839" s="128"/>
      <c r="Q839" s="128"/>
      <c r="R839" s="128"/>
      <c r="S839" s="128"/>
      <c r="T839" s="128"/>
      <c r="U839" s="128"/>
      <c r="V839" s="128"/>
      <c r="W839" s="128"/>
      <c r="X839" s="128"/>
      <c r="Y839" s="128"/>
      <c r="Z839" s="128"/>
      <c r="AA839" s="128"/>
    </row>
    <row r="840">
      <c r="A840" s="134"/>
      <c r="B840" s="134"/>
      <c r="C840" s="128"/>
      <c r="D840" s="128"/>
      <c r="E840" s="128"/>
      <c r="F840" s="128"/>
      <c r="G840" s="128"/>
      <c r="H840" s="128"/>
      <c r="I840" s="128"/>
      <c r="J840" s="128"/>
      <c r="K840" s="128"/>
      <c r="L840" s="128"/>
      <c r="M840" s="128"/>
      <c r="N840" s="128"/>
      <c r="O840" s="128"/>
      <c r="P840" s="128"/>
      <c r="Q840" s="128"/>
      <c r="R840" s="128"/>
      <c r="S840" s="128"/>
      <c r="T840" s="128"/>
      <c r="U840" s="128"/>
      <c r="V840" s="128"/>
      <c r="W840" s="128"/>
      <c r="X840" s="128"/>
      <c r="Y840" s="128"/>
      <c r="Z840" s="128"/>
      <c r="AA840" s="128"/>
    </row>
    <row r="841">
      <c r="A841" s="134"/>
      <c r="B841" s="134"/>
      <c r="C841" s="128"/>
      <c r="D841" s="128"/>
      <c r="E841" s="128"/>
      <c r="F841" s="128"/>
      <c r="G841" s="128"/>
      <c r="H841" s="128"/>
      <c r="I841" s="128"/>
      <c r="J841" s="128"/>
      <c r="K841" s="128"/>
      <c r="L841" s="128"/>
      <c r="M841" s="128"/>
      <c r="N841" s="128"/>
      <c r="O841" s="128"/>
      <c r="P841" s="128"/>
      <c r="Q841" s="128"/>
      <c r="R841" s="128"/>
      <c r="S841" s="128"/>
      <c r="T841" s="128"/>
      <c r="U841" s="128"/>
      <c r="V841" s="128"/>
      <c r="W841" s="128"/>
      <c r="X841" s="128"/>
      <c r="Y841" s="128"/>
      <c r="Z841" s="128"/>
      <c r="AA841" s="128"/>
    </row>
    <row r="842">
      <c r="A842" s="134"/>
      <c r="B842" s="134"/>
      <c r="C842" s="128"/>
      <c r="D842" s="128"/>
      <c r="E842" s="128"/>
      <c r="F842" s="128"/>
      <c r="G842" s="128"/>
      <c r="H842" s="128"/>
      <c r="I842" s="128"/>
      <c r="J842" s="128"/>
      <c r="K842" s="128"/>
      <c r="L842" s="128"/>
      <c r="M842" s="128"/>
      <c r="N842" s="128"/>
      <c r="O842" s="128"/>
      <c r="P842" s="128"/>
      <c r="Q842" s="128"/>
      <c r="R842" s="128"/>
      <c r="S842" s="128"/>
      <c r="T842" s="128"/>
      <c r="U842" s="128"/>
      <c r="V842" s="128"/>
      <c r="W842" s="128"/>
      <c r="X842" s="128"/>
      <c r="Y842" s="128"/>
      <c r="Z842" s="128"/>
      <c r="AA842" s="128"/>
    </row>
    <row r="843">
      <c r="A843" s="134"/>
      <c r="B843" s="134"/>
      <c r="C843" s="128"/>
      <c r="D843" s="128"/>
      <c r="E843" s="128"/>
      <c r="F843" s="128"/>
      <c r="G843" s="128"/>
      <c r="H843" s="128"/>
      <c r="I843" s="128"/>
      <c r="J843" s="128"/>
      <c r="K843" s="128"/>
      <c r="L843" s="128"/>
      <c r="M843" s="128"/>
      <c r="N843" s="128"/>
      <c r="O843" s="128"/>
      <c r="P843" s="128"/>
      <c r="Q843" s="128"/>
      <c r="R843" s="128"/>
      <c r="S843" s="128"/>
      <c r="T843" s="128"/>
      <c r="U843" s="128"/>
      <c r="V843" s="128"/>
      <c r="W843" s="128"/>
      <c r="X843" s="128"/>
      <c r="Y843" s="128"/>
      <c r="Z843" s="128"/>
      <c r="AA843" s="128"/>
    </row>
    <row r="844">
      <c r="A844" s="134"/>
      <c r="B844" s="134"/>
      <c r="C844" s="128"/>
      <c r="D844" s="128"/>
      <c r="E844" s="128"/>
      <c r="F844" s="128"/>
      <c r="G844" s="128"/>
      <c r="H844" s="128"/>
      <c r="I844" s="128"/>
      <c r="J844" s="128"/>
      <c r="K844" s="128"/>
      <c r="L844" s="128"/>
      <c r="M844" s="128"/>
      <c r="N844" s="128"/>
      <c r="O844" s="128"/>
      <c r="P844" s="128"/>
      <c r="Q844" s="128"/>
      <c r="R844" s="128"/>
      <c r="S844" s="128"/>
      <c r="T844" s="128"/>
      <c r="U844" s="128"/>
      <c r="V844" s="128"/>
      <c r="W844" s="128"/>
      <c r="X844" s="128"/>
      <c r="Y844" s="128"/>
      <c r="Z844" s="128"/>
      <c r="AA844" s="128"/>
    </row>
    <row r="845">
      <c r="A845" s="134"/>
      <c r="B845" s="134"/>
      <c r="C845" s="128"/>
      <c r="D845" s="128"/>
      <c r="E845" s="128"/>
      <c r="F845" s="128"/>
      <c r="G845" s="128"/>
      <c r="H845" s="128"/>
      <c r="I845" s="128"/>
      <c r="J845" s="128"/>
      <c r="K845" s="128"/>
      <c r="L845" s="128"/>
      <c r="M845" s="128"/>
      <c r="N845" s="128"/>
      <c r="O845" s="128"/>
      <c r="P845" s="128"/>
      <c r="Q845" s="128"/>
      <c r="R845" s="128"/>
      <c r="S845" s="128"/>
      <c r="T845" s="128"/>
      <c r="U845" s="128"/>
      <c r="V845" s="128"/>
      <c r="W845" s="128"/>
      <c r="X845" s="128"/>
      <c r="Y845" s="128"/>
      <c r="Z845" s="128"/>
      <c r="AA845" s="128"/>
    </row>
    <row r="846">
      <c r="A846" s="134"/>
      <c r="B846" s="134"/>
      <c r="C846" s="128"/>
      <c r="D846" s="128"/>
      <c r="E846" s="128"/>
      <c r="F846" s="128"/>
      <c r="G846" s="128"/>
      <c r="H846" s="128"/>
      <c r="I846" s="128"/>
      <c r="J846" s="128"/>
      <c r="K846" s="128"/>
      <c r="L846" s="128"/>
      <c r="M846" s="128"/>
      <c r="N846" s="128"/>
      <c r="O846" s="128"/>
      <c r="P846" s="128"/>
      <c r="Q846" s="128"/>
      <c r="R846" s="128"/>
      <c r="S846" s="128"/>
      <c r="T846" s="128"/>
      <c r="U846" s="128"/>
      <c r="V846" s="128"/>
      <c r="W846" s="128"/>
      <c r="X846" s="128"/>
      <c r="Y846" s="128"/>
      <c r="Z846" s="128"/>
      <c r="AA846" s="128"/>
    </row>
    <row r="847">
      <c r="A847" s="134"/>
      <c r="B847" s="134"/>
      <c r="C847" s="128"/>
      <c r="D847" s="128"/>
      <c r="E847" s="128"/>
      <c r="F847" s="128"/>
      <c r="G847" s="128"/>
      <c r="H847" s="128"/>
      <c r="I847" s="128"/>
      <c r="J847" s="128"/>
      <c r="K847" s="128"/>
      <c r="L847" s="128"/>
      <c r="M847" s="128"/>
      <c r="N847" s="128"/>
      <c r="O847" s="128"/>
      <c r="P847" s="128"/>
      <c r="Q847" s="128"/>
      <c r="R847" s="128"/>
      <c r="S847" s="128"/>
      <c r="T847" s="128"/>
      <c r="U847" s="128"/>
      <c r="V847" s="128"/>
      <c r="W847" s="128"/>
      <c r="X847" s="128"/>
      <c r="Y847" s="128"/>
      <c r="Z847" s="128"/>
      <c r="AA847" s="128"/>
    </row>
    <row r="848">
      <c r="A848" s="134"/>
      <c r="B848" s="134"/>
      <c r="C848" s="128"/>
      <c r="D848" s="128"/>
      <c r="E848" s="128"/>
      <c r="F848" s="128"/>
      <c r="G848" s="128"/>
      <c r="H848" s="128"/>
      <c r="I848" s="128"/>
      <c r="J848" s="128"/>
      <c r="K848" s="128"/>
      <c r="L848" s="128"/>
      <c r="M848" s="128"/>
      <c r="N848" s="128"/>
      <c r="O848" s="128"/>
      <c r="P848" s="128"/>
      <c r="Q848" s="128"/>
      <c r="R848" s="128"/>
      <c r="S848" s="128"/>
      <c r="T848" s="128"/>
      <c r="U848" s="128"/>
      <c r="V848" s="128"/>
      <c r="W848" s="128"/>
      <c r="X848" s="128"/>
      <c r="Y848" s="128"/>
      <c r="Z848" s="128"/>
      <c r="AA848" s="128"/>
    </row>
    <row r="849">
      <c r="A849" s="134"/>
      <c r="B849" s="134"/>
      <c r="C849" s="128"/>
      <c r="D849" s="128"/>
      <c r="E849" s="128"/>
      <c r="F849" s="128"/>
      <c r="G849" s="128"/>
      <c r="H849" s="128"/>
      <c r="I849" s="128"/>
      <c r="J849" s="128"/>
      <c r="K849" s="128"/>
      <c r="L849" s="128"/>
      <c r="M849" s="128"/>
      <c r="N849" s="128"/>
      <c r="O849" s="128"/>
      <c r="P849" s="128"/>
      <c r="Q849" s="128"/>
      <c r="R849" s="128"/>
      <c r="S849" s="128"/>
      <c r="T849" s="128"/>
      <c r="U849" s="128"/>
      <c r="V849" s="128"/>
      <c r="W849" s="128"/>
      <c r="X849" s="128"/>
      <c r="Y849" s="128"/>
      <c r="Z849" s="128"/>
      <c r="AA849" s="128"/>
    </row>
    <row r="850">
      <c r="A850" s="134"/>
      <c r="B850" s="134"/>
      <c r="C850" s="128"/>
      <c r="D850" s="128"/>
      <c r="E850" s="128"/>
      <c r="F850" s="128"/>
      <c r="G850" s="128"/>
      <c r="H850" s="128"/>
      <c r="I850" s="128"/>
      <c r="J850" s="128"/>
      <c r="K850" s="128"/>
      <c r="L850" s="128"/>
      <c r="M850" s="128"/>
      <c r="N850" s="128"/>
      <c r="O850" s="128"/>
      <c r="P850" s="128"/>
      <c r="Q850" s="128"/>
      <c r="R850" s="128"/>
      <c r="S850" s="128"/>
      <c r="T850" s="128"/>
      <c r="U850" s="128"/>
      <c r="V850" s="128"/>
      <c r="W850" s="128"/>
      <c r="X850" s="128"/>
      <c r="Y850" s="128"/>
      <c r="Z850" s="128"/>
      <c r="AA850" s="128"/>
    </row>
    <row r="851">
      <c r="A851" s="134"/>
      <c r="B851" s="134"/>
      <c r="C851" s="128"/>
      <c r="D851" s="128"/>
      <c r="E851" s="128"/>
      <c r="F851" s="128"/>
      <c r="G851" s="128"/>
      <c r="H851" s="128"/>
      <c r="I851" s="128"/>
      <c r="J851" s="128"/>
      <c r="K851" s="128"/>
      <c r="L851" s="128"/>
      <c r="M851" s="128"/>
      <c r="N851" s="128"/>
      <c r="O851" s="128"/>
      <c r="P851" s="128"/>
      <c r="Q851" s="128"/>
      <c r="R851" s="128"/>
      <c r="S851" s="128"/>
      <c r="T851" s="128"/>
      <c r="U851" s="128"/>
      <c r="V851" s="128"/>
      <c r="W851" s="128"/>
      <c r="X851" s="128"/>
      <c r="Y851" s="128"/>
      <c r="Z851" s="128"/>
      <c r="AA851" s="128"/>
    </row>
    <row r="852">
      <c r="A852" s="134"/>
      <c r="B852" s="134"/>
      <c r="C852" s="128"/>
      <c r="D852" s="128"/>
      <c r="E852" s="128"/>
      <c r="F852" s="128"/>
      <c r="G852" s="128"/>
      <c r="H852" s="128"/>
      <c r="I852" s="128"/>
      <c r="J852" s="128"/>
      <c r="K852" s="128"/>
      <c r="L852" s="128"/>
      <c r="M852" s="128"/>
      <c r="N852" s="128"/>
      <c r="O852" s="128"/>
      <c r="P852" s="128"/>
      <c r="Q852" s="128"/>
      <c r="R852" s="128"/>
      <c r="S852" s="128"/>
      <c r="T852" s="128"/>
      <c r="U852" s="128"/>
      <c r="V852" s="128"/>
      <c r="W852" s="128"/>
      <c r="X852" s="128"/>
      <c r="Y852" s="128"/>
      <c r="Z852" s="128"/>
      <c r="AA852" s="128"/>
    </row>
    <row r="853">
      <c r="A853" s="134"/>
      <c r="B853" s="134"/>
      <c r="C853" s="128"/>
      <c r="D853" s="128"/>
      <c r="E853" s="128"/>
      <c r="F853" s="128"/>
      <c r="G853" s="128"/>
      <c r="H853" s="128"/>
      <c r="I853" s="128"/>
      <c r="J853" s="128"/>
      <c r="K853" s="128"/>
      <c r="L853" s="128"/>
      <c r="M853" s="128"/>
      <c r="N853" s="128"/>
      <c r="O853" s="128"/>
      <c r="P853" s="128"/>
      <c r="Q853" s="128"/>
      <c r="R853" s="128"/>
      <c r="S853" s="128"/>
      <c r="T853" s="128"/>
      <c r="U853" s="128"/>
      <c r="V853" s="128"/>
      <c r="W853" s="128"/>
      <c r="X853" s="128"/>
      <c r="Y853" s="128"/>
      <c r="Z853" s="128"/>
      <c r="AA853" s="128"/>
    </row>
    <row r="854">
      <c r="A854" s="134"/>
      <c r="B854" s="134"/>
      <c r="C854" s="128"/>
      <c r="D854" s="128"/>
      <c r="E854" s="128"/>
      <c r="F854" s="128"/>
      <c r="G854" s="128"/>
      <c r="H854" s="128"/>
      <c r="I854" s="128"/>
      <c r="J854" s="128"/>
      <c r="K854" s="128"/>
      <c r="L854" s="128"/>
      <c r="M854" s="128"/>
      <c r="N854" s="128"/>
      <c r="O854" s="128"/>
      <c r="P854" s="128"/>
      <c r="Q854" s="128"/>
      <c r="R854" s="128"/>
      <c r="S854" s="128"/>
      <c r="T854" s="128"/>
      <c r="U854" s="128"/>
      <c r="V854" s="128"/>
      <c r="W854" s="128"/>
      <c r="X854" s="128"/>
      <c r="Y854" s="128"/>
      <c r="Z854" s="128"/>
      <c r="AA854" s="128"/>
    </row>
    <row r="855">
      <c r="A855" s="134"/>
      <c r="B855" s="134"/>
      <c r="C855" s="128"/>
      <c r="D855" s="128"/>
      <c r="E855" s="128"/>
      <c r="F855" s="128"/>
      <c r="G855" s="128"/>
      <c r="H855" s="128"/>
      <c r="I855" s="128"/>
      <c r="J855" s="128"/>
      <c r="K855" s="128"/>
      <c r="L855" s="128"/>
      <c r="M855" s="128"/>
      <c r="N855" s="128"/>
      <c r="O855" s="128"/>
      <c r="P855" s="128"/>
      <c r="Q855" s="128"/>
      <c r="R855" s="128"/>
      <c r="S855" s="128"/>
      <c r="T855" s="128"/>
      <c r="U855" s="128"/>
      <c r="V855" s="128"/>
      <c r="W855" s="128"/>
      <c r="X855" s="128"/>
      <c r="Y855" s="128"/>
      <c r="Z855" s="128"/>
      <c r="AA855" s="128"/>
    </row>
    <row r="856">
      <c r="A856" s="134"/>
      <c r="B856" s="134"/>
      <c r="C856" s="128"/>
      <c r="D856" s="128"/>
      <c r="E856" s="128"/>
      <c r="F856" s="128"/>
      <c r="G856" s="128"/>
      <c r="H856" s="128"/>
      <c r="I856" s="128"/>
      <c r="J856" s="128"/>
      <c r="K856" s="128"/>
      <c r="L856" s="128"/>
      <c r="M856" s="128"/>
      <c r="N856" s="128"/>
      <c r="O856" s="128"/>
      <c r="P856" s="128"/>
      <c r="Q856" s="128"/>
      <c r="R856" s="128"/>
      <c r="S856" s="128"/>
      <c r="T856" s="128"/>
      <c r="U856" s="128"/>
      <c r="V856" s="128"/>
      <c r="W856" s="128"/>
      <c r="X856" s="128"/>
      <c r="Y856" s="128"/>
      <c r="Z856" s="128"/>
      <c r="AA856" s="128"/>
    </row>
    <row r="857">
      <c r="A857" s="134"/>
      <c r="B857" s="134"/>
      <c r="C857" s="128"/>
      <c r="D857" s="128"/>
      <c r="E857" s="128"/>
      <c r="F857" s="128"/>
      <c r="G857" s="128"/>
      <c r="H857" s="128"/>
      <c r="I857" s="128"/>
      <c r="J857" s="128"/>
      <c r="K857" s="128"/>
      <c r="L857" s="128"/>
      <c r="M857" s="128"/>
      <c r="N857" s="128"/>
      <c r="O857" s="128"/>
      <c r="P857" s="128"/>
      <c r="Q857" s="128"/>
      <c r="R857" s="128"/>
      <c r="S857" s="128"/>
      <c r="T857" s="128"/>
      <c r="U857" s="128"/>
      <c r="V857" s="128"/>
      <c r="W857" s="128"/>
      <c r="X857" s="128"/>
      <c r="Y857" s="128"/>
      <c r="Z857" s="128"/>
      <c r="AA857" s="128"/>
    </row>
    <row r="858">
      <c r="A858" s="134"/>
      <c r="B858" s="134"/>
      <c r="C858" s="128"/>
      <c r="D858" s="128"/>
      <c r="E858" s="128"/>
      <c r="F858" s="128"/>
      <c r="G858" s="128"/>
      <c r="H858" s="128"/>
      <c r="I858" s="128"/>
      <c r="J858" s="128"/>
      <c r="K858" s="128"/>
      <c r="L858" s="128"/>
      <c r="M858" s="128"/>
      <c r="N858" s="128"/>
      <c r="O858" s="128"/>
      <c r="P858" s="128"/>
      <c r="Q858" s="128"/>
      <c r="R858" s="128"/>
      <c r="S858" s="128"/>
      <c r="T858" s="128"/>
      <c r="U858" s="128"/>
      <c r="V858" s="128"/>
      <c r="W858" s="128"/>
      <c r="X858" s="128"/>
      <c r="Y858" s="128"/>
      <c r="Z858" s="128"/>
      <c r="AA858" s="128"/>
    </row>
    <row r="859">
      <c r="A859" s="134"/>
      <c r="B859" s="134"/>
      <c r="C859" s="128"/>
      <c r="D859" s="128"/>
      <c r="E859" s="128"/>
      <c r="F859" s="128"/>
      <c r="G859" s="128"/>
      <c r="H859" s="128"/>
      <c r="I859" s="128"/>
      <c r="J859" s="128"/>
      <c r="K859" s="128"/>
      <c r="L859" s="128"/>
      <c r="M859" s="128"/>
      <c r="N859" s="128"/>
      <c r="O859" s="128"/>
      <c r="P859" s="128"/>
      <c r="Q859" s="128"/>
      <c r="R859" s="128"/>
      <c r="S859" s="128"/>
      <c r="T859" s="128"/>
      <c r="U859" s="128"/>
      <c r="V859" s="128"/>
      <c r="W859" s="128"/>
      <c r="X859" s="128"/>
      <c r="Y859" s="128"/>
      <c r="Z859" s="128"/>
      <c r="AA859" s="128"/>
    </row>
    <row r="860">
      <c r="A860" s="134"/>
      <c r="B860" s="134"/>
      <c r="C860" s="128"/>
      <c r="D860" s="128"/>
      <c r="E860" s="128"/>
      <c r="F860" s="128"/>
      <c r="G860" s="128"/>
      <c r="H860" s="128"/>
      <c r="I860" s="128"/>
      <c r="J860" s="128"/>
      <c r="K860" s="128"/>
      <c r="L860" s="128"/>
      <c r="M860" s="128"/>
      <c r="N860" s="128"/>
      <c r="O860" s="128"/>
      <c r="P860" s="128"/>
      <c r="Q860" s="128"/>
      <c r="R860" s="128"/>
      <c r="S860" s="128"/>
      <c r="T860" s="128"/>
      <c r="U860" s="128"/>
      <c r="V860" s="128"/>
      <c r="W860" s="128"/>
      <c r="X860" s="128"/>
      <c r="Y860" s="128"/>
      <c r="Z860" s="128"/>
      <c r="AA860" s="128"/>
    </row>
    <row r="861">
      <c r="A861" s="134"/>
      <c r="B861" s="134"/>
      <c r="C861" s="128"/>
      <c r="D861" s="128"/>
      <c r="E861" s="128"/>
      <c r="F861" s="128"/>
      <c r="G861" s="128"/>
      <c r="H861" s="128"/>
      <c r="I861" s="128"/>
      <c r="J861" s="128"/>
      <c r="K861" s="128"/>
      <c r="L861" s="128"/>
      <c r="M861" s="128"/>
      <c r="N861" s="128"/>
      <c r="O861" s="128"/>
      <c r="P861" s="128"/>
      <c r="Q861" s="128"/>
      <c r="R861" s="128"/>
      <c r="S861" s="128"/>
      <c r="T861" s="128"/>
      <c r="U861" s="128"/>
      <c r="V861" s="128"/>
      <c r="W861" s="128"/>
      <c r="X861" s="128"/>
      <c r="Y861" s="128"/>
      <c r="Z861" s="128"/>
      <c r="AA861" s="128"/>
    </row>
    <row r="862">
      <c r="A862" s="134"/>
      <c r="B862" s="134"/>
      <c r="C862" s="128"/>
      <c r="D862" s="128"/>
      <c r="E862" s="128"/>
      <c r="F862" s="128"/>
      <c r="G862" s="128"/>
      <c r="H862" s="128"/>
      <c r="I862" s="128"/>
      <c r="J862" s="128"/>
      <c r="K862" s="128"/>
      <c r="L862" s="128"/>
      <c r="M862" s="128"/>
      <c r="N862" s="128"/>
      <c r="O862" s="128"/>
      <c r="P862" s="128"/>
      <c r="Q862" s="128"/>
      <c r="R862" s="128"/>
      <c r="S862" s="128"/>
      <c r="T862" s="128"/>
      <c r="U862" s="128"/>
      <c r="V862" s="128"/>
      <c r="W862" s="128"/>
      <c r="X862" s="128"/>
      <c r="Y862" s="128"/>
      <c r="Z862" s="128"/>
      <c r="AA862" s="128"/>
    </row>
    <row r="863">
      <c r="A863" s="134"/>
      <c r="B863" s="134"/>
      <c r="C863" s="128"/>
      <c r="D863" s="128"/>
      <c r="E863" s="128"/>
      <c r="F863" s="128"/>
      <c r="G863" s="128"/>
      <c r="H863" s="128"/>
      <c r="I863" s="128"/>
      <c r="J863" s="128"/>
      <c r="K863" s="128"/>
      <c r="L863" s="128"/>
      <c r="M863" s="128"/>
      <c r="N863" s="128"/>
      <c r="O863" s="128"/>
      <c r="P863" s="128"/>
      <c r="Q863" s="128"/>
      <c r="R863" s="128"/>
      <c r="S863" s="128"/>
      <c r="T863" s="128"/>
      <c r="U863" s="128"/>
      <c r="V863" s="128"/>
      <c r="W863" s="128"/>
      <c r="X863" s="128"/>
      <c r="Y863" s="128"/>
      <c r="Z863" s="128"/>
      <c r="AA863" s="128"/>
    </row>
    <row r="864">
      <c r="A864" s="134"/>
      <c r="B864" s="134"/>
      <c r="C864" s="128"/>
      <c r="D864" s="128"/>
      <c r="E864" s="128"/>
      <c r="F864" s="128"/>
      <c r="G864" s="128"/>
      <c r="H864" s="128"/>
      <c r="I864" s="128"/>
      <c r="J864" s="128"/>
      <c r="K864" s="128"/>
      <c r="L864" s="128"/>
      <c r="M864" s="128"/>
      <c r="N864" s="128"/>
      <c r="O864" s="128"/>
      <c r="P864" s="128"/>
      <c r="Q864" s="128"/>
      <c r="R864" s="128"/>
      <c r="S864" s="128"/>
      <c r="T864" s="128"/>
      <c r="U864" s="128"/>
      <c r="V864" s="128"/>
      <c r="W864" s="128"/>
      <c r="X864" s="128"/>
      <c r="Y864" s="128"/>
      <c r="Z864" s="128"/>
      <c r="AA864" s="128"/>
    </row>
    <row r="865">
      <c r="A865" s="134"/>
      <c r="B865" s="134"/>
      <c r="C865" s="128"/>
      <c r="D865" s="128"/>
      <c r="E865" s="128"/>
      <c r="F865" s="128"/>
      <c r="G865" s="128"/>
      <c r="H865" s="128"/>
      <c r="I865" s="128"/>
      <c r="J865" s="128"/>
      <c r="K865" s="128"/>
      <c r="L865" s="128"/>
      <c r="M865" s="128"/>
      <c r="N865" s="128"/>
      <c r="O865" s="128"/>
      <c r="P865" s="128"/>
      <c r="Q865" s="128"/>
      <c r="R865" s="128"/>
      <c r="S865" s="128"/>
      <c r="T865" s="128"/>
      <c r="U865" s="128"/>
      <c r="V865" s="128"/>
      <c r="W865" s="128"/>
      <c r="X865" s="128"/>
      <c r="Y865" s="128"/>
      <c r="Z865" s="128"/>
      <c r="AA865" s="128"/>
    </row>
    <row r="866">
      <c r="A866" s="134"/>
      <c r="B866" s="134"/>
      <c r="C866" s="128"/>
      <c r="D866" s="128"/>
      <c r="E866" s="128"/>
      <c r="F866" s="128"/>
      <c r="G866" s="128"/>
      <c r="H866" s="128"/>
      <c r="I866" s="128"/>
      <c r="J866" s="128"/>
      <c r="K866" s="128"/>
      <c r="L866" s="128"/>
      <c r="M866" s="128"/>
      <c r="N866" s="128"/>
      <c r="O866" s="128"/>
      <c r="P866" s="128"/>
      <c r="Q866" s="128"/>
      <c r="R866" s="128"/>
      <c r="S866" s="128"/>
      <c r="T866" s="128"/>
      <c r="U866" s="128"/>
      <c r="V866" s="128"/>
      <c r="W866" s="128"/>
      <c r="X866" s="128"/>
      <c r="Y866" s="128"/>
      <c r="Z866" s="128"/>
      <c r="AA866" s="128"/>
    </row>
    <row r="867">
      <c r="A867" s="134"/>
      <c r="B867" s="134"/>
      <c r="C867" s="128"/>
      <c r="D867" s="128"/>
      <c r="E867" s="128"/>
      <c r="F867" s="128"/>
      <c r="G867" s="128"/>
      <c r="H867" s="128"/>
      <c r="I867" s="128"/>
      <c r="J867" s="128"/>
      <c r="K867" s="128"/>
      <c r="L867" s="128"/>
      <c r="M867" s="128"/>
      <c r="N867" s="128"/>
      <c r="O867" s="128"/>
      <c r="P867" s="128"/>
      <c r="Q867" s="128"/>
      <c r="R867" s="128"/>
      <c r="S867" s="128"/>
      <c r="T867" s="128"/>
      <c r="U867" s="128"/>
      <c r="V867" s="128"/>
      <c r="W867" s="128"/>
      <c r="X867" s="128"/>
      <c r="Y867" s="128"/>
      <c r="Z867" s="128"/>
      <c r="AA867" s="128"/>
    </row>
    <row r="868">
      <c r="A868" s="134"/>
      <c r="B868" s="134"/>
      <c r="C868" s="128"/>
      <c r="D868" s="128"/>
      <c r="E868" s="128"/>
      <c r="F868" s="128"/>
      <c r="G868" s="128"/>
      <c r="H868" s="128"/>
      <c r="I868" s="128"/>
      <c r="J868" s="128"/>
      <c r="K868" s="128"/>
      <c r="L868" s="128"/>
      <c r="M868" s="128"/>
      <c r="N868" s="128"/>
      <c r="O868" s="128"/>
      <c r="P868" s="128"/>
      <c r="Q868" s="128"/>
      <c r="R868" s="128"/>
      <c r="S868" s="128"/>
      <c r="T868" s="128"/>
      <c r="U868" s="128"/>
      <c r="V868" s="128"/>
      <c r="W868" s="128"/>
      <c r="X868" s="128"/>
      <c r="Y868" s="128"/>
      <c r="Z868" s="128"/>
      <c r="AA868" s="128"/>
    </row>
    <row r="869">
      <c r="A869" s="134"/>
      <c r="B869" s="134"/>
      <c r="C869" s="128"/>
      <c r="D869" s="128"/>
      <c r="E869" s="128"/>
      <c r="F869" s="128"/>
      <c r="G869" s="128"/>
      <c r="H869" s="128"/>
      <c r="I869" s="128"/>
      <c r="J869" s="128"/>
      <c r="K869" s="128"/>
      <c r="L869" s="128"/>
      <c r="M869" s="128"/>
      <c r="N869" s="128"/>
      <c r="O869" s="128"/>
      <c r="P869" s="128"/>
      <c r="Q869" s="128"/>
      <c r="R869" s="128"/>
      <c r="S869" s="128"/>
      <c r="T869" s="128"/>
      <c r="U869" s="128"/>
      <c r="V869" s="128"/>
      <c r="W869" s="128"/>
      <c r="X869" s="128"/>
      <c r="Y869" s="128"/>
      <c r="Z869" s="128"/>
      <c r="AA869" s="128"/>
    </row>
    <row r="870">
      <c r="A870" s="134"/>
      <c r="B870" s="134"/>
      <c r="C870" s="128"/>
      <c r="D870" s="128"/>
      <c r="E870" s="128"/>
      <c r="F870" s="128"/>
      <c r="G870" s="128"/>
      <c r="H870" s="128"/>
      <c r="I870" s="128"/>
      <c r="J870" s="128"/>
      <c r="K870" s="128"/>
      <c r="L870" s="128"/>
      <c r="M870" s="128"/>
      <c r="N870" s="128"/>
      <c r="O870" s="128"/>
      <c r="P870" s="128"/>
      <c r="Q870" s="128"/>
      <c r="R870" s="128"/>
      <c r="S870" s="128"/>
      <c r="T870" s="128"/>
      <c r="U870" s="128"/>
      <c r="V870" s="128"/>
      <c r="W870" s="128"/>
      <c r="X870" s="128"/>
      <c r="Y870" s="128"/>
      <c r="Z870" s="128"/>
      <c r="AA870" s="128"/>
    </row>
    <row r="871">
      <c r="A871" s="134"/>
      <c r="B871" s="134"/>
      <c r="C871" s="128"/>
      <c r="D871" s="128"/>
      <c r="E871" s="128"/>
      <c r="F871" s="128"/>
      <c r="G871" s="128"/>
      <c r="H871" s="128"/>
      <c r="I871" s="128"/>
      <c r="J871" s="128"/>
      <c r="K871" s="128"/>
      <c r="L871" s="128"/>
      <c r="M871" s="128"/>
      <c r="N871" s="128"/>
      <c r="O871" s="128"/>
      <c r="P871" s="128"/>
      <c r="Q871" s="128"/>
      <c r="R871" s="128"/>
      <c r="S871" s="128"/>
      <c r="T871" s="128"/>
      <c r="U871" s="128"/>
      <c r="V871" s="128"/>
      <c r="W871" s="128"/>
      <c r="X871" s="128"/>
      <c r="Y871" s="128"/>
      <c r="Z871" s="128"/>
      <c r="AA871" s="128"/>
    </row>
    <row r="872">
      <c r="A872" s="134"/>
      <c r="B872" s="134"/>
      <c r="C872" s="128"/>
      <c r="D872" s="128"/>
      <c r="E872" s="128"/>
      <c r="F872" s="128"/>
      <c r="G872" s="128"/>
      <c r="H872" s="128"/>
      <c r="I872" s="128"/>
      <c r="J872" s="128"/>
      <c r="K872" s="128"/>
      <c r="L872" s="128"/>
      <c r="M872" s="128"/>
      <c r="N872" s="128"/>
      <c r="O872" s="128"/>
      <c r="P872" s="128"/>
      <c r="Q872" s="128"/>
      <c r="R872" s="128"/>
      <c r="S872" s="128"/>
      <c r="T872" s="128"/>
      <c r="U872" s="128"/>
      <c r="V872" s="128"/>
      <c r="W872" s="128"/>
      <c r="X872" s="128"/>
      <c r="Y872" s="128"/>
      <c r="Z872" s="128"/>
      <c r="AA872" s="128"/>
    </row>
    <row r="873">
      <c r="A873" s="134"/>
      <c r="B873" s="134"/>
      <c r="C873" s="128"/>
      <c r="D873" s="128"/>
      <c r="E873" s="128"/>
      <c r="F873" s="128"/>
      <c r="G873" s="128"/>
      <c r="H873" s="128"/>
      <c r="I873" s="128"/>
      <c r="J873" s="128"/>
      <c r="K873" s="128"/>
      <c r="L873" s="128"/>
      <c r="M873" s="128"/>
      <c r="N873" s="128"/>
      <c r="O873" s="128"/>
      <c r="P873" s="128"/>
      <c r="Q873" s="128"/>
      <c r="R873" s="128"/>
      <c r="S873" s="128"/>
      <c r="T873" s="128"/>
      <c r="U873" s="128"/>
      <c r="V873" s="128"/>
      <c r="W873" s="128"/>
      <c r="X873" s="128"/>
      <c r="Y873" s="128"/>
      <c r="Z873" s="128"/>
      <c r="AA873" s="128"/>
    </row>
    <row r="874">
      <c r="A874" s="134"/>
      <c r="B874" s="134"/>
      <c r="C874" s="128"/>
      <c r="D874" s="128"/>
      <c r="E874" s="128"/>
      <c r="F874" s="128"/>
      <c r="G874" s="128"/>
      <c r="H874" s="128"/>
      <c r="I874" s="128"/>
      <c r="J874" s="128"/>
      <c r="K874" s="128"/>
      <c r="L874" s="128"/>
      <c r="M874" s="128"/>
      <c r="N874" s="128"/>
      <c r="O874" s="128"/>
      <c r="P874" s="128"/>
      <c r="Q874" s="128"/>
      <c r="R874" s="128"/>
      <c r="S874" s="128"/>
      <c r="T874" s="128"/>
      <c r="U874" s="128"/>
      <c r="V874" s="128"/>
      <c r="W874" s="128"/>
      <c r="X874" s="128"/>
      <c r="Y874" s="128"/>
      <c r="Z874" s="128"/>
      <c r="AA874" s="128"/>
    </row>
    <row r="875">
      <c r="A875" s="134"/>
      <c r="B875" s="134"/>
      <c r="C875" s="128"/>
      <c r="D875" s="128"/>
      <c r="E875" s="128"/>
      <c r="F875" s="128"/>
      <c r="G875" s="128"/>
      <c r="H875" s="128"/>
      <c r="I875" s="128"/>
      <c r="J875" s="128"/>
      <c r="K875" s="128"/>
      <c r="L875" s="128"/>
      <c r="M875" s="128"/>
      <c r="N875" s="128"/>
      <c r="O875" s="128"/>
      <c r="P875" s="128"/>
      <c r="Q875" s="128"/>
      <c r="R875" s="128"/>
      <c r="S875" s="128"/>
      <c r="T875" s="128"/>
      <c r="U875" s="128"/>
      <c r="V875" s="128"/>
      <c r="W875" s="128"/>
      <c r="X875" s="128"/>
      <c r="Y875" s="128"/>
      <c r="Z875" s="128"/>
      <c r="AA875" s="128"/>
    </row>
    <row r="876">
      <c r="A876" s="134"/>
      <c r="B876" s="134"/>
      <c r="C876" s="128"/>
      <c r="D876" s="128"/>
      <c r="E876" s="128"/>
      <c r="F876" s="128"/>
      <c r="G876" s="128"/>
      <c r="H876" s="128"/>
      <c r="I876" s="128"/>
      <c r="J876" s="128"/>
      <c r="K876" s="128"/>
      <c r="L876" s="128"/>
      <c r="M876" s="128"/>
      <c r="N876" s="128"/>
      <c r="O876" s="128"/>
      <c r="P876" s="128"/>
      <c r="Q876" s="128"/>
      <c r="R876" s="128"/>
      <c r="S876" s="128"/>
      <c r="T876" s="128"/>
      <c r="U876" s="128"/>
      <c r="V876" s="128"/>
      <c r="W876" s="128"/>
      <c r="X876" s="128"/>
      <c r="Y876" s="128"/>
      <c r="Z876" s="128"/>
      <c r="AA876" s="128"/>
    </row>
    <row r="877">
      <c r="A877" s="134"/>
      <c r="B877" s="134"/>
      <c r="C877" s="128"/>
      <c r="D877" s="128"/>
      <c r="E877" s="128"/>
      <c r="F877" s="128"/>
      <c r="G877" s="128"/>
      <c r="H877" s="128"/>
      <c r="I877" s="128"/>
      <c r="J877" s="128"/>
      <c r="K877" s="128"/>
      <c r="L877" s="128"/>
      <c r="M877" s="128"/>
      <c r="N877" s="128"/>
      <c r="O877" s="128"/>
      <c r="P877" s="128"/>
      <c r="Q877" s="128"/>
      <c r="R877" s="128"/>
      <c r="S877" s="128"/>
      <c r="T877" s="128"/>
      <c r="U877" s="128"/>
      <c r="V877" s="128"/>
      <c r="W877" s="128"/>
      <c r="X877" s="128"/>
      <c r="Y877" s="128"/>
      <c r="Z877" s="128"/>
      <c r="AA877" s="128"/>
    </row>
    <row r="878">
      <c r="A878" s="134"/>
      <c r="B878" s="134"/>
      <c r="C878" s="128"/>
      <c r="D878" s="128"/>
      <c r="E878" s="128"/>
      <c r="F878" s="128"/>
      <c r="G878" s="128"/>
      <c r="H878" s="128"/>
      <c r="I878" s="128"/>
      <c r="J878" s="128"/>
      <c r="K878" s="128"/>
      <c r="L878" s="128"/>
      <c r="M878" s="128"/>
      <c r="N878" s="128"/>
      <c r="O878" s="128"/>
      <c r="P878" s="128"/>
      <c r="Q878" s="128"/>
      <c r="R878" s="128"/>
      <c r="S878" s="128"/>
      <c r="T878" s="128"/>
      <c r="U878" s="128"/>
      <c r="V878" s="128"/>
      <c r="W878" s="128"/>
      <c r="X878" s="128"/>
      <c r="Y878" s="128"/>
      <c r="Z878" s="128"/>
      <c r="AA878" s="128"/>
    </row>
    <row r="879">
      <c r="A879" s="134"/>
      <c r="B879" s="134"/>
      <c r="C879" s="128"/>
      <c r="D879" s="128"/>
      <c r="E879" s="128"/>
      <c r="F879" s="128"/>
      <c r="G879" s="128"/>
      <c r="H879" s="128"/>
      <c r="I879" s="128"/>
      <c r="J879" s="128"/>
      <c r="K879" s="128"/>
      <c r="L879" s="128"/>
      <c r="M879" s="128"/>
      <c r="N879" s="128"/>
      <c r="O879" s="128"/>
      <c r="P879" s="128"/>
      <c r="Q879" s="128"/>
      <c r="R879" s="128"/>
      <c r="S879" s="128"/>
      <c r="T879" s="128"/>
      <c r="U879" s="128"/>
      <c r="V879" s="128"/>
      <c r="W879" s="128"/>
      <c r="X879" s="128"/>
      <c r="Y879" s="128"/>
      <c r="Z879" s="128"/>
      <c r="AA879" s="128"/>
    </row>
    <row r="880">
      <c r="A880" s="134"/>
      <c r="B880" s="134"/>
      <c r="C880" s="128"/>
      <c r="D880" s="128"/>
      <c r="E880" s="128"/>
      <c r="F880" s="128"/>
      <c r="G880" s="128"/>
      <c r="H880" s="128"/>
      <c r="I880" s="128"/>
      <c r="J880" s="128"/>
      <c r="K880" s="128"/>
      <c r="L880" s="128"/>
      <c r="M880" s="128"/>
      <c r="N880" s="128"/>
      <c r="O880" s="128"/>
      <c r="P880" s="128"/>
      <c r="Q880" s="128"/>
      <c r="R880" s="128"/>
      <c r="S880" s="128"/>
      <c r="T880" s="128"/>
      <c r="U880" s="128"/>
      <c r="V880" s="128"/>
      <c r="W880" s="128"/>
      <c r="X880" s="128"/>
      <c r="Y880" s="128"/>
      <c r="Z880" s="128"/>
      <c r="AA880" s="128"/>
    </row>
    <row r="881">
      <c r="A881" s="134"/>
      <c r="B881" s="134"/>
      <c r="C881" s="128"/>
      <c r="D881" s="128"/>
      <c r="E881" s="128"/>
      <c r="F881" s="128"/>
      <c r="G881" s="128"/>
      <c r="H881" s="128"/>
      <c r="I881" s="128"/>
      <c r="J881" s="128"/>
      <c r="K881" s="128"/>
      <c r="L881" s="128"/>
      <c r="M881" s="128"/>
      <c r="N881" s="128"/>
      <c r="O881" s="128"/>
      <c r="P881" s="128"/>
      <c r="Q881" s="128"/>
      <c r="R881" s="128"/>
      <c r="S881" s="128"/>
      <c r="T881" s="128"/>
      <c r="U881" s="128"/>
      <c r="V881" s="128"/>
      <c r="W881" s="128"/>
      <c r="X881" s="128"/>
      <c r="Y881" s="128"/>
      <c r="Z881" s="128"/>
      <c r="AA881" s="128"/>
    </row>
    <row r="882">
      <c r="A882" s="134"/>
      <c r="B882" s="134"/>
      <c r="C882" s="128"/>
      <c r="D882" s="128"/>
      <c r="E882" s="128"/>
      <c r="F882" s="128"/>
      <c r="G882" s="128"/>
      <c r="H882" s="128"/>
      <c r="I882" s="128"/>
      <c r="J882" s="128"/>
      <c r="K882" s="128"/>
      <c r="L882" s="128"/>
      <c r="M882" s="128"/>
      <c r="N882" s="128"/>
      <c r="O882" s="128"/>
      <c r="P882" s="128"/>
      <c r="Q882" s="128"/>
      <c r="R882" s="128"/>
      <c r="S882" s="128"/>
      <c r="T882" s="128"/>
      <c r="U882" s="128"/>
      <c r="V882" s="128"/>
      <c r="W882" s="128"/>
      <c r="X882" s="128"/>
      <c r="Y882" s="128"/>
      <c r="Z882" s="128"/>
      <c r="AA882" s="128"/>
    </row>
    <row r="883">
      <c r="A883" s="134"/>
      <c r="B883" s="134"/>
      <c r="C883" s="128"/>
      <c r="D883" s="128"/>
      <c r="E883" s="128"/>
      <c r="F883" s="128"/>
      <c r="G883" s="128"/>
      <c r="H883" s="128"/>
      <c r="I883" s="128"/>
      <c r="J883" s="128"/>
      <c r="K883" s="128"/>
      <c r="L883" s="128"/>
      <c r="M883" s="128"/>
      <c r="N883" s="128"/>
      <c r="O883" s="128"/>
      <c r="P883" s="128"/>
      <c r="Q883" s="128"/>
      <c r="R883" s="128"/>
      <c r="S883" s="128"/>
      <c r="T883" s="128"/>
      <c r="U883" s="128"/>
      <c r="V883" s="128"/>
      <c r="W883" s="128"/>
      <c r="X883" s="128"/>
      <c r="Y883" s="128"/>
      <c r="Z883" s="128"/>
      <c r="AA883" s="128"/>
    </row>
    <row r="884">
      <c r="A884" s="134"/>
      <c r="B884" s="134"/>
      <c r="C884" s="128"/>
      <c r="D884" s="128"/>
      <c r="E884" s="128"/>
      <c r="F884" s="128"/>
      <c r="G884" s="128"/>
      <c r="H884" s="128"/>
      <c r="I884" s="128"/>
      <c r="J884" s="128"/>
      <c r="K884" s="128"/>
      <c r="L884" s="128"/>
      <c r="M884" s="128"/>
      <c r="N884" s="128"/>
      <c r="O884" s="128"/>
      <c r="P884" s="128"/>
      <c r="Q884" s="128"/>
      <c r="R884" s="128"/>
      <c r="S884" s="128"/>
      <c r="T884" s="128"/>
      <c r="U884" s="128"/>
      <c r="V884" s="128"/>
      <c r="W884" s="128"/>
      <c r="X884" s="128"/>
      <c r="Y884" s="128"/>
      <c r="Z884" s="128"/>
      <c r="AA884" s="128"/>
    </row>
    <row r="885">
      <c r="A885" s="134"/>
      <c r="B885" s="134"/>
      <c r="C885" s="128"/>
      <c r="D885" s="128"/>
      <c r="E885" s="128"/>
      <c r="F885" s="128"/>
      <c r="G885" s="128"/>
      <c r="H885" s="128"/>
      <c r="I885" s="128"/>
      <c r="J885" s="128"/>
      <c r="K885" s="128"/>
      <c r="L885" s="128"/>
      <c r="M885" s="128"/>
      <c r="N885" s="128"/>
      <c r="O885" s="128"/>
      <c r="P885" s="128"/>
      <c r="Q885" s="128"/>
      <c r="R885" s="128"/>
      <c r="S885" s="128"/>
      <c r="T885" s="128"/>
      <c r="U885" s="128"/>
      <c r="V885" s="128"/>
      <c r="W885" s="128"/>
      <c r="X885" s="128"/>
      <c r="Y885" s="128"/>
      <c r="Z885" s="128"/>
      <c r="AA885" s="128"/>
    </row>
    <row r="886">
      <c r="A886" s="134"/>
      <c r="B886" s="134"/>
      <c r="C886" s="128"/>
      <c r="D886" s="128"/>
      <c r="E886" s="128"/>
      <c r="F886" s="128"/>
      <c r="G886" s="128"/>
      <c r="H886" s="128"/>
      <c r="I886" s="128"/>
      <c r="J886" s="128"/>
      <c r="K886" s="128"/>
      <c r="L886" s="128"/>
      <c r="M886" s="128"/>
      <c r="N886" s="128"/>
      <c r="O886" s="128"/>
      <c r="P886" s="128"/>
      <c r="Q886" s="128"/>
      <c r="R886" s="128"/>
      <c r="S886" s="128"/>
      <c r="T886" s="128"/>
      <c r="U886" s="128"/>
      <c r="V886" s="128"/>
      <c r="W886" s="128"/>
      <c r="X886" s="128"/>
      <c r="Y886" s="128"/>
      <c r="Z886" s="128"/>
      <c r="AA886" s="128"/>
    </row>
    <row r="887">
      <c r="A887" s="134"/>
      <c r="B887" s="134"/>
      <c r="C887" s="128"/>
      <c r="D887" s="128"/>
      <c r="E887" s="128"/>
      <c r="F887" s="128"/>
      <c r="G887" s="128"/>
      <c r="H887" s="128"/>
      <c r="I887" s="128"/>
      <c r="J887" s="128"/>
      <c r="K887" s="128"/>
      <c r="L887" s="128"/>
      <c r="M887" s="128"/>
      <c r="N887" s="128"/>
      <c r="O887" s="128"/>
      <c r="P887" s="128"/>
      <c r="Q887" s="128"/>
      <c r="R887" s="128"/>
      <c r="S887" s="128"/>
      <c r="T887" s="128"/>
      <c r="U887" s="128"/>
      <c r="V887" s="128"/>
      <c r="W887" s="128"/>
      <c r="X887" s="128"/>
      <c r="Y887" s="128"/>
      <c r="Z887" s="128"/>
      <c r="AA887" s="128"/>
    </row>
    <row r="888">
      <c r="A888" s="134"/>
      <c r="B888" s="134"/>
      <c r="C888" s="128"/>
      <c r="D888" s="128"/>
      <c r="E888" s="128"/>
      <c r="F888" s="128"/>
      <c r="G888" s="128"/>
      <c r="H888" s="128"/>
      <c r="I888" s="128"/>
      <c r="J888" s="128"/>
      <c r="K888" s="128"/>
      <c r="L888" s="128"/>
      <c r="M888" s="128"/>
      <c r="N888" s="128"/>
      <c r="O888" s="128"/>
      <c r="P888" s="128"/>
      <c r="Q888" s="128"/>
      <c r="R888" s="128"/>
      <c r="S888" s="128"/>
      <c r="T888" s="128"/>
      <c r="U888" s="128"/>
      <c r="V888" s="128"/>
      <c r="W888" s="128"/>
      <c r="X888" s="128"/>
      <c r="Y888" s="128"/>
      <c r="Z888" s="128"/>
      <c r="AA888" s="128"/>
    </row>
    <row r="889">
      <c r="A889" s="134"/>
      <c r="B889" s="134"/>
      <c r="C889" s="128"/>
      <c r="D889" s="128"/>
      <c r="E889" s="128"/>
      <c r="F889" s="128"/>
      <c r="G889" s="128"/>
      <c r="H889" s="128"/>
      <c r="I889" s="128"/>
      <c r="J889" s="128"/>
      <c r="K889" s="128"/>
      <c r="L889" s="128"/>
      <c r="M889" s="128"/>
      <c r="N889" s="128"/>
      <c r="O889" s="128"/>
      <c r="P889" s="128"/>
      <c r="Q889" s="128"/>
      <c r="R889" s="128"/>
      <c r="S889" s="128"/>
      <c r="T889" s="128"/>
      <c r="U889" s="128"/>
      <c r="V889" s="128"/>
      <c r="W889" s="128"/>
      <c r="X889" s="128"/>
      <c r="Y889" s="128"/>
      <c r="Z889" s="128"/>
      <c r="AA889" s="128"/>
    </row>
    <row r="890">
      <c r="A890" s="134"/>
      <c r="B890" s="134"/>
      <c r="C890" s="128"/>
      <c r="D890" s="128"/>
      <c r="E890" s="128"/>
      <c r="F890" s="128"/>
      <c r="G890" s="128"/>
      <c r="H890" s="128"/>
      <c r="I890" s="128"/>
      <c r="J890" s="128"/>
      <c r="K890" s="128"/>
      <c r="L890" s="128"/>
      <c r="M890" s="128"/>
      <c r="N890" s="128"/>
      <c r="O890" s="128"/>
      <c r="P890" s="128"/>
      <c r="Q890" s="128"/>
      <c r="R890" s="128"/>
      <c r="S890" s="128"/>
      <c r="T890" s="128"/>
      <c r="U890" s="128"/>
      <c r="V890" s="128"/>
      <c r="W890" s="128"/>
      <c r="X890" s="128"/>
      <c r="Y890" s="128"/>
      <c r="Z890" s="128"/>
      <c r="AA890" s="128"/>
    </row>
    <row r="891">
      <c r="A891" s="134"/>
      <c r="B891" s="134"/>
      <c r="C891" s="128"/>
      <c r="D891" s="128"/>
      <c r="E891" s="128"/>
      <c r="F891" s="128"/>
      <c r="G891" s="128"/>
      <c r="H891" s="128"/>
      <c r="I891" s="128"/>
      <c r="J891" s="128"/>
      <c r="K891" s="128"/>
      <c r="L891" s="128"/>
      <c r="M891" s="128"/>
      <c r="N891" s="128"/>
      <c r="O891" s="128"/>
      <c r="P891" s="128"/>
      <c r="Q891" s="128"/>
      <c r="R891" s="128"/>
      <c r="S891" s="128"/>
      <c r="T891" s="128"/>
      <c r="U891" s="128"/>
      <c r="V891" s="128"/>
      <c r="W891" s="128"/>
      <c r="X891" s="128"/>
      <c r="Y891" s="128"/>
      <c r="Z891" s="128"/>
      <c r="AA891" s="128"/>
    </row>
    <row r="892">
      <c r="A892" s="134"/>
      <c r="B892" s="134"/>
      <c r="C892" s="128"/>
      <c r="D892" s="128"/>
      <c r="E892" s="128"/>
      <c r="F892" s="128"/>
      <c r="G892" s="128"/>
      <c r="H892" s="128"/>
      <c r="I892" s="128"/>
      <c r="J892" s="128"/>
      <c r="K892" s="128"/>
      <c r="L892" s="128"/>
      <c r="M892" s="128"/>
      <c r="N892" s="128"/>
      <c r="O892" s="128"/>
      <c r="P892" s="128"/>
      <c r="Q892" s="128"/>
      <c r="R892" s="128"/>
      <c r="S892" s="128"/>
      <c r="T892" s="128"/>
      <c r="U892" s="128"/>
      <c r="V892" s="128"/>
      <c r="W892" s="128"/>
      <c r="X892" s="128"/>
      <c r="Y892" s="128"/>
      <c r="Z892" s="128"/>
      <c r="AA892" s="128"/>
    </row>
    <row r="893">
      <c r="A893" s="134"/>
      <c r="B893" s="134"/>
      <c r="C893" s="128"/>
      <c r="D893" s="128"/>
      <c r="E893" s="128"/>
      <c r="F893" s="128"/>
      <c r="G893" s="128"/>
      <c r="H893" s="128"/>
      <c r="I893" s="128"/>
      <c r="J893" s="128"/>
      <c r="K893" s="128"/>
      <c r="L893" s="128"/>
      <c r="M893" s="128"/>
      <c r="N893" s="128"/>
      <c r="O893" s="128"/>
      <c r="P893" s="128"/>
      <c r="Q893" s="128"/>
      <c r="R893" s="128"/>
      <c r="S893" s="128"/>
      <c r="T893" s="128"/>
      <c r="U893" s="128"/>
      <c r="V893" s="128"/>
      <c r="W893" s="128"/>
      <c r="X893" s="128"/>
      <c r="Y893" s="128"/>
      <c r="Z893" s="128"/>
      <c r="AA893" s="128"/>
    </row>
    <row r="894">
      <c r="A894" s="134"/>
      <c r="B894" s="134"/>
      <c r="C894" s="128"/>
      <c r="D894" s="128"/>
      <c r="E894" s="128"/>
      <c r="F894" s="128"/>
      <c r="G894" s="128"/>
      <c r="H894" s="128"/>
      <c r="I894" s="128"/>
      <c r="J894" s="128"/>
      <c r="K894" s="128"/>
      <c r="L894" s="128"/>
      <c r="M894" s="128"/>
      <c r="N894" s="128"/>
      <c r="O894" s="128"/>
      <c r="P894" s="128"/>
      <c r="Q894" s="128"/>
      <c r="R894" s="128"/>
      <c r="S894" s="128"/>
      <c r="T894" s="128"/>
      <c r="U894" s="128"/>
      <c r="V894" s="128"/>
      <c r="W894" s="128"/>
      <c r="X894" s="128"/>
      <c r="Y894" s="128"/>
      <c r="Z894" s="128"/>
      <c r="AA894" s="128"/>
    </row>
    <row r="895">
      <c r="A895" s="134"/>
      <c r="B895" s="134"/>
      <c r="C895" s="128"/>
      <c r="D895" s="128"/>
      <c r="E895" s="128"/>
      <c r="F895" s="128"/>
      <c r="G895" s="128"/>
      <c r="H895" s="128"/>
      <c r="I895" s="128"/>
      <c r="J895" s="128"/>
      <c r="K895" s="128"/>
      <c r="L895" s="128"/>
      <c r="M895" s="128"/>
      <c r="N895" s="128"/>
      <c r="O895" s="128"/>
      <c r="P895" s="128"/>
      <c r="Q895" s="128"/>
      <c r="R895" s="128"/>
      <c r="S895" s="128"/>
      <c r="T895" s="128"/>
      <c r="U895" s="128"/>
      <c r="V895" s="128"/>
      <c r="W895" s="128"/>
      <c r="X895" s="128"/>
      <c r="Y895" s="128"/>
      <c r="Z895" s="128"/>
      <c r="AA895" s="128"/>
    </row>
    <row r="896">
      <c r="A896" s="134"/>
      <c r="B896" s="134"/>
      <c r="C896" s="128"/>
      <c r="D896" s="128"/>
      <c r="E896" s="128"/>
      <c r="F896" s="128"/>
      <c r="G896" s="128"/>
      <c r="H896" s="128"/>
      <c r="I896" s="128"/>
      <c r="J896" s="128"/>
      <c r="K896" s="128"/>
      <c r="L896" s="128"/>
      <c r="M896" s="128"/>
      <c r="N896" s="128"/>
      <c r="O896" s="128"/>
      <c r="P896" s="128"/>
      <c r="Q896" s="128"/>
      <c r="R896" s="128"/>
      <c r="S896" s="128"/>
      <c r="T896" s="128"/>
      <c r="U896" s="128"/>
      <c r="V896" s="128"/>
      <c r="W896" s="128"/>
      <c r="X896" s="128"/>
      <c r="Y896" s="128"/>
      <c r="Z896" s="128"/>
      <c r="AA896" s="128"/>
    </row>
    <row r="897">
      <c r="A897" s="134"/>
      <c r="B897" s="134"/>
      <c r="C897" s="128"/>
      <c r="D897" s="128"/>
      <c r="E897" s="128"/>
      <c r="F897" s="128"/>
      <c r="G897" s="128"/>
      <c r="H897" s="128"/>
      <c r="I897" s="128"/>
      <c r="J897" s="128"/>
      <c r="K897" s="128"/>
      <c r="L897" s="128"/>
      <c r="M897" s="128"/>
      <c r="N897" s="128"/>
      <c r="O897" s="128"/>
      <c r="P897" s="128"/>
      <c r="Q897" s="128"/>
      <c r="R897" s="128"/>
      <c r="S897" s="128"/>
      <c r="T897" s="128"/>
      <c r="U897" s="128"/>
      <c r="V897" s="128"/>
      <c r="W897" s="128"/>
      <c r="X897" s="128"/>
      <c r="Y897" s="128"/>
      <c r="Z897" s="128"/>
      <c r="AA897" s="128"/>
    </row>
    <row r="898">
      <c r="A898" s="134"/>
      <c r="B898" s="134"/>
      <c r="C898" s="128"/>
      <c r="D898" s="128"/>
      <c r="E898" s="128"/>
      <c r="F898" s="128"/>
      <c r="G898" s="128"/>
      <c r="H898" s="128"/>
      <c r="I898" s="128"/>
      <c r="J898" s="128"/>
      <c r="K898" s="128"/>
      <c r="L898" s="128"/>
      <c r="M898" s="128"/>
      <c r="N898" s="128"/>
      <c r="O898" s="128"/>
      <c r="P898" s="128"/>
      <c r="Q898" s="128"/>
      <c r="R898" s="128"/>
      <c r="S898" s="128"/>
      <c r="T898" s="128"/>
      <c r="U898" s="128"/>
      <c r="V898" s="128"/>
      <c r="W898" s="128"/>
      <c r="X898" s="128"/>
      <c r="Y898" s="128"/>
      <c r="Z898" s="128"/>
      <c r="AA898" s="128"/>
    </row>
    <row r="899">
      <c r="A899" s="134"/>
      <c r="B899" s="134"/>
      <c r="C899" s="128"/>
      <c r="D899" s="128"/>
      <c r="E899" s="128"/>
      <c r="F899" s="128"/>
      <c r="G899" s="128"/>
      <c r="H899" s="128"/>
      <c r="I899" s="128"/>
      <c r="J899" s="128"/>
      <c r="K899" s="128"/>
      <c r="L899" s="128"/>
      <c r="M899" s="128"/>
      <c r="N899" s="128"/>
      <c r="O899" s="128"/>
      <c r="P899" s="128"/>
      <c r="Q899" s="128"/>
      <c r="R899" s="128"/>
      <c r="S899" s="128"/>
      <c r="T899" s="128"/>
      <c r="U899" s="128"/>
      <c r="V899" s="128"/>
      <c r="W899" s="128"/>
      <c r="X899" s="128"/>
      <c r="Y899" s="128"/>
      <c r="Z899" s="128"/>
      <c r="AA899" s="128"/>
    </row>
    <row r="900">
      <c r="A900" s="134"/>
      <c r="B900" s="134"/>
      <c r="C900" s="128"/>
      <c r="D900" s="128"/>
      <c r="E900" s="128"/>
      <c r="F900" s="128"/>
      <c r="G900" s="128"/>
      <c r="H900" s="128"/>
      <c r="I900" s="128"/>
      <c r="J900" s="128"/>
      <c r="K900" s="128"/>
      <c r="L900" s="128"/>
      <c r="M900" s="128"/>
      <c r="N900" s="128"/>
      <c r="O900" s="128"/>
      <c r="P900" s="128"/>
      <c r="Q900" s="128"/>
      <c r="R900" s="128"/>
      <c r="S900" s="128"/>
      <c r="T900" s="128"/>
      <c r="U900" s="128"/>
      <c r="V900" s="128"/>
      <c r="W900" s="128"/>
      <c r="X900" s="128"/>
      <c r="Y900" s="128"/>
      <c r="Z900" s="128"/>
      <c r="AA900" s="128"/>
    </row>
    <row r="901">
      <c r="A901" s="134"/>
      <c r="B901" s="134"/>
      <c r="C901" s="128"/>
      <c r="D901" s="128"/>
      <c r="E901" s="128"/>
      <c r="F901" s="128"/>
      <c r="G901" s="128"/>
      <c r="H901" s="128"/>
      <c r="I901" s="128"/>
      <c r="J901" s="128"/>
      <c r="K901" s="128"/>
      <c r="L901" s="128"/>
      <c r="M901" s="128"/>
      <c r="N901" s="128"/>
      <c r="O901" s="128"/>
      <c r="P901" s="128"/>
      <c r="Q901" s="128"/>
      <c r="R901" s="128"/>
      <c r="S901" s="128"/>
      <c r="T901" s="128"/>
      <c r="U901" s="128"/>
      <c r="V901" s="128"/>
      <c r="W901" s="128"/>
      <c r="X901" s="128"/>
      <c r="Y901" s="128"/>
      <c r="Z901" s="128"/>
      <c r="AA901" s="128"/>
    </row>
    <row r="902">
      <c r="A902" s="134"/>
      <c r="B902" s="134"/>
      <c r="C902" s="128"/>
      <c r="D902" s="128"/>
      <c r="E902" s="128"/>
      <c r="F902" s="128"/>
      <c r="G902" s="128"/>
      <c r="H902" s="128"/>
      <c r="I902" s="128"/>
      <c r="J902" s="128"/>
      <c r="K902" s="128"/>
      <c r="L902" s="128"/>
      <c r="M902" s="128"/>
      <c r="N902" s="128"/>
      <c r="O902" s="128"/>
      <c r="P902" s="128"/>
      <c r="Q902" s="128"/>
      <c r="R902" s="128"/>
      <c r="S902" s="128"/>
      <c r="T902" s="128"/>
      <c r="U902" s="128"/>
      <c r="V902" s="128"/>
      <c r="W902" s="128"/>
      <c r="X902" s="128"/>
      <c r="Y902" s="128"/>
      <c r="Z902" s="128"/>
      <c r="AA902" s="128"/>
    </row>
    <row r="903">
      <c r="A903" s="134"/>
      <c r="B903" s="134"/>
      <c r="C903" s="128"/>
      <c r="D903" s="128"/>
      <c r="E903" s="128"/>
      <c r="F903" s="128"/>
      <c r="G903" s="128"/>
      <c r="H903" s="128"/>
      <c r="I903" s="128"/>
      <c r="J903" s="128"/>
      <c r="K903" s="128"/>
      <c r="L903" s="128"/>
      <c r="M903" s="128"/>
      <c r="N903" s="128"/>
      <c r="O903" s="128"/>
      <c r="P903" s="128"/>
      <c r="Q903" s="128"/>
      <c r="R903" s="128"/>
      <c r="S903" s="128"/>
      <c r="T903" s="128"/>
      <c r="U903" s="128"/>
      <c r="V903" s="128"/>
      <c r="W903" s="128"/>
      <c r="X903" s="128"/>
      <c r="Y903" s="128"/>
      <c r="Z903" s="128"/>
      <c r="AA903" s="128"/>
    </row>
    <row r="904">
      <c r="A904" s="134"/>
      <c r="B904" s="134"/>
      <c r="C904" s="128"/>
      <c r="D904" s="128"/>
      <c r="E904" s="128"/>
      <c r="F904" s="128"/>
      <c r="G904" s="128"/>
      <c r="H904" s="128"/>
      <c r="I904" s="128"/>
      <c r="J904" s="128"/>
      <c r="K904" s="128"/>
      <c r="L904" s="128"/>
      <c r="M904" s="128"/>
      <c r="N904" s="128"/>
      <c r="O904" s="128"/>
      <c r="P904" s="128"/>
      <c r="Q904" s="128"/>
      <c r="R904" s="128"/>
      <c r="S904" s="128"/>
      <c r="T904" s="128"/>
      <c r="U904" s="128"/>
      <c r="V904" s="128"/>
      <c r="W904" s="128"/>
      <c r="X904" s="128"/>
      <c r="Y904" s="128"/>
      <c r="Z904" s="128"/>
      <c r="AA904" s="128"/>
    </row>
    <row r="905">
      <c r="A905" s="134"/>
      <c r="B905" s="134"/>
      <c r="C905" s="128"/>
      <c r="D905" s="128"/>
      <c r="E905" s="128"/>
      <c r="F905" s="128"/>
      <c r="G905" s="128"/>
      <c r="H905" s="128"/>
      <c r="I905" s="128"/>
      <c r="J905" s="128"/>
      <c r="K905" s="128"/>
      <c r="L905" s="128"/>
      <c r="M905" s="128"/>
      <c r="N905" s="128"/>
      <c r="O905" s="128"/>
      <c r="P905" s="128"/>
      <c r="Q905" s="128"/>
      <c r="R905" s="128"/>
      <c r="S905" s="128"/>
      <c r="T905" s="128"/>
      <c r="U905" s="128"/>
      <c r="V905" s="128"/>
      <c r="W905" s="128"/>
      <c r="X905" s="128"/>
      <c r="Y905" s="128"/>
      <c r="Z905" s="128"/>
      <c r="AA905" s="128"/>
    </row>
    <row r="906">
      <c r="A906" s="134"/>
      <c r="B906" s="134"/>
      <c r="C906" s="128"/>
      <c r="D906" s="128"/>
      <c r="E906" s="128"/>
      <c r="F906" s="128"/>
      <c r="G906" s="128"/>
      <c r="H906" s="128"/>
      <c r="I906" s="128"/>
      <c r="J906" s="128"/>
      <c r="K906" s="128"/>
      <c r="L906" s="128"/>
      <c r="M906" s="128"/>
      <c r="N906" s="128"/>
      <c r="O906" s="128"/>
      <c r="P906" s="128"/>
      <c r="Q906" s="128"/>
      <c r="R906" s="128"/>
      <c r="S906" s="128"/>
      <c r="T906" s="128"/>
      <c r="U906" s="128"/>
      <c r="V906" s="128"/>
      <c r="W906" s="128"/>
      <c r="X906" s="128"/>
      <c r="Y906" s="128"/>
      <c r="Z906" s="128"/>
      <c r="AA906" s="128"/>
    </row>
    <row r="907">
      <c r="A907" s="134"/>
      <c r="B907" s="134"/>
      <c r="C907" s="128"/>
      <c r="D907" s="128"/>
      <c r="E907" s="128"/>
      <c r="F907" s="128"/>
      <c r="G907" s="128"/>
      <c r="H907" s="128"/>
      <c r="I907" s="128"/>
      <c r="J907" s="128"/>
      <c r="K907" s="128"/>
      <c r="L907" s="128"/>
      <c r="M907" s="128"/>
      <c r="N907" s="128"/>
      <c r="O907" s="128"/>
      <c r="P907" s="128"/>
      <c r="Q907" s="128"/>
      <c r="R907" s="128"/>
      <c r="S907" s="128"/>
      <c r="T907" s="128"/>
      <c r="U907" s="128"/>
      <c r="V907" s="128"/>
      <c r="W907" s="128"/>
      <c r="X907" s="128"/>
      <c r="Y907" s="128"/>
      <c r="Z907" s="128"/>
      <c r="AA907" s="128"/>
    </row>
    <row r="908">
      <c r="A908" s="134"/>
      <c r="B908" s="134"/>
      <c r="C908" s="128"/>
      <c r="D908" s="128"/>
      <c r="E908" s="128"/>
      <c r="F908" s="128"/>
      <c r="G908" s="128"/>
      <c r="H908" s="128"/>
      <c r="I908" s="128"/>
      <c r="J908" s="128"/>
      <c r="K908" s="128"/>
      <c r="L908" s="128"/>
      <c r="M908" s="128"/>
      <c r="N908" s="128"/>
      <c r="O908" s="128"/>
      <c r="P908" s="128"/>
      <c r="Q908" s="128"/>
      <c r="R908" s="128"/>
      <c r="S908" s="128"/>
      <c r="T908" s="128"/>
      <c r="U908" s="128"/>
      <c r="V908" s="128"/>
      <c r="W908" s="128"/>
      <c r="X908" s="128"/>
      <c r="Y908" s="128"/>
      <c r="Z908" s="128"/>
      <c r="AA908" s="128"/>
    </row>
    <row r="909">
      <c r="A909" s="134"/>
      <c r="B909" s="134"/>
      <c r="C909" s="128"/>
      <c r="D909" s="128"/>
      <c r="E909" s="128"/>
      <c r="F909" s="128"/>
      <c r="G909" s="128"/>
      <c r="H909" s="128"/>
      <c r="I909" s="128"/>
      <c r="J909" s="128"/>
      <c r="K909" s="128"/>
      <c r="L909" s="128"/>
      <c r="M909" s="128"/>
      <c r="N909" s="128"/>
      <c r="O909" s="128"/>
      <c r="P909" s="128"/>
      <c r="Q909" s="128"/>
      <c r="R909" s="128"/>
      <c r="S909" s="128"/>
      <c r="T909" s="128"/>
      <c r="U909" s="128"/>
      <c r="V909" s="128"/>
      <c r="W909" s="128"/>
      <c r="X909" s="128"/>
      <c r="Y909" s="128"/>
      <c r="Z909" s="128"/>
      <c r="AA909" s="128"/>
    </row>
    <row r="910">
      <c r="A910" s="134"/>
      <c r="B910" s="134"/>
      <c r="C910" s="128"/>
      <c r="D910" s="128"/>
      <c r="E910" s="128"/>
      <c r="F910" s="128"/>
      <c r="G910" s="128"/>
      <c r="H910" s="128"/>
      <c r="I910" s="128"/>
      <c r="J910" s="128"/>
      <c r="K910" s="128"/>
      <c r="L910" s="128"/>
      <c r="M910" s="128"/>
      <c r="N910" s="128"/>
      <c r="O910" s="128"/>
      <c r="P910" s="128"/>
      <c r="Q910" s="128"/>
      <c r="R910" s="128"/>
      <c r="S910" s="128"/>
      <c r="T910" s="128"/>
      <c r="U910" s="128"/>
      <c r="V910" s="128"/>
      <c r="W910" s="128"/>
      <c r="X910" s="128"/>
      <c r="Y910" s="128"/>
      <c r="Z910" s="128"/>
      <c r="AA910" s="128"/>
    </row>
    <row r="911">
      <c r="A911" s="134"/>
      <c r="B911" s="134"/>
      <c r="C911" s="128"/>
      <c r="D911" s="128"/>
      <c r="E911" s="128"/>
      <c r="F911" s="128"/>
      <c r="G911" s="128"/>
      <c r="H911" s="128"/>
      <c r="I911" s="128"/>
      <c r="J911" s="128"/>
      <c r="K911" s="128"/>
      <c r="L911" s="128"/>
      <c r="M911" s="128"/>
      <c r="N911" s="128"/>
      <c r="O911" s="128"/>
      <c r="P911" s="128"/>
      <c r="Q911" s="128"/>
      <c r="R911" s="128"/>
      <c r="S911" s="128"/>
      <c r="T911" s="128"/>
      <c r="U911" s="128"/>
      <c r="V911" s="128"/>
      <c r="W911" s="128"/>
      <c r="X911" s="128"/>
      <c r="Y911" s="128"/>
      <c r="Z911" s="128"/>
      <c r="AA911" s="128"/>
    </row>
    <row r="912">
      <c r="A912" s="134"/>
      <c r="B912" s="134"/>
      <c r="C912" s="128"/>
      <c r="D912" s="128"/>
      <c r="E912" s="128"/>
      <c r="F912" s="128"/>
      <c r="G912" s="128"/>
      <c r="H912" s="128"/>
      <c r="I912" s="128"/>
      <c r="J912" s="128"/>
      <c r="K912" s="128"/>
      <c r="L912" s="128"/>
      <c r="M912" s="128"/>
      <c r="N912" s="128"/>
      <c r="O912" s="128"/>
      <c r="P912" s="128"/>
      <c r="Q912" s="128"/>
      <c r="R912" s="128"/>
      <c r="S912" s="128"/>
      <c r="T912" s="128"/>
      <c r="U912" s="128"/>
      <c r="V912" s="128"/>
      <c r="W912" s="128"/>
      <c r="X912" s="128"/>
      <c r="Y912" s="128"/>
      <c r="Z912" s="128"/>
      <c r="AA912" s="128"/>
    </row>
    <row r="913">
      <c r="A913" s="134"/>
      <c r="B913" s="134"/>
      <c r="C913" s="128"/>
      <c r="D913" s="128"/>
      <c r="E913" s="128"/>
      <c r="F913" s="128"/>
      <c r="G913" s="128"/>
      <c r="H913" s="128"/>
      <c r="I913" s="128"/>
      <c r="J913" s="128"/>
      <c r="K913" s="128"/>
      <c r="L913" s="128"/>
      <c r="M913" s="128"/>
      <c r="N913" s="128"/>
      <c r="O913" s="128"/>
      <c r="P913" s="128"/>
      <c r="Q913" s="128"/>
      <c r="R913" s="128"/>
      <c r="S913" s="128"/>
      <c r="T913" s="128"/>
      <c r="U913" s="128"/>
      <c r="V913" s="128"/>
      <c r="W913" s="128"/>
      <c r="X913" s="128"/>
      <c r="Y913" s="128"/>
      <c r="Z913" s="128"/>
      <c r="AA913" s="128"/>
    </row>
    <row r="914">
      <c r="A914" s="134"/>
      <c r="B914" s="134"/>
      <c r="C914" s="128"/>
      <c r="D914" s="128"/>
      <c r="E914" s="128"/>
      <c r="F914" s="128"/>
      <c r="G914" s="128"/>
      <c r="H914" s="128"/>
      <c r="I914" s="128"/>
      <c r="J914" s="128"/>
      <c r="K914" s="128"/>
      <c r="L914" s="128"/>
      <c r="M914" s="128"/>
      <c r="N914" s="128"/>
      <c r="O914" s="128"/>
      <c r="P914" s="128"/>
      <c r="Q914" s="128"/>
      <c r="R914" s="128"/>
      <c r="S914" s="128"/>
      <c r="T914" s="128"/>
      <c r="U914" s="128"/>
      <c r="V914" s="128"/>
      <c r="W914" s="128"/>
      <c r="X914" s="128"/>
      <c r="Y914" s="128"/>
      <c r="Z914" s="128"/>
      <c r="AA914" s="128"/>
    </row>
    <row r="915">
      <c r="A915" s="134"/>
      <c r="B915" s="134"/>
      <c r="C915" s="128"/>
      <c r="D915" s="128"/>
      <c r="E915" s="128"/>
      <c r="F915" s="128"/>
      <c r="G915" s="128"/>
      <c r="H915" s="128"/>
      <c r="I915" s="128"/>
      <c r="J915" s="128"/>
      <c r="K915" s="128"/>
      <c r="L915" s="128"/>
      <c r="M915" s="128"/>
      <c r="N915" s="128"/>
      <c r="O915" s="128"/>
      <c r="P915" s="128"/>
      <c r="Q915" s="128"/>
      <c r="R915" s="128"/>
      <c r="S915" s="128"/>
      <c r="T915" s="128"/>
      <c r="U915" s="128"/>
      <c r="V915" s="128"/>
      <c r="W915" s="128"/>
      <c r="X915" s="128"/>
      <c r="Y915" s="128"/>
      <c r="Z915" s="128"/>
      <c r="AA915" s="128"/>
    </row>
    <row r="916">
      <c r="A916" s="134"/>
      <c r="B916" s="134"/>
      <c r="C916" s="128"/>
      <c r="D916" s="128"/>
      <c r="E916" s="128"/>
      <c r="F916" s="128"/>
      <c r="G916" s="128"/>
      <c r="H916" s="128"/>
      <c r="I916" s="128"/>
      <c r="J916" s="128"/>
      <c r="K916" s="128"/>
      <c r="L916" s="128"/>
      <c r="M916" s="128"/>
      <c r="N916" s="128"/>
      <c r="O916" s="128"/>
      <c r="P916" s="128"/>
      <c r="Q916" s="128"/>
      <c r="R916" s="128"/>
      <c r="S916" s="128"/>
      <c r="T916" s="128"/>
      <c r="U916" s="128"/>
      <c r="V916" s="128"/>
      <c r="W916" s="128"/>
      <c r="X916" s="128"/>
      <c r="Y916" s="128"/>
      <c r="Z916" s="128"/>
      <c r="AA916" s="128"/>
    </row>
    <row r="917">
      <c r="A917" s="134"/>
      <c r="B917" s="134"/>
      <c r="C917" s="128"/>
      <c r="D917" s="128"/>
      <c r="E917" s="128"/>
      <c r="F917" s="128"/>
      <c r="G917" s="128"/>
      <c r="H917" s="128"/>
      <c r="I917" s="128"/>
      <c r="J917" s="128"/>
      <c r="K917" s="128"/>
      <c r="L917" s="128"/>
      <c r="M917" s="128"/>
      <c r="N917" s="128"/>
      <c r="O917" s="128"/>
      <c r="P917" s="128"/>
      <c r="Q917" s="128"/>
      <c r="R917" s="128"/>
      <c r="S917" s="128"/>
      <c r="T917" s="128"/>
      <c r="U917" s="128"/>
      <c r="V917" s="128"/>
      <c r="W917" s="128"/>
      <c r="X917" s="128"/>
      <c r="Y917" s="128"/>
      <c r="Z917" s="128"/>
      <c r="AA917" s="128"/>
    </row>
    <row r="918">
      <c r="A918" s="134"/>
      <c r="B918" s="134"/>
      <c r="C918" s="128"/>
      <c r="D918" s="128"/>
      <c r="E918" s="128"/>
      <c r="F918" s="128"/>
      <c r="G918" s="128"/>
      <c r="H918" s="128"/>
      <c r="I918" s="128"/>
      <c r="J918" s="128"/>
      <c r="K918" s="128"/>
      <c r="L918" s="128"/>
      <c r="M918" s="128"/>
      <c r="N918" s="128"/>
      <c r="O918" s="128"/>
      <c r="P918" s="128"/>
      <c r="Q918" s="128"/>
      <c r="R918" s="128"/>
      <c r="S918" s="128"/>
      <c r="T918" s="128"/>
      <c r="U918" s="128"/>
      <c r="V918" s="128"/>
      <c r="W918" s="128"/>
      <c r="X918" s="128"/>
      <c r="Y918" s="128"/>
      <c r="Z918" s="128"/>
      <c r="AA918" s="128"/>
    </row>
    <row r="919">
      <c r="A919" s="134"/>
      <c r="B919" s="134"/>
      <c r="C919" s="128"/>
      <c r="D919" s="128"/>
      <c r="E919" s="128"/>
      <c r="F919" s="128"/>
      <c r="G919" s="128"/>
      <c r="H919" s="128"/>
      <c r="I919" s="128"/>
      <c r="J919" s="128"/>
      <c r="K919" s="128"/>
      <c r="L919" s="128"/>
      <c r="M919" s="128"/>
      <c r="N919" s="128"/>
      <c r="O919" s="128"/>
      <c r="P919" s="128"/>
      <c r="Q919" s="128"/>
      <c r="R919" s="128"/>
      <c r="S919" s="128"/>
      <c r="T919" s="128"/>
      <c r="U919" s="128"/>
      <c r="V919" s="128"/>
      <c r="W919" s="128"/>
      <c r="X919" s="128"/>
      <c r="Y919" s="128"/>
      <c r="Z919" s="128"/>
      <c r="AA919" s="128"/>
    </row>
    <row r="920">
      <c r="A920" s="134"/>
      <c r="B920" s="134"/>
      <c r="C920" s="128"/>
      <c r="D920" s="128"/>
      <c r="E920" s="128"/>
      <c r="F920" s="128"/>
      <c r="G920" s="128"/>
      <c r="H920" s="128"/>
      <c r="I920" s="128"/>
      <c r="J920" s="128"/>
      <c r="K920" s="128"/>
      <c r="L920" s="128"/>
      <c r="M920" s="128"/>
      <c r="N920" s="128"/>
      <c r="O920" s="128"/>
      <c r="P920" s="128"/>
      <c r="Q920" s="128"/>
      <c r="R920" s="128"/>
      <c r="S920" s="128"/>
      <c r="T920" s="128"/>
      <c r="U920" s="128"/>
      <c r="V920" s="128"/>
      <c r="W920" s="128"/>
      <c r="X920" s="128"/>
      <c r="Y920" s="128"/>
      <c r="Z920" s="128"/>
      <c r="AA920" s="128"/>
    </row>
    <row r="921">
      <c r="A921" s="134"/>
      <c r="B921" s="134"/>
      <c r="C921" s="128"/>
      <c r="D921" s="128"/>
      <c r="E921" s="128"/>
      <c r="F921" s="128"/>
      <c r="G921" s="128"/>
      <c r="H921" s="128"/>
      <c r="I921" s="128"/>
      <c r="J921" s="128"/>
      <c r="K921" s="128"/>
      <c r="L921" s="128"/>
      <c r="M921" s="128"/>
      <c r="N921" s="128"/>
      <c r="O921" s="128"/>
      <c r="P921" s="128"/>
      <c r="Q921" s="128"/>
      <c r="R921" s="128"/>
      <c r="S921" s="128"/>
      <c r="T921" s="128"/>
      <c r="U921" s="128"/>
      <c r="V921" s="128"/>
      <c r="W921" s="128"/>
      <c r="X921" s="128"/>
      <c r="Y921" s="128"/>
      <c r="Z921" s="128"/>
      <c r="AA921" s="128"/>
    </row>
    <row r="922">
      <c r="A922" s="134"/>
      <c r="B922" s="134"/>
      <c r="C922" s="128"/>
      <c r="D922" s="128"/>
      <c r="E922" s="128"/>
      <c r="F922" s="128"/>
      <c r="G922" s="128"/>
      <c r="H922" s="128"/>
      <c r="I922" s="128"/>
      <c r="J922" s="128"/>
      <c r="K922" s="128"/>
      <c r="L922" s="128"/>
      <c r="M922" s="128"/>
      <c r="N922" s="128"/>
      <c r="O922" s="128"/>
      <c r="P922" s="128"/>
      <c r="Q922" s="128"/>
      <c r="R922" s="128"/>
      <c r="S922" s="128"/>
      <c r="T922" s="128"/>
      <c r="U922" s="128"/>
      <c r="V922" s="128"/>
      <c r="W922" s="128"/>
      <c r="X922" s="128"/>
      <c r="Y922" s="128"/>
      <c r="Z922" s="128"/>
      <c r="AA922" s="128"/>
    </row>
    <row r="923">
      <c r="A923" s="134"/>
      <c r="B923" s="134"/>
      <c r="C923" s="128"/>
      <c r="D923" s="128"/>
      <c r="E923" s="128"/>
      <c r="F923" s="128"/>
      <c r="G923" s="128"/>
      <c r="H923" s="128"/>
      <c r="I923" s="128"/>
      <c r="J923" s="128"/>
      <c r="K923" s="128"/>
      <c r="L923" s="128"/>
      <c r="M923" s="128"/>
      <c r="N923" s="128"/>
      <c r="O923" s="128"/>
      <c r="P923" s="128"/>
      <c r="Q923" s="128"/>
      <c r="R923" s="128"/>
      <c r="S923" s="128"/>
      <c r="T923" s="128"/>
      <c r="U923" s="128"/>
      <c r="V923" s="128"/>
      <c r="W923" s="128"/>
      <c r="X923" s="128"/>
      <c r="Y923" s="128"/>
      <c r="Z923" s="128"/>
      <c r="AA923" s="128"/>
    </row>
    <row r="924">
      <c r="A924" s="134"/>
      <c r="B924" s="134"/>
      <c r="C924" s="128"/>
      <c r="D924" s="128"/>
      <c r="E924" s="128"/>
      <c r="F924" s="128"/>
      <c r="G924" s="128"/>
      <c r="H924" s="128"/>
      <c r="I924" s="128"/>
      <c r="J924" s="128"/>
      <c r="K924" s="128"/>
      <c r="L924" s="128"/>
      <c r="M924" s="128"/>
      <c r="N924" s="128"/>
      <c r="O924" s="128"/>
      <c r="P924" s="128"/>
      <c r="Q924" s="128"/>
      <c r="R924" s="128"/>
      <c r="S924" s="128"/>
      <c r="T924" s="128"/>
      <c r="U924" s="128"/>
      <c r="V924" s="128"/>
      <c r="W924" s="128"/>
      <c r="X924" s="128"/>
      <c r="Y924" s="128"/>
      <c r="Z924" s="128"/>
      <c r="AA924" s="128"/>
    </row>
    <row r="925">
      <c r="A925" s="134"/>
      <c r="B925" s="134"/>
      <c r="C925" s="128"/>
      <c r="D925" s="128"/>
      <c r="E925" s="128"/>
      <c r="F925" s="128"/>
      <c r="G925" s="128"/>
      <c r="H925" s="128"/>
      <c r="I925" s="128"/>
      <c r="J925" s="128"/>
      <c r="K925" s="128"/>
      <c r="L925" s="128"/>
      <c r="M925" s="128"/>
      <c r="N925" s="128"/>
      <c r="O925" s="128"/>
      <c r="P925" s="128"/>
      <c r="Q925" s="128"/>
      <c r="R925" s="128"/>
      <c r="S925" s="128"/>
      <c r="T925" s="128"/>
      <c r="U925" s="128"/>
      <c r="V925" s="128"/>
      <c r="W925" s="128"/>
      <c r="X925" s="128"/>
      <c r="Y925" s="128"/>
      <c r="Z925" s="128"/>
      <c r="AA925" s="128"/>
    </row>
    <row r="926">
      <c r="A926" s="134"/>
      <c r="B926" s="134"/>
      <c r="C926" s="128"/>
      <c r="D926" s="128"/>
      <c r="E926" s="128"/>
      <c r="F926" s="128"/>
      <c r="G926" s="128"/>
      <c r="H926" s="128"/>
      <c r="I926" s="128"/>
      <c r="J926" s="128"/>
      <c r="K926" s="128"/>
      <c r="L926" s="128"/>
      <c r="M926" s="128"/>
      <c r="N926" s="128"/>
      <c r="O926" s="128"/>
      <c r="P926" s="128"/>
      <c r="Q926" s="128"/>
      <c r="R926" s="128"/>
      <c r="S926" s="128"/>
      <c r="T926" s="128"/>
      <c r="U926" s="128"/>
      <c r="V926" s="128"/>
      <c r="W926" s="128"/>
      <c r="X926" s="128"/>
      <c r="Y926" s="128"/>
      <c r="Z926" s="128"/>
      <c r="AA926" s="128"/>
    </row>
    <row r="927">
      <c r="A927" s="134"/>
      <c r="B927" s="134"/>
      <c r="C927" s="128"/>
      <c r="D927" s="128"/>
      <c r="E927" s="128"/>
      <c r="F927" s="128"/>
      <c r="G927" s="128"/>
      <c r="H927" s="128"/>
      <c r="I927" s="128"/>
      <c r="J927" s="128"/>
      <c r="K927" s="128"/>
      <c r="L927" s="128"/>
      <c r="M927" s="128"/>
      <c r="N927" s="128"/>
      <c r="O927" s="128"/>
      <c r="P927" s="128"/>
      <c r="Q927" s="128"/>
      <c r="R927" s="128"/>
      <c r="S927" s="128"/>
      <c r="T927" s="128"/>
      <c r="U927" s="128"/>
      <c r="V927" s="128"/>
      <c r="W927" s="128"/>
      <c r="X927" s="128"/>
      <c r="Y927" s="128"/>
      <c r="Z927" s="128"/>
      <c r="AA927" s="128"/>
    </row>
    <row r="928">
      <c r="A928" s="134"/>
      <c r="B928" s="134"/>
      <c r="C928" s="128"/>
      <c r="D928" s="128"/>
      <c r="E928" s="128"/>
      <c r="F928" s="128"/>
      <c r="G928" s="128"/>
      <c r="H928" s="128"/>
      <c r="I928" s="128"/>
      <c r="J928" s="128"/>
      <c r="K928" s="128"/>
      <c r="L928" s="128"/>
      <c r="M928" s="128"/>
      <c r="N928" s="128"/>
      <c r="O928" s="128"/>
      <c r="P928" s="128"/>
      <c r="Q928" s="128"/>
      <c r="R928" s="128"/>
      <c r="S928" s="128"/>
      <c r="T928" s="128"/>
      <c r="U928" s="128"/>
      <c r="V928" s="128"/>
      <c r="W928" s="128"/>
      <c r="X928" s="128"/>
      <c r="Y928" s="128"/>
      <c r="Z928" s="128"/>
      <c r="AA928" s="128"/>
    </row>
    <row r="929">
      <c r="A929" s="134"/>
      <c r="B929" s="134"/>
      <c r="C929" s="128"/>
      <c r="D929" s="128"/>
      <c r="E929" s="128"/>
      <c r="F929" s="128"/>
      <c r="G929" s="128"/>
      <c r="H929" s="128"/>
      <c r="I929" s="128"/>
      <c r="J929" s="128"/>
      <c r="K929" s="128"/>
      <c r="L929" s="128"/>
      <c r="M929" s="128"/>
      <c r="N929" s="128"/>
      <c r="O929" s="128"/>
      <c r="P929" s="128"/>
      <c r="Q929" s="128"/>
      <c r="R929" s="128"/>
      <c r="S929" s="128"/>
      <c r="T929" s="128"/>
      <c r="U929" s="128"/>
      <c r="V929" s="128"/>
      <c r="W929" s="128"/>
      <c r="X929" s="128"/>
      <c r="Y929" s="128"/>
      <c r="Z929" s="128"/>
      <c r="AA929" s="128"/>
    </row>
    <row r="930">
      <c r="A930" s="134"/>
      <c r="B930" s="134"/>
      <c r="C930" s="128"/>
      <c r="D930" s="128"/>
      <c r="E930" s="128"/>
      <c r="F930" s="128"/>
      <c r="G930" s="128"/>
      <c r="H930" s="128"/>
      <c r="I930" s="128"/>
      <c r="J930" s="128"/>
      <c r="K930" s="128"/>
      <c r="L930" s="128"/>
      <c r="M930" s="128"/>
      <c r="N930" s="128"/>
      <c r="O930" s="128"/>
      <c r="P930" s="128"/>
      <c r="Q930" s="128"/>
      <c r="R930" s="128"/>
      <c r="S930" s="128"/>
      <c r="T930" s="128"/>
      <c r="U930" s="128"/>
      <c r="V930" s="128"/>
      <c r="W930" s="128"/>
      <c r="X930" s="128"/>
      <c r="Y930" s="128"/>
      <c r="Z930" s="128"/>
      <c r="AA930" s="128"/>
    </row>
    <row r="931">
      <c r="A931" s="134"/>
      <c r="B931" s="134"/>
      <c r="C931" s="128"/>
      <c r="D931" s="128"/>
      <c r="E931" s="128"/>
      <c r="F931" s="128"/>
      <c r="G931" s="128"/>
      <c r="H931" s="128"/>
      <c r="I931" s="128"/>
      <c r="J931" s="128"/>
      <c r="K931" s="128"/>
      <c r="L931" s="128"/>
      <c r="M931" s="128"/>
      <c r="N931" s="128"/>
      <c r="O931" s="128"/>
      <c r="P931" s="128"/>
      <c r="Q931" s="128"/>
      <c r="R931" s="128"/>
      <c r="S931" s="128"/>
      <c r="T931" s="128"/>
      <c r="U931" s="128"/>
      <c r="V931" s="128"/>
      <c r="W931" s="128"/>
      <c r="X931" s="128"/>
      <c r="Y931" s="128"/>
      <c r="Z931" s="128"/>
      <c r="AA931" s="128"/>
    </row>
    <row r="932">
      <c r="A932" s="134"/>
      <c r="B932" s="134"/>
      <c r="C932" s="128"/>
      <c r="D932" s="128"/>
      <c r="E932" s="128"/>
      <c r="F932" s="128"/>
      <c r="G932" s="128"/>
      <c r="H932" s="128"/>
      <c r="I932" s="128"/>
      <c r="J932" s="128"/>
      <c r="K932" s="128"/>
      <c r="L932" s="128"/>
      <c r="M932" s="128"/>
      <c r="N932" s="128"/>
      <c r="O932" s="128"/>
      <c r="P932" s="128"/>
      <c r="Q932" s="128"/>
      <c r="R932" s="128"/>
      <c r="S932" s="128"/>
      <c r="T932" s="128"/>
      <c r="U932" s="128"/>
      <c r="V932" s="128"/>
      <c r="W932" s="128"/>
      <c r="X932" s="128"/>
      <c r="Y932" s="128"/>
      <c r="Z932" s="128"/>
      <c r="AA932" s="128"/>
    </row>
    <row r="933">
      <c r="A933" s="134"/>
      <c r="B933" s="134"/>
      <c r="C933" s="128"/>
      <c r="D933" s="128"/>
      <c r="E933" s="128"/>
      <c r="F933" s="128"/>
      <c r="G933" s="128"/>
      <c r="H933" s="128"/>
      <c r="I933" s="128"/>
      <c r="J933" s="128"/>
      <c r="K933" s="128"/>
      <c r="L933" s="128"/>
      <c r="M933" s="128"/>
      <c r="N933" s="128"/>
      <c r="O933" s="128"/>
      <c r="P933" s="128"/>
      <c r="Q933" s="128"/>
      <c r="R933" s="128"/>
      <c r="S933" s="128"/>
      <c r="T933" s="128"/>
      <c r="U933" s="128"/>
      <c r="V933" s="128"/>
      <c r="W933" s="128"/>
      <c r="X933" s="128"/>
      <c r="Y933" s="128"/>
      <c r="Z933" s="128"/>
      <c r="AA933" s="128"/>
    </row>
    <row r="934">
      <c r="A934" s="134"/>
      <c r="B934" s="134"/>
      <c r="C934" s="128"/>
      <c r="D934" s="128"/>
      <c r="E934" s="128"/>
      <c r="F934" s="128"/>
      <c r="G934" s="128"/>
      <c r="H934" s="128"/>
      <c r="I934" s="128"/>
      <c r="J934" s="128"/>
      <c r="K934" s="128"/>
      <c r="L934" s="128"/>
      <c r="M934" s="128"/>
      <c r="N934" s="128"/>
      <c r="O934" s="128"/>
      <c r="P934" s="128"/>
      <c r="Q934" s="128"/>
      <c r="R934" s="128"/>
      <c r="S934" s="128"/>
      <c r="T934" s="128"/>
      <c r="U934" s="128"/>
      <c r="V934" s="128"/>
      <c r="W934" s="128"/>
      <c r="X934" s="128"/>
      <c r="Y934" s="128"/>
      <c r="Z934" s="128"/>
      <c r="AA934" s="128"/>
    </row>
    <row r="935">
      <c r="A935" s="134"/>
      <c r="B935" s="134"/>
      <c r="C935" s="128"/>
      <c r="D935" s="128"/>
      <c r="E935" s="128"/>
      <c r="F935" s="128"/>
      <c r="G935" s="128"/>
      <c r="H935" s="128"/>
      <c r="I935" s="128"/>
      <c r="J935" s="128"/>
      <c r="K935" s="128"/>
      <c r="L935" s="128"/>
      <c r="M935" s="128"/>
      <c r="N935" s="128"/>
      <c r="O935" s="128"/>
      <c r="P935" s="128"/>
      <c r="Q935" s="128"/>
      <c r="R935" s="128"/>
      <c r="S935" s="128"/>
      <c r="T935" s="128"/>
      <c r="U935" s="128"/>
      <c r="V935" s="128"/>
      <c r="W935" s="128"/>
      <c r="X935" s="128"/>
      <c r="Y935" s="128"/>
      <c r="Z935" s="128"/>
      <c r="AA935" s="128"/>
    </row>
    <row r="936">
      <c r="A936" s="134"/>
      <c r="B936" s="134"/>
      <c r="C936" s="128"/>
      <c r="D936" s="128"/>
      <c r="E936" s="128"/>
      <c r="F936" s="128"/>
      <c r="G936" s="128"/>
      <c r="H936" s="128"/>
      <c r="I936" s="128"/>
      <c r="J936" s="128"/>
      <c r="K936" s="128"/>
      <c r="L936" s="128"/>
      <c r="M936" s="128"/>
      <c r="N936" s="128"/>
      <c r="O936" s="128"/>
      <c r="P936" s="128"/>
      <c r="Q936" s="128"/>
      <c r="R936" s="128"/>
      <c r="S936" s="128"/>
      <c r="T936" s="128"/>
      <c r="U936" s="128"/>
      <c r="V936" s="128"/>
      <c r="W936" s="128"/>
      <c r="X936" s="128"/>
      <c r="Y936" s="128"/>
      <c r="Z936" s="128"/>
      <c r="AA936" s="128"/>
    </row>
    <row r="937">
      <c r="A937" s="134"/>
      <c r="B937" s="134"/>
      <c r="C937" s="128"/>
      <c r="D937" s="128"/>
      <c r="E937" s="128"/>
      <c r="F937" s="128"/>
      <c r="G937" s="128"/>
      <c r="H937" s="128"/>
      <c r="I937" s="128"/>
      <c r="J937" s="128"/>
      <c r="K937" s="128"/>
      <c r="L937" s="128"/>
      <c r="M937" s="128"/>
      <c r="N937" s="128"/>
      <c r="O937" s="128"/>
      <c r="P937" s="128"/>
      <c r="Q937" s="128"/>
      <c r="R937" s="128"/>
      <c r="S937" s="128"/>
      <c r="T937" s="128"/>
      <c r="U937" s="128"/>
      <c r="V937" s="128"/>
      <c r="W937" s="128"/>
      <c r="X937" s="128"/>
      <c r="Y937" s="128"/>
      <c r="Z937" s="128"/>
      <c r="AA937" s="128"/>
    </row>
    <row r="938">
      <c r="A938" s="134"/>
      <c r="B938" s="134"/>
      <c r="C938" s="128"/>
      <c r="D938" s="128"/>
      <c r="E938" s="128"/>
      <c r="F938" s="128"/>
      <c r="G938" s="128"/>
      <c r="H938" s="128"/>
      <c r="I938" s="128"/>
      <c r="J938" s="128"/>
      <c r="K938" s="128"/>
      <c r="L938" s="128"/>
      <c r="M938" s="128"/>
      <c r="N938" s="128"/>
      <c r="O938" s="128"/>
      <c r="P938" s="128"/>
      <c r="Q938" s="128"/>
      <c r="R938" s="128"/>
      <c r="S938" s="128"/>
      <c r="T938" s="128"/>
      <c r="U938" s="128"/>
      <c r="V938" s="128"/>
      <c r="W938" s="128"/>
      <c r="X938" s="128"/>
      <c r="Y938" s="128"/>
      <c r="Z938" s="128"/>
      <c r="AA938" s="128"/>
    </row>
    <row r="939">
      <c r="A939" s="134"/>
      <c r="B939" s="134"/>
      <c r="C939" s="128"/>
      <c r="D939" s="128"/>
      <c r="E939" s="128"/>
      <c r="F939" s="128"/>
      <c r="G939" s="128"/>
      <c r="H939" s="128"/>
      <c r="I939" s="128"/>
      <c r="J939" s="128"/>
      <c r="K939" s="128"/>
      <c r="L939" s="128"/>
      <c r="M939" s="128"/>
      <c r="N939" s="128"/>
      <c r="O939" s="128"/>
      <c r="P939" s="128"/>
      <c r="Q939" s="128"/>
      <c r="R939" s="128"/>
      <c r="S939" s="128"/>
      <c r="T939" s="128"/>
      <c r="U939" s="128"/>
      <c r="V939" s="128"/>
      <c r="W939" s="128"/>
      <c r="X939" s="128"/>
      <c r="Y939" s="128"/>
      <c r="Z939" s="128"/>
      <c r="AA939" s="128"/>
    </row>
    <row r="940">
      <c r="A940" s="134"/>
      <c r="B940" s="134"/>
      <c r="C940" s="128"/>
      <c r="D940" s="128"/>
      <c r="E940" s="128"/>
      <c r="F940" s="128"/>
      <c r="G940" s="128"/>
      <c r="H940" s="128"/>
      <c r="I940" s="128"/>
      <c r="J940" s="128"/>
      <c r="K940" s="128"/>
      <c r="L940" s="128"/>
      <c r="M940" s="128"/>
      <c r="N940" s="128"/>
      <c r="O940" s="128"/>
      <c r="P940" s="128"/>
      <c r="Q940" s="128"/>
      <c r="R940" s="128"/>
      <c r="S940" s="128"/>
      <c r="T940" s="128"/>
      <c r="U940" s="128"/>
      <c r="V940" s="128"/>
      <c r="W940" s="128"/>
      <c r="X940" s="128"/>
      <c r="Y940" s="128"/>
      <c r="Z940" s="128"/>
      <c r="AA940" s="128"/>
    </row>
    <row r="941">
      <c r="A941" s="134"/>
      <c r="B941" s="134"/>
      <c r="C941" s="128"/>
      <c r="D941" s="128"/>
      <c r="E941" s="128"/>
      <c r="F941" s="128"/>
      <c r="G941" s="128"/>
      <c r="H941" s="128"/>
      <c r="I941" s="128"/>
      <c r="J941" s="128"/>
      <c r="K941" s="128"/>
      <c r="L941" s="128"/>
      <c r="M941" s="128"/>
      <c r="N941" s="128"/>
      <c r="O941" s="128"/>
      <c r="P941" s="128"/>
      <c r="Q941" s="128"/>
      <c r="R941" s="128"/>
      <c r="S941" s="128"/>
      <c r="T941" s="128"/>
      <c r="U941" s="128"/>
      <c r="V941" s="128"/>
      <c r="W941" s="128"/>
      <c r="X941" s="128"/>
      <c r="Y941" s="128"/>
      <c r="Z941" s="128"/>
      <c r="AA941" s="128"/>
    </row>
    <row r="942">
      <c r="A942" s="134"/>
      <c r="B942" s="134"/>
      <c r="C942" s="128"/>
      <c r="D942" s="128"/>
      <c r="E942" s="128"/>
      <c r="F942" s="128"/>
      <c r="G942" s="128"/>
      <c r="H942" s="128"/>
      <c r="I942" s="128"/>
      <c r="J942" s="128"/>
      <c r="K942" s="128"/>
      <c r="L942" s="128"/>
      <c r="M942" s="128"/>
      <c r="N942" s="128"/>
      <c r="O942" s="128"/>
      <c r="P942" s="128"/>
      <c r="Q942" s="128"/>
      <c r="R942" s="128"/>
      <c r="S942" s="128"/>
      <c r="T942" s="128"/>
      <c r="U942" s="128"/>
      <c r="V942" s="128"/>
      <c r="W942" s="128"/>
      <c r="X942" s="128"/>
      <c r="Y942" s="128"/>
      <c r="Z942" s="128"/>
      <c r="AA942" s="128"/>
    </row>
    <row r="943">
      <c r="A943" s="134"/>
      <c r="B943" s="134"/>
      <c r="C943" s="128"/>
      <c r="D943" s="128"/>
      <c r="E943" s="128"/>
      <c r="F943" s="128"/>
      <c r="G943" s="128"/>
      <c r="H943" s="128"/>
      <c r="I943" s="128"/>
      <c r="J943" s="128"/>
      <c r="K943" s="128"/>
      <c r="L943" s="128"/>
      <c r="M943" s="128"/>
      <c r="N943" s="128"/>
      <c r="O943" s="128"/>
      <c r="P943" s="128"/>
      <c r="Q943" s="128"/>
      <c r="R943" s="128"/>
      <c r="S943" s="128"/>
      <c r="T943" s="128"/>
      <c r="U943" s="128"/>
      <c r="V943" s="128"/>
      <c r="W943" s="128"/>
      <c r="X943" s="128"/>
      <c r="Y943" s="128"/>
      <c r="Z943" s="128"/>
      <c r="AA943" s="128"/>
    </row>
    <row r="944">
      <c r="A944" s="134"/>
      <c r="B944" s="134"/>
      <c r="C944" s="128"/>
      <c r="D944" s="128"/>
      <c r="E944" s="128"/>
      <c r="F944" s="128"/>
      <c r="G944" s="128"/>
      <c r="H944" s="128"/>
      <c r="I944" s="128"/>
      <c r="J944" s="128"/>
      <c r="K944" s="128"/>
      <c r="L944" s="128"/>
      <c r="M944" s="128"/>
      <c r="N944" s="128"/>
      <c r="O944" s="128"/>
      <c r="P944" s="128"/>
      <c r="Q944" s="128"/>
      <c r="R944" s="128"/>
      <c r="S944" s="128"/>
      <c r="T944" s="128"/>
      <c r="U944" s="128"/>
      <c r="V944" s="128"/>
      <c r="W944" s="128"/>
      <c r="X944" s="128"/>
      <c r="Y944" s="128"/>
      <c r="Z944" s="128"/>
      <c r="AA944" s="128"/>
    </row>
    <row r="945">
      <c r="A945" s="134"/>
      <c r="B945" s="134"/>
      <c r="C945" s="128"/>
      <c r="D945" s="128"/>
      <c r="E945" s="128"/>
      <c r="F945" s="128"/>
      <c r="G945" s="128"/>
      <c r="H945" s="128"/>
      <c r="I945" s="128"/>
      <c r="J945" s="128"/>
      <c r="K945" s="128"/>
      <c r="L945" s="128"/>
      <c r="M945" s="128"/>
      <c r="N945" s="128"/>
      <c r="O945" s="128"/>
      <c r="P945" s="128"/>
      <c r="Q945" s="128"/>
      <c r="R945" s="128"/>
      <c r="S945" s="128"/>
      <c r="T945" s="128"/>
      <c r="U945" s="128"/>
      <c r="V945" s="128"/>
      <c r="W945" s="128"/>
      <c r="X945" s="128"/>
      <c r="Y945" s="128"/>
      <c r="Z945" s="128"/>
      <c r="AA945" s="128"/>
    </row>
    <row r="946">
      <c r="A946" s="134"/>
      <c r="B946" s="134"/>
      <c r="C946" s="128"/>
      <c r="D946" s="128"/>
      <c r="E946" s="128"/>
      <c r="F946" s="128"/>
      <c r="G946" s="128"/>
      <c r="H946" s="128"/>
      <c r="I946" s="128"/>
      <c r="J946" s="128"/>
      <c r="K946" s="128"/>
      <c r="L946" s="128"/>
      <c r="M946" s="128"/>
      <c r="N946" s="128"/>
      <c r="O946" s="128"/>
      <c r="P946" s="128"/>
      <c r="Q946" s="128"/>
      <c r="R946" s="128"/>
      <c r="S946" s="128"/>
      <c r="T946" s="128"/>
      <c r="U946" s="128"/>
      <c r="V946" s="128"/>
      <c r="W946" s="128"/>
      <c r="X946" s="128"/>
      <c r="Y946" s="128"/>
      <c r="Z946" s="128"/>
      <c r="AA946" s="128"/>
    </row>
    <row r="947">
      <c r="A947" s="134"/>
      <c r="B947" s="134"/>
      <c r="C947" s="128"/>
      <c r="D947" s="128"/>
      <c r="E947" s="128"/>
      <c r="F947" s="128"/>
      <c r="G947" s="128"/>
      <c r="H947" s="128"/>
      <c r="I947" s="128"/>
      <c r="J947" s="128"/>
      <c r="K947" s="128"/>
      <c r="L947" s="128"/>
      <c r="M947" s="128"/>
      <c r="N947" s="128"/>
      <c r="O947" s="128"/>
      <c r="P947" s="128"/>
      <c r="Q947" s="128"/>
      <c r="R947" s="128"/>
      <c r="S947" s="128"/>
      <c r="T947" s="128"/>
      <c r="U947" s="128"/>
      <c r="V947" s="128"/>
      <c r="W947" s="128"/>
      <c r="X947" s="128"/>
      <c r="Y947" s="128"/>
      <c r="Z947" s="128"/>
      <c r="AA947" s="128"/>
    </row>
    <row r="948">
      <c r="A948" s="134"/>
      <c r="B948" s="134"/>
      <c r="C948" s="128"/>
      <c r="D948" s="128"/>
      <c r="E948" s="128"/>
      <c r="F948" s="128"/>
      <c r="G948" s="128"/>
      <c r="H948" s="128"/>
      <c r="I948" s="128"/>
      <c r="J948" s="128"/>
      <c r="K948" s="128"/>
      <c r="L948" s="128"/>
      <c r="M948" s="128"/>
      <c r="N948" s="128"/>
      <c r="O948" s="128"/>
      <c r="P948" s="128"/>
      <c r="Q948" s="128"/>
      <c r="R948" s="128"/>
      <c r="S948" s="128"/>
      <c r="T948" s="128"/>
      <c r="U948" s="128"/>
      <c r="V948" s="128"/>
      <c r="W948" s="128"/>
      <c r="X948" s="128"/>
      <c r="Y948" s="128"/>
      <c r="Z948" s="128"/>
      <c r="AA948" s="128"/>
    </row>
    <row r="949">
      <c r="A949" s="134"/>
      <c r="B949" s="134"/>
      <c r="C949" s="128"/>
      <c r="D949" s="128"/>
      <c r="E949" s="128"/>
      <c r="F949" s="128"/>
      <c r="G949" s="128"/>
      <c r="H949" s="128"/>
      <c r="I949" s="128"/>
      <c r="J949" s="128"/>
      <c r="K949" s="128"/>
      <c r="L949" s="128"/>
      <c r="M949" s="128"/>
      <c r="N949" s="128"/>
      <c r="O949" s="128"/>
      <c r="P949" s="128"/>
      <c r="Q949" s="128"/>
      <c r="R949" s="128"/>
      <c r="S949" s="128"/>
      <c r="T949" s="128"/>
      <c r="U949" s="128"/>
      <c r="V949" s="128"/>
      <c r="W949" s="128"/>
      <c r="X949" s="128"/>
      <c r="Y949" s="128"/>
      <c r="Z949" s="128"/>
      <c r="AA949" s="128"/>
    </row>
    <row r="950">
      <c r="A950" s="134"/>
      <c r="B950" s="134"/>
      <c r="C950" s="128"/>
      <c r="D950" s="128"/>
      <c r="E950" s="128"/>
      <c r="F950" s="128"/>
      <c r="G950" s="128"/>
      <c r="H950" s="128"/>
      <c r="I950" s="128"/>
      <c r="J950" s="128"/>
      <c r="K950" s="128"/>
      <c r="L950" s="128"/>
      <c r="M950" s="128"/>
      <c r="N950" s="128"/>
      <c r="O950" s="128"/>
      <c r="P950" s="128"/>
      <c r="Q950" s="128"/>
      <c r="R950" s="128"/>
      <c r="S950" s="128"/>
      <c r="T950" s="128"/>
      <c r="U950" s="128"/>
      <c r="V950" s="128"/>
      <c r="W950" s="128"/>
      <c r="X950" s="128"/>
      <c r="Y950" s="128"/>
      <c r="Z950" s="128"/>
      <c r="AA950" s="128"/>
    </row>
    <row r="951">
      <c r="A951" s="134"/>
      <c r="B951" s="134"/>
      <c r="C951" s="128"/>
      <c r="D951" s="128"/>
      <c r="E951" s="128"/>
      <c r="F951" s="128"/>
      <c r="G951" s="128"/>
      <c r="H951" s="128"/>
      <c r="I951" s="128"/>
      <c r="J951" s="128"/>
      <c r="K951" s="128"/>
      <c r="L951" s="128"/>
      <c r="M951" s="128"/>
      <c r="N951" s="128"/>
      <c r="O951" s="128"/>
      <c r="P951" s="128"/>
      <c r="Q951" s="128"/>
      <c r="R951" s="128"/>
      <c r="S951" s="128"/>
      <c r="T951" s="128"/>
      <c r="U951" s="128"/>
      <c r="V951" s="128"/>
      <c r="W951" s="128"/>
      <c r="X951" s="128"/>
      <c r="Y951" s="128"/>
      <c r="Z951" s="128"/>
      <c r="AA951" s="128"/>
    </row>
    <row r="952">
      <c r="A952" s="134"/>
      <c r="B952" s="134"/>
      <c r="C952" s="128"/>
      <c r="D952" s="128"/>
      <c r="E952" s="128"/>
      <c r="F952" s="128"/>
      <c r="G952" s="128"/>
      <c r="H952" s="128"/>
      <c r="I952" s="128"/>
      <c r="J952" s="128"/>
      <c r="K952" s="128"/>
      <c r="L952" s="128"/>
      <c r="M952" s="128"/>
      <c r="N952" s="128"/>
      <c r="O952" s="128"/>
      <c r="P952" s="128"/>
      <c r="Q952" s="128"/>
      <c r="R952" s="128"/>
      <c r="S952" s="128"/>
      <c r="T952" s="128"/>
      <c r="U952" s="128"/>
      <c r="V952" s="128"/>
      <c r="W952" s="128"/>
      <c r="X952" s="128"/>
      <c r="Y952" s="128"/>
      <c r="Z952" s="128"/>
      <c r="AA952" s="128"/>
    </row>
    <row r="953">
      <c r="A953" s="134"/>
      <c r="B953" s="134"/>
      <c r="C953" s="128"/>
      <c r="D953" s="128"/>
      <c r="E953" s="128"/>
      <c r="F953" s="128"/>
      <c r="G953" s="128"/>
      <c r="H953" s="128"/>
      <c r="I953" s="128"/>
      <c r="J953" s="128"/>
      <c r="K953" s="128"/>
      <c r="L953" s="128"/>
      <c r="M953" s="128"/>
      <c r="N953" s="128"/>
      <c r="O953" s="128"/>
      <c r="P953" s="128"/>
      <c r="Q953" s="128"/>
      <c r="R953" s="128"/>
      <c r="S953" s="128"/>
      <c r="T953" s="128"/>
      <c r="U953" s="128"/>
      <c r="V953" s="128"/>
      <c r="W953" s="128"/>
      <c r="X953" s="128"/>
      <c r="Y953" s="128"/>
      <c r="Z953" s="128"/>
      <c r="AA953" s="128"/>
    </row>
    <row r="954">
      <c r="A954" s="134"/>
      <c r="B954" s="134"/>
      <c r="C954" s="128"/>
      <c r="D954" s="128"/>
      <c r="E954" s="128"/>
      <c r="F954" s="128"/>
      <c r="G954" s="128"/>
      <c r="H954" s="128"/>
      <c r="I954" s="128"/>
      <c r="J954" s="128"/>
      <c r="K954" s="128"/>
      <c r="L954" s="128"/>
      <c r="M954" s="128"/>
      <c r="N954" s="128"/>
      <c r="O954" s="128"/>
      <c r="P954" s="128"/>
      <c r="Q954" s="128"/>
      <c r="R954" s="128"/>
      <c r="S954" s="128"/>
      <c r="T954" s="128"/>
      <c r="U954" s="128"/>
      <c r="V954" s="128"/>
      <c r="W954" s="128"/>
      <c r="X954" s="128"/>
      <c r="Y954" s="128"/>
      <c r="Z954" s="128"/>
      <c r="AA954" s="128"/>
    </row>
    <row r="955">
      <c r="A955" s="134"/>
      <c r="B955" s="134"/>
      <c r="C955" s="128"/>
      <c r="D955" s="128"/>
      <c r="E955" s="128"/>
      <c r="F955" s="128"/>
      <c r="G955" s="128"/>
      <c r="H955" s="128"/>
      <c r="I955" s="128"/>
      <c r="J955" s="128"/>
      <c r="K955" s="128"/>
      <c r="L955" s="128"/>
      <c r="M955" s="128"/>
      <c r="N955" s="128"/>
      <c r="O955" s="128"/>
      <c r="P955" s="128"/>
      <c r="Q955" s="128"/>
      <c r="R955" s="128"/>
      <c r="S955" s="128"/>
      <c r="T955" s="128"/>
      <c r="U955" s="128"/>
      <c r="V955" s="128"/>
      <c r="W955" s="128"/>
      <c r="X955" s="128"/>
      <c r="Y955" s="128"/>
      <c r="Z955" s="128"/>
      <c r="AA955" s="128"/>
    </row>
    <row r="956">
      <c r="A956" s="134"/>
      <c r="B956" s="134"/>
      <c r="C956" s="128"/>
      <c r="D956" s="128"/>
      <c r="E956" s="128"/>
      <c r="F956" s="128"/>
      <c r="G956" s="128"/>
      <c r="H956" s="128"/>
      <c r="I956" s="128"/>
      <c r="J956" s="128"/>
      <c r="K956" s="128"/>
      <c r="L956" s="128"/>
      <c r="M956" s="128"/>
      <c r="N956" s="128"/>
      <c r="O956" s="128"/>
      <c r="P956" s="128"/>
      <c r="Q956" s="128"/>
      <c r="R956" s="128"/>
      <c r="S956" s="128"/>
      <c r="T956" s="128"/>
      <c r="U956" s="128"/>
      <c r="V956" s="128"/>
      <c r="W956" s="128"/>
      <c r="X956" s="128"/>
      <c r="Y956" s="128"/>
      <c r="Z956" s="128"/>
      <c r="AA956" s="128"/>
    </row>
    <row r="957">
      <c r="A957" s="134"/>
      <c r="B957" s="134"/>
      <c r="C957" s="128"/>
      <c r="D957" s="128"/>
      <c r="E957" s="128"/>
      <c r="F957" s="128"/>
      <c r="G957" s="128"/>
      <c r="H957" s="128"/>
      <c r="I957" s="128"/>
      <c r="J957" s="128"/>
      <c r="K957" s="128"/>
      <c r="L957" s="128"/>
      <c r="M957" s="128"/>
      <c r="N957" s="128"/>
      <c r="O957" s="128"/>
      <c r="P957" s="128"/>
      <c r="Q957" s="128"/>
      <c r="R957" s="128"/>
      <c r="S957" s="128"/>
      <c r="T957" s="128"/>
      <c r="U957" s="128"/>
      <c r="V957" s="128"/>
      <c r="W957" s="128"/>
      <c r="X957" s="128"/>
      <c r="Y957" s="128"/>
      <c r="Z957" s="128"/>
      <c r="AA957" s="128"/>
    </row>
    <row r="958">
      <c r="A958" s="134"/>
      <c r="B958" s="134"/>
      <c r="C958" s="128"/>
      <c r="D958" s="128"/>
      <c r="E958" s="128"/>
      <c r="F958" s="128"/>
      <c r="G958" s="128"/>
      <c r="H958" s="128"/>
      <c r="I958" s="128"/>
      <c r="J958" s="128"/>
      <c r="K958" s="128"/>
      <c r="L958" s="128"/>
      <c r="M958" s="128"/>
      <c r="N958" s="128"/>
      <c r="O958" s="128"/>
      <c r="P958" s="128"/>
      <c r="Q958" s="128"/>
      <c r="R958" s="128"/>
      <c r="S958" s="128"/>
      <c r="T958" s="128"/>
      <c r="U958" s="128"/>
      <c r="V958" s="128"/>
      <c r="W958" s="128"/>
      <c r="X958" s="128"/>
      <c r="Y958" s="128"/>
      <c r="Z958" s="128"/>
      <c r="AA958" s="128"/>
    </row>
    <row r="959">
      <c r="A959" s="134"/>
      <c r="B959" s="134"/>
      <c r="C959" s="128"/>
      <c r="D959" s="128"/>
      <c r="E959" s="128"/>
      <c r="F959" s="128"/>
      <c r="G959" s="128"/>
      <c r="H959" s="128"/>
      <c r="I959" s="128"/>
      <c r="J959" s="128"/>
      <c r="K959" s="128"/>
      <c r="L959" s="128"/>
      <c r="M959" s="128"/>
      <c r="N959" s="128"/>
      <c r="O959" s="128"/>
      <c r="P959" s="128"/>
      <c r="Q959" s="128"/>
      <c r="R959" s="128"/>
      <c r="S959" s="128"/>
      <c r="T959" s="128"/>
      <c r="U959" s="128"/>
      <c r="V959" s="128"/>
      <c r="W959" s="128"/>
      <c r="X959" s="128"/>
      <c r="Y959" s="128"/>
      <c r="Z959" s="128"/>
      <c r="AA959" s="128"/>
    </row>
    <row r="960">
      <c r="A960" s="134"/>
      <c r="B960" s="134"/>
      <c r="C960" s="128"/>
      <c r="D960" s="128"/>
      <c r="E960" s="128"/>
      <c r="F960" s="128"/>
      <c r="G960" s="128"/>
      <c r="H960" s="128"/>
      <c r="I960" s="128"/>
      <c r="J960" s="128"/>
      <c r="K960" s="128"/>
      <c r="L960" s="128"/>
      <c r="M960" s="128"/>
      <c r="N960" s="128"/>
      <c r="O960" s="128"/>
      <c r="P960" s="128"/>
      <c r="Q960" s="128"/>
      <c r="R960" s="128"/>
      <c r="S960" s="128"/>
      <c r="T960" s="128"/>
      <c r="U960" s="128"/>
      <c r="V960" s="128"/>
      <c r="W960" s="128"/>
      <c r="X960" s="128"/>
      <c r="Y960" s="128"/>
      <c r="Z960" s="128"/>
      <c r="AA960" s="128"/>
    </row>
    <row r="961">
      <c r="A961" s="134"/>
      <c r="B961" s="134"/>
      <c r="C961" s="128"/>
      <c r="D961" s="128"/>
      <c r="E961" s="128"/>
      <c r="F961" s="128"/>
      <c r="G961" s="128"/>
      <c r="H961" s="128"/>
      <c r="I961" s="128"/>
      <c r="J961" s="128"/>
      <c r="K961" s="128"/>
      <c r="L961" s="128"/>
      <c r="M961" s="128"/>
      <c r="N961" s="128"/>
      <c r="O961" s="128"/>
      <c r="P961" s="128"/>
      <c r="Q961" s="128"/>
      <c r="R961" s="128"/>
      <c r="S961" s="128"/>
      <c r="T961" s="128"/>
      <c r="U961" s="128"/>
      <c r="V961" s="128"/>
      <c r="W961" s="128"/>
      <c r="X961" s="128"/>
      <c r="Y961" s="128"/>
      <c r="Z961" s="128"/>
      <c r="AA961" s="128"/>
    </row>
    <row r="962">
      <c r="A962" s="134"/>
      <c r="B962" s="134"/>
      <c r="C962" s="128"/>
      <c r="D962" s="128"/>
      <c r="E962" s="128"/>
      <c r="F962" s="128"/>
      <c r="G962" s="128"/>
      <c r="H962" s="128"/>
      <c r="I962" s="128"/>
      <c r="J962" s="128"/>
      <c r="K962" s="128"/>
      <c r="L962" s="128"/>
      <c r="M962" s="128"/>
      <c r="N962" s="128"/>
      <c r="O962" s="128"/>
      <c r="P962" s="128"/>
      <c r="Q962" s="128"/>
      <c r="R962" s="128"/>
      <c r="S962" s="128"/>
      <c r="T962" s="128"/>
      <c r="U962" s="128"/>
      <c r="V962" s="128"/>
      <c r="W962" s="128"/>
      <c r="X962" s="128"/>
      <c r="Y962" s="128"/>
      <c r="Z962" s="128"/>
      <c r="AA962" s="128"/>
    </row>
    <row r="963">
      <c r="A963" s="134"/>
      <c r="B963" s="134"/>
      <c r="C963" s="128"/>
      <c r="D963" s="128"/>
      <c r="E963" s="128"/>
      <c r="F963" s="128"/>
      <c r="G963" s="128"/>
      <c r="H963" s="128"/>
      <c r="I963" s="128"/>
      <c r="J963" s="128"/>
      <c r="K963" s="128"/>
      <c r="L963" s="128"/>
      <c r="M963" s="128"/>
      <c r="N963" s="128"/>
      <c r="O963" s="128"/>
      <c r="P963" s="128"/>
      <c r="Q963" s="128"/>
      <c r="R963" s="128"/>
      <c r="S963" s="128"/>
      <c r="T963" s="128"/>
      <c r="U963" s="128"/>
      <c r="V963" s="128"/>
      <c r="W963" s="128"/>
      <c r="X963" s="128"/>
      <c r="Y963" s="128"/>
      <c r="Z963" s="128"/>
      <c r="AA963" s="128"/>
    </row>
    <row r="964">
      <c r="A964" s="134"/>
      <c r="B964" s="134"/>
      <c r="C964" s="128"/>
      <c r="D964" s="128"/>
      <c r="E964" s="128"/>
      <c r="F964" s="128"/>
      <c r="G964" s="128"/>
      <c r="H964" s="128"/>
      <c r="I964" s="128"/>
      <c r="J964" s="128"/>
      <c r="K964" s="128"/>
      <c r="L964" s="128"/>
      <c r="M964" s="128"/>
      <c r="N964" s="128"/>
      <c r="O964" s="128"/>
      <c r="P964" s="128"/>
      <c r="Q964" s="128"/>
      <c r="R964" s="128"/>
      <c r="S964" s="128"/>
      <c r="T964" s="128"/>
      <c r="U964" s="128"/>
      <c r="V964" s="128"/>
      <c r="W964" s="128"/>
      <c r="X964" s="128"/>
      <c r="Y964" s="128"/>
      <c r="Z964" s="128"/>
      <c r="AA964" s="128"/>
    </row>
    <row r="965">
      <c r="A965" s="134"/>
      <c r="B965" s="134"/>
      <c r="C965" s="128"/>
      <c r="D965" s="128"/>
      <c r="E965" s="128"/>
      <c r="F965" s="128"/>
      <c r="G965" s="128"/>
      <c r="H965" s="128"/>
      <c r="I965" s="128"/>
      <c r="J965" s="128"/>
      <c r="K965" s="128"/>
      <c r="L965" s="128"/>
      <c r="M965" s="128"/>
      <c r="N965" s="128"/>
      <c r="O965" s="128"/>
      <c r="P965" s="128"/>
      <c r="Q965" s="128"/>
      <c r="R965" s="128"/>
      <c r="S965" s="128"/>
      <c r="T965" s="128"/>
      <c r="U965" s="128"/>
      <c r="V965" s="128"/>
      <c r="W965" s="128"/>
      <c r="X965" s="128"/>
      <c r="Y965" s="128"/>
      <c r="Z965" s="128"/>
      <c r="AA965" s="128"/>
    </row>
    <row r="966">
      <c r="A966" s="134"/>
      <c r="B966" s="134"/>
      <c r="C966" s="128"/>
      <c r="D966" s="128"/>
      <c r="E966" s="128"/>
      <c r="F966" s="128"/>
      <c r="G966" s="128"/>
      <c r="H966" s="128"/>
      <c r="I966" s="128"/>
      <c r="J966" s="128"/>
      <c r="K966" s="128"/>
      <c r="L966" s="128"/>
      <c r="M966" s="128"/>
      <c r="N966" s="128"/>
      <c r="O966" s="128"/>
      <c r="P966" s="128"/>
      <c r="Q966" s="128"/>
      <c r="R966" s="128"/>
      <c r="S966" s="128"/>
      <c r="T966" s="128"/>
      <c r="U966" s="128"/>
      <c r="V966" s="128"/>
      <c r="W966" s="128"/>
      <c r="X966" s="128"/>
      <c r="Y966" s="128"/>
      <c r="Z966" s="128"/>
      <c r="AA966" s="128"/>
    </row>
    <row r="967">
      <c r="A967" s="134"/>
      <c r="B967" s="134"/>
      <c r="C967" s="128"/>
      <c r="D967" s="128"/>
      <c r="E967" s="128"/>
      <c r="F967" s="128"/>
      <c r="G967" s="128"/>
      <c r="H967" s="128"/>
      <c r="I967" s="128"/>
      <c r="J967" s="128"/>
      <c r="K967" s="128"/>
      <c r="L967" s="128"/>
      <c r="M967" s="128"/>
      <c r="N967" s="128"/>
      <c r="O967" s="128"/>
      <c r="P967" s="128"/>
      <c r="Q967" s="128"/>
      <c r="R967" s="128"/>
      <c r="S967" s="128"/>
      <c r="T967" s="128"/>
      <c r="U967" s="128"/>
      <c r="V967" s="128"/>
      <c r="W967" s="128"/>
      <c r="X967" s="128"/>
      <c r="Y967" s="128"/>
      <c r="Z967" s="128"/>
      <c r="AA967" s="128"/>
    </row>
    <row r="968">
      <c r="A968" s="134"/>
      <c r="B968" s="134"/>
      <c r="C968" s="128"/>
      <c r="D968" s="128"/>
      <c r="E968" s="128"/>
      <c r="F968" s="128"/>
      <c r="G968" s="128"/>
      <c r="H968" s="128"/>
      <c r="I968" s="128"/>
      <c r="J968" s="128"/>
      <c r="K968" s="128"/>
      <c r="L968" s="128"/>
      <c r="M968" s="128"/>
      <c r="N968" s="128"/>
      <c r="O968" s="128"/>
      <c r="P968" s="128"/>
      <c r="Q968" s="128"/>
      <c r="R968" s="128"/>
      <c r="S968" s="128"/>
      <c r="T968" s="128"/>
      <c r="U968" s="128"/>
      <c r="V968" s="128"/>
      <c r="W968" s="128"/>
      <c r="X968" s="128"/>
      <c r="Y968" s="128"/>
      <c r="Z968" s="128"/>
      <c r="AA968" s="128"/>
    </row>
    <row r="969">
      <c r="A969" s="134"/>
      <c r="B969" s="134"/>
      <c r="C969" s="128"/>
      <c r="D969" s="128"/>
      <c r="E969" s="128"/>
      <c r="F969" s="128"/>
      <c r="G969" s="128"/>
      <c r="H969" s="128"/>
      <c r="I969" s="128"/>
      <c r="J969" s="128"/>
      <c r="K969" s="128"/>
      <c r="L969" s="128"/>
      <c r="M969" s="128"/>
      <c r="N969" s="128"/>
      <c r="O969" s="128"/>
      <c r="P969" s="128"/>
      <c r="Q969" s="128"/>
      <c r="R969" s="128"/>
      <c r="S969" s="128"/>
      <c r="T969" s="128"/>
      <c r="U969" s="128"/>
      <c r="V969" s="128"/>
      <c r="W969" s="128"/>
      <c r="X969" s="128"/>
      <c r="Y969" s="128"/>
      <c r="Z969" s="128"/>
      <c r="AA969" s="128"/>
    </row>
    <row r="970">
      <c r="A970" s="134"/>
      <c r="B970" s="134"/>
      <c r="C970" s="128"/>
      <c r="D970" s="128"/>
      <c r="E970" s="128"/>
      <c r="F970" s="128"/>
      <c r="G970" s="128"/>
      <c r="H970" s="128"/>
      <c r="I970" s="128"/>
      <c r="J970" s="128"/>
      <c r="K970" s="128"/>
      <c r="L970" s="128"/>
      <c r="M970" s="128"/>
      <c r="N970" s="128"/>
      <c r="O970" s="128"/>
      <c r="P970" s="128"/>
      <c r="Q970" s="128"/>
      <c r="R970" s="128"/>
      <c r="S970" s="128"/>
      <c r="T970" s="128"/>
      <c r="U970" s="128"/>
      <c r="V970" s="128"/>
      <c r="W970" s="128"/>
      <c r="X970" s="128"/>
      <c r="Y970" s="128"/>
      <c r="Z970" s="128"/>
      <c r="AA970" s="128"/>
    </row>
    <row r="971">
      <c r="A971" s="134"/>
      <c r="B971" s="134"/>
      <c r="C971" s="128"/>
      <c r="D971" s="128"/>
      <c r="E971" s="128"/>
      <c r="F971" s="128"/>
      <c r="G971" s="128"/>
      <c r="H971" s="128"/>
      <c r="I971" s="128"/>
      <c r="J971" s="128"/>
      <c r="K971" s="128"/>
      <c r="L971" s="128"/>
      <c r="M971" s="128"/>
      <c r="N971" s="128"/>
      <c r="O971" s="128"/>
      <c r="P971" s="128"/>
      <c r="Q971" s="128"/>
      <c r="R971" s="128"/>
      <c r="S971" s="128"/>
      <c r="T971" s="128"/>
      <c r="U971" s="128"/>
      <c r="V971" s="128"/>
      <c r="W971" s="128"/>
      <c r="X971" s="128"/>
      <c r="Y971" s="128"/>
      <c r="Z971" s="128"/>
      <c r="AA971" s="128"/>
    </row>
    <row r="972">
      <c r="A972" s="134"/>
      <c r="B972" s="134"/>
      <c r="C972" s="128"/>
      <c r="D972" s="128"/>
      <c r="E972" s="128"/>
      <c r="F972" s="128"/>
      <c r="G972" s="128"/>
      <c r="H972" s="128"/>
      <c r="I972" s="128"/>
      <c r="J972" s="128"/>
      <c r="K972" s="128"/>
      <c r="L972" s="128"/>
      <c r="M972" s="128"/>
      <c r="N972" s="128"/>
      <c r="O972" s="128"/>
      <c r="P972" s="128"/>
      <c r="Q972" s="128"/>
      <c r="R972" s="128"/>
      <c r="S972" s="128"/>
      <c r="T972" s="128"/>
      <c r="U972" s="128"/>
      <c r="V972" s="128"/>
      <c r="W972" s="128"/>
      <c r="X972" s="128"/>
      <c r="Y972" s="128"/>
      <c r="Z972" s="128"/>
      <c r="AA972" s="128"/>
    </row>
    <row r="973">
      <c r="A973" s="134"/>
      <c r="B973" s="134"/>
      <c r="C973" s="128"/>
      <c r="D973" s="128"/>
      <c r="E973" s="128"/>
      <c r="F973" s="128"/>
      <c r="G973" s="128"/>
      <c r="H973" s="128"/>
      <c r="I973" s="128"/>
      <c r="J973" s="128"/>
      <c r="K973" s="128"/>
      <c r="L973" s="128"/>
      <c r="M973" s="128"/>
      <c r="N973" s="128"/>
      <c r="O973" s="128"/>
      <c r="P973" s="128"/>
      <c r="Q973" s="128"/>
      <c r="R973" s="128"/>
      <c r="S973" s="128"/>
      <c r="T973" s="128"/>
      <c r="U973" s="128"/>
      <c r="V973" s="128"/>
      <c r="W973" s="128"/>
      <c r="X973" s="128"/>
      <c r="Y973" s="128"/>
      <c r="Z973" s="128"/>
      <c r="AA973" s="128"/>
    </row>
    <row r="974">
      <c r="A974" s="134"/>
      <c r="B974" s="134"/>
      <c r="C974" s="128"/>
      <c r="D974" s="128"/>
      <c r="E974" s="128"/>
      <c r="F974" s="128"/>
      <c r="G974" s="128"/>
      <c r="H974" s="128"/>
      <c r="I974" s="128"/>
      <c r="J974" s="128"/>
      <c r="K974" s="128"/>
      <c r="L974" s="128"/>
      <c r="M974" s="128"/>
      <c r="N974" s="128"/>
      <c r="O974" s="128"/>
      <c r="P974" s="128"/>
      <c r="Q974" s="128"/>
      <c r="R974" s="128"/>
      <c r="S974" s="128"/>
      <c r="T974" s="128"/>
      <c r="U974" s="128"/>
      <c r="V974" s="128"/>
      <c r="W974" s="128"/>
      <c r="X974" s="128"/>
      <c r="Y974" s="128"/>
      <c r="Z974" s="128"/>
      <c r="AA974" s="128"/>
    </row>
    <row r="975">
      <c r="A975" s="134"/>
      <c r="B975" s="134"/>
      <c r="C975" s="128"/>
      <c r="D975" s="128"/>
      <c r="E975" s="128"/>
      <c r="F975" s="128"/>
      <c r="G975" s="128"/>
      <c r="H975" s="128"/>
      <c r="I975" s="128"/>
      <c r="J975" s="128"/>
      <c r="K975" s="128"/>
      <c r="L975" s="128"/>
      <c r="M975" s="128"/>
      <c r="N975" s="128"/>
      <c r="O975" s="128"/>
      <c r="P975" s="128"/>
      <c r="Q975" s="128"/>
      <c r="R975" s="128"/>
      <c r="S975" s="128"/>
      <c r="T975" s="128"/>
      <c r="U975" s="128"/>
      <c r="V975" s="128"/>
      <c r="W975" s="128"/>
      <c r="X975" s="128"/>
      <c r="Y975" s="128"/>
      <c r="Z975" s="128"/>
      <c r="AA975" s="128"/>
    </row>
    <row r="976">
      <c r="A976" s="134"/>
      <c r="B976" s="134"/>
      <c r="C976" s="128"/>
      <c r="D976" s="128"/>
      <c r="E976" s="128"/>
      <c r="F976" s="128"/>
      <c r="G976" s="128"/>
      <c r="H976" s="128"/>
      <c r="I976" s="128"/>
      <c r="J976" s="128"/>
      <c r="K976" s="128"/>
      <c r="L976" s="128"/>
      <c r="M976" s="128"/>
      <c r="N976" s="128"/>
      <c r="O976" s="128"/>
      <c r="P976" s="128"/>
      <c r="Q976" s="128"/>
      <c r="R976" s="128"/>
      <c r="S976" s="128"/>
      <c r="T976" s="128"/>
      <c r="U976" s="128"/>
      <c r="V976" s="128"/>
      <c r="W976" s="128"/>
      <c r="X976" s="128"/>
      <c r="Y976" s="128"/>
      <c r="Z976" s="128"/>
      <c r="AA976" s="128"/>
    </row>
    <row r="977">
      <c r="A977" s="134"/>
      <c r="B977" s="134"/>
      <c r="C977" s="128"/>
      <c r="D977" s="128"/>
      <c r="E977" s="128"/>
      <c r="F977" s="128"/>
      <c r="G977" s="128"/>
      <c r="H977" s="128"/>
      <c r="I977" s="128"/>
      <c r="J977" s="128"/>
      <c r="K977" s="128"/>
      <c r="L977" s="128"/>
      <c r="M977" s="128"/>
      <c r="N977" s="128"/>
      <c r="O977" s="128"/>
      <c r="P977" s="128"/>
      <c r="Q977" s="128"/>
      <c r="R977" s="128"/>
      <c r="S977" s="128"/>
      <c r="T977" s="128"/>
      <c r="U977" s="128"/>
      <c r="V977" s="128"/>
      <c r="W977" s="128"/>
      <c r="X977" s="128"/>
      <c r="Y977" s="128"/>
      <c r="Z977" s="128"/>
      <c r="AA977" s="128"/>
    </row>
    <row r="978">
      <c r="A978" s="134"/>
      <c r="B978" s="134"/>
      <c r="C978" s="128"/>
      <c r="D978" s="128"/>
      <c r="E978" s="128"/>
      <c r="F978" s="128"/>
      <c r="G978" s="128"/>
      <c r="H978" s="128"/>
      <c r="I978" s="128"/>
      <c r="J978" s="128"/>
      <c r="K978" s="128"/>
      <c r="L978" s="128"/>
      <c r="M978" s="128"/>
      <c r="N978" s="128"/>
      <c r="O978" s="128"/>
      <c r="P978" s="128"/>
      <c r="Q978" s="128"/>
      <c r="R978" s="128"/>
      <c r="S978" s="128"/>
      <c r="T978" s="128"/>
      <c r="U978" s="128"/>
      <c r="V978" s="128"/>
      <c r="W978" s="128"/>
      <c r="X978" s="128"/>
      <c r="Y978" s="128"/>
      <c r="Z978" s="128"/>
      <c r="AA978" s="128"/>
    </row>
    <row r="979">
      <c r="A979" s="134"/>
      <c r="B979" s="134"/>
      <c r="C979" s="128"/>
      <c r="D979" s="128"/>
      <c r="E979" s="128"/>
      <c r="F979" s="128"/>
      <c r="G979" s="128"/>
      <c r="H979" s="128"/>
      <c r="I979" s="128"/>
      <c r="J979" s="128"/>
      <c r="K979" s="128"/>
      <c r="L979" s="128"/>
      <c r="M979" s="128"/>
      <c r="N979" s="128"/>
      <c r="O979" s="128"/>
      <c r="P979" s="128"/>
      <c r="Q979" s="128"/>
      <c r="R979" s="128"/>
      <c r="S979" s="128"/>
      <c r="T979" s="128"/>
      <c r="U979" s="128"/>
      <c r="V979" s="128"/>
      <c r="W979" s="128"/>
      <c r="X979" s="128"/>
      <c r="Y979" s="128"/>
      <c r="Z979" s="128"/>
      <c r="AA979" s="128"/>
    </row>
    <row r="980">
      <c r="A980" s="134"/>
      <c r="B980" s="134"/>
      <c r="C980" s="128"/>
      <c r="D980" s="128"/>
      <c r="E980" s="128"/>
      <c r="F980" s="128"/>
      <c r="G980" s="128"/>
      <c r="H980" s="128"/>
      <c r="I980" s="128"/>
      <c r="J980" s="128"/>
      <c r="K980" s="128"/>
      <c r="L980" s="128"/>
      <c r="M980" s="128"/>
      <c r="N980" s="128"/>
      <c r="O980" s="128"/>
      <c r="P980" s="128"/>
      <c r="Q980" s="128"/>
      <c r="R980" s="128"/>
      <c r="S980" s="128"/>
      <c r="T980" s="128"/>
      <c r="U980" s="128"/>
      <c r="V980" s="128"/>
      <c r="W980" s="128"/>
      <c r="X980" s="128"/>
      <c r="Y980" s="128"/>
      <c r="Z980" s="128"/>
      <c r="AA980" s="128"/>
    </row>
    <row r="981">
      <c r="A981" s="134"/>
      <c r="B981" s="134"/>
      <c r="C981" s="128"/>
      <c r="D981" s="128"/>
      <c r="E981" s="128"/>
      <c r="F981" s="128"/>
      <c r="G981" s="128"/>
      <c r="H981" s="128"/>
      <c r="I981" s="128"/>
      <c r="J981" s="128"/>
      <c r="K981" s="128"/>
      <c r="L981" s="128"/>
      <c r="M981" s="128"/>
      <c r="N981" s="128"/>
      <c r="O981" s="128"/>
      <c r="P981" s="128"/>
      <c r="Q981" s="128"/>
      <c r="R981" s="128"/>
      <c r="S981" s="128"/>
      <c r="T981" s="128"/>
      <c r="U981" s="128"/>
      <c r="V981" s="128"/>
      <c r="W981" s="128"/>
      <c r="X981" s="128"/>
      <c r="Y981" s="128"/>
      <c r="Z981" s="128"/>
      <c r="AA981" s="128"/>
    </row>
    <row r="982">
      <c r="A982" s="134"/>
      <c r="B982" s="134"/>
      <c r="C982" s="128"/>
      <c r="D982" s="128"/>
      <c r="E982" s="128"/>
      <c r="F982" s="128"/>
      <c r="G982" s="128"/>
      <c r="H982" s="128"/>
      <c r="I982" s="128"/>
      <c r="J982" s="128"/>
      <c r="K982" s="128"/>
      <c r="L982" s="128"/>
      <c r="M982" s="128"/>
      <c r="N982" s="128"/>
      <c r="O982" s="128"/>
      <c r="P982" s="128"/>
      <c r="Q982" s="128"/>
      <c r="R982" s="128"/>
      <c r="S982" s="128"/>
      <c r="T982" s="128"/>
      <c r="U982" s="128"/>
      <c r="V982" s="128"/>
      <c r="W982" s="128"/>
      <c r="X982" s="128"/>
      <c r="Y982" s="128"/>
      <c r="Z982" s="128"/>
      <c r="AA982" s="128"/>
    </row>
    <row r="983">
      <c r="A983" s="134"/>
      <c r="B983" s="134"/>
      <c r="C983" s="128"/>
      <c r="D983" s="128"/>
      <c r="E983" s="128"/>
      <c r="F983" s="128"/>
      <c r="G983" s="128"/>
      <c r="H983" s="128"/>
      <c r="I983" s="128"/>
      <c r="J983" s="128"/>
      <c r="K983" s="128"/>
      <c r="L983" s="128"/>
      <c r="M983" s="128"/>
      <c r="N983" s="128"/>
      <c r="O983" s="128"/>
      <c r="P983" s="128"/>
      <c r="Q983" s="128"/>
      <c r="R983" s="128"/>
      <c r="S983" s="128"/>
      <c r="T983" s="128"/>
      <c r="U983" s="128"/>
      <c r="V983" s="128"/>
      <c r="W983" s="128"/>
      <c r="X983" s="128"/>
      <c r="Y983" s="128"/>
      <c r="Z983" s="128"/>
      <c r="AA983" s="128"/>
    </row>
    <row r="984">
      <c r="A984" s="134"/>
      <c r="B984" s="134"/>
      <c r="C984" s="128"/>
      <c r="D984" s="128"/>
      <c r="E984" s="128"/>
      <c r="F984" s="128"/>
      <c r="G984" s="128"/>
      <c r="H984" s="128"/>
      <c r="I984" s="128"/>
      <c r="J984" s="128"/>
      <c r="K984" s="128"/>
      <c r="L984" s="128"/>
      <c r="M984" s="128"/>
      <c r="N984" s="128"/>
      <c r="O984" s="128"/>
      <c r="P984" s="128"/>
      <c r="Q984" s="128"/>
      <c r="R984" s="128"/>
      <c r="S984" s="128"/>
      <c r="T984" s="128"/>
      <c r="U984" s="128"/>
      <c r="V984" s="128"/>
      <c r="W984" s="128"/>
      <c r="X984" s="128"/>
      <c r="Y984" s="128"/>
      <c r="Z984" s="128"/>
      <c r="AA984" s="128"/>
    </row>
    <row r="985">
      <c r="A985" s="134"/>
      <c r="B985" s="134"/>
      <c r="C985" s="128"/>
      <c r="D985" s="128"/>
      <c r="E985" s="128"/>
      <c r="F985" s="128"/>
      <c r="G985" s="128"/>
      <c r="H985" s="128"/>
      <c r="I985" s="128"/>
      <c r="J985" s="128"/>
      <c r="K985" s="128"/>
      <c r="L985" s="128"/>
      <c r="M985" s="128"/>
      <c r="N985" s="128"/>
      <c r="O985" s="128"/>
      <c r="P985" s="128"/>
      <c r="Q985" s="128"/>
      <c r="R985" s="128"/>
      <c r="S985" s="128"/>
      <c r="T985" s="128"/>
      <c r="U985" s="128"/>
      <c r="V985" s="128"/>
      <c r="W985" s="128"/>
      <c r="X985" s="128"/>
      <c r="Y985" s="128"/>
      <c r="Z985" s="128"/>
      <c r="AA985" s="128"/>
    </row>
    <row r="986">
      <c r="A986" s="134"/>
      <c r="B986" s="134"/>
      <c r="C986" s="128"/>
      <c r="D986" s="128"/>
      <c r="E986" s="128"/>
      <c r="F986" s="128"/>
      <c r="G986" s="128"/>
      <c r="H986" s="128"/>
      <c r="I986" s="128"/>
      <c r="J986" s="128"/>
      <c r="K986" s="128"/>
      <c r="L986" s="128"/>
      <c r="M986" s="128"/>
      <c r="N986" s="128"/>
      <c r="O986" s="128"/>
      <c r="P986" s="128"/>
      <c r="Q986" s="128"/>
      <c r="R986" s="128"/>
      <c r="S986" s="128"/>
      <c r="T986" s="128"/>
      <c r="U986" s="128"/>
      <c r="V986" s="128"/>
      <c r="W986" s="128"/>
      <c r="X986" s="128"/>
      <c r="Y986" s="128"/>
      <c r="Z986" s="128"/>
      <c r="AA986" s="128"/>
    </row>
    <row r="987">
      <c r="A987" s="134"/>
      <c r="B987" s="134"/>
      <c r="C987" s="128"/>
      <c r="D987" s="128"/>
      <c r="E987" s="128"/>
      <c r="F987" s="128"/>
      <c r="G987" s="128"/>
      <c r="H987" s="128"/>
      <c r="I987" s="128"/>
      <c r="J987" s="128"/>
      <c r="K987" s="128"/>
      <c r="L987" s="128"/>
      <c r="M987" s="128"/>
      <c r="N987" s="128"/>
      <c r="O987" s="128"/>
      <c r="P987" s="128"/>
      <c r="Q987" s="128"/>
      <c r="R987" s="128"/>
      <c r="S987" s="128"/>
      <c r="T987" s="128"/>
      <c r="U987" s="128"/>
      <c r="V987" s="128"/>
      <c r="W987" s="128"/>
      <c r="X987" s="128"/>
      <c r="Y987" s="128"/>
      <c r="Z987" s="128"/>
      <c r="AA987" s="128"/>
    </row>
    <row r="988">
      <c r="A988" s="134"/>
      <c r="B988" s="134"/>
      <c r="C988" s="128"/>
      <c r="D988" s="128"/>
      <c r="E988" s="128"/>
      <c r="F988" s="128"/>
      <c r="G988" s="128"/>
      <c r="H988" s="128"/>
      <c r="I988" s="128"/>
      <c r="J988" s="128"/>
      <c r="K988" s="128"/>
      <c r="L988" s="128"/>
      <c r="M988" s="128"/>
      <c r="N988" s="128"/>
      <c r="O988" s="128"/>
      <c r="P988" s="128"/>
      <c r="Q988" s="128"/>
      <c r="R988" s="128"/>
      <c r="S988" s="128"/>
      <c r="T988" s="128"/>
      <c r="U988" s="128"/>
      <c r="V988" s="128"/>
      <c r="W988" s="128"/>
      <c r="X988" s="128"/>
      <c r="Y988" s="128"/>
      <c r="Z988" s="128"/>
      <c r="AA988" s="128"/>
    </row>
    <row r="989">
      <c r="A989" s="134"/>
      <c r="B989" s="134"/>
      <c r="C989" s="128"/>
      <c r="D989" s="128"/>
      <c r="E989" s="128"/>
      <c r="F989" s="128"/>
      <c r="G989" s="128"/>
      <c r="H989" s="128"/>
      <c r="I989" s="128"/>
      <c r="J989" s="128"/>
      <c r="K989" s="128"/>
      <c r="L989" s="128"/>
      <c r="M989" s="128"/>
      <c r="N989" s="128"/>
      <c r="O989" s="128"/>
      <c r="P989" s="128"/>
      <c r="Q989" s="128"/>
      <c r="R989" s="128"/>
      <c r="S989" s="128"/>
      <c r="T989" s="128"/>
      <c r="U989" s="128"/>
      <c r="V989" s="128"/>
      <c r="W989" s="128"/>
      <c r="X989" s="128"/>
      <c r="Y989" s="128"/>
      <c r="Z989" s="128"/>
      <c r="AA989" s="128"/>
    </row>
    <row r="990">
      <c r="A990" s="134"/>
      <c r="B990" s="134"/>
      <c r="C990" s="128"/>
      <c r="D990" s="128"/>
      <c r="E990" s="128"/>
      <c r="F990" s="128"/>
      <c r="G990" s="128"/>
      <c r="H990" s="128"/>
      <c r="I990" s="128"/>
      <c r="J990" s="128"/>
      <c r="K990" s="128"/>
      <c r="L990" s="128"/>
      <c r="M990" s="128"/>
      <c r="N990" s="128"/>
      <c r="O990" s="128"/>
      <c r="P990" s="128"/>
      <c r="Q990" s="128"/>
      <c r="R990" s="128"/>
      <c r="S990" s="128"/>
      <c r="T990" s="128"/>
      <c r="U990" s="128"/>
      <c r="V990" s="128"/>
      <c r="W990" s="128"/>
      <c r="X990" s="128"/>
      <c r="Y990" s="128"/>
      <c r="Z990" s="128"/>
      <c r="AA990" s="128"/>
    </row>
    <row r="991">
      <c r="A991" s="134"/>
      <c r="B991" s="134"/>
      <c r="C991" s="128"/>
      <c r="D991" s="128"/>
      <c r="E991" s="128"/>
      <c r="F991" s="128"/>
      <c r="G991" s="128"/>
      <c r="H991" s="128"/>
      <c r="I991" s="128"/>
      <c r="J991" s="128"/>
      <c r="K991" s="128"/>
      <c r="L991" s="128"/>
      <c r="M991" s="128"/>
      <c r="N991" s="128"/>
      <c r="O991" s="128"/>
      <c r="P991" s="128"/>
      <c r="Q991" s="128"/>
      <c r="R991" s="128"/>
      <c r="S991" s="128"/>
      <c r="T991" s="128"/>
      <c r="U991" s="128"/>
      <c r="V991" s="128"/>
      <c r="W991" s="128"/>
      <c r="X991" s="128"/>
      <c r="Y991" s="128"/>
      <c r="Z991" s="128"/>
      <c r="AA991" s="128"/>
    </row>
    <row r="992">
      <c r="A992" s="134"/>
      <c r="B992" s="134"/>
      <c r="C992" s="128"/>
      <c r="D992" s="128"/>
      <c r="E992" s="128"/>
      <c r="F992" s="128"/>
      <c r="G992" s="128"/>
      <c r="H992" s="128"/>
      <c r="I992" s="128"/>
      <c r="J992" s="128"/>
      <c r="K992" s="128"/>
      <c r="L992" s="128"/>
      <c r="M992" s="128"/>
      <c r="N992" s="128"/>
      <c r="O992" s="128"/>
      <c r="P992" s="128"/>
      <c r="Q992" s="128"/>
      <c r="R992" s="128"/>
      <c r="S992" s="128"/>
      <c r="T992" s="128"/>
      <c r="U992" s="128"/>
      <c r="V992" s="128"/>
      <c r="W992" s="128"/>
      <c r="X992" s="128"/>
      <c r="Y992" s="128"/>
      <c r="Z992" s="128"/>
      <c r="AA992" s="128"/>
    </row>
    <row r="993">
      <c r="A993" s="134"/>
      <c r="B993" s="134"/>
      <c r="C993" s="128"/>
      <c r="D993" s="128"/>
      <c r="E993" s="128"/>
      <c r="F993" s="128"/>
      <c r="G993" s="128"/>
      <c r="H993" s="128"/>
      <c r="I993" s="128"/>
      <c r="J993" s="128"/>
      <c r="K993" s="128"/>
      <c r="L993" s="128"/>
      <c r="M993" s="128"/>
      <c r="N993" s="128"/>
      <c r="O993" s="128"/>
      <c r="P993" s="128"/>
      <c r="Q993" s="128"/>
      <c r="R993" s="128"/>
      <c r="S993" s="128"/>
      <c r="T993" s="128"/>
      <c r="U993" s="128"/>
      <c r="V993" s="128"/>
      <c r="W993" s="128"/>
      <c r="X993" s="128"/>
      <c r="Y993" s="128"/>
      <c r="Z993" s="128"/>
      <c r="AA993" s="128"/>
    </row>
    <row r="994">
      <c r="A994" s="134"/>
      <c r="B994" s="134"/>
      <c r="C994" s="128"/>
      <c r="D994" s="128"/>
      <c r="E994" s="128"/>
      <c r="F994" s="128"/>
      <c r="G994" s="128"/>
      <c r="H994" s="128"/>
      <c r="I994" s="128"/>
      <c r="J994" s="128"/>
      <c r="K994" s="128"/>
      <c r="L994" s="128"/>
      <c r="M994" s="128"/>
      <c r="N994" s="128"/>
      <c r="O994" s="128"/>
      <c r="P994" s="128"/>
      <c r="Q994" s="128"/>
      <c r="R994" s="128"/>
      <c r="S994" s="128"/>
      <c r="T994" s="128"/>
      <c r="U994" s="128"/>
      <c r="V994" s="128"/>
      <c r="W994" s="128"/>
      <c r="X994" s="128"/>
      <c r="Y994" s="128"/>
      <c r="Z994" s="128"/>
      <c r="AA994" s="128"/>
    </row>
    <row r="995">
      <c r="A995" s="134"/>
      <c r="B995" s="134"/>
      <c r="C995" s="128"/>
      <c r="D995" s="128"/>
      <c r="E995" s="128"/>
      <c r="F995" s="128"/>
      <c r="G995" s="128"/>
      <c r="H995" s="128"/>
      <c r="I995" s="128"/>
      <c r="J995" s="128"/>
      <c r="K995" s="128"/>
      <c r="L995" s="128"/>
      <c r="M995" s="128"/>
      <c r="N995" s="128"/>
      <c r="O995" s="128"/>
      <c r="P995" s="128"/>
      <c r="Q995" s="128"/>
      <c r="R995" s="128"/>
      <c r="S995" s="128"/>
      <c r="T995" s="128"/>
      <c r="U995" s="128"/>
      <c r="V995" s="128"/>
      <c r="W995" s="128"/>
      <c r="X995" s="128"/>
      <c r="Y995" s="128"/>
      <c r="Z995" s="128"/>
      <c r="AA995" s="128"/>
    </row>
    <row r="996">
      <c r="A996" s="134"/>
      <c r="B996" s="134"/>
      <c r="C996" s="128"/>
      <c r="D996" s="128"/>
      <c r="E996" s="128"/>
      <c r="F996" s="128"/>
      <c r="G996" s="128"/>
      <c r="H996" s="128"/>
      <c r="I996" s="128"/>
      <c r="J996" s="128"/>
      <c r="K996" s="128"/>
      <c r="L996" s="128"/>
      <c r="M996" s="128"/>
      <c r="N996" s="128"/>
      <c r="O996" s="128"/>
      <c r="P996" s="128"/>
      <c r="Q996" s="128"/>
      <c r="R996" s="128"/>
      <c r="S996" s="128"/>
      <c r="T996" s="128"/>
      <c r="U996" s="128"/>
      <c r="V996" s="128"/>
      <c r="W996" s="128"/>
      <c r="X996" s="128"/>
      <c r="Y996" s="128"/>
      <c r="Z996" s="128"/>
      <c r="AA996" s="128"/>
    </row>
    <row r="997">
      <c r="A997" s="134"/>
      <c r="B997" s="134"/>
      <c r="C997" s="128"/>
      <c r="D997" s="128"/>
      <c r="E997" s="128"/>
      <c r="F997" s="128"/>
      <c r="G997" s="128"/>
      <c r="H997" s="128"/>
      <c r="I997" s="128"/>
      <c r="J997" s="128"/>
      <c r="K997" s="128"/>
      <c r="L997" s="128"/>
      <c r="M997" s="128"/>
      <c r="N997" s="128"/>
      <c r="O997" s="128"/>
      <c r="P997" s="128"/>
      <c r="Q997" s="128"/>
      <c r="R997" s="128"/>
      <c r="S997" s="128"/>
      <c r="T997" s="128"/>
      <c r="U997" s="128"/>
      <c r="V997" s="128"/>
      <c r="W997" s="128"/>
      <c r="X997" s="128"/>
      <c r="Y997" s="128"/>
      <c r="Z997" s="128"/>
      <c r="AA997" s="128"/>
    </row>
    <row r="998">
      <c r="A998" s="134"/>
      <c r="B998" s="134"/>
      <c r="C998" s="128"/>
      <c r="D998" s="128"/>
      <c r="E998" s="128"/>
      <c r="F998" s="128"/>
      <c r="G998" s="128"/>
      <c r="H998" s="128"/>
      <c r="I998" s="128"/>
      <c r="J998" s="128"/>
      <c r="K998" s="128"/>
      <c r="L998" s="128"/>
      <c r="M998" s="128"/>
      <c r="N998" s="128"/>
      <c r="O998" s="128"/>
      <c r="P998" s="128"/>
      <c r="Q998" s="128"/>
      <c r="R998" s="128"/>
      <c r="S998" s="128"/>
      <c r="T998" s="128"/>
      <c r="U998" s="128"/>
      <c r="V998" s="128"/>
      <c r="W998" s="128"/>
      <c r="X998" s="128"/>
      <c r="Y998" s="128"/>
      <c r="Z998" s="128"/>
      <c r="AA998" s="128"/>
    </row>
    <row r="999">
      <c r="A999" s="134"/>
      <c r="B999" s="134"/>
      <c r="C999" s="128"/>
      <c r="D999" s="128"/>
      <c r="E999" s="128"/>
      <c r="F999" s="128"/>
      <c r="G999" s="128"/>
      <c r="H999" s="128"/>
      <c r="I999" s="128"/>
      <c r="J999" s="128"/>
      <c r="K999" s="128"/>
      <c r="L999" s="128"/>
      <c r="M999" s="128"/>
      <c r="N999" s="128"/>
      <c r="O999" s="128"/>
      <c r="P999" s="128"/>
      <c r="Q999" s="128"/>
      <c r="R999" s="128"/>
      <c r="S999" s="128"/>
      <c r="T999" s="128"/>
      <c r="U999" s="128"/>
      <c r="V999" s="128"/>
      <c r="W999" s="128"/>
      <c r="X999" s="128"/>
      <c r="Y999" s="128"/>
      <c r="Z999" s="128"/>
      <c r="AA999" s="128"/>
    </row>
    <row r="1000">
      <c r="A1000" s="134"/>
      <c r="B1000" s="134"/>
      <c r="C1000" s="128"/>
      <c r="D1000" s="128"/>
      <c r="E1000" s="128"/>
      <c r="F1000" s="128"/>
      <c r="G1000" s="128"/>
      <c r="H1000" s="128"/>
      <c r="I1000" s="128"/>
      <c r="J1000" s="128"/>
      <c r="K1000" s="128"/>
      <c r="L1000" s="128"/>
      <c r="M1000" s="128"/>
      <c r="N1000" s="128"/>
      <c r="O1000" s="128"/>
      <c r="P1000" s="128"/>
      <c r="Q1000" s="128"/>
      <c r="R1000" s="128"/>
      <c r="S1000" s="128"/>
      <c r="T1000" s="128"/>
      <c r="U1000" s="128"/>
      <c r="V1000" s="128"/>
      <c r="W1000" s="128"/>
      <c r="X1000" s="128"/>
      <c r="Y1000" s="128"/>
      <c r="Z1000" s="128"/>
      <c r="AA1000" s="128"/>
    </row>
    <row r="1001">
      <c r="A1001" s="134"/>
      <c r="B1001" s="134"/>
      <c r="C1001" s="128"/>
      <c r="D1001" s="128"/>
      <c r="E1001" s="128"/>
      <c r="F1001" s="128"/>
      <c r="G1001" s="128"/>
      <c r="H1001" s="128"/>
      <c r="I1001" s="128"/>
      <c r="J1001" s="128"/>
      <c r="K1001" s="128"/>
      <c r="L1001" s="128"/>
      <c r="M1001" s="128"/>
      <c r="N1001" s="128"/>
      <c r="O1001" s="128"/>
      <c r="P1001" s="128"/>
      <c r="Q1001" s="128"/>
      <c r="R1001" s="128"/>
      <c r="S1001" s="128"/>
      <c r="T1001" s="128"/>
      <c r="U1001" s="128"/>
      <c r="V1001" s="128"/>
      <c r="W1001" s="128"/>
      <c r="X1001" s="128"/>
      <c r="Y1001" s="128"/>
      <c r="Z1001" s="128"/>
      <c r="AA1001" s="128"/>
    </row>
    <row r="1002">
      <c r="A1002" s="134"/>
      <c r="B1002" s="134"/>
      <c r="C1002" s="128"/>
      <c r="D1002" s="128"/>
      <c r="E1002" s="128"/>
      <c r="F1002" s="128"/>
      <c r="G1002" s="128"/>
      <c r="H1002" s="128"/>
      <c r="I1002" s="128"/>
      <c r="J1002" s="128"/>
      <c r="K1002" s="128"/>
      <c r="L1002" s="128"/>
      <c r="M1002" s="128"/>
      <c r="N1002" s="128"/>
      <c r="O1002" s="128"/>
      <c r="P1002" s="128"/>
      <c r="Q1002" s="128"/>
      <c r="R1002" s="128"/>
      <c r="S1002" s="128"/>
      <c r="T1002" s="128"/>
      <c r="U1002" s="128"/>
      <c r="V1002" s="128"/>
      <c r="W1002" s="128"/>
      <c r="X1002" s="128"/>
      <c r="Y1002" s="128"/>
      <c r="Z1002" s="128"/>
      <c r="AA1002" s="128"/>
    </row>
    <row r="1003">
      <c r="A1003" s="134"/>
      <c r="B1003" s="134"/>
      <c r="C1003" s="128"/>
      <c r="D1003" s="128"/>
      <c r="E1003" s="128"/>
      <c r="F1003" s="128"/>
      <c r="G1003" s="128"/>
      <c r="H1003" s="128"/>
      <c r="I1003" s="128"/>
      <c r="J1003" s="128"/>
      <c r="K1003" s="128"/>
      <c r="L1003" s="128"/>
      <c r="M1003" s="128"/>
      <c r="N1003" s="128"/>
      <c r="O1003" s="128"/>
      <c r="P1003" s="128"/>
      <c r="Q1003" s="128"/>
      <c r="R1003" s="128"/>
      <c r="S1003" s="128"/>
      <c r="T1003" s="128"/>
      <c r="U1003" s="128"/>
      <c r="V1003" s="128"/>
      <c r="W1003" s="128"/>
      <c r="X1003" s="128"/>
      <c r="Y1003" s="128"/>
      <c r="Z1003" s="128"/>
      <c r="AA1003" s="128"/>
    </row>
    <row r="1004">
      <c r="A1004" s="134"/>
      <c r="B1004" s="134"/>
      <c r="C1004" s="128"/>
      <c r="D1004" s="128"/>
      <c r="E1004" s="128"/>
      <c r="F1004" s="128"/>
      <c r="G1004" s="128"/>
      <c r="H1004" s="128"/>
      <c r="I1004" s="128"/>
      <c r="J1004" s="128"/>
      <c r="K1004" s="128"/>
      <c r="L1004" s="128"/>
      <c r="M1004" s="128"/>
      <c r="N1004" s="128"/>
      <c r="O1004" s="128"/>
      <c r="P1004" s="128"/>
      <c r="Q1004" s="128"/>
      <c r="R1004" s="128"/>
      <c r="S1004" s="128"/>
      <c r="T1004" s="128"/>
      <c r="U1004" s="128"/>
      <c r="V1004" s="128"/>
      <c r="W1004" s="128"/>
      <c r="X1004" s="128"/>
      <c r="Y1004" s="128"/>
      <c r="Z1004" s="128"/>
      <c r="AA1004" s="128"/>
    </row>
    <row r="1005">
      <c r="A1005" s="134"/>
      <c r="B1005" s="134"/>
      <c r="C1005" s="128"/>
      <c r="D1005" s="128"/>
      <c r="E1005" s="128"/>
      <c r="F1005" s="128"/>
      <c r="G1005" s="128"/>
      <c r="H1005" s="128"/>
      <c r="I1005" s="128"/>
      <c r="J1005" s="128"/>
      <c r="K1005" s="128"/>
      <c r="L1005" s="128"/>
      <c r="M1005" s="128"/>
      <c r="N1005" s="128"/>
      <c r="O1005" s="128"/>
      <c r="P1005" s="128"/>
      <c r="Q1005" s="128"/>
      <c r="R1005" s="128"/>
      <c r="S1005" s="128"/>
      <c r="T1005" s="128"/>
      <c r="U1005" s="128"/>
      <c r="V1005" s="128"/>
      <c r="W1005" s="128"/>
      <c r="X1005" s="128"/>
      <c r="Y1005" s="128"/>
      <c r="Z1005" s="128"/>
      <c r="AA1005" s="128"/>
    </row>
    <row r="1006">
      <c r="A1006" s="134"/>
      <c r="B1006" s="134"/>
      <c r="C1006" s="128"/>
      <c r="D1006" s="128"/>
      <c r="E1006" s="128"/>
      <c r="F1006" s="128"/>
      <c r="G1006" s="128"/>
      <c r="H1006" s="128"/>
      <c r="I1006" s="128"/>
      <c r="J1006" s="128"/>
      <c r="K1006" s="128"/>
      <c r="L1006" s="128"/>
      <c r="M1006" s="128"/>
      <c r="N1006" s="128"/>
      <c r="O1006" s="128"/>
      <c r="P1006" s="128"/>
      <c r="Q1006" s="128"/>
      <c r="R1006" s="128"/>
      <c r="S1006" s="128"/>
      <c r="T1006" s="128"/>
      <c r="U1006" s="128"/>
      <c r="V1006" s="128"/>
      <c r="W1006" s="128"/>
      <c r="X1006" s="128"/>
      <c r="Y1006" s="128"/>
      <c r="Z1006" s="128"/>
      <c r="AA1006" s="128"/>
    </row>
    <row r="1007">
      <c r="A1007" s="134"/>
      <c r="B1007" s="134"/>
      <c r="C1007" s="128"/>
      <c r="D1007" s="128"/>
      <c r="E1007" s="128"/>
      <c r="F1007" s="128"/>
      <c r="G1007" s="128"/>
      <c r="H1007" s="128"/>
      <c r="I1007" s="128"/>
      <c r="J1007" s="128"/>
      <c r="K1007" s="128"/>
      <c r="L1007" s="128"/>
      <c r="M1007" s="128"/>
      <c r="N1007" s="128"/>
      <c r="O1007" s="128"/>
      <c r="P1007" s="128"/>
      <c r="Q1007" s="128"/>
      <c r="R1007" s="128"/>
      <c r="S1007" s="128"/>
      <c r="T1007" s="128"/>
      <c r="U1007" s="128"/>
      <c r="V1007" s="128"/>
      <c r="W1007" s="128"/>
      <c r="X1007" s="128"/>
      <c r="Y1007" s="128"/>
      <c r="Z1007" s="128"/>
      <c r="AA1007" s="128"/>
    </row>
    <row r="1008">
      <c r="A1008" s="134"/>
      <c r="B1008" s="134"/>
      <c r="C1008" s="128"/>
      <c r="D1008" s="128"/>
      <c r="E1008" s="128"/>
      <c r="F1008" s="128"/>
      <c r="G1008" s="128"/>
      <c r="H1008" s="128"/>
      <c r="I1008" s="128"/>
      <c r="J1008" s="128"/>
      <c r="K1008" s="128"/>
      <c r="L1008" s="128"/>
      <c r="M1008" s="128"/>
      <c r="N1008" s="128"/>
      <c r="O1008" s="128"/>
      <c r="P1008" s="128"/>
      <c r="Q1008" s="128"/>
      <c r="R1008" s="128"/>
      <c r="S1008" s="128"/>
      <c r="T1008" s="128"/>
      <c r="U1008" s="128"/>
      <c r="V1008" s="128"/>
      <c r="W1008" s="128"/>
      <c r="X1008" s="128"/>
      <c r="Y1008" s="128"/>
      <c r="Z1008" s="128"/>
      <c r="AA1008" s="128"/>
    </row>
    <row r="1009">
      <c r="A1009" s="134"/>
      <c r="B1009" s="134"/>
      <c r="C1009" s="128"/>
      <c r="D1009" s="128"/>
      <c r="E1009" s="128"/>
      <c r="F1009" s="128"/>
      <c r="G1009" s="128"/>
      <c r="H1009" s="128"/>
      <c r="I1009" s="128"/>
      <c r="J1009" s="128"/>
      <c r="K1009" s="128"/>
      <c r="L1009" s="128"/>
      <c r="M1009" s="128"/>
      <c r="N1009" s="128"/>
      <c r="O1009" s="128"/>
      <c r="P1009" s="128"/>
      <c r="Q1009" s="128"/>
      <c r="R1009" s="128"/>
      <c r="S1009" s="128"/>
      <c r="T1009" s="128"/>
      <c r="U1009" s="128"/>
      <c r="V1009" s="128"/>
      <c r="W1009" s="128"/>
      <c r="X1009" s="128"/>
      <c r="Y1009" s="128"/>
      <c r="Z1009" s="128"/>
      <c r="AA1009" s="128"/>
    </row>
    <row r="1010">
      <c r="A1010" s="134"/>
      <c r="B1010" s="134"/>
      <c r="C1010" s="128"/>
      <c r="D1010" s="128"/>
      <c r="E1010" s="128"/>
      <c r="F1010" s="128"/>
      <c r="G1010" s="128"/>
      <c r="H1010" s="128"/>
      <c r="I1010" s="128"/>
      <c r="J1010" s="128"/>
      <c r="K1010" s="128"/>
      <c r="L1010" s="128"/>
      <c r="M1010" s="128"/>
      <c r="N1010" s="128"/>
      <c r="O1010" s="128"/>
      <c r="P1010" s="128"/>
      <c r="Q1010" s="128"/>
      <c r="R1010" s="128"/>
      <c r="S1010" s="128"/>
      <c r="T1010" s="128"/>
      <c r="U1010" s="128"/>
      <c r="V1010" s="128"/>
      <c r="W1010" s="128"/>
      <c r="X1010" s="128"/>
      <c r="Y1010" s="128"/>
      <c r="Z1010" s="128"/>
      <c r="AA1010" s="128"/>
    </row>
    <row r="1011">
      <c r="A1011" s="134"/>
      <c r="B1011" s="134"/>
      <c r="C1011" s="128"/>
      <c r="D1011" s="128"/>
      <c r="E1011" s="128"/>
      <c r="F1011" s="128"/>
      <c r="G1011" s="128"/>
      <c r="H1011" s="128"/>
      <c r="I1011" s="128"/>
      <c r="J1011" s="128"/>
      <c r="K1011" s="128"/>
      <c r="L1011" s="128"/>
      <c r="M1011" s="128"/>
      <c r="N1011" s="128"/>
      <c r="O1011" s="128"/>
      <c r="P1011" s="128"/>
      <c r="Q1011" s="128"/>
      <c r="R1011" s="128"/>
      <c r="S1011" s="128"/>
      <c r="T1011" s="128"/>
      <c r="U1011" s="128"/>
      <c r="V1011" s="128"/>
      <c r="W1011" s="128"/>
      <c r="X1011" s="128"/>
      <c r="Y1011" s="128"/>
      <c r="Z1011" s="128"/>
      <c r="AA1011" s="128"/>
    </row>
    <row r="1012">
      <c r="A1012" s="134"/>
      <c r="B1012" s="134"/>
      <c r="C1012" s="128"/>
      <c r="D1012" s="128"/>
      <c r="E1012" s="128"/>
      <c r="F1012" s="128"/>
      <c r="G1012" s="128"/>
      <c r="H1012" s="128"/>
      <c r="I1012" s="128"/>
      <c r="J1012" s="128"/>
      <c r="K1012" s="128"/>
      <c r="L1012" s="128"/>
      <c r="M1012" s="128"/>
      <c r="N1012" s="128"/>
      <c r="O1012" s="128"/>
      <c r="P1012" s="128"/>
      <c r="Q1012" s="128"/>
      <c r="R1012" s="128"/>
      <c r="S1012" s="128"/>
      <c r="T1012" s="128"/>
      <c r="U1012" s="128"/>
      <c r="V1012" s="128"/>
      <c r="W1012" s="128"/>
      <c r="X1012" s="128"/>
      <c r="Y1012" s="128"/>
      <c r="Z1012" s="128"/>
      <c r="AA1012" s="128"/>
    </row>
    <row r="1013">
      <c r="A1013" s="134"/>
      <c r="B1013" s="134"/>
      <c r="C1013" s="128"/>
      <c r="D1013" s="128"/>
      <c r="E1013" s="128"/>
      <c r="F1013" s="128"/>
      <c r="G1013" s="128"/>
      <c r="H1013" s="128"/>
      <c r="I1013" s="128"/>
      <c r="J1013" s="128"/>
      <c r="K1013" s="128"/>
      <c r="L1013" s="128"/>
      <c r="M1013" s="128"/>
      <c r="N1013" s="128"/>
      <c r="O1013" s="128"/>
      <c r="P1013" s="128"/>
      <c r="Q1013" s="128"/>
      <c r="R1013" s="128"/>
      <c r="S1013" s="128"/>
      <c r="T1013" s="128"/>
      <c r="U1013" s="128"/>
      <c r="V1013" s="128"/>
      <c r="W1013" s="128"/>
      <c r="X1013" s="128"/>
      <c r="Y1013" s="128"/>
      <c r="Z1013" s="128"/>
      <c r="AA1013" s="128"/>
    </row>
    <row r="1014">
      <c r="A1014" s="134"/>
      <c r="B1014" s="134"/>
      <c r="C1014" s="128"/>
      <c r="D1014" s="128"/>
      <c r="E1014" s="128"/>
      <c r="F1014" s="128"/>
      <c r="G1014" s="128"/>
      <c r="H1014" s="128"/>
      <c r="I1014" s="128"/>
      <c r="J1014" s="128"/>
      <c r="K1014" s="128"/>
      <c r="L1014" s="128"/>
      <c r="M1014" s="128"/>
      <c r="N1014" s="128"/>
      <c r="O1014" s="128"/>
      <c r="P1014" s="128"/>
      <c r="Q1014" s="128"/>
      <c r="R1014" s="128"/>
      <c r="S1014" s="128"/>
      <c r="T1014" s="128"/>
      <c r="U1014" s="128"/>
      <c r="V1014" s="128"/>
      <c r="W1014" s="128"/>
      <c r="X1014" s="128"/>
      <c r="Y1014" s="128"/>
      <c r="Z1014" s="128"/>
      <c r="AA1014" s="128"/>
    </row>
    <row r="1015">
      <c r="A1015" s="134"/>
      <c r="B1015" s="134"/>
      <c r="C1015" s="128"/>
      <c r="D1015" s="128"/>
      <c r="E1015" s="128"/>
      <c r="F1015" s="128"/>
      <c r="G1015" s="128"/>
      <c r="H1015" s="128"/>
      <c r="I1015" s="128"/>
      <c r="J1015" s="128"/>
      <c r="K1015" s="128"/>
      <c r="L1015" s="128"/>
      <c r="M1015" s="128"/>
      <c r="N1015" s="128"/>
      <c r="O1015" s="128"/>
      <c r="P1015" s="128"/>
      <c r="Q1015" s="128"/>
      <c r="R1015" s="128"/>
      <c r="S1015" s="128"/>
      <c r="T1015" s="128"/>
      <c r="U1015" s="128"/>
      <c r="V1015" s="128"/>
      <c r="W1015" s="128"/>
      <c r="X1015" s="128"/>
      <c r="Y1015" s="128"/>
      <c r="Z1015" s="128"/>
      <c r="AA1015" s="128"/>
    </row>
    <row r="1016">
      <c r="A1016" s="134"/>
      <c r="B1016" s="134"/>
      <c r="C1016" s="128"/>
      <c r="D1016" s="128"/>
      <c r="E1016" s="128"/>
      <c r="F1016" s="128"/>
      <c r="G1016" s="128"/>
      <c r="H1016" s="128"/>
      <c r="I1016" s="128"/>
      <c r="J1016" s="128"/>
      <c r="K1016" s="128"/>
      <c r="L1016" s="128"/>
      <c r="M1016" s="128"/>
      <c r="N1016" s="128"/>
      <c r="O1016" s="128"/>
      <c r="P1016" s="128"/>
      <c r="Q1016" s="128"/>
      <c r="R1016" s="128"/>
      <c r="S1016" s="128"/>
      <c r="T1016" s="128"/>
      <c r="U1016" s="128"/>
      <c r="V1016" s="128"/>
      <c r="W1016" s="128"/>
      <c r="X1016" s="128"/>
      <c r="Y1016" s="128"/>
      <c r="Z1016" s="128"/>
      <c r="AA1016" s="128"/>
    </row>
    <row r="1017">
      <c r="A1017" s="134"/>
      <c r="B1017" s="134"/>
      <c r="C1017" s="128"/>
      <c r="D1017" s="128"/>
      <c r="E1017" s="128"/>
      <c r="F1017" s="128"/>
      <c r="G1017" s="128"/>
      <c r="H1017" s="128"/>
      <c r="I1017" s="128"/>
      <c r="J1017" s="128"/>
      <c r="K1017" s="128"/>
      <c r="L1017" s="128"/>
      <c r="M1017" s="128"/>
      <c r="N1017" s="128"/>
      <c r="O1017" s="128"/>
      <c r="P1017" s="128"/>
      <c r="Q1017" s="128"/>
      <c r="R1017" s="128"/>
      <c r="S1017" s="128"/>
      <c r="T1017" s="128"/>
      <c r="U1017" s="128"/>
      <c r="V1017" s="128"/>
      <c r="W1017" s="128"/>
      <c r="X1017" s="128"/>
      <c r="Y1017" s="128"/>
      <c r="Z1017" s="128"/>
      <c r="AA1017" s="128"/>
    </row>
    <row r="1018">
      <c r="A1018" s="134"/>
      <c r="B1018" s="134"/>
      <c r="C1018" s="128"/>
      <c r="D1018" s="128"/>
      <c r="E1018" s="128"/>
      <c r="F1018" s="128"/>
      <c r="G1018" s="128"/>
      <c r="H1018" s="128"/>
      <c r="I1018" s="128"/>
      <c r="J1018" s="128"/>
      <c r="K1018" s="128"/>
      <c r="L1018" s="128"/>
      <c r="M1018" s="128"/>
      <c r="N1018" s="128"/>
      <c r="O1018" s="128"/>
      <c r="P1018" s="128"/>
      <c r="Q1018" s="128"/>
      <c r="R1018" s="128"/>
      <c r="S1018" s="128"/>
      <c r="T1018" s="128"/>
      <c r="U1018" s="128"/>
      <c r="V1018" s="128"/>
      <c r="W1018" s="128"/>
      <c r="X1018" s="128"/>
      <c r="Y1018" s="128"/>
      <c r="Z1018" s="128"/>
      <c r="AA1018" s="128"/>
    </row>
    <row r="1019">
      <c r="A1019" s="134"/>
      <c r="B1019" s="134"/>
      <c r="C1019" s="128"/>
      <c r="D1019" s="128"/>
      <c r="E1019" s="128"/>
      <c r="F1019" s="128"/>
      <c r="G1019" s="128"/>
      <c r="H1019" s="128"/>
      <c r="I1019" s="128"/>
      <c r="J1019" s="128"/>
      <c r="K1019" s="128"/>
      <c r="L1019" s="128"/>
      <c r="M1019" s="128"/>
      <c r="N1019" s="128"/>
      <c r="O1019" s="128"/>
      <c r="P1019" s="128"/>
      <c r="Q1019" s="128"/>
      <c r="R1019" s="128"/>
      <c r="S1019" s="128"/>
      <c r="T1019" s="128"/>
      <c r="U1019" s="128"/>
      <c r="V1019" s="128"/>
      <c r="W1019" s="128"/>
      <c r="X1019" s="128"/>
      <c r="Y1019" s="128"/>
      <c r="Z1019" s="128"/>
      <c r="AA1019" s="128"/>
    </row>
    <row r="1020">
      <c r="A1020" s="134"/>
      <c r="B1020" s="134"/>
      <c r="C1020" s="128"/>
      <c r="D1020" s="128"/>
      <c r="E1020" s="128"/>
      <c r="F1020" s="128"/>
      <c r="G1020" s="128"/>
      <c r="H1020" s="128"/>
      <c r="I1020" s="128"/>
      <c r="J1020" s="128"/>
      <c r="K1020" s="128"/>
      <c r="L1020" s="128"/>
      <c r="M1020" s="128"/>
      <c r="N1020" s="128"/>
      <c r="O1020" s="128"/>
      <c r="P1020" s="128"/>
      <c r="Q1020" s="128"/>
      <c r="R1020" s="128"/>
      <c r="S1020" s="128"/>
      <c r="T1020" s="128"/>
      <c r="U1020" s="128"/>
      <c r="V1020" s="128"/>
      <c r="W1020" s="128"/>
      <c r="X1020" s="128"/>
      <c r="Y1020" s="128"/>
      <c r="Z1020" s="128"/>
      <c r="AA1020" s="128"/>
    </row>
    <row r="1021">
      <c r="A1021" s="134"/>
      <c r="B1021" s="134"/>
      <c r="C1021" s="128"/>
      <c r="D1021" s="128"/>
      <c r="E1021" s="128"/>
      <c r="F1021" s="128"/>
      <c r="G1021" s="128"/>
      <c r="H1021" s="128"/>
      <c r="I1021" s="128"/>
      <c r="J1021" s="128"/>
      <c r="K1021" s="128"/>
      <c r="L1021" s="128"/>
      <c r="M1021" s="128"/>
      <c r="N1021" s="128"/>
      <c r="O1021" s="128"/>
      <c r="P1021" s="128"/>
      <c r="Q1021" s="128"/>
      <c r="R1021" s="128"/>
      <c r="S1021" s="128"/>
      <c r="T1021" s="128"/>
      <c r="U1021" s="128"/>
      <c r="V1021" s="128"/>
      <c r="W1021" s="128"/>
      <c r="X1021" s="128"/>
      <c r="Y1021" s="128"/>
      <c r="Z1021" s="128"/>
      <c r="AA1021" s="128"/>
    </row>
    <row r="1022">
      <c r="A1022" s="134"/>
      <c r="B1022" s="134"/>
      <c r="C1022" s="128"/>
      <c r="D1022" s="128"/>
      <c r="E1022" s="128"/>
      <c r="F1022" s="128"/>
      <c r="G1022" s="128"/>
      <c r="H1022" s="128"/>
      <c r="I1022" s="128"/>
      <c r="J1022" s="128"/>
      <c r="K1022" s="128"/>
      <c r="L1022" s="128"/>
      <c r="M1022" s="128"/>
      <c r="N1022" s="128"/>
      <c r="O1022" s="128"/>
      <c r="P1022" s="128"/>
      <c r="Q1022" s="128"/>
      <c r="R1022" s="128"/>
      <c r="S1022" s="128"/>
      <c r="T1022" s="128"/>
      <c r="U1022" s="128"/>
      <c r="V1022" s="128"/>
      <c r="W1022" s="128"/>
      <c r="X1022" s="128"/>
      <c r="Y1022" s="128"/>
      <c r="Z1022" s="128"/>
      <c r="AA1022" s="128"/>
    </row>
    <row r="1023">
      <c r="A1023" s="134"/>
      <c r="B1023" s="134"/>
      <c r="C1023" s="128"/>
      <c r="D1023" s="128"/>
      <c r="E1023" s="128"/>
      <c r="F1023" s="128"/>
      <c r="G1023" s="128"/>
      <c r="H1023" s="128"/>
      <c r="I1023" s="128"/>
      <c r="J1023" s="128"/>
      <c r="K1023" s="128"/>
      <c r="L1023" s="128"/>
      <c r="M1023" s="128"/>
      <c r="N1023" s="128"/>
      <c r="O1023" s="128"/>
      <c r="P1023" s="128"/>
      <c r="Q1023" s="128"/>
      <c r="R1023" s="128"/>
      <c r="S1023" s="128"/>
      <c r="T1023" s="128"/>
      <c r="U1023" s="128"/>
      <c r="V1023" s="128"/>
      <c r="W1023" s="128"/>
      <c r="X1023" s="128"/>
      <c r="Y1023" s="128"/>
      <c r="Z1023" s="128"/>
      <c r="AA1023" s="128"/>
    </row>
    <row r="1024">
      <c r="A1024" s="134"/>
      <c r="B1024" s="134"/>
      <c r="C1024" s="128"/>
      <c r="D1024" s="128"/>
      <c r="E1024" s="128"/>
      <c r="F1024" s="128"/>
      <c r="G1024" s="128"/>
      <c r="H1024" s="128"/>
      <c r="I1024" s="128"/>
      <c r="J1024" s="128"/>
      <c r="K1024" s="128"/>
      <c r="L1024" s="128"/>
      <c r="M1024" s="128"/>
      <c r="N1024" s="128"/>
      <c r="O1024" s="128"/>
      <c r="P1024" s="128"/>
      <c r="Q1024" s="128"/>
      <c r="R1024" s="128"/>
      <c r="S1024" s="128"/>
      <c r="T1024" s="128"/>
      <c r="U1024" s="128"/>
      <c r="V1024" s="128"/>
      <c r="W1024" s="128"/>
      <c r="X1024" s="128"/>
      <c r="Y1024" s="128"/>
      <c r="Z1024" s="128"/>
      <c r="AA1024" s="128"/>
    </row>
    <row r="1025">
      <c r="A1025" s="134"/>
      <c r="B1025" s="134"/>
      <c r="C1025" s="128"/>
      <c r="D1025" s="128"/>
      <c r="E1025" s="128"/>
      <c r="F1025" s="128"/>
      <c r="G1025" s="128"/>
      <c r="H1025" s="128"/>
      <c r="I1025" s="128"/>
      <c r="J1025" s="128"/>
      <c r="K1025" s="128"/>
      <c r="L1025" s="128"/>
      <c r="M1025" s="128"/>
      <c r="N1025" s="128"/>
      <c r="O1025" s="128"/>
      <c r="P1025" s="128"/>
      <c r="Q1025" s="128"/>
      <c r="R1025" s="128"/>
      <c r="S1025" s="128"/>
      <c r="T1025" s="128"/>
      <c r="U1025" s="128"/>
      <c r="V1025" s="128"/>
      <c r="W1025" s="128"/>
      <c r="X1025" s="128"/>
      <c r="Y1025" s="128"/>
      <c r="Z1025" s="128"/>
      <c r="AA1025" s="128"/>
    </row>
    <row r="1026">
      <c r="A1026" s="134"/>
      <c r="B1026" s="134"/>
      <c r="C1026" s="128"/>
      <c r="D1026" s="128"/>
      <c r="E1026" s="128"/>
      <c r="F1026" s="128"/>
      <c r="G1026" s="128"/>
      <c r="H1026" s="128"/>
      <c r="I1026" s="128"/>
      <c r="J1026" s="128"/>
      <c r="K1026" s="128"/>
      <c r="L1026" s="128"/>
      <c r="M1026" s="128"/>
      <c r="N1026" s="128"/>
      <c r="O1026" s="128"/>
      <c r="P1026" s="128"/>
      <c r="Q1026" s="128"/>
      <c r="R1026" s="128"/>
      <c r="S1026" s="128"/>
      <c r="T1026" s="128"/>
      <c r="U1026" s="128"/>
      <c r="V1026" s="128"/>
      <c r="W1026" s="128"/>
      <c r="X1026" s="128"/>
      <c r="Y1026" s="128"/>
      <c r="Z1026" s="128"/>
      <c r="AA1026" s="128"/>
    </row>
    <row r="1027">
      <c r="A1027" s="134"/>
      <c r="B1027" s="134"/>
      <c r="C1027" s="128"/>
      <c r="D1027" s="128"/>
      <c r="E1027" s="128"/>
      <c r="F1027" s="128"/>
      <c r="G1027" s="128"/>
      <c r="H1027" s="128"/>
      <c r="I1027" s="128"/>
      <c r="J1027" s="128"/>
      <c r="K1027" s="128"/>
      <c r="L1027" s="128"/>
      <c r="M1027" s="128"/>
      <c r="N1027" s="128"/>
      <c r="O1027" s="128"/>
      <c r="P1027" s="128"/>
      <c r="Q1027" s="128"/>
      <c r="R1027" s="128"/>
      <c r="S1027" s="128"/>
      <c r="T1027" s="128"/>
      <c r="U1027" s="128"/>
      <c r="V1027" s="128"/>
      <c r="W1027" s="128"/>
      <c r="X1027" s="128"/>
      <c r="Y1027" s="128"/>
      <c r="Z1027" s="128"/>
      <c r="AA1027" s="128"/>
    </row>
    <row r="1028">
      <c r="A1028" s="134"/>
      <c r="B1028" s="134"/>
      <c r="C1028" s="128"/>
      <c r="D1028" s="128"/>
      <c r="E1028" s="128"/>
      <c r="F1028" s="128"/>
      <c r="G1028" s="128"/>
      <c r="H1028" s="128"/>
      <c r="I1028" s="128"/>
      <c r="J1028" s="128"/>
      <c r="K1028" s="128"/>
      <c r="L1028" s="128"/>
      <c r="M1028" s="128"/>
      <c r="N1028" s="128"/>
      <c r="O1028" s="128"/>
      <c r="P1028" s="128"/>
      <c r="Q1028" s="128"/>
      <c r="R1028" s="128"/>
      <c r="S1028" s="128"/>
      <c r="T1028" s="128"/>
      <c r="U1028" s="128"/>
      <c r="V1028" s="128"/>
      <c r="W1028" s="128"/>
      <c r="X1028" s="128"/>
      <c r="Y1028" s="128"/>
      <c r="Z1028" s="128"/>
      <c r="AA1028" s="128"/>
    </row>
    <row r="1029">
      <c r="A1029" s="134"/>
      <c r="B1029" s="134"/>
      <c r="C1029" s="128"/>
      <c r="D1029" s="128"/>
      <c r="E1029" s="128"/>
      <c r="F1029" s="128"/>
      <c r="G1029" s="128"/>
      <c r="H1029" s="128"/>
      <c r="I1029" s="128"/>
      <c r="J1029" s="128"/>
      <c r="K1029" s="128"/>
      <c r="L1029" s="128"/>
      <c r="M1029" s="128"/>
      <c r="N1029" s="128"/>
      <c r="O1029" s="128"/>
      <c r="P1029" s="128"/>
      <c r="Q1029" s="128"/>
      <c r="R1029" s="128"/>
      <c r="S1029" s="128"/>
      <c r="T1029" s="128"/>
      <c r="U1029" s="128"/>
      <c r="V1029" s="128"/>
      <c r="W1029" s="128"/>
      <c r="X1029" s="128"/>
      <c r="Y1029" s="128"/>
      <c r="Z1029" s="128"/>
      <c r="AA1029" s="128"/>
    </row>
    <row r="1030">
      <c r="A1030" s="134"/>
      <c r="B1030" s="134"/>
      <c r="C1030" s="128"/>
      <c r="D1030" s="128"/>
      <c r="E1030" s="128"/>
      <c r="F1030" s="128"/>
      <c r="G1030" s="128"/>
      <c r="H1030" s="128"/>
      <c r="I1030" s="128"/>
      <c r="J1030" s="128"/>
      <c r="K1030" s="128"/>
      <c r="L1030" s="128"/>
      <c r="M1030" s="128"/>
      <c r="N1030" s="128"/>
      <c r="O1030" s="128"/>
      <c r="P1030" s="128"/>
      <c r="Q1030" s="128"/>
      <c r="R1030" s="128"/>
      <c r="S1030" s="128"/>
      <c r="T1030" s="128"/>
      <c r="U1030" s="128"/>
      <c r="V1030" s="128"/>
      <c r="W1030" s="128"/>
      <c r="X1030" s="128"/>
      <c r="Y1030" s="128"/>
      <c r="Z1030" s="128"/>
      <c r="AA1030" s="128"/>
    </row>
    <row r="1031">
      <c r="A1031" s="134"/>
      <c r="B1031" s="134"/>
      <c r="C1031" s="128"/>
      <c r="D1031" s="128"/>
      <c r="E1031" s="128"/>
      <c r="F1031" s="128"/>
      <c r="G1031" s="128"/>
      <c r="H1031" s="128"/>
      <c r="I1031" s="128"/>
      <c r="J1031" s="128"/>
      <c r="K1031" s="128"/>
      <c r="L1031" s="128"/>
      <c r="M1031" s="128"/>
      <c r="N1031" s="128"/>
      <c r="O1031" s="128"/>
      <c r="P1031" s="128"/>
      <c r="Q1031" s="128"/>
      <c r="R1031" s="128"/>
      <c r="S1031" s="128"/>
      <c r="T1031" s="128"/>
      <c r="U1031" s="128"/>
      <c r="V1031" s="128"/>
      <c r="W1031" s="128"/>
      <c r="X1031" s="128"/>
      <c r="Y1031" s="128"/>
      <c r="Z1031" s="128"/>
      <c r="AA1031" s="128"/>
    </row>
    <row r="1032">
      <c r="A1032" s="134"/>
      <c r="B1032" s="134"/>
      <c r="C1032" s="128"/>
      <c r="D1032" s="128"/>
      <c r="E1032" s="128"/>
      <c r="F1032" s="128"/>
      <c r="G1032" s="128"/>
      <c r="H1032" s="128"/>
      <c r="I1032" s="128"/>
      <c r="J1032" s="128"/>
      <c r="K1032" s="128"/>
      <c r="L1032" s="128"/>
      <c r="M1032" s="128"/>
      <c r="N1032" s="128"/>
      <c r="O1032" s="128"/>
      <c r="P1032" s="128"/>
      <c r="Q1032" s="128"/>
      <c r="R1032" s="128"/>
      <c r="S1032" s="128"/>
      <c r="T1032" s="128"/>
      <c r="U1032" s="128"/>
      <c r="V1032" s="128"/>
      <c r="W1032" s="128"/>
      <c r="X1032" s="128"/>
      <c r="Y1032" s="128"/>
      <c r="Z1032" s="128"/>
      <c r="AA1032" s="128"/>
    </row>
    <row r="1033">
      <c r="A1033" s="134"/>
      <c r="B1033" s="134"/>
      <c r="C1033" s="128"/>
      <c r="D1033" s="128"/>
      <c r="E1033" s="128"/>
      <c r="F1033" s="128"/>
      <c r="G1033" s="128"/>
      <c r="H1033" s="128"/>
      <c r="I1033" s="128"/>
      <c r="J1033" s="128"/>
      <c r="K1033" s="128"/>
      <c r="L1033" s="128"/>
      <c r="M1033" s="128"/>
      <c r="N1033" s="128"/>
      <c r="O1033" s="128"/>
      <c r="P1033" s="128"/>
      <c r="Q1033" s="128"/>
      <c r="R1033" s="128"/>
      <c r="S1033" s="128"/>
      <c r="T1033" s="128"/>
      <c r="U1033" s="128"/>
      <c r="V1033" s="128"/>
      <c r="W1033" s="128"/>
      <c r="X1033" s="128"/>
      <c r="Y1033" s="128"/>
      <c r="Z1033" s="128"/>
      <c r="AA1033" s="128"/>
    </row>
    <row r="1034">
      <c r="A1034" s="134"/>
      <c r="B1034" s="134"/>
      <c r="C1034" s="128"/>
      <c r="D1034" s="128"/>
      <c r="E1034" s="128"/>
      <c r="F1034" s="128"/>
      <c r="G1034" s="128"/>
      <c r="H1034" s="128"/>
      <c r="I1034" s="128"/>
      <c r="J1034" s="128"/>
      <c r="K1034" s="128"/>
      <c r="L1034" s="128"/>
      <c r="M1034" s="128"/>
      <c r="N1034" s="128"/>
      <c r="O1034" s="128"/>
      <c r="P1034" s="128"/>
      <c r="Q1034" s="128"/>
      <c r="R1034" s="128"/>
      <c r="S1034" s="128"/>
      <c r="T1034" s="128"/>
      <c r="U1034" s="128"/>
      <c r="V1034" s="128"/>
      <c r="W1034" s="128"/>
      <c r="X1034" s="128"/>
      <c r="Y1034" s="128"/>
      <c r="Z1034" s="128"/>
      <c r="AA1034" s="128"/>
    </row>
    <row r="1035">
      <c r="A1035" s="134"/>
      <c r="B1035" s="134"/>
      <c r="C1035" s="128"/>
      <c r="D1035" s="128"/>
      <c r="E1035" s="128"/>
      <c r="F1035" s="128"/>
      <c r="G1035" s="128"/>
      <c r="H1035" s="128"/>
      <c r="I1035" s="128"/>
      <c r="J1035" s="128"/>
      <c r="K1035" s="128"/>
      <c r="L1035" s="128"/>
      <c r="M1035" s="128"/>
      <c r="N1035" s="128"/>
      <c r="O1035" s="128"/>
      <c r="P1035" s="128"/>
      <c r="Q1035" s="128"/>
      <c r="R1035" s="128"/>
      <c r="S1035" s="128"/>
      <c r="T1035" s="128"/>
      <c r="U1035" s="128"/>
      <c r="V1035" s="128"/>
      <c r="W1035" s="128"/>
      <c r="X1035" s="128"/>
      <c r="Y1035" s="128"/>
      <c r="Z1035" s="128"/>
      <c r="AA1035" s="128"/>
    </row>
    <row r="1036">
      <c r="A1036" s="134"/>
      <c r="B1036" s="134"/>
      <c r="C1036" s="128"/>
      <c r="D1036" s="128"/>
      <c r="E1036" s="128"/>
      <c r="F1036" s="128"/>
      <c r="G1036" s="128"/>
      <c r="H1036" s="128"/>
      <c r="I1036" s="128"/>
      <c r="J1036" s="128"/>
      <c r="K1036" s="128"/>
      <c r="L1036" s="128"/>
      <c r="M1036" s="128"/>
      <c r="N1036" s="128"/>
      <c r="O1036" s="128"/>
      <c r="P1036" s="128"/>
      <c r="Q1036" s="128"/>
      <c r="R1036" s="128"/>
      <c r="S1036" s="128"/>
      <c r="T1036" s="128"/>
      <c r="U1036" s="128"/>
      <c r="V1036" s="128"/>
      <c r="W1036" s="128"/>
      <c r="X1036" s="128"/>
      <c r="Y1036" s="128"/>
      <c r="Z1036" s="128"/>
      <c r="AA1036" s="128"/>
    </row>
    <row r="1037">
      <c r="A1037" s="134"/>
      <c r="B1037" s="134"/>
      <c r="C1037" s="128"/>
      <c r="D1037" s="128"/>
      <c r="E1037" s="128"/>
      <c r="F1037" s="128"/>
      <c r="G1037" s="128"/>
      <c r="H1037" s="128"/>
      <c r="I1037" s="128"/>
      <c r="J1037" s="128"/>
      <c r="K1037" s="128"/>
      <c r="L1037" s="128"/>
      <c r="M1037" s="128"/>
      <c r="N1037" s="128"/>
      <c r="O1037" s="128"/>
      <c r="P1037" s="128"/>
      <c r="Q1037" s="128"/>
      <c r="R1037" s="128"/>
      <c r="S1037" s="128"/>
      <c r="T1037" s="128"/>
      <c r="U1037" s="128"/>
      <c r="V1037" s="128"/>
      <c r="W1037" s="128"/>
      <c r="X1037" s="128"/>
      <c r="Y1037" s="128"/>
      <c r="Z1037" s="128"/>
      <c r="AA1037" s="128"/>
    </row>
    <row r="1038">
      <c r="A1038" s="134"/>
      <c r="B1038" s="134"/>
      <c r="C1038" s="128"/>
      <c r="D1038" s="128"/>
      <c r="E1038" s="128"/>
      <c r="F1038" s="128"/>
      <c r="G1038" s="128"/>
      <c r="H1038" s="128"/>
      <c r="I1038" s="128"/>
      <c r="J1038" s="128"/>
      <c r="K1038" s="128"/>
      <c r="L1038" s="128"/>
      <c r="M1038" s="128"/>
      <c r="N1038" s="128"/>
      <c r="O1038" s="128"/>
      <c r="P1038" s="128"/>
      <c r="Q1038" s="128"/>
      <c r="R1038" s="128"/>
      <c r="S1038" s="128"/>
      <c r="T1038" s="128"/>
      <c r="U1038" s="128"/>
      <c r="V1038" s="128"/>
      <c r="W1038" s="128"/>
      <c r="X1038" s="128"/>
      <c r="Y1038" s="128"/>
      <c r="Z1038" s="128"/>
      <c r="AA1038" s="128"/>
    </row>
    <row r="1039">
      <c r="A1039" s="134"/>
      <c r="B1039" s="134"/>
      <c r="C1039" s="128"/>
      <c r="D1039" s="128"/>
      <c r="E1039" s="128"/>
      <c r="F1039" s="128"/>
      <c r="G1039" s="128"/>
      <c r="H1039" s="128"/>
      <c r="I1039" s="128"/>
      <c r="J1039" s="128"/>
      <c r="K1039" s="128"/>
      <c r="L1039" s="128"/>
      <c r="M1039" s="128"/>
      <c r="N1039" s="128"/>
      <c r="O1039" s="128"/>
      <c r="P1039" s="128"/>
      <c r="Q1039" s="128"/>
      <c r="R1039" s="128"/>
      <c r="S1039" s="128"/>
      <c r="T1039" s="128"/>
      <c r="U1039" s="128"/>
      <c r="V1039" s="128"/>
      <c r="W1039" s="128"/>
      <c r="X1039" s="128"/>
      <c r="Y1039" s="128"/>
      <c r="Z1039" s="128"/>
      <c r="AA1039" s="128"/>
    </row>
    <row r="1040">
      <c r="A1040" s="134"/>
      <c r="B1040" s="134"/>
      <c r="C1040" s="128"/>
      <c r="D1040" s="128"/>
      <c r="E1040" s="128"/>
      <c r="F1040" s="128"/>
      <c r="G1040" s="128"/>
      <c r="H1040" s="128"/>
      <c r="I1040" s="128"/>
      <c r="J1040" s="128"/>
      <c r="K1040" s="128"/>
      <c r="L1040" s="128"/>
      <c r="M1040" s="128"/>
      <c r="N1040" s="128"/>
      <c r="O1040" s="128"/>
      <c r="P1040" s="128"/>
      <c r="Q1040" s="128"/>
      <c r="R1040" s="128"/>
      <c r="S1040" s="128"/>
      <c r="T1040" s="128"/>
      <c r="U1040" s="128"/>
      <c r="V1040" s="128"/>
      <c r="W1040" s="128"/>
      <c r="X1040" s="128"/>
      <c r="Y1040" s="128"/>
      <c r="Z1040" s="128"/>
      <c r="AA1040" s="128"/>
    </row>
    <row r="1041">
      <c r="A1041" s="134"/>
      <c r="B1041" s="134"/>
      <c r="C1041" s="128"/>
      <c r="D1041" s="128"/>
      <c r="E1041" s="128"/>
      <c r="F1041" s="128"/>
      <c r="G1041" s="128"/>
      <c r="H1041" s="128"/>
      <c r="I1041" s="128"/>
      <c r="J1041" s="128"/>
      <c r="K1041" s="128"/>
      <c r="L1041" s="128"/>
      <c r="M1041" s="128"/>
      <c r="N1041" s="128"/>
      <c r="O1041" s="128"/>
      <c r="P1041" s="128"/>
      <c r="Q1041" s="128"/>
      <c r="R1041" s="128"/>
      <c r="S1041" s="128"/>
      <c r="T1041" s="128"/>
      <c r="U1041" s="128"/>
      <c r="V1041" s="128"/>
      <c r="W1041" s="128"/>
      <c r="X1041" s="128"/>
      <c r="Y1041" s="128"/>
      <c r="Z1041" s="128"/>
      <c r="AA1041" s="128"/>
    </row>
    <row r="1042">
      <c r="A1042" s="134"/>
      <c r="B1042" s="134"/>
      <c r="C1042" s="128"/>
      <c r="D1042" s="128"/>
      <c r="E1042" s="128"/>
      <c r="F1042" s="128"/>
      <c r="G1042" s="128"/>
      <c r="H1042" s="128"/>
      <c r="I1042" s="128"/>
      <c r="J1042" s="128"/>
      <c r="K1042" s="128"/>
      <c r="L1042" s="128"/>
      <c r="M1042" s="128"/>
      <c r="N1042" s="128"/>
      <c r="O1042" s="128"/>
      <c r="P1042" s="128"/>
      <c r="Q1042" s="128"/>
      <c r="R1042" s="128"/>
      <c r="S1042" s="128"/>
      <c r="T1042" s="128"/>
      <c r="U1042" s="128"/>
      <c r="V1042" s="128"/>
      <c r="W1042" s="128"/>
      <c r="X1042" s="128"/>
      <c r="Y1042" s="128"/>
      <c r="Z1042" s="128"/>
      <c r="AA1042" s="128"/>
    </row>
    <row r="1043">
      <c r="A1043" s="134"/>
      <c r="B1043" s="134"/>
      <c r="C1043" s="128"/>
      <c r="D1043" s="128"/>
      <c r="E1043" s="128"/>
      <c r="F1043" s="128"/>
      <c r="G1043" s="128"/>
      <c r="H1043" s="128"/>
      <c r="I1043" s="128"/>
      <c r="J1043" s="128"/>
      <c r="K1043" s="128"/>
      <c r="L1043" s="128"/>
      <c r="M1043" s="128"/>
      <c r="N1043" s="128"/>
      <c r="O1043" s="128"/>
      <c r="P1043" s="128"/>
      <c r="Q1043" s="128"/>
      <c r="R1043" s="128"/>
      <c r="S1043" s="128"/>
      <c r="T1043" s="128"/>
      <c r="U1043" s="128"/>
      <c r="V1043" s="128"/>
      <c r="W1043" s="128"/>
      <c r="X1043" s="128"/>
      <c r="Y1043" s="128"/>
      <c r="Z1043" s="128"/>
      <c r="AA1043" s="128"/>
    </row>
    <row r="1044">
      <c r="A1044" s="134"/>
      <c r="B1044" s="134"/>
      <c r="C1044" s="128"/>
      <c r="D1044" s="128"/>
      <c r="E1044" s="128"/>
      <c r="F1044" s="128"/>
      <c r="G1044" s="128"/>
      <c r="H1044" s="128"/>
      <c r="I1044" s="128"/>
      <c r="J1044" s="128"/>
      <c r="K1044" s="128"/>
      <c r="L1044" s="128"/>
      <c r="M1044" s="128"/>
      <c r="N1044" s="128"/>
      <c r="O1044" s="128"/>
      <c r="P1044" s="128"/>
      <c r="Q1044" s="128"/>
      <c r="R1044" s="128"/>
      <c r="S1044" s="128"/>
      <c r="T1044" s="128"/>
      <c r="U1044" s="128"/>
      <c r="V1044" s="128"/>
      <c r="W1044" s="128"/>
      <c r="X1044" s="128"/>
      <c r="Y1044" s="128"/>
      <c r="Z1044" s="128"/>
      <c r="AA1044" s="128"/>
    </row>
    <row r="1045">
      <c r="A1045" s="134"/>
      <c r="B1045" s="134"/>
      <c r="C1045" s="128"/>
      <c r="D1045" s="128"/>
      <c r="E1045" s="128"/>
      <c r="F1045" s="128"/>
      <c r="G1045" s="128"/>
      <c r="H1045" s="128"/>
      <c r="I1045" s="128"/>
      <c r="J1045" s="128"/>
      <c r="K1045" s="128"/>
      <c r="L1045" s="128"/>
      <c r="M1045" s="128"/>
      <c r="N1045" s="128"/>
      <c r="O1045" s="128"/>
      <c r="P1045" s="128"/>
      <c r="Q1045" s="128"/>
      <c r="R1045" s="128"/>
      <c r="S1045" s="128"/>
      <c r="T1045" s="128"/>
      <c r="U1045" s="128"/>
      <c r="V1045" s="128"/>
      <c r="W1045" s="128"/>
      <c r="X1045" s="128"/>
      <c r="Y1045" s="128"/>
      <c r="Z1045" s="128"/>
      <c r="AA1045" s="128"/>
    </row>
    <row r="1046">
      <c r="A1046" s="134"/>
      <c r="B1046" s="134"/>
      <c r="C1046" s="128"/>
      <c r="D1046" s="128"/>
      <c r="E1046" s="128"/>
      <c r="F1046" s="128"/>
      <c r="G1046" s="128"/>
      <c r="H1046" s="128"/>
      <c r="I1046" s="128"/>
      <c r="J1046" s="128"/>
      <c r="K1046" s="128"/>
      <c r="L1046" s="128"/>
      <c r="M1046" s="128"/>
      <c r="N1046" s="128"/>
      <c r="O1046" s="128"/>
      <c r="P1046" s="128"/>
      <c r="Q1046" s="128"/>
      <c r="R1046" s="128"/>
      <c r="S1046" s="128"/>
      <c r="T1046" s="128"/>
      <c r="U1046" s="128"/>
      <c r="V1046" s="128"/>
      <c r="W1046" s="128"/>
      <c r="X1046" s="128"/>
      <c r="Y1046" s="128"/>
      <c r="Z1046" s="128"/>
      <c r="AA1046" s="128"/>
    </row>
    <row r="1047">
      <c r="A1047" s="134"/>
      <c r="B1047" s="134"/>
      <c r="C1047" s="128"/>
      <c r="D1047" s="128"/>
      <c r="E1047" s="128"/>
      <c r="F1047" s="128"/>
      <c r="G1047" s="128"/>
      <c r="H1047" s="128"/>
      <c r="I1047" s="128"/>
      <c r="J1047" s="128"/>
      <c r="K1047" s="128"/>
      <c r="L1047" s="128"/>
      <c r="M1047" s="128"/>
      <c r="N1047" s="128"/>
      <c r="O1047" s="128"/>
      <c r="P1047" s="128"/>
      <c r="Q1047" s="128"/>
      <c r="R1047" s="128"/>
      <c r="S1047" s="128"/>
      <c r="T1047" s="128"/>
      <c r="U1047" s="128"/>
      <c r="V1047" s="128"/>
      <c r="W1047" s="128"/>
      <c r="X1047" s="128"/>
      <c r="Y1047" s="128"/>
      <c r="Z1047" s="128"/>
      <c r="AA1047" s="128"/>
    </row>
    <row r="1048">
      <c r="A1048" s="134"/>
      <c r="B1048" s="134"/>
      <c r="C1048" s="128"/>
      <c r="D1048" s="128"/>
      <c r="E1048" s="128"/>
      <c r="F1048" s="128"/>
      <c r="G1048" s="128"/>
      <c r="H1048" s="128"/>
      <c r="I1048" s="128"/>
      <c r="J1048" s="128"/>
      <c r="K1048" s="128"/>
      <c r="L1048" s="128"/>
      <c r="M1048" s="128"/>
      <c r="N1048" s="128"/>
      <c r="O1048" s="128"/>
      <c r="P1048" s="128"/>
      <c r="Q1048" s="128"/>
      <c r="R1048" s="128"/>
      <c r="S1048" s="128"/>
      <c r="T1048" s="128"/>
      <c r="U1048" s="128"/>
      <c r="V1048" s="128"/>
      <c r="W1048" s="128"/>
      <c r="X1048" s="128"/>
      <c r="Y1048" s="128"/>
      <c r="Z1048" s="128"/>
      <c r="AA1048" s="128"/>
    </row>
    <row r="1049">
      <c r="A1049" s="134"/>
      <c r="B1049" s="134"/>
      <c r="C1049" s="128"/>
      <c r="D1049" s="128"/>
      <c r="E1049" s="128"/>
      <c r="F1049" s="128"/>
      <c r="G1049" s="128"/>
      <c r="H1049" s="128"/>
      <c r="I1049" s="128"/>
      <c r="J1049" s="128"/>
      <c r="K1049" s="128"/>
      <c r="L1049" s="128"/>
      <c r="M1049" s="128"/>
      <c r="N1049" s="128"/>
      <c r="O1049" s="128"/>
      <c r="P1049" s="128"/>
      <c r="Q1049" s="128"/>
      <c r="R1049" s="128"/>
      <c r="S1049" s="128"/>
      <c r="T1049" s="128"/>
      <c r="U1049" s="128"/>
      <c r="V1049" s="128"/>
      <c r="W1049" s="128"/>
      <c r="X1049" s="128"/>
      <c r="Y1049" s="128"/>
      <c r="Z1049" s="128"/>
      <c r="AA1049" s="128"/>
    </row>
    <row r="1050">
      <c r="A1050" s="134"/>
      <c r="B1050" s="134"/>
      <c r="C1050" s="128"/>
      <c r="D1050" s="128"/>
      <c r="E1050" s="128"/>
      <c r="F1050" s="128"/>
      <c r="G1050" s="128"/>
      <c r="H1050" s="128"/>
      <c r="I1050" s="128"/>
      <c r="J1050" s="128"/>
      <c r="K1050" s="128"/>
      <c r="L1050" s="128"/>
      <c r="M1050" s="128"/>
      <c r="N1050" s="128"/>
      <c r="O1050" s="128"/>
      <c r="P1050" s="128"/>
      <c r="Q1050" s="128"/>
      <c r="R1050" s="128"/>
      <c r="S1050" s="128"/>
      <c r="T1050" s="128"/>
      <c r="U1050" s="128"/>
      <c r="V1050" s="128"/>
      <c r="W1050" s="128"/>
      <c r="X1050" s="128"/>
      <c r="Y1050" s="128"/>
      <c r="Z1050" s="128"/>
      <c r="AA1050" s="128"/>
    </row>
    <row r="1051">
      <c r="A1051" s="134"/>
      <c r="B1051" s="134"/>
      <c r="C1051" s="128"/>
      <c r="D1051" s="128"/>
      <c r="E1051" s="128"/>
      <c r="F1051" s="128"/>
      <c r="G1051" s="128"/>
      <c r="H1051" s="128"/>
      <c r="I1051" s="128"/>
      <c r="J1051" s="128"/>
      <c r="K1051" s="128"/>
      <c r="L1051" s="128"/>
      <c r="M1051" s="128"/>
      <c r="N1051" s="128"/>
      <c r="O1051" s="128"/>
      <c r="P1051" s="128"/>
      <c r="Q1051" s="128"/>
      <c r="R1051" s="128"/>
      <c r="S1051" s="128"/>
      <c r="T1051" s="128"/>
      <c r="U1051" s="128"/>
      <c r="V1051" s="128"/>
      <c r="W1051" s="128"/>
      <c r="X1051" s="128"/>
      <c r="Y1051" s="128"/>
      <c r="Z1051" s="128"/>
      <c r="AA1051" s="128"/>
    </row>
    <row r="1052">
      <c r="A1052" s="134"/>
      <c r="B1052" s="134"/>
      <c r="C1052" s="128"/>
      <c r="D1052" s="128"/>
      <c r="E1052" s="128"/>
      <c r="F1052" s="128"/>
      <c r="G1052" s="128"/>
      <c r="H1052" s="128"/>
      <c r="I1052" s="128"/>
      <c r="J1052" s="128"/>
      <c r="K1052" s="128"/>
      <c r="L1052" s="128"/>
      <c r="M1052" s="128"/>
      <c r="N1052" s="128"/>
      <c r="O1052" s="128"/>
      <c r="P1052" s="128"/>
      <c r="Q1052" s="128"/>
      <c r="R1052" s="128"/>
      <c r="S1052" s="128"/>
      <c r="T1052" s="128"/>
      <c r="U1052" s="128"/>
      <c r="V1052" s="128"/>
      <c r="W1052" s="128"/>
      <c r="X1052" s="128"/>
      <c r="Y1052" s="128"/>
      <c r="Z1052" s="128"/>
      <c r="AA1052" s="128"/>
    </row>
    <row r="1053">
      <c r="A1053" s="134"/>
      <c r="B1053" s="134"/>
      <c r="C1053" s="128"/>
      <c r="D1053" s="128"/>
      <c r="E1053" s="128"/>
      <c r="F1053" s="128"/>
      <c r="G1053" s="128"/>
      <c r="H1053" s="128"/>
      <c r="I1053" s="128"/>
      <c r="J1053" s="128"/>
      <c r="K1053" s="128"/>
      <c r="L1053" s="128"/>
      <c r="M1053" s="128"/>
      <c r="N1053" s="128"/>
      <c r="O1053" s="128"/>
      <c r="P1053" s="128"/>
      <c r="Q1053" s="128"/>
      <c r="R1053" s="128"/>
      <c r="S1053" s="128"/>
      <c r="T1053" s="128"/>
      <c r="U1053" s="128"/>
      <c r="V1053" s="128"/>
      <c r="W1053" s="128"/>
      <c r="X1053" s="128"/>
      <c r="Y1053" s="128"/>
      <c r="Z1053" s="128"/>
      <c r="AA1053" s="128"/>
    </row>
    <row r="1054">
      <c r="A1054" s="134"/>
      <c r="B1054" s="134"/>
      <c r="C1054" s="128"/>
      <c r="D1054" s="128"/>
      <c r="E1054" s="128"/>
      <c r="F1054" s="128"/>
      <c r="G1054" s="128"/>
      <c r="H1054" s="128"/>
      <c r="I1054" s="128"/>
      <c r="J1054" s="128"/>
      <c r="K1054" s="128"/>
      <c r="L1054" s="128"/>
      <c r="M1054" s="128"/>
      <c r="N1054" s="128"/>
      <c r="O1054" s="128"/>
      <c r="P1054" s="128"/>
      <c r="Q1054" s="128"/>
      <c r="R1054" s="128"/>
      <c r="S1054" s="128"/>
      <c r="T1054" s="128"/>
      <c r="U1054" s="128"/>
      <c r="V1054" s="128"/>
      <c r="W1054" s="128"/>
      <c r="X1054" s="128"/>
      <c r="Y1054" s="128"/>
      <c r="Z1054" s="128"/>
      <c r="AA1054" s="128"/>
    </row>
    <row r="1055">
      <c r="A1055" s="134"/>
      <c r="B1055" s="134"/>
      <c r="C1055" s="128"/>
      <c r="D1055" s="128"/>
      <c r="E1055" s="128"/>
      <c r="F1055" s="128"/>
      <c r="G1055" s="128"/>
      <c r="H1055" s="128"/>
      <c r="I1055" s="128"/>
      <c r="J1055" s="128"/>
      <c r="K1055" s="128"/>
      <c r="L1055" s="128"/>
      <c r="M1055" s="128"/>
      <c r="N1055" s="128"/>
      <c r="O1055" s="128"/>
      <c r="P1055" s="128"/>
      <c r="Q1055" s="128"/>
      <c r="R1055" s="128"/>
      <c r="S1055" s="128"/>
      <c r="T1055" s="128"/>
      <c r="U1055" s="128"/>
      <c r="V1055" s="128"/>
      <c r="W1055" s="128"/>
      <c r="X1055" s="128"/>
      <c r="Y1055" s="128"/>
      <c r="Z1055" s="128"/>
      <c r="AA1055" s="128"/>
    </row>
    <row r="1056">
      <c r="A1056" s="134"/>
      <c r="B1056" s="134"/>
      <c r="C1056" s="128"/>
      <c r="D1056" s="128"/>
      <c r="E1056" s="128"/>
      <c r="F1056" s="128"/>
      <c r="G1056" s="128"/>
      <c r="H1056" s="128"/>
      <c r="I1056" s="128"/>
      <c r="J1056" s="128"/>
      <c r="K1056" s="128"/>
      <c r="L1056" s="128"/>
      <c r="M1056" s="128"/>
      <c r="N1056" s="128"/>
      <c r="O1056" s="128"/>
      <c r="P1056" s="128"/>
      <c r="Q1056" s="128"/>
      <c r="R1056" s="128"/>
      <c r="S1056" s="128"/>
      <c r="T1056" s="128"/>
      <c r="U1056" s="128"/>
      <c r="V1056" s="128"/>
      <c r="W1056" s="128"/>
      <c r="X1056" s="128"/>
      <c r="Y1056" s="128"/>
      <c r="Z1056" s="128"/>
      <c r="AA1056" s="128"/>
    </row>
    <row r="1057">
      <c r="A1057" s="134"/>
      <c r="B1057" s="134"/>
      <c r="C1057" s="128"/>
      <c r="D1057" s="128"/>
      <c r="E1057" s="128"/>
      <c r="F1057" s="128"/>
      <c r="G1057" s="128"/>
      <c r="H1057" s="128"/>
      <c r="I1057" s="128"/>
      <c r="J1057" s="128"/>
      <c r="K1057" s="128"/>
      <c r="L1057" s="128"/>
      <c r="M1057" s="128"/>
      <c r="N1057" s="128"/>
      <c r="O1057" s="128"/>
      <c r="P1057" s="128"/>
      <c r="Q1057" s="128"/>
      <c r="R1057" s="128"/>
      <c r="S1057" s="128"/>
      <c r="T1057" s="128"/>
      <c r="U1057" s="128"/>
      <c r="V1057" s="128"/>
      <c r="W1057" s="128"/>
      <c r="X1057" s="128"/>
      <c r="Y1057" s="128"/>
      <c r="Z1057" s="128"/>
      <c r="AA1057" s="128"/>
    </row>
    <row r="1058">
      <c r="A1058" s="134"/>
      <c r="B1058" s="134"/>
      <c r="C1058" s="128"/>
      <c r="D1058" s="128"/>
      <c r="E1058" s="128"/>
      <c r="F1058" s="128"/>
      <c r="G1058" s="128"/>
      <c r="H1058" s="128"/>
      <c r="I1058" s="128"/>
      <c r="J1058" s="128"/>
      <c r="K1058" s="128"/>
      <c r="L1058" s="128"/>
      <c r="M1058" s="128"/>
      <c r="N1058" s="128"/>
      <c r="O1058" s="128"/>
      <c r="P1058" s="128"/>
      <c r="Q1058" s="128"/>
      <c r="R1058" s="128"/>
      <c r="S1058" s="128"/>
      <c r="T1058" s="128"/>
      <c r="U1058" s="128"/>
      <c r="V1058" s="128"/>
      <c r="W1058" s="128"/>
      <c r="X1058" s="128"/>
      <c r="Y1058" s="128"/>
      <c r="Z1058" s="128"/>
      <c r="AA1058" s="128"/>
    </row>
    <row r="1059">
      <c r="A1059" s="134"/>
      <c r="B1059" s="134"/>
      <c r="C1059" s="128"/>
      <c r="D1059" s="128"/>
      <c r="E1059" s="128"/>
      <c r="F1059" s="128"/>
      <c r="G1059" s="128"/>
      <c r="H1059" s="128"/>
      <c r="I1059" s="128"/>
      <c r="J1059" s="128"/>
      <c r="K1059" s="128"/>
      <c r="L1059" s="128"/>
      <c r="M1059" s="128"/>
      <c r="N1059" s="128"/>
      <c r="O1059" s="128"/>
      <c r="P1059" s="128"/>
      <c r="Q1059" s="128"/>
      <c r="R1059" s="128"/>
      <c r="S1059" s="128"/>
      <c r="T1059" s="128"/>
      <c r="U1059" s="128"/>
      <c r="V1059" s="128"/>
      <c r="W1059" s="128"/>
      <c r="X1059" s="128"/>
      <c r="Y1059" s="128"/>
      <c r="Z1059" s="128"/>
      <c r="AA1059" s="128"/>
    </row>
    <row r="1060">
      <c r="A1060" s="134"/>
      <c r="B1060" s="134"/>
      <c r="C1060" s="128"/>
      <c r="D1060" s="128"/>
      <c r="E1060" s="128"/>
      <c r="F1060" s="128"/>
      <c r="G1060" s="128"/>
      <c r="H1060" s="128"/>
      <c r="I1060" s="128"/>
      <c r="J1060" s="128"/>
      <c r="K1060" s="128"/>
      <c r="L1060" s="128"/>
      <c r="M1060" s="128"/>
      <c r="N1060" s="128"/>
      <c r="O1060" s="128"/>
      <c r="P1060" s="128"/>
      <c r="Q1060" s="128"/>
      <c r="R1060" s="128"/>
      <c r="S1060" s="128"/>
      <c r="T1060" s="128"/>
      <c r="U1060" s="128"/>
      <c r="V1060" s="128"/>
      <c r="W1060" s="128"/>
      <c r="X1060" s="128"/>
      <c r="Y1060" s="128"/>
      <c r="Z1060" s="128"/>
      <c r="AA1060" s="128"/>
    </row>
    <row r="1061">
      <c r="A1061" s="134"/>
      <c r="B1061" s="134"/>
      <c r="C1061" s="128"/>
      <c r="D1061" s="128"/>
      <c r="E1061" s="128"/>
      <c r="F1061" s="128"/>
      <c r="G1061" s="128"/>
      <c r="H1061" s="128"/>
      <c r="I1061" s="128"/>
      <c r="J1061" s="128"/>
      <c r="K1061" s="128"/>
      <c r="L1061" s="128"/>
      <c r="M1061" s="128"/>
      <c r="N1061" s="128"/>
      <c r="O1061" s="128"/>
      <c r="P1061" s="128"/>
      <c r="Q1061" s="128"/>
      <c r="R1061" s="128"/>
      <c r="S1061" s="128"/>
      <c r="T1061" s="128"/>
      <c r="U1061" s="128"/>
      <c r="V1061" s="128"/>
      <c r="W1061" s="128"/>
      <c r="X1061" s="128"/>
      <c r="Y1061" s="128"/>
      <c r="Z1061" s="128"/>
      <c r="AA1061" s="128"/>
    </row>
    <row r="1062">
      <c r="A1062" s="134"/>
      <c r="B1062" s="134"/>
      <c r="C1062" s="128"/>
      <c r="D1062" s="128"/>
      <c r="E1062" s="128"/>
      <c r="F1062" s="128"/>
      <c r="G1062" s="128"/>
      <c r="H1062" s="128"/>
      <c r="I1062" s="128"/>
      <c r="J1062" s="128"/>
      <c r="K1062" s="128"/>
      <c r="L1062" s="128"/>
      <c r="M1062" s="128"/>
      <c r="N1062" s="128"/>
      <c r="O1062" s="128"/>
      <c r="P1062" s="128"/>
      <c r="Q1062" s="128"/>
      <c r="R1062" s="128"/>
      <c r="S1062" s="128"/>
      <c r="T1062" s="128"/>
      <c r="U1062" s="128"/>
      <c r="V1062" s="128"/>
      <c r="W1062" s="128"/>
      <c r="X1062" s="128"/>
      <c r="Y1062" s="128"/>
      <c r="Z1062" s="128"/>
      <c r="AA1062" s="128"/>
    </row>
  </sheetData>
  <mergeCells count="27">
    <mergeCell ref="B7:N7"/>
    <mergeCell ref="B16:N16"/>
    <mergeCell ref="B23:N23"/>
    <mergeCell ref="B26:N26"/>
    <mergeCell ref="B28:N28"/>
    <mergeCell ref="B29:N29"/>
    <mergeCell ref="B30:N30"/>
    <mergeCell ref="B35:N35"/>
    <mergeCell ref="B38:N38"/>
    <mergeCell ref="B40:N40"/>
    <mergeCell ref="B41:N41"/>
    <mergeCell ref="B42:N42"/>
    <mergeCell ref="B47:N47"/>
    <mergeCell ref="B51:N51"/>
    <mergeCell ref="B78:N78"/>
    <mergeCell ref="B79:N79"/>
    <mergeCell ref="B81:N81"/>
    <mergeCell ref="B82:N82"/>
    <mergeCell ref="B87:N87"/>
    <mergeCell ref="B94:N94"/>
    <mergeCell ref="B53:N53"/>
    <mergeCell ref="B54:N54"/>
    <mergeCell ref="B55:N55"/>
    <mergeCell ref="B60:N60"/>
    <mergeCell ref="B63:N63"/>
    <mergeCell ref="B68:N68"/>
    <mergeCell ref="B73:N73"/>
  </mergeCells>
  <hyperlinks>
    <hyperlink r:id="rId4" ref="N5"/>
    <hyperlink r:id="rId5" ref="N9"/>
    <hyperlink r:id="rId6" ref="N14"/>
    <hyperlink r:id="rId7" ref="N18"/>
  </hyperlinks>
  <drawing r:id="rId8"/>
  <legacyDrawing r:id="rId9"/>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3.25"/>
    <col customWidth="1" min="2" max="2" width="60.0"/>
    <col customWidth="1" min="3" max="3" width="37.88"/>
    <col customWidth="1" min="4" max="4" width="36.25"/>
  </cols>
  <sheetData>
    <row r="1">
      <c r="A1" s="135" t="s">
        <v>67</v>
      </c>
      <c r="B1" s="135" t="s">
        <v>215</v>
      </c>
      <c r="C1" s="135" t="s">
        <v>216</v>
      </c>
      <c r="D1" s="136" t="str">
        <f>concatenate(D5,", ",D7)</f>
        <v>hakim.hacid@gmail.com, yoelle@yahoo.com</v>
      </c>
    </row>
    <row r="2">
      <c r="A2" s="135" t="s">
        <v>217</v>
      </c>
      <c r="B2" s="137" t="s">
        <v>218</v>
      </c>
      <c r="C2" s="135" t="s">
        <v>219</v>
      </c>
      <c r="D2" s="136" t="s">
        <v>220</v>
      </c>
    </row>
    <row r="3">
      <c r="A3" s="135"/>
      <c r="B3" s="138"/>
      <c r="C3" s="139"/>
      <c r="D3" s="139"/>
      <c r="E3" s="138"/>
    </row>
    <row r="4">
      <c r="A4" s="135" t="s">
        <v>221</v>
      </c>
      <c r="B4" s="140"/>
      <c r="C4" s="135" t="s">
        <v>222</v>
      </c>
      <c r="D4" s="136" t="s">
        <v>223</v>
      </c>
    </row>
    <row r="5">
      <c r="A5" s="135" t="s">
        <v>224</v>
      </c>
      <c r="B5" s="141"/>
      <c r="C5" s="142" t="s">
        <v>225</v>
      </c>
      <c r="D5" s="136" t="s">
        <v>226</v>
      </c>
      <c r="E5" s="141"/>
      <c r="F5" s="141"/>
      <c r="G5" s="141"/>
      <c r="H5" s="141"/>
      <c r="I5" s="141"/>
      <c r="J5" s="141"/>
      <c r="K5" s="141"/>
      <c r="L5" s="141"/>
      <c r="M5" s="141"/>
    </row>
    <row r="6">
      <c r="A6" s="135" t="s">
        <v>227</v>
      </c>
      <c r="B6" s="142"/>
      <c r="C6" s="142" t="s">
        <v>228</v>
      </c>
      <c r="D6" s="136" t="s">
        <v>229</v>
      </c>
      <c r="E6" s="142"/>
      <c r="F6" s="142"/>
      <c r="G6" s="142"/>
      <c r="H6" s="142"/>
      <c r="I6" s="142"/>
      <c r="J6" s="142"/>
      <c r="K6" s="142"/>
      <c r="L6" s="142"/>
      <c r="M6" s="142"/>
    </row>
    <row r="7">
      <c r="A7" s="135" t="s">
        <v>230</v>
      </c>
      <c r="B7" s="141"/>
      <c r="C7" s="142" t="s">
        <v>231</v>
      </c>
      <c r="D7" s="136" t="s">
        <v>232</v>
      </c>
      <c r="E7" s="141"/>
      <c r="F7" s="141"/>
      <c r="G7" s="141"/>
      <c r="H7" s="141"/>
      <c r="I7" s="141"/>
      <c r="J7" s="141"/>
      <c r="K7" s="141"/>
      <c r="L7" s="141"/>
      <c r="M7" s="141"/>
    </row>
    <row r="8">
      <c r="A8" s="142" t="s">
        <v>233</v>
      </c>
      <c r="B8" s="142"/>
      <c r="C8" s="135" t="s">
        <v>216</v>
      </c>
      <c r="D8" s="136" t="str">
        <f>concatenate(D5,", ",D7)</f>
        <v>hakim.hacid@gmail.com, yoelle@yahoo.com</v>
      </c>
      <c r="E8" s="142"/>
      <c r="F8" s="142"/>
      <c r="G8" s="142"/>
      <c r="H8" s="142"/>
      <c r="I8" s="142"/>
      <c r="J8" s="142"/>
      <c r="K8" s="142"/>
      <c r="L8" s="142"/>
      <c r="M8" s="142"/>
    </row>
    <row r="9">
      <c r="A9" s="142" t="s">
        <v>234</v>
      </c>
      <c r="B9" s="135"/>
      <c r="C9" s="143" t="s">
        <v>235</v>
      </c>
      <c r="D9" s="136" t="s">
        <v>236</v>
      </c>
      <c r="E9" s="142"/>
      <c r="F9" s="142"/>
      <c r="G9" s="142"/>
      <c r="H9" s="142"/>
      <c r="I9" s="142"/>
      <c r="J9" s="142"/>
      <c r="K9" s="142"/>
      <c r="L9" s="142"/>
      <c r="M9" s="142"/>
    </row>
    <row r="10">
      <c r="A10" s="142"/>
      <c r="B10" s="135"/>
      <c r="C10" s="144"/>
      <c r="D10" s="142"/>
      <c r="E10" s="142"/>
      <c r="F10" s="142"/>
      <c r="G10" s="142"/>
      <c r="H10" s="142"/>
      <c r="I10" s="142"/>
      <c r="J10" s="142"/>
      <c r="K10" s="142"/>
      <c r="L10" s="142"/>
      <c r="M10" s="142"/>
    </row>
    <row r="11">
      <c r="A11" s="142" t="s">
        <v>214</v>
      </c>
      <c r="B11" s="135" t="s">
        <v>237</v>
      </c>
      <c r="C11" s="135" t="s">
        <v>216</v>
      </c>
      <c r="D11" s="136" t="str">
        <f>concatenate(D5,", ",D7)</f>
        <v>hakim.hacid@gmail.com, yoelle@yahoo.com</v>
      </c>
      <c r="E11" s="142"/>
      <c r="F11" s="142"/>
      <c r="G11" s="142"/>
      <c r="H11" s="142"/>
      <c r="I11" s="142"/>
      <c r="J11" s="142"/>
      <c r="K11" s="142"/>
      <c r="L11" s="142"/>
      <c r="M11" s="142"/>
    </row>
    <row r="12">
      <c r="A12" s="142" t="s">
        <v>238</v>
      </c>
      <c r="B12" s="142" t="s">
        <v>218</v>
      </c>
      <c r="C12" s="142" t="s">
        <v>239</v>
      </c>
      <c r="D12" s="136" t="s">
        <v>240</v>
      </c>
      <c r="E12" s="142"/>
      <c r="F12" s="142"/>
      <c r="G12" s="142"/>
      <c r="H12" s="142"/>
      <c r="I12" s="142"/>
      <c r="J12" s="142"/>
      <c r="K12" s="142"/>
      <c r="L12" s="142"/>
      <c r="M12" s="142"/>
    </row>
    <row r="13">
      <c r="A13" s="142"/>
      <c r="B13" s="142"/>
      <c r="C13" s="142"/>
      <c r="D13" s="136"/>
      <c r="E13" s="142"/>
      <c r="F13" s="142"/>
      <c r="G13" s="142"/>
      <c r="H13" s="142"/>
      <c r="I13" s="142"/>
      <c r="J13" s="142"/>
      <c r="K13" s="142"/>
      <c r="L13" s="142"/>
      <c r="M13" s="142"/>
    </row>
    <row r="14">
      <c r="A14" s="142" t="s">
        <v>86</v>
      </c>
      <c r="B14" s="142"/>
      <c r="C14" s="143" t="s">
        <v>241</v>
      </c>
      <c r="D14" s="136" t="s">
        <v>242</v>
      </c>
      <c r="E14" s="142"/>
      <c r="F14" s="142"/>
      <c r="G14" s="142"/>
      <c r="H14" s="142"/>
      <c r="I14" s="142"/>
      <c r="J14" s="142"/>
      <c r="K14" s="142"/>
      <c r="L14" s="142"/>
      <c r="M14" s="142"/>
    </row>
    <row r="15">
      <c r="A15" s="142" t="s">
        <v>109</v>
      </c>
      <c r="B15" s="142"/>
      <c r="C15" s="142" t="s">
        <v>241</v>
      </c>
      <c r="D15" s="136" t="s">
        <v>242</v>
      </c>
      <c r="E15" s="142"/>
      <c r="F15" s="142"/>
      <c r="G15" s="142"/>
      <c r="H15" s="142"/>
      <c r="I15" s="142"/>
      <c r="J15" s="142"/>
      <c r="K15" s="142"/>
      <c r="L15" s="142"/>
      <c r="M15" s="142"/>
    </row>
    <row r="16">
      <c r="A16" s="145"/>
      <c r="B16" s="142"/>
      <c r="C16" s="142"/>
      <c r="D16" s="136"/>
      <c r="E16" s="142"/>
      <c r="F16" s="142"/>
      <c r="G16" s="142"/>
      <c r="H16" s="142"/>
      <c r="I16" s="142"/>
      <c r="J16" s="142"/>
      <c r="K16" s="142"/>
      <c r="L16" s="142"/>
      <c r="M16" s="142"/>
    </row>
    <row r="17">
      <c r="A17" s="146" t="s">
        <v>199</v>
      </c>
      <c r="B17" s="142" t="s">
        <v>243</v>
      </c>
      <c r="C17" s="142" t="s">
        <v>244</v>
      </c>
      <c r="D17" s="136" t="s">
        <v>245</v>
      </c>
      <c r="E17" s="142"/>
      <c r="F17" s="142"/>
      <c r="G17" s="142"/>
      <c r="H17" s="142"/>
      <c r="I17" s="142"/>
      <c r="J17" s="142"/>
      <c r="K17" s="142"/>
      <c r="L17" s="142"/>
      <c r="M17" s="142"/>
    </row>
    <row r="18">
      <c r="A18" s="147"/>
      <c r="B18" s="140"/>
      <c r="C18" s="147"/>
      <c r="D18" s="147"/>
    </row>
    <row r="19">
      <c r="A19" s="147" t="s">
        <v>143</v>
      </c>
      <c r="B19" s="140" t="s">
        <v>246</v>
      </c>
      <c r="C19" s="147" t="s">
        <v>247</v>
      </c>
      <c r="D19" s="147" t="s">
        <v>248</v>
      </c>
    </row>
    <row r="20">
      <c r="A20" s="147" t="s">
        <v>165</v>
      </c>
      <c r="B20" s="140" t="s">
        <v>249</v>
      </c>
      <c r="C20" s="147" t="s">
        <v>250</v>
      </c>
      <c r="D20" s="147" t="s">
        <v>251</v>
      </c>
    </row>
    <row r="21">
      <c r="A21" s="147" t="s">
        <v>185</v>
      </c>
      <c r="B21" s="140" t="s">
        <v>252</v>
      </c>
      <c r="C21" s="148" t="s">
        <v>253</v>
      </c>
      <c r="D21" s="135" t="s">
        <v>254</v>
      </c>
    </row>
    <row r="22">
      <c r="A22" s="147" t="s">
        <v>211</v>
      </c>
      <c r="B22" s="149" t="s">
        <v>255</v>
      </c>
      <c r="C22" s="147" t="s">
        <v>256</v>
      </c>
      <c r="D22" s="147" t="s">
        <v>257</v>
      </c>
    </row>
    <row r="23">
      <c r="A23" s="147"/>
      <c r="B23" s="147"/>
      <c r="C23" s="147"/>
      <c r="D23" s="147"/>
      <c r="E23" s="147"/>
    </row>
    <row r="24">
      <c r="A24" s="147" t="s">
        <v>84</v>
      </c>
      <c r="B24" s="147" t="s">
        <v>258</v>
      </c>
      <c r="C24" s="147" t="s">
        <v>259</v>
      </c>
      <c r="D24" s="147" t="s">
        <v>260</v>
      </c>
      <c r="E24" s="147"/>
    </row>
    <row r="25">
      <c r="A25" s="147" t="s">
        <v>85</v>
      </c>
      <c r="B25" s="147" t="s">
        <v>213</v>
      </c>
      <c r="C25" s="147" t="s">
        <v>247</v>
      </c>
      <c r="D25" s="147" t="s">
        <v>248</v>
      </c>
    </row>
    <row r="26">
      <c r="A26" s="147" t="s">
        <v>108</v>
      </c>
      <c r="B26" s="147" t="s">
        <v>261</v>
      </c>
      <c r="C26" s="147" t="s">
        <v>262</v>
      </c>
      <c r="D26" s="147" t="s">
        <v>263</v>
      </c>
    </row>
    <row r="27">
      <c r="A27" s="147" t="s">
        <v>141</v>
      </c>
      <c r="B27" s="147" t="s">
        <v>264</v>
      </c>
      <c r="C27" s="147" t="s">
        <v>265</v>
      </c>
      <c r="D27" s="147" t="s">
        <v>266</v>
      </c>
    </row>
    <row r="28">
      <c r="A28" s="147" t="s">
        <v>142</v>
      </c>
      <c r="B28" s="147" t="s">
        <v>267</v>
      </c>
      <c r="C28" s="147" t="s">
        <v>268</v>
      </c>
      <c r="D28" s="147" t="s">
        <v>269</v>
      </c>
    </row>
    <row r="29">
      <c r="A29" s="147" t="s">
        <v>164</v>
      </c>
      <c r="B29" s="147" t="s">
        <v>270</v>
      </c>
      <c r="C29" s="147" t="s">
        <v>271</v>
      </c>
      <c r="D29" s="147" t="s">
        <v>272</v>
      </c>
    </row>
    <row r="30">
      <c r="A30" s="147" t="s">
        <v>184</v>
      </c>
      <c r="B30" s="147" t="s">
        <v>273</v>
      </c>
      <c r="C30" s="147" t="s">
        <v>274</v>
      </c>
      <c r="D30" s="147" t="s">
        <v>275</v>
      </c>
    </row>
    <row r="31">
      <c r="A31" s="147" t="s">
        <v>210</v>
      </c>
      <c r="B31" s="147" t="s">
        <v>276</v>
      </c>
      <c r="C31" s="147" t="s">
        <v>277</v>
      </c>
      <c r="D31" s="147" t="s">
        <v>278</v>
      </c>
    </row>
    <row r="32">
      <c r="A32" s="147"/>
      <c r="B32" s="147"/>
      <c r="C32" s="150"/>
      <c r="D32" s="150"/>
    </row>
    <row r="33">
      <c r="A33" s="147" t="s">
        <v>74</v>
      </c>
      <c r="B33" s="147" t="s">
        <v>279</v>
      </c>
      <c r="C33" s="151" t="s">
        <v>280</v>
      </c>
      <c r="D33" s="151" t="s">
        <v>281</v>
      </c>
    </row>
    <row r="34">
      <c r="A34" s="147" t="s">
        <v>97</v>
      </c>
      <c r="B34" s="147" t="s">
        <v>282</v>
      </c>
      <c r="C34" s="151" t="s">
        <v>280</v>
      </c>
      <c r="D34" s="151" t="s">
        <v>281</v>
      </c>
    </row>
    <row r="35">
      <c r="A35" s="147" t="s">
        <v>131</v>
      </c>
      <c r="B35" s="147" t="s">
        <v>283</v>
      </c>
      <c r="C35" s="151" t="s">
        <v>284</v>
      </c>
      <c r="D35" s="151" t="s">
        <v>285</v>
      </c>
    </row>
    <row r="36">
      <c r="A36" s="147"/>
      <c r="B36" s="147"/>
      <c r="C36" s="147"/>
      <c r="D36" s="147"/>
    </row>
    <row r="37">
      <c r="A37" s="147" t="s">
        <v>75</v>
      </c>
      <c r="B37" s="147" t="s">
        <v>286</v>
      </c>
      <c r="C37" s="152" t="s">
        <v>262</v>
      </c>
      <c r="D37" s="152" t="s">
        <v>287</v>
      </c>
    </row>
    <row r="38">
      <c r="A38" s="147" t="s">
        <v>98</v>
      </c>
      <c r="B38" s="147" t="s">
        <v>288</v>
      </c>
      <c r="C38" s="152" t="s">
        <v>289</v>
      </c>
      <c r="D38" s="152" t="s">
        <v>290</v>
      </c>
    </row>
    <row r="39">
      <c r="A39" s="147" t="s">
        <v>132</v>
      </c>
      <c r="B39" s="147" t="s">
        <v>291</v>
      </c>
      <c r="C39" s="152" t="s">
        <v>292</v>
      </c>
      <c r="D39" s="152" t="s">
        <v>293</v>
      </c>
    </row>
    <row r="40">
      <c r="A40" s="147" t="s">
        <v>154</v>
      </c>
      <c r="B40" s="147" t="s">
        <v>294</v>
      </c>
      <c r="C40" s="152" t="s">
        <v>295</v>
      </c>
      <c r="D40" s="152" t="s">
        <v>296</v>
      </c>
    </row>
    <row r="41">
      <c r="A41" s="147" t="s">
        <v>174</v>
      </c>
      <c r="B41" s="147" t="s">
        <v>297</v>
      </c>
      <c r="C41" s="152" t="s">
        <v>298</v>
      </c>
      <c r="D41" s="152" t="s">
        <v>299</v>
      </c>
    </row>
    <row r="42">
      <c r="A42" s="147" t="s">
        <v>200</v>
      </c>
      <c r="B42" s="147" t="s">
        <v>300</v>
      </c>
      <c r="C42" s="153" t="s">
        <v>301</v>
      </c>
      <c r="D42" s="152" t="s">
        <v>302</v>
      </c>
    </row>
    <row r="43">
      <c r="A43" s="147" t="s">
        <v>76</v>
      </c>
      <c r="B43" s="147" t="s">
        <v>303</v>
      </c>
      <c r="C43" s="152" t="s">
        <v>304</v>
      </c>
      <c r="D43" s="152" t="s">
        <v>305</v>
      </c>
    </row>
    <row r="44">
      <c r="A44" s="147" t="s">
        <v>99</v>
      </c>
      <c r="B44" s="147" t="s">
        <v>306</v>
      </c>
      <c r="C44" s="152" t="s">
        <v>307</v>
      </c>
      <c r="D44" s="152" t="s">
        <v>308</v>
      </c>
    </row>
    <row r="45">
      <c r="A45" s="147" t="s">
        <v>133</v>
      </c>
      <c r="B45" s="147" t="s">
        <v>309</v>
      </c>
      <c r="C45" s="152" t="s">
        <v>310</v>
      </c>
      <c r="D45" s="152" t="s">
        <v>311</v>
      </c>
    </row>
    <row r="46">
      <c r="A46" s="147" t="s">
        <v>155</v>
      </c>
      <c r="B46" s="147" t="s">
        <v>312</v>
      </c>
      <c r="C46" s="152" t="s">
        <v>313</v>
      </c>
      <c r="D46" s="154" t="s">
        <v>314</v>
      </c>
    </row>
    <row r="47">
      <c r="A47" s="147"/>
      <c r="B47" s="147"/>
      <c r="C47" s="147"/>
      <c r="D47" s="147"/>
    </row>
    <row r="48">
      <c r="A48" s="147" t="s">
        <v>153</v>
      </c>
      <c r="B48" s="147" t="s">
        <v>315</v>
      </c>
      <c r="C48" s="135" t="s">
        <v>316</v>
      </c>
      <c r="D48" s="147" t="s">
        <v>317</v>
      </c>
    </row>
    <row r="49">
      <c r="A49" s="147" t="s">
        <v>173</v>
      </c>
      <c r="B49" s="147" t="s">
        <v>318</v>
      </c>
      <c r="C49" s="138" t="s">
        <v>319</v>
      </c>
      <c r="D49" s="155" t="s">
        <v>320</v>
      </c>
    </row>
    <row r="50">
      <c r="A50" s="147" t="s">
        <v>212</v>
      </c>
      <c r="B50" s="147" t="s">
        <v>321</v>
      </c>
      <c r="C50" s="147" t="s">
        <v>322</v>
      </c>
      <c r="D50" s="156" t="s">
        <v>281</v>
      </c>
    </row>
    <row r="51">
      <c r="A51" s="147"/>
      <c r="B51" s="147"/>
      <c r="C51" s="147"/>
      <c r="D51" s="147"/>
    </row>
    <row r="52">
      <c r="A52" s="147" t="s">
        <v>77</v>
      </c>
      <c r="B52" s="147" t="s">
        <v>323</v>
      </c>
      <c r="C52" s="157" t="s">
        <v>222</v>
      </c>
      <c r="D52" s="158" t="s">
        <v>223</v>
      </c>
    </row>
    <row r="53">
      <c r="A53" s="147" t="s">
        <v>100</v>
      </c>
      <c r="B53" s="147" t="s">
        <v>324</v>
      </c>
      <c r="C53" s="159" t="s">
        <v>325</v>
      </c>
      <c r="D53" s="160" t="s">
        <v>266</v>
      </c>
    </row>
    <row r="54">
      <c r="A54" s="147" t="s">
        <v>134</v>
      </c>
      <c r="B54" s="147" t="s">
        <v>326</v>
      </c>
      <c r="C54" s="159" t="s">
        <v>327</v>
      </c>
      <c r="D54" s="159" t="s">
        <v>328</v>
      </c>
    </row>
    <row r="55">
      <c r="A55" s="147" t="s">
        <v>156</v>
      </c>
      <c r="B55" s="147" t="s">
        <v>329</v>
      </c>
      <c r="C55" s="157" t="s">
        <v>330</v>
      </c>
      <c r="D55" s="157" t="s">
        <v>331</v>
      </c>
    </row>
    <row r="56">
      <c r="A56" s="147" t="s">
        <v>176</v>
      </c>
      <c r="B56" s="147" t="s">
        <v>332</v>
      </c>
      <c r="C56" s="159" t="s">
        <v>333</v>
      </c>
      <c r="D56" s="159" t="s">
        <v>334</v>
      </c>
    </row>
    <row r="57">
      <c r="A57" s="147" t="s">
        <v>202</v>
      </c>
      <c r="B57" s="147" t="s">
        <v>335</v>
      </c>
      <c r="C57" s="157" t="s">
        <v>336</v>
      </c>
      <c r="D57" s="157" t="s">
        <v>337</v>
      </c>
    </row>
    <row r="58">
      <c r="A58" s="147"/>
      <c r="B58" s="147"/>
      <c r="C58" s="147"/>
      <c r="D58" s="147"/>
    </row>
    <row r="59">
      <c r="A59" s="147" t="s">
        <v>178</v>
      </c>
      <c r="B59" s="147" t="s">
        <v>338</v>
      </c>
      <c r="C59" s="147" t="s">
        <v>339</v>
      </c>
      <c r="D59" s="147" t="s">
        <v>340</v>
      </c>
    </row>
    <row r="60">
      <c r="A60" s="147" t="s">
        <v>204</v>
      </c>
      <c r="B60" s="147" t="s">
        <v>341</v>
      </c>
      <c r="C60" s="156" t="s">
        <v>342</v>
      </c>
      <c r="D60" s="155" t="s">
        <v>343</v>
      </c>
    </row>
    <row r="61">
      <c r="A61" s="147" t="s">
        <v>81</v>
      </c>
      <c r="B61" s="147" t="s">
        <v>344</v>
      </c>
      <c r="C61" s="156" t="s">
        <v>345</v>
      </c>
      <c r="D61" s="155" t="s">
        <v>346</v>
      </c>
    </row>
    <row r="62">
      <c r="A62" s="147" t="s">
        <v>104</v>
      </c>
      <c r="B62" s="147" t="s">
        <v>347</v>
      </c>
      <c r="C62" s="156" t="s">
        <v>348</v>
      </c>
      <c r="D62" s="155" t="s">
        <v>349</v>
      </c>
    </row>
    <row r="63">
      <c r="A63" s="147" t="s">
        <v>138</v>
      </c>
      <c r="B63" s="147" t="s">
        <v>350</v>
      </c>
      <c r="C63" s="156" t="s">
        <v>351</v>
      </c>
      <c r="D63" s="155" t="s">
        <v>352</v>
      </c>
    </row>
    <row r="64">
      <c r="A64" s="147" t="s">
        <v>160</v>
      </c>
      <c r="B64" s="147" t="s">
        <v>353</v>
      </c>
      <c r="C64" s="156" t="s">
        <v>354</v>
      </c>
      <c r="D64" s="155" t="s">
        <v>355</v>
      </c>
    </row>
    <row r="65">
      <c r="A65" s="147" t="s">
        <v>180</v>
      </c>
      <c r="B65" s="147" t="s">
        <v>356</v>
      </c>
      <c r="C65" s="156" t="s">
        <v>284</v>
      </c>
      <c r="D65" s="156" t="s">
        <v>285</v>
      </c>
    </row>
    <row r="66">
      <c r="A66" s="147" t="s">
        <v>206</v>
      </c>
      <c r="B66" s="147" t="s">
        <v>357</v>
      </c>
      <c r="C66" s="156" t="s">
        <v>358</v>
      </c>
      <c r="D66" s="155" t="s">
        <v>359</v>
      </c>
    </row>
    <row r="67">
      <c r="A67" s="147"/>
      <c r="B67" s="147"/>
      <c r="C67" s="147"/>
      <c r="D67" s="147"/>
    </row>
    <row r="68">
      <c r="A68" s="147" t="s">
        <v>175</v>
      </c>
      <c r="B68" s="147" t="s">
        <v>360</v>
      </c>
      <c r="C68" s="150" t="s">
        <v>361</v>
      </c>
      <c r="D68" s="150" t="s">
        <v>362</v>
      </c>
    </row>
    <row r="69">
      <c r="A69" s="147" t="s">
        <v>201</v>
      </c>
      <c r="B69" s="147" t="s">
        <v>363</v>
      </c>
      <c r="C69" s="150" t="s">
        <v>364</v>
      </c>
      <c r="D69" s="150" t="s">
        <v>365</v>
      </c>
    </row>
    <row r="70">
      <c r="A70" s="147" t="s">
        <v>78</v>
      </c>
      <c r="B70" s="147" t="s">
        <v>366</v>
      </c>
      <c r="C70" s="150" t="s">
        <v>367</v>
      </c>
      <c r="D70" s="150" t="s">
        <v>368</v>
      </c>
    </row>
    <row r="71">
      <c r="A71" s="147" t="s">
        <v>101</v>
      </c>
      <c r="B71" s="147" t="s">
        <v>369</v>
      </c>
      <c r="C71" s="147" t="s">
        <v>370</v>
      </c>
      <c r="D71" s="147" t="s">
        <v>371</v>
      </c>
    </row>
    <row r="72">
      <c r="A72" s="147" t="s">
        <v>177</v>
      </c>
      <c r="B72" s="147" t="s">
        <v>372</v>
      </c>
      <c r="C72" s="147" t="s">
        <v>373</v>
      </c>
      <c r="D72" s="147" t="s">
        <v>374</v>
      </c>
    </row>
    <row r="73">
      <c r="A73" s="147" t="s">
        <v>157</v>
      </c>
      <c r="B73" s="147" t="s">
        <v>375</v>
      </c>
      <c r="C73" s="150" t="s">
        <v>376</v>
      </c>
      <c r="D73" s="150" t="s">
        <v>377</v>
      </c>
    </row>
    <row r="74">
      <c r="A74" s="147" t="s">
        <v>135</v>
      </c>
      <c r="B74" s="147" t="s">
        <v>378</v>
      </c>
      <c r="C74" s="150" t="s">
        <v>379</v>
      </c>
      <c r="D74" s="150" t="s">
        <v>380</v>
      </c>
    </row>
    <row r="75">
      <c r="A75" s="147" t="s">
        <v>203</v>
      </c>
      <c r="B75" s="147" t="s">
        <v>381</v>
      </c>
      <c r="C75" s="147" t="s">
        <v>382</v>
      </c>
      <c r="D75" s="147" t="s">
        <v>383</v>
      </c>
    </row>
    <row r="76">
      <c r="A76" s="147"/>
      <c r="B76" s="147"/>
      <c r="C76" s="147"/>
      <c r="D76" s="147"/>
    </row>
    <row r="77">
      <c r="A77" s="147" t="s">
        <v>79</v>
      </c>
      <c r="B77" s="147" t="s">
        <v>384</v>
      </c>
      <c r="C77" s="150" t="s">
        <v>385</v>
      </c>
      <c r="D77" s="150" t="s">
        <v>386</v>
      </c>
    </row>
    <row r="78">
      <c r="A78" s="147" t="s">
        <v>102</v>
      </c>
      <c r="B78" s="147" t="s">
        <v>387</v>
      </c>
      <c r="C78" s="150" t="s">
        <v>388</v>
      </c>
      <c r="D78" s="150" t="s">
        <v>389</v>
      </c>
    </row>
    <row r="79">
      <c r="A79" s="147" t="s">
        <v>136</v>
      </c>
      <c r="B79" s="147" t="s">
        <v>390</v>
      </c>
      <c r="C79" s="150" t="s">
        <v>391</v>
      </c>
      <c r="D79" s="150" t="s">
        <v>392</v>
      </c>
    </row>
    <row r="80">
      <c r="A80" s="147" t="s">
        <v>158</v>
      </c>
      <c r="B80" s="147" t="s">
        <v>393</v>
      </c>
      <c r="C80" s="147" t="s">
        <v>394</v>
      </c>
      <c r="D80" s="147" t="s">
        <v>395</v>
      </c>
    </row>
    <row r="81">
      <c r="A81" s="147"/>
      <c r="B81" s="147"/>
      <c r="C81" s="147"/>
      <c r="D81" s="147"/>
    </row>
    <row r="82">
      <c r="A82" s="147" t="s">
        <v>80</v>
      </c>
      <c r="B82" s="147" t="s">
        <v>396</v>
      </c>
      <c r="C82" s="156" t="s">
        <v>397</v>
      </c>
      <c r="D82" s="156" t="s">
        <v>398</v>
      </c>
    </row>
    <row r="83">
      <c r="A83" s="147" t="s">
        <v>103</v>
      </c>
      <c r="B83" s="147" t="s">
        <v>399</v>
      </c>
      <c r="C83" s="156" t="s">
        <v>400</v>
      </c>
      <c r="D83" s="156" t="s">
        <v>401</v>
      </c>
    </row>
    <row r="84">
      <c r="A84" s="147" t="s">
        <v>137</v>
      </c>
      <c r="B84" s="147" t="s">
        <v>402</v>
      </c>
      <c r="C84" s="156" t="s">
        <v>403</v>
      </c>
      <c r="D84" s="156" t="s">
        <v>404</v>
      </c>
    </row>
    <row r="85">
      <c r="A85" s="147" t="s">
        <v>159</v>
      </c>
      <c r="B85" s="161" t="s">
        <v>405</v>
      </c>
      <c r="C85" s="156" t="s">
        <v>406</v>
      </c>
      <c r="D85" s="156" t="s">
        <v>407</v>
      </c>
    </row>
    <row r="86">
      <c r="A86" s="147" t="s">
        <v>179</v>
      </c>
      <c r="B86" s="161" t="s">
        <v>408</v>
      </c>
      <c r="C86" s="156" t="s">
        <v>409</v>
      </c>
      <c r="D86" s="156" t="s">
        <v>410</v>
      </c>
    </row>
    <row r="87">
      <c r="A87" s="147" t="s">
        <v>205</v>
      </c>
      <c r="B87" s="161" t="s">
        <v>411</v>
      </c>
      <c r="C87" s="156" t="s">
        <v>412</v>
      </c>
      <c r="D87" s="156" t="s">
        <v>401</v>
      </c>
    </row>
    <row r="88">
      <c r="A88" s="147"/>
      <c r="B88" s="147"/>
      <c r="C88" s="147"/>
      <c r="D88" s="147"/>
    </row>
    <row r="89">
      <c r="A89" s="147" t="s">
        <v>83</v>
      </c>
      <c r="B89" s="147" t="s">
        <v>413</v>
      </c>
      <c r="C89" s="156" t="s">
        <v>414</v>
      </c>
      <c r="D89" s="156" t="s">
        <v>415</v>
      </c>
    </row>
    <row r="90">
      <c r="A90" s="147" t="s">
        <v>106</v>
      </c>
      <c r="B90" s="147" t="s">
        <v>416</v>
      </c>
      <c r="C90" s="156" t="s">
        <v>417</v>
      </c>
      <c r="D90" s="156" t="s">
        <v>418</v>
      </c>
    </row>
    <row r="91">
      <c r="A91" s="147" t="s">
        <v>140</v>
      </c>
      <c r="B91" s="147" t="s">
        <v>419</v>
      </c>
      <c r="C91" s="156" t="s">
        <v>420</v>
      </c>
      <c r="D91" s="162" t="s">
        <v>421</v>
      </c>
    </row>
    <row r="92">
      <c r="A92" s="147" t="s">
        <v>162</v>
      </c>
      <c r="B92" s="147" t="s">
        <v>422</v>
      </c>
      <c r="C92" s="163" t="s">
        <v>423</v>
      </c>
      <c r="D92" s="163" t="s">
        <v>424</v>
      </c>
    </row>
    <row r="93">
      <c r="A93" s="147" t="s">
        <v>182</v>
      </c>
      <c r="B93" s="147" t="s">
        <v>425</v>
      </c>
      <c r="C93" s="163" t="s">
        <v>426</v>
      </c>
      <c r="D93" s="163" t="s">
        <v>427</v>
      </c>
    </row>
    <row r="94">
      <c r="A94" s="147" t="s">
        <v>208</v>
      </c>
      <c r="B94" s="147" t="s">
        <v>428</v>
      </c>
      <c r="C94" s="164" t="s">
        <v>429</v>
      </c>
      <c r="D94" s="163" t="s">
        <v>430</v>
      </c>
    </row>
    <row r="95">
      <c r="A95" s="147" t="s">
        <v>107</v>
      </c>
      <c r="B95" s="147" t="s">
        <v>431</v>
      </c>
      <c r="C95" s="163" t="s">
        <v>426</v>
      </c>
      <c r="D95" s="163" t="s">
        <v>427</v>
      </c>
    </row>
    <row r="96">
      <c r="A96" s="147" t="s">
        <v>163</v>
      </c>
      <c r="B96" s="147" t="s">
        <v>432</v>
      </c>
      <c r="C96" s="165" t="s">
        <v>433</v>
      </c>
      <c r="D96" s="166" t="s">
        <v>434</v>
      </c>
    </row>
    <row r="97">
      <c r="A97" s="147" t="s">
        <v>183</v>
      </c>
      <c r="B97" s="147" t="s">
        <v>435</v>
      </c>
      <c r="C97" s="151" t="s">
        <v>433</v>
      </c>
      <c r="D97" s="156" t="s">
        <v>436</v>
      </c>
    </row>
    <row r="98">
      <c r="A98" s="147" t="s">
        <v>209</v>
      </c>
      <c r="B98" s="147" t="s">
        <v>437</v>
      </c>
      <c r="C98" s="163" t="s">
        <v>438</v>
      </c>
      <c r="D98" s="163" t="s">
        <v>439</v>
      </c>
    </row>
    <row r="99">
      <c r="A99" s="147"/>
      <c r="B99" s="147"/>
      <c r="C99" s="147"/>
      <c r="D99" s="147"/>
    </row>
    <row r="100">
      <c r="A100" s="147" t="s">
        <v>82</v>
      </c>
      <c r="B100" s="147" t="s">
        <v>440</v>
      </c>
      <c r="C100" s="156" t="s">
        <v>441</v>
      </c>
      <c r="D100" s="156" t="s">
        <v>442</v>
      </c>
    </row>
    <row r="101">
      <c r="A101" s="147" t="s">
        <v>105</v>
      </c>
      <c r="B101" s="167" t="s">
        <v>443</v>
      </c>
      <c r="C101" s="156" t="s">
        <v>444</v>
      </c>
      <c r="D101" s="168" t="s">
        <v>445</v>
      </c>
    </row>
    <row r="102">
      <c r="A102" s="147" t="s">
        <v>139</v>
      </c>
      <c r="B102" s="167" t="s">
        <v>446</v>
      </c>
      <c r="C102" s="156" t="s">
        <v>444</v>
      </c>
      <c r="D102" s="168" t="s">
        <v>445</v>
      </c>
    </row>
    <row r="103">
      <c r="A103" s="147" t="s">
        <v>161</v>
      </c>
      <c r="B103" s="147" t="s">
        <v>447</v>
      </c>
      <c r="C103" s="156" t="s">
        <v>448</v>
      </c>
      <c r="D103" s="156" t="s">
        <v>449</v>
      </c>
    </row>
    <row r="104">
      <c r="A104" s="147" t="s">
        <v>181</v>
      </c>
      <c r="B104" s="167" t="s">
        <v>450</v>
      </c>
      <c r="C104" s="156" t="s">
        <v>451</v>
      </c>
      <c r="D104" s="156" t="s">
        <v>452</v>
      </c>
    </row>
    <row r="105">
      <c r="A105" s="147" t="s">
        <v>207</v>
      </c>
      <c r="B105" s="147" t="s">
        <v>453</v>
      </c>
      <c r="C105" s="156" t="s">
        <v>441</v>
      </c>
      <c r="D105" s="156" t="s">
        <v>442</v>
      </c>
    </row>
  </sheetData>
  <conditionalFormatting sqref="D1:D9 E1:M4 N1:Z108 D11:D108 E18:M108">
    <cfRule type="notContainsBlanks" dxfId="4" priority="1">
      <formula>LEN(TRIM(D1))&gt;0</formula>
    </cfRule>
  </conditionalFormatting>
  <hyperlinks>
    <hyperlink r:id="rId1" ref="D49"/>
    <hyperlink r:id="rId2" ref="D60"/>
    <hyperlink r:id="rId3" ref="D61"/>
    <hyperlink r:id="rId4" ref="D62"/>
    <hyperlink r:id="rId5" ref="D63"/>
    <hyperlink r:id="rId6" ref="D64"/>
    <hyperlink r:id="rId7" ref="D66"/>
  </hyperlinks>
  <drawing r:id="rId8"/>
  <tableParts count="6">
    <tablePart r:id="rId15"/>
    <tablePart r:id="rId16"/>
    <tablePart r:id="rId17"/>
    <tablePart r:id="rId18"/>
    <tablePart r:id="rId19"/>
    <tablePart r:id="rId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10.0"/>
  </cols>
  <sheetData>
    <row r="1">
      <c r="A1" s="169" t="str">
        <f t="array" ref="A1:A1000">'Sheridan Main'!B:B</f>
        <v>Paper Number</v>
      </c>
      <c r="B1" s="169" t="str">
        <f t="array" ref="B1:B1000">'Sheridan Main'!C:C</f>
        <v>Title</v>
      </c>
    </row>
    <row r="2">
      <c r="A2" s="169" t="s">
        <v>454</v>
      </c>
      <c r="B2" s="169" t="s">
        <v>93</v>
      </c>
      <c r="C2" s="170" t="str">
        <f>CONCATENATE("https://dl.acm.org/doi/",'Sheridan Main'!A2)</f>
        <v>https://dl.acm.org/doi/10.1145/3774904.3787910</v>
      </c>
    </row>
    <row r="3">
      <c r="A3" s="169" t="s">
        <v>455</v>
      </c>
      <c r="B3" s="169" t="s">
        <v>70</v>
      </c>
      <c r="C3" s="170" t="str">
        <f>CONCATENATE("https://dl.acm.org/doi/",'Sheridan Main'!A3)</f>
        <v>https://dl.acm.org/doi/10.1145/3774904.3787911</v>
      </c>
    </row>
    <row r="4">
      <c r="A4" s="169" t="s">
        <v>456</v>
      </c>
      <c r="B4" s="169" t="s">
        <v>457</v>
      </c>
      <c r="C4" s="170" t="str">
        <f>CONCATENATE("https://dl.acm.org/doi/",'Sheridan Main'!A4)</f>
        <v>https://dl.acm.org/doi/10.1145/3774904.3792070</v>
      </c>
    </row>
    <row r="5">
      <c r="A5" s="169" t="s">
        <v>458</v>
      </c>
      <c r="B5" s="169" t="s">
        <v>459</v>
      </c>
      <c r="C5" s="170" t="str">
        <f>CONCATENATE("https://dl.acm.org/doi/",'Sheridan Main'!A5)</f>
        <v>https://dl.acm.org/doi/10.1145/3774904.3792071</v>
      </c>
    </row>
    <row r="6">
      <c r="A6" s="169" t="s">
        <v>460</v>
      </c>
      <c r="B6" s="169" t="s">
        <v>461</v>
      </c>
      <c r="C6" s="170" t="str">
        <f>CONCATENATE("https://dl.acm.org/doi/",'Sheridan Main'!A6)</f>
        <v>https://dl.acm.org/doi/10.1145/3774904.3792072</v>
      </c>
    </row>
    <row r="7">
      <c r="A7" s="169" t="s">
        <v>462</v>
      </c>
      <c r="B7" s="169" t="s">
        <v>463</v>
      </c>
      <c r="C7" s="170" t="str">
        <f>CONCATENATE("https://dl.acm.org/doi/",'Sheridan Main'!A7)</f>
        <v>https://dl.acm.org/doi/10.1145/3774904.3792073</v>
      </c>
    </row>
    <row r="8">
      <c r="A8" s="169" t="s">
        <v>464</v>
      </c>
      <c r="B8" s="169" t="s">
        <v>465</v>
      </c>
      <c r="C8" s="170" t="str">
        <f>CONCATENATE("https://dl.acm.org/doi/",'Sheridan Main'!A8)</f>
        <v>https://dl.acm.org/doi/10.1145/3774904.3792074</v>
      </c>
    </row>
    <row r="9">
      <c r="A9" s="169" t="s">
        <v>466</v>
      </c>
      <c r="B9" s="169" t="s">
        <v>467</v>
      </c>
      <c r="C9" s="170" t="str">
        <f>CONCATENATE("https://dl.acm.org/doi/",'Sheridan Main'!A9)</f>
        <v>https://dl.acm.org/doi/10.1145/3774904.3792075</v>
      </c>
    </row>
    <row r="10">
      <c r="A10" s="169" t="s">
        <v>468</v>
      </c>
      <c r="B10" s="169" t="s">
        <v>469</v>
      </c>
      <c r="C10" s="170" t="str">
        <f>CONCATENATE("https://dl.acm.org/doi/",'Sheridan Main'!A10)</f>
        <v>https://dl.acm.org/doi/10.1145/3774904.3792076</v>
      </c>
    </row>
    <row r="11">
      <c r="A11" s="169" t="s">
        <v>470</v>
      </c>
      <c r="B11" s="169" t="s">
        <v>471</v>
      </c>
      <c r="C11" s="170" t="str">
        <f>CONCATENATE("https://dl.acm.org/doi/",'Sheridan Main'!A11)</f>
        <v>https://dl.acm.org/doi/10.1145/3774904.3792077</v>
      </c>
    </row>
    <row r="12">
      <c r="A12" s="169" t="s">
        <v>472</v>
      </c>
      <c r="B12" s="169" t="s">
        <v>473</v>
      </c>
      <c r="C12" s="170" t="str">
        <f>CONCATENATE("https://dl.acm.org/doi/",'Sheridan Main'!A12)</f>
        <v>https://dl.acm.org/doi/10.1145/3774904.3792078</v>
      </c>
    </row>
    <row r="13">
      <c r="A13" s="169" t="s">
        <v>474</v>
      </c>
      <c r="B13" s="169" t="s">
        <v>475</v>
      </c>
      <c r="C13" s="170" t="str">
        <f>CONCATENATE("https://dl.acm.org/doi/",'Sheridan Main'!A13)</f>
        <v>https://dl.acm.org/doi/10.1145/3774904.3792079</v>
      </c>
    </row>
    <row r="14">
      <c r="A14" s="169" t="s">
        <v>476</v>
      </c>
      <c r="B14" s="169" t="s">
        <v>477</v>
      </c>
      <c r="C14" s="170" t="str">
        <f>CONCATENATE("https://dl.acm.org/doi/",'Sheridan Main'!A14)</f>
        <v>https://dl.acm.org/doi/10.1145/3774904.3792080</v>
      </c>
    </row>
    <row r="15">
      <c r="A15" s="169" t="s">
        <v>478</v>
      </c>
      <c r="B15" s="169" t="s">
        <v>479</v>
      </c>
      <c r="C15" s="170" t="str">
        <f>CONCATENATE("https://dl.acm.org/doi/",'Sheridan Main'!A15)</f>
        <v>https://dl.acm.org/doi/10.1145/3774904.3792081</v>
      </c>
    </row>
    <row r="16">
      <c r="A16" s="169" t="s">
        <v>480</v>
      </c>
      <c r="B16" s="169" t="s">
        <v>481</v>
      </c>
      <c r="C16" s="170" t="str">
        <f>CONCATENATE("https://dl.acm.org/doi/",'Sheridan Main'!A16)</f>
        <v>https://dl.acm.org/doi/10.1145/3774904.3792082</v>
      </c>
    </row>
    <row r="17">
      <c r="A17" s="169" t="s">
        <v>482</v>
      </c>
      <c r="B17" s="169" t="s">
        <v>483</v>
      </c>
      <c r="C17" s="170" t="str">
        <f>CONCATENATE("https://dl.acm.org/doi/",'Sheridan Main'!A17)</f>
        <v>https://dl.acm.org/doi/10.1145/3774904.3792083</v>
      </c>
    </row>
    <row r="18">
      <c r="A18" s="169" t="s">
        <v>484</v>
      </c>
      <c r="B18" s="169" t="s">
        <v>485</v>
      </c>
      <c r="C18" s="170" t="str">
        <f>CONCATENATE("https://dl.acm.org/doi/",'Sheridan Main'!A18)</f>
        <v>https://dl.acm.org/doi/10.1145/3774904.3792084</v>
      </c>
    </row>
    <row r="19">
      <c r="A19" s="169" t="s">
        <v>486</v>
      </c>
      <c r="B19" s="169" t="s">
        <v>487</v>
      </c>
      <c r="C19" s="170" t="str">
        <f>CONCATENATE("https://dl.acm.org/doi/",'Sheridan Main'!A19)</f>
        <v>https://dl.acm.org/doi/10.1145/3774904.3792085</v>
      </c>
    </row>
    <row r="20">
      <c r="A20" s="169" t="s">
        <v>488</v>
      </c>
      <c r="B20" s="169" t="s">
        <v>489</v>
      </c>
      <c r="C20" s="170" t="str">
        <f>CONCATENATE("https://dl.acm.org/doi/",'Sheridan Main'!A20)</f>
        <v>https://dl.acm.org/doi/10.1145/3774904.3792086</v>
      </c>
    </row>
    <row r="21">
      <c r="A21" s="169" t="s">
        <v>490</v>
      </c>
      <c r="B21" s="169" t="s">
        <v>491</v>
      </c>
      <c r="C21" s="170" t="str">
        <f>CONCATENATE("https://dl.acm.org/doi/",'Sheridan Main'!A21)</f>
        <v>https://dl.acm.org/doi/10.1145/3774904.3792087</v>
      </c>
    </row>
    <row r="22">
      <c r="A22" s="169" t="s">
        <v>492</v>
      </c>
      <c r="B22" s="169" t="s">
        <v>493</v>
      </c>
      <c r="C22" s="170" t="str">
        <f>CONCATENATE("https://dl.acm.org/doi/",'Sheridan Main'!A22)</f>
        <v>https://dl.acm.org/doi/10.1145/3774904.3792088</v>
      </c>
    </row>
    <row r="23">
      <c r="A23" s="169" t="s">
        <v>494</v>
      </c>
      <c r="B23" s="169" t="s">
        <v>495</v>
      </c>
      <c r="C23" s="170" t="str">
        <f>CONCATENATE("https://dl.acm.org/doi/",'Sheridan Main'!A23)</f>
        <v>https://dl.acm.org/doi/10.1145/3774904.3792089</v>
      </c>
    </row>
    <row r="24">
      <c r="A24" s="169" t="s">
        <v>496</v>
      </c>
      <c r="B24" s="169" t="s">
        <v>497</v>
      </c>
      <c r="C24" s="170" t="str">
        <f>CONCATENATE("https://dl.acm.org/doi/",'Sheridan Main'!A24)</f>
        <v>https://dl.acm.org/doi/10.1145/3774904.3792090</v>
      </c>
    </row>
    <row r="25">
      <c r="A25" s="169" t="s">
        <v>498</v>
      </c>
      <c r="B25" s="169" t="s">
        <v>499</v>
      </c>
      <c r="C25" s="170" t="str">
        <f>CONCATENATE("https://dl.acm.org/doi/",'Sheridan Main'!A25)</f>
        <v>https://dl.acm.org/doi/10.1145/3774904.3792091</v>
      </c>
    </row>
    <row r="26">
      <c r="A26" s="169" t="s">
        <v>500</v>
      </c>
      <c r="B26" s="169" t="s">
        <v>501</v>
      </c>
      <c r="C26" s="170" t="str">
        <f>CONCATENATE("https://dl.acm.org/doi/",'Sheridan Main'!A26)</f>
        <v>https://dl.acm.org/doi/10.1145/3774904.3792092</v>
      </c>
    </row>
    <row r="27">
      <c r="A27" s="169" t="s">
        <v>502</v>
      </c>
      <c r="B27" s="169" t="s">
        <v>503</v>
      </c>
      <c r="C27" s="170" t="str">
        <f>CONCATENATE("https://dl.acm.org/doi/",'Sheridan Main'!A27)</f>
        <v>https://dl.acm.org/doi/10.1145/3774904.3792093</v>
      </c>
    </row>
    <row r="28">
      <c r="A28" s="169" t="s">
        <v>504</v>
      </c>
      <c r="B28" s="169" t="s">
        <v>505</v>
      </c>
      <c r="C28" s="170" t="str">
        <f>CONCATENATE("https://dl.acm.org/doi/",'Sheridan Main'!A28)</f>
        <v>https://dl.acm.org/doi/10.1145/3774904.3792094</v>
      </c>
    </row>
    <row r="29">
      <c r="A29" s="169" t="s">
        <v>506</v>
      </c>
      <c r="B29" s="169" t="s">
        <v>507</v>
      </c>
      <c r="C29" s="170" t="str">
        <f>CONCATENATE("https://dl.acm.org/doi/",'Sheridan Main'!A29)</f>
        <v>https://dl.acm.org/doi/10.1145/3774904.3792095</v>
      </c>
    </row>
    <row r="30">
      <c r="A30" s="169" t="s">
        <v>508</v>
      </c>
      <c r="B30" s="169" t="s">
        <v>509</v>
      </c>
      <c r="C30" s="170" t="str">
        <f>CONCATENATE("https://dl.acm.org/doi/",'Sheridan Main'!A30)</f>
        <v>https://dl.acm.org/doi/10.1145/3774904.3792096</v>
      </c>
    </row>
    <row r="31">
      <c r="A31" s="169" t="s">
        <v>510</v>
      </c>
      <c r="B31" s="169" t="s">
        <v>511</v>
      </c>
      <c r="C31" s="170" t="str">
        <f>CONCATENATE("https://dl.acm.org/doi/",'Sheridan Main'!A31)</f>
        <v>https://dl.acm.org/doi/10.1145/3774904.3792097</v>
      </c>
    </row>
    <row r="32">
      <c r="A32" s="169" t="s">
        <v>512</v>
      </c>
      <c r="B32" s="169" t="s">
        <v>513</v>
      </c>
      <c r="C32" s="170" t="str">
        <f>CONCATENATE("https://dl.acm.org/doi/",'Sheridan Main'!A32)</f>
        <v>https://dl.acm.org/doi/10.1145/3774904.3792098</v>
      </c>
    </row>
    <row r="33">
      <c r="A33" s="169" t="s">
        <v>514</v>
      </c>
      <c r="B33" s="169" t="s">
        <v>515</v>
      </c>
      <c r="C33" s="170" t="str">
        <f>CONCATENATE("https://dl.acm.org/doi/",'Sheridan Main'!A33)</f>
        <v>https://dl.acm.org/doi/10.1145/3774904.3792099</v>
      </c>
    </row>
    <row r="34">
      <c r="A34" s="169" t="s">
        <v>516</v>
      </c>
      <c r="B34" s="169" t="s">
        <v>517</v>
      </c>
      <c r="C34" s="170" t="str">
        <f>CONCATENATE("https://dl.acm.org/doi/",'Sheridan Main'!A34)</f>
        <v>https://dl.acm.org/doi/10.1145/3774904.3792100</v>
      </c>
    </row>
    <row r="35">
      <c r="A35" s="169" t="s">
        <v>518</v>
      </c>
      <c r="B35" s="169" t="s">
        <v>519</v>
      </c>
      <c r="C35" s="170" t="str">
        <f>CONCATENATE("https://dl.acm.org/doi/",'Sheridan Main'!A35)</f>
        <v>https://dl.acm.org/doi/10.1145/3774904.3792101</v>
      </c>
    </row>
    <row r="36">
      <c r="A36" s="169" t="s">
        <v>520</v>
      </c>
      <c r="B36" s="169" t="s">
        <v>521</v>
      </c>
      <c r="C36" s="170" t="str">
        <f>CONCATENATE("https://dl.acm.org/doi/",'Sheridan Main'!A36)</f>
        <v>https://dl.acm.org/doi/10.1145/3774904.3792102</v>
      </c>
    </row>
    <row r="37">
      <c r="A37" s="169" t="s">
        <v>522</v>
      </c>
      <c r="B37" s="169" t="s">
        <v>523</v>
      </c>
      <c r="C37" s="170" t="str">
        <f>CONCATENATE("https://dl.acm.org/doi/",'Sheridan Main'!A37)</f>
        <v>https://dl.acm.org/doi/10.1145/3774904.3792103</v>
      </c>
    </row>
    <row r="38">
      <c r="A38" s="169" t="s">
        <v>524</v>
      </c>
      <c r="B38" s="169" t="s">
        <v>525</v>
      </c>
      <c r="C38" s="170" t="str">
        <f>CONCATENATE("https://dl.acm.org/doi/",'Sheridan Main'!A38)</f>
        <v>https://dl.acm.org/doi/10.1145/3774904.3792104</v>
      </c>
    </row>
    <row r="39">
      <c r="A39" s="169" t="s">
        <v>526</v>
      </c>
      <c r="B39" s="169" t="s">
        <v>527</v>
      </c>
      <c r="C39" s="170" t="str">
        <f>CONCATENATE("https://dl.acm.org/doi/",'Sheridan Main'!A39)</f>
        <v>https://dl.acm.org/doi/10.1145/3774904.3792105</v>
      </c>
    </row>
    <row r="40">
      <c r="A40" s="169" t="s">
        <v>528</v>
      </c>
      <c r="B40" s="169" t="s">
        <v>529</v>
      </c>
      <c r="C40" s="170" t="str">
        <f>CONCATENATE("https://dl.acm.org/doi/",'Sheridan Main'!A40)</f>
        <v>https://dl.acm.org/doi/10.1145/3774904.3792106</v>
      </c>
    </row>
    <row r="41">
      <c r="A41" s="169" t="s">
        <v>530</v>
      </c>
      <c r="B41" s="169" t="s">
        <v>531</v>
      </c>
      <c r="C41" s="170" t="str">
        <f>CONCATENATE("https://dl.acm.org/doi/",'Sheridan Main'!A41)</f>
        <v>https://dl.acm.org/doi/10.1145/3774904.3792107</v>
      </c>
    </row>
    <row r="42">
      <c r="A42" s="169" t="s">
        <v>532</v>
      </c>
      <c r="B42" s="169" t="s">
        <v>533</v>
      </c>
      <c r="C42" s="170" t="str">
        <f>CONCATENATE("https://dl.acm.org/doi/",'Sheridan Main'!A42)</f>
        <v>https://dl.acm.org/doi/10.1145/3774904.3792108</v>
      </c>
    </row>
    <row r="43">
      <c r="A43" s="169" t="s">
        <v>534</v>
      </c>
      <c r="B43" s="169" t="s">
        <v>535</v>
      </c>
      <c r="C43" s="170" t="str">
        <f>CONCATENATE("https://dl.acm.org/doi/",'Sheridan Main'!A43)</f>
        <v>https://dl.acm.org/doi/10.1145/3774904.3792109</v>
      </c>
    </row>
    <row r="44">
      <c r="A44" s="169" t="s">
        <v>536</v>
      </c>
      <c r="B44" s="169" t="s">
        <v>537</v>
      </c>
      <c r="C44" s="170" t="str">
        <f>CONCATENATE("https://dl.acm.org/doi/",'Sheridan Main'!A44)</f>
        <v>https://dl.acm.org/doi/10.1145/3774904.3792110</v>
      </c>
    </row>
    <row r="45">
      <c r="A45" s="169" t="s">
        <v>538</v>
      </c>
      <c r="B45" s="169" t="s">
        <v>539</v>
      </c>
      <c r="C45" s="170" t="str">
        <f>CONCATENATE("https://dl.acm.org/doi/",'Sheridan Main'!A45)</f>
        <v>https://dl.acm.org/doi/10.1145/3774904.3792111</v>
      </c>
    </row>
    <row r="46">
      <c r="A46" s="169" t="s">
        <v>540</v>
      </c>
      <c r="B46" s="169" t="s">
        <v>541</v>
      </c>
      <c r="C46" s="170" t="str">
        <f>CONCATENATE("https://dl.acm.org/doi/",'Sheridan Main'!A46)</f>
        <v>https://dl.acm.org/doi/10.1145/3774904.3792112</v>
      </c>
    </row>
    <row r="47">
      <c r="A47" s="169" t="s">
        <v>542</v>
      </c>
      <c r="B47" s="169" t="s">
        <v>543</v>
      </c>
      <c r="C47" s="170" t="str">
        <f>CONCATENATE("https://dl.acm.org/doi/",'Sheridan Main'!A47)</f>
        <v>https://dl.acm.org/doi/10.1145/3774904.3792113</v>
      </c>
    </row>
    <row r="48">
      <c r="A48" s="169" t="s">
        <v>544</v>
      </c>
      <c r="B48" s="169" t="s">
        <v>545</v>
      </c>
      <c r="C48" s="170" t="str">
        <f>CONCATENATE("https://dl.acm.org/doi/",'Sheridan Main'!A48)</f>
        <v>https://dl.acm.org/doi/10.1145/3774904.3792114</v>
      </c>
    </row>
    <row r="49">
      <c r="A49" s="169" t="s">
        <v>546</v>
      </c>
      <c r="B49" s="169" t="s">
        <v>547</v>
      </c>
      <c r="C49" s="170" t="str">
        <f>CONCATENATE("https://dl.acm.org/doi/",'Sheridan Main'!A49)</f>
        <v>https://dl.acm.org/doi/10.1145/3774904.3792115</v>
      </c>
    </row>
    <row r="50">
      <c r="A50" s="169" t="s">
        <v>548</v>
      </c>
      <c r="B50" s="169" t="s">
        <v>549</v>
      </c>
      <c r="C50" s="170" t="str">
        <f>CONCATENATE("https://dl.acm.org/doi/",'Sheridan Main'!A50)</f>
        <v>https://dl.acm.org/doi/10.1145/3774904.3792116</v>
      </c>
    </row>
    <row r="51">
      <c r="A51" s="169" t="s">
        <v>550</v>
      </c>
      <c r="B51" s="169" t="s">
        <v>551</v>
      </c>
      <c r="C51" s="170" t="str">
        <f>CONCATENATE("https://dl.acm.org/doi/",'Sheridan Main'!A51)</f>
        <v>https://dl.acm.org/doi/10.1145/3774904.3792117</v>
      </c>
    </row>
    <row r="52">
      <c r="A52" s="169" t="s">
        <v>552</v>
      </c>
      <c r="B52" s="169" t="s">
        <v>553</v>
      </c>
      <c r="C52" s="170" t="str">
        <f>CONCATENATE("https://dl.acm.org/doi/",'Sheridan Main'!A52)</f>
        <v>https://dl.acm.org/doi/10.1145/3774904.3792118</v>
      </c>
    </row>
    <row r="53">
      <c r="A53" s="169" t="s">
        <v>554</v>
      </c>
      <c r="B53" s="169" t="s">
        <v>555</v>
      </c>
      <c r="C53" s="170" t="str">
        <f>CONCATENATE("https://dl.acm.org/doi/",'Sheridan Main'!A53)</f>
        <v>https://dl.acm.org/doi/10.1145/3774904.3792119</v>
      </c>
    </row>
    <row r="54">
      <c r="A54" s="169" t="s">
        <v>556</v>
      </c>
      <c r="B54" s="169" t="s">
        <v>557</v>
      </c>
      <c r="C54" s="170" t="str">
        <f>CONCATENATE("https://dl.acm.org/doi/",'Sheridan Main'!A54)</f>
        <v>https://dl.acm.org/doi/10.1145/3774904.3792120</v>
      </c>
    </row>
    <row r="55">
      <c r="A55" s="169" t="s">
        <v>558</v>
      </c>
      <c r="B55" s="169" t="s">
        <v>559</v>
      </c>
      <c r="C55" s="170" t="str">
        <f>CONCATENATE("https://dl.acm.org/doi/",'Sheridan Main'!A55)</f>
        <v>https://dl.acm.org/doi/10.1145/3774904.3792121</v>
      </c>
    </row>
    <row r="56">
      <c r="A56" s="169" t="s">
        <v>560</v>
      </c>
      <c r="B56" s="169" t="s">
        <v>561</v>
      </c>
      <c r="C56" s="170" t="str">
        <f>CONCATENATE("https://dl.acm.org/doi/",'Sheridan Main'!A56)</f>
        <v>https://dl.acm.org/doi/10.1145/3774904.3792122</v>
      </c>
    </row>
    <row r="57">
      <c r="A57" s="169" t="s">
        <v>562</v>
      </c>
      <c r="B57" s="169" t="s">
        <v>563</v>
      </c>
      <c r="C57" s="170" t="str">
        <f>CONCATENATE("https://dl.acm.org/doi/",'Sheridan Main'!A57)</f>
        <v>https://dl.acm.org/doi/10.1145/3774904.3792123</v>
      </c>
    </row>
    <row r="58">
      <c r="A58" s="169" t="s">
        <v>564</v>
      </c>
      <c r="B58" s="169" t="s">
        <v>565</v>
      </c>
      <c r="C58" s="170" t="str">
        <f>CONCATENATE("https://dl.acm.org/doi/",'Sheridan Main'!A58)</f>
        <v>https://dl.acm.org/doi/10.1145/3774904.3792124</v>
      </c>
    </row>
    <row r="59">
      <c r="A59" s="169" t="s">
        <v>566</v>
      </c>
      <c r="B59" s="169" t="s">
        <v>567</v>
      </c>
      <c r="C59" s="170" t="str">
        <f>CONCATENATE("https://dl.acm.org/doi/",'Sheridan Main'!A59)</f>
        <v>https://dl.acm.org/doi/10.1145/3774904.3792125</v>
      </c>
    </row>
    <row r="60">
      <c r="A60" s="169" t="s">
        <v>568</v>
      </c>
      <c r="B60" s="169" t="s">
        <v>569</v>
      </c>
      <c r="C60" s="170" t="str">
        <f>CONCATENATE("https://dl.acm.org/doi/",'Sheridan Main'!A60)</f>
        <v>https://dl.acm.org/doi/10.1145/3774904.3792126</v>
      </c>
    </row>
    <row r="61">
      <c r="A61" s="169" t="s">
        <v>570</v>
      </c>
      <c r="B61" s="169" t="s">
        <v>571</v>
      </c>
      <c r="C61" s="170" t="str">
        <f>CONCATENATE("https://dl.acm.org/doi/",'Sheridan Main'!A61)</f>
        <v>https://dl.acm.org/doi/10.1145/3774904.3792127</v>
      </c>
    </row>
    <row r="62">
      <c r="A62" s="169" t="s">
        <v>572</v>
      </c>
      <c r="B62" s="169" t="s">
        <v>573</v>
      </c>
      <c r="C62" s="170" t="str">
        <f>CONCATENATE("https://dl.acm.org/doi/",'Sheridan Main'!A62)</f>
        <v>https://dl.acm.org/doi/10.1145/3774904.3792128</v>
      </c>
    </row>
    <row r="63">
      <c r="A63" s="169" t="s">
        <v>574</v>
      </c>
      <c r="B63" s="169" t="s">
        <v>575</v>
      </c>
      <c r="C63" s="170" t="str">
        <f>CONCATENATE("https://dl.acm.org/doi/",'Sheridan Main'!A63)</f>
        <v>https://dl.acm.org/doi/10.1145/3774904.3792129</v>
      </c>
    </row>
    <row r="64">
      <c r="A64" s="169" t="s">
        <v>576</v>
      </c>
      <c r="B64" s="169" t="s">
        <v>577</v>
      </c>
      <c r="C64" s="170" t="str">
        <f>CONCATENATE("https://dl.acm.org/doi/",'Sheridan Main'!A64)</f>
        <v>https://dl.acm.org/doi/10.1145/3774904.3792130</v>
      </c>
    </row>
    <row r="65">
      <c r="A65" s="169" t="s">
        <v>578</v>
      </c>
      <c r="B65" s="169" t="s">
        <v>579</v>
      </c>
      <c r="C65" s="170" t="str">
        <f>CONCATENATE("https://dl.acm.org/doi/",'Sheridan Main'!A65)</f>
        <v>https://dl.acm.org/doi/10.1145/3774904.3792131</v>
      </c>
    </row>
    <row r="66">
      <c r="A66" s="169" t="s">
        <v>580</v>
      </c>
      <c r="B66" s="169" t="s">
        <v>581</v>
      </c>
      <c r="C66" s="170" t="str">
        <f>CONCATENATE("https://dl.acm.org/doi/",'Sheridan Main'!A66)</f>
        <v>https://dl.acm.org/doi/10.1145/3774904.3792132</v>
      </c>
    </row>
    <row r="67">
      <c r="A67" s="169" t="s">
        <v>582</v>
      </c>
      <c r="B67" s="169" t="s">
        <v>583</v>
      </c>
      <c r="C67" s="170" t="str">
        <f>CONCATENATE("https://dl.acm.org/doi/",'Sheridan Main'!A67)</f>
        <v>https://dl.acm.org/doi/10.1145/3774904.3792133</v>
      </c>
    </row>
    <row r="68">
      <c r="A68" s="169" t="s">
        <v>584</v>
      </c>
      <c r="B68" s="169" t="s">
        <v>585</v>
      </c>
      <c r="C68" s="170" t="str">
        <f>CONCATENATE("https://dl.acm.org/doi/",'Sheridan Main'!A68)</f>
        <v>https://dl.acm.org/doi/10.1145/3774904.3792134</v>
      </c>
    </row>
    <row r="69">
      <c r="A69" s="169" t="s">
        <v>586</v>
      </c>
      <c r="B69" s="169" t="s">
        <v>587</v>
      </c>
      <c r="C69" s="170" t="str">
        <f>CONCATENATE("https://dl.acm.org/doi/",'Sheridan Main'!A69)</f>
        <v>https://dl.acm.org/doi/10.1145/3774904.3792135</v>
      </c>
    </row>
    <row r="70">
      <c r="A70" s="169" t="s">
        <v>588</v>
      </c>
      <c r="B70" s="169" t="s">
        <v>589</v>
      </c>
      <c r="C70" s="170" t="str">
        <f>CONCATENATE("https://dl.acm.org/doi/",'Sheridan Main'!A70)</f>
        <v>https://dl.acm.org/doi/10.1145/3774904.3792136</v>
      </c>
    </row>
    <row r="71">
      <c r="A71" s="169" t="s">
        <v>590</v>
      </c>
      <c r="B71" s="169" t="s">
        <v>591</v>
      </c>
      <c r="C71" s="170" t="str">
        <f>CONCATENATE("https://dl.acm.org/doi/",'Sheridan Main'!A71)</f>
        <v>https://dl.acm.org/doi/10.1145/3774904.3792137</v>
      </c>
    </row>
    <row r="72">
      <c r="A72" s="169" t="s">
        <v>592</v>
      </c>
      <c r="B72" s="169" t="s">
        <v>593</v>
      </c>
      <c r="C72" s="170" t="str">
        <f>CONCATENATE("https://dl.acm.org/doi/",'Sheridan Main'!A72)</f>
        <v>https://dl.acm.org/doi/10.1145/3774904.3792138</v>
      </c>
    </row>
    <row r="73">
      <c r="A73" s="169" t="s">
        <v>594</v>
      </c>
      <c r="B73" s="169" t="s">
        <v>595</v>
      </c>
      <c r="C73" s="170" t="str">
        <f>CONCATENATE("https://dl.acm.org/doi/",'Sheridan Main'!A73)</f>
        <v>https://dl.acm.org/doi/10.1145/3774904.3792139</v>
      </c>
    </row>
    <row r="74">
      <c r="A74" s="169" t="s">
        <v>596</v>
      </c>
      <c r="B74" s="169" t="s">
        <v>597</v>
      </c>
      <c r="C74" s="170" t="str">
        <f>CONCATENATE("https://dl.acm.org/doi/",'Sheridan Main'!A74)</f>
        <v>https://dl.acm.org/doi/10.1145/3774904.3792140</v>
      </c>
    </row>
    <row r="75">
      <c r="A75" s="169" t="s">
        <v>598</v>
      </c>
      <c r="B75" s="169" t="s">
        <v>599</v>
      </c>
      <c r="C75" s="170" t="str">
        <f>CONCATENATE("https://dl.acm.org/doi/",'Sheridan Main'!A75)</f>
        <v>https://dl.acm.org/doi/10.1145/3774904.3792141</v>
      </c>
    </row>
    <row r="76">
      <c r="A76" s="169" t="s">
        <v>600</v>
      </c>
      <c r="B76" s="169" t="s">
        <v>601</v>
      </c>
      <c r="C76" s="170" t="str">
        <f>CONCATENATE("https://dl.acm.org/doi/",'Sheridan Main'!A76)</f>
        <v>https://dl.acm.org/doi/10.1145/3774904.3792142</v>
      </c>
    </row>
    <row r="77">
      <c r="A77" s="169" t="s">
        <v>602</v>
      </c>
      <c r="B77" s="169" t="s">
        <v>603</v>
      </c>
      <c r="C77" s="170" t="str">
        <f>CONCATENATE("https://dl.acm.org/doi/",'Sheridan Main'!A77)</f>
        <v>https://dl.acm.org/doi/10.1145/3774904.3792143</v>
      </c>
    </row>
    <row r="78">
      <c r="A78" s="169" t="s">
        <v>604</v>
      </c>
      <c r="B78" s="169" t="s">
        <v>605</v>
      </c>
      <c r="C78" s="170" t="str">
        <f>CONCATENATE("https://dl.acm.org/doi/",'Sheridan Main'!A78)</f>
        <v>https://dl.acm.org/doi/10.1145/3774904.3792144</v>
      </c>
    </row>
    <row r="79">
      <c r="A79" s="169" t="s">
        <v>606</v>
      </c>
      <c r="B79" s="169" t="s">
        <v>607</v>
      </c>
      <c r="C79" s="170" t="str">
        <f>CONCATENATE("https://dl.acm.org/doi/",'Sheridan Main'!A79)</f>
        <v>https://dl.acm.org/doi/10.1145/3774904.3792145</v>
      </c>
    </row>
    <row r="80">
      <c r="A80" s="169" t="s">
        <v>608</v>
      </c>
      <c r="B80" s="169" t="s">
        <v>609</v>
      </c>
      <c r="C80" s="170" t="str">
        <f>CONCATENATE("https://dl.acm.org/doi/",'Sheridan Main'!A80)</f>
        <v>https://dl.acm.org/doi/10.1145/3774904.3792146</v>
      </c>
    </row>
    <row r="81">
      <c r="A81" s="169" t="s">
        <v>610</v>
      </c>
      <c r="B81" s="169" t="s">
        <v>611</v>
      </c>
      <c r="C81" s="170" t="str">
        <f>CONCATENATE("https://dl.acm.org/doi/",'Sheridan Main'!A81)</f>
        <v>https://dl.acm.org/doi/10.1145/3774904.3792147</v>
      </c>
    </row>
    <row r="82">
      <c r="A82" s="169" t="s">
        <v>612</v>
      </c>
      <c r="B82" s="169" t="s">
        <v>613</v>
      </c>
      <c r="C82" s="170" t="str">
        <f>CONCATENATE("https://dl.acm.org/doi/",'Sheridan Main'!A82)</f>
        <v>https://dl.acm.org/doi/10.1145/3774904.3792148</v>
      </c>
    </row>
    <row r="83">
      <c r="A83" s="169" t="s">
        <v>614</v>
      </c>
      <c r="B83" s="169" t="s">
        <v>615</v>
      </c>
      <c r="C83" s="170" t="str">
        <f>CONCATENATE("https://dl.acm.org/doi/",'Sheridan Main'!A83)</f>
        <v>https://dl.acm.org/doi/10.1145/3774904.3792149</v>
      </c>
    </row>
    <row r="84">
      <c r="A84" s="169" t="s">
        <v>616</v>
      </c>
      <c r="B84" s="169" t="s">
        <v>617</v>
      </c>
      <c r="C84" s="170" t="str">
        <f>CONCATENATE("https://dl.acm.org/doi/",'Sheridan Main'!A84)</f>
        <v>https://dl.acm.org/doi/10.1145/3774904.3792150</v>
      </c>
    </row>
    <row r="85">
      <c r="A85" s="169" t="s">
        <v>618</v>
      </c>
      <c r="B85" s="169" t="s">
        <v>619</v>
      </c>
      <c r="C85" s="170" t="str">
        <f>CONCATENATE("https://dl.acm.org/doi/",'Sheridan Main'!A85)</f>
        <v>https://dl.acm.org/doi/10.1145/3774904.3792151</v>
      </c>
    </row>
    <row r="86">
      <c r="A86" s="169" t="s">
        <v>620</v>
      </c>
      <c r="B86" s="169" t="s">
        <v>621</v>
      </c>
      <c r="C86" s="170" t="str">
        <f>CONCATENATE("https://dl.acm.org/doi/",'Sheridan Main'!A86)</f>
        <v>https://dl.acm.org/doi/10.1145/3774904.3792152</v>
      </c>
    </row>
    <row r="87">
      <c r="A87" s="169" t="s">
        <v>622</v>
      </c>
      <c r="B87" s="169" t="s">
        <v>623</v>
      </c>
      <c r="C87" s="170" t="str">
        <f>CONCATENATE("https://dl.acm.org/doi/",'Sheridan Main'!A87)</f>
        <v>https://dl.acm.org/doi/10.1145/3774904.3792153</v>
      </c>
    </row>
    <row r="88">
      <c r="A88" s="169" t="s">
        <v>624</v>
      </c>
      <c r="B88" s="169" t="s">
        <v>625</v>
      </c>
      <c r="C88" s="170" t="str">
        <f>CONCATENATE("https://dl.acm.org/doi/",'Sheridan Main'!A88)</f>
        <v>https://dl.acm.org/doi/10.1145/3774904.3792154</v>
      </c>
    </row>
    <row r="89">
      <c r="A89" s="169" t="s">
        <v>626</v>
      </c>
      <c r="B89" s="169" t="s">
        <v>627</v>
      </c>
      <c r="C89" s="170" t="str">
        <f>CONCATENATE("https://dl.acm.org/doi/",'Sheridan Main'!A89)</f>
        <v>https://dl.acm.org/doi/10.1145/3774904.3792155</v>
      </c>
    </row>
    <row r="90">
      <c r="A90" s="169" t="s">
        <v>628</v>
      </c>
      <c r="B90" s="169" t="s">
        <v>629</v>
      </c>
      <c r="C90" s="170" t="str">
        <f>CONCATENATE("https://dl.acm.org/doi/",'Sheridan Main'!A90)</f>
        <v>https://dl.acm.org/doi/10.1145/3774904.3792156</v>
      </c>
    </row>
    <row r="91">
      <c r="A91" s="169" t="s">
        <v>630</v>
      </c>
      <c r="B91" s="169" t="s">
        <v>631</v>
      </c>
      <c r="C91" s="170" t="str">
        <f>CONCATENATE("https://dl.acm.org/doi/",'Sheridan Main'!A91)</f>
        <v>https://dl.acm.org/doi/10.1145/3774904.3792157</v>
      </c>
    </row>
    <row r="92">
      <c r="A92" s="169" t="s">
        <v>632</v>
      </c>
      <c r="B92" s="169" t="s">
        <v>633</v>
      </c>
      <c r="C92" s="170" t="str">
        <f>CONCATENATE("https://dl.acm.org/doi/",'Sheridan Main'!A92)</f>
        <v>https://dl.acm.org/doi/10.1145/3774904.3792158</v>
      </c>
    </row>
    <row r="93">
      <c r="A93" s="169" t="s">
        <v>634</v>
      </c>
      <c r="B93" s="169" t="s">
        <v>635</v>
      </c>
      <c r="C93" s="170" t="str">
        <f>CONCATENATE("https://dl.acm.org/doi/",'Sheridan Main'!A93)</f>
        <v>https://dl.acm.org/doi/10.1145/3774904.3792159</v>
      </c>
    </row>
    <row r="94">
      <c r="A94" s="169" t="s">
        <v>636</v>
      </c>
      <c r="B94" s="169" t="s">
        <v>637</v>
      </c>
      <c r="C94" s="170" t="str">
        <f>CONCATENATE("https://dl.acm.org/doi/",'Sheridan Main'!A94)</f>
        <v>https://dl.acm.org/doi/10.1145/3774904.3792160</v>
      </c>
    </row>
    <row r="95">
      <c r="A95" s="169" t="s">
        <v>638</v>
      </c>
      <c r="B95" s="169" t="s">
        <v>639</v>
      </c>
      <c r="C95" s="170" t="str">
        <f>CONCATENATE("https://dl.acm.org/doi/",'Sheridan Main'!A95)</f>
        <v>https://dl.acm.org/doi/10.1145/3774904.3792161</v>
      </c>
    </row>
    <row r="96">
      <c r="A96" s="169" t="s">
        <v>640</v>
      </c>
      <c r="B96" s="169" t="s">
        <v>641</v>
      </c>
      <c r="C96" s="170" t="str">
        <f>CONCATENATE("https://dl.acm.org/doi/",'Sheridan Main'!A96)</f>
        <v>https://dl.acm.org/doi/10.1145/3774904.3792162</v>
      </c>
    </row>
    <row r="97">
      <c r="A97" s="169" t="s">
        <v>642</v>
      </c>
      <c r="B97" s="169" t="s">
        <v>643</v>
      </c>
      <c r="C97" s="170" t="str">
        <f>CONCATENATE("https://dl.acm.org/doi/",'Sheridan Main'!A97)</f>
        <v>https://dl.acm.org/doi/10.1145/3774904.3792163</v>
      </c>
    </row>
    <row r="98">
      <c r="A98" s="169" t="s">
        <v>644</v>
      </c>
      <c r="B98" s="169" t="s">
        <v>645</v>
      </c>
      <c r="C98" s="170" t="str">
        <f>CONCATENATE("https://dl.acm.org/doi/",'Sheridan Main'!A98)</f>
        <v>https://dl.acm.org/doi/10.1145/3774904.3792164</v>
      </c>
    </row>
    <row r="99">
      <c r="A99" s="169" t="s">
        <v>646</v>
      </c>
      <c r="B99" s="169" t="s">
        <v>647</v>
      </c>
      <c r="C99" s="170" t="str">
        <f>CONCATENATE("https://dl.acm.org/doi/",'Sheridan Main'!A99)</f>
        <v>https://dl.acm.org/doi/10.1145/3774904.3792165</v>
      </c>
    </row>
    <row r="100">
      <c r="A100" s="169" t="s">
        <v>648</v>
      </c>
      <c r="B100" s="169" t="s">
        <v>649</v>
      </c>
      <c r="C100" s="170" t="str">
        <f>CONCATENATE("https://dl.acm.org/doi/",'Sheridan Main'!A100)</f>
        <v>https://dl.acm.org/doi/10.1145/3774904.3792166</v>
      </c>
    </row>
    <row r="101">
      <c r="A101" s="169" t="s">
        <v>650</v>
      </c>
      <c r="B101" s="169" t="s">
        <v>651</v>
      </c>
      <c r="C101" s="170" t="str">
        <f>CONCATENATE("https://dl.acm.org/doi/",'Sheridan Main'!A101)</f>
        <v>https://dl.acm.org/doi/10.1145/3774904.3792167</v>
      </c>
    </row>
    <row r="102">
      <c r="A102" s="169" t="s">
        <v>652</v>
      </c>
      <c r="B102" s="169" t="s">
        <v>653</v>
      </c>
      <c r="C102" s="170" t="str">
        <f>CONCATENATE("https://dl.acm.org/doi/",'Sheridan Main'!A102)</f>
        <v>https://dl.acm.org/doi/10.1145/3774904.3792168</v>
      </c>
    </row>
    <row r="103">
      <c r="A103" s="169" t="s">
        <v>654</v>
      </c>
      <c r="B103" s="169" t="s">
        <v>655</v>
      </c>
      <c r="C103" s="170" t="str">
        <f>CONCATENATE("https://dl.acm.org/doi/",'Sheridan Main'!A103)</f>
        <v>https://dl.acm.org/doi/10.1145/3774904.3792169</v>
      </c>
    </row>
    <row r="104">
      <c r="A104" s="169" t="s">
        <v>656</v>
      </c>
      <c r="B104" s="169" t="s">
        <v>657</v>
      </c>
      <c r="C104" s="170" t="str">
        <f>CONCATENATE("https://dl.acm.org/doi/",'Sheridan Main'!A104)</f>
        <v>https://dl.acm.org/doi/10.1145/3774904.3792170</v>
      </c>
    </row>
    <row r="105">
      <c r="A105" s="169" t="s">
        <v>658</v>
      </c>
      <c r="B105" s="169" t="s">
        <v>659</v>
      </c>
      <c r="C105" s="170" t="str">
        <f>CONCATENATE("https://dl.acm.org/doi/",'Sheridan Main'!A105)</f>
        <v>https://dl.acm.org/doi/10.1145/3774904.3792171</v>
      </c>
    </row>
    <row r="106">
      <c r="A106" s="169" t="s">
        <v>660</v>
      </c>
      <c r="B106" s="169" t="s">
        <v>661</v>
      </c>
      <c r="C106" s="170" t="str">
        <f>CONCATENATE("https://dl.acm.org/doi/",'Sheridan Main'!A106)</f>
        <v>https://dl.acm.org/doi/10.1145/3774904.3792172</v>
      </c>
    </row>
    <row r="107">
      <c r="A107" s="169" t="s">
        <v>662</v>
      </c>
      <c r="B107" s="169" t="s">
        <v>663</v>
      </c>
      <c r="C107" s="170" t="str">
        <f>CONCATENATE("https://dl.acm.org/doi/",'Sheridan Main'!A107)</f>
        <v>https://dl.acm.org/doi/10.1145/3774904.3792173</v>
      </c>
    </row>
    <row r="108">
      <c r="A108" s="169" t="s">
        <v>664</v>
      </c>
      <c r="B108" s="169" t="s">
        <v>665</v>
      </c>
      <c r="C108" s="170" t="str">
        <f>CONCATENATE("https://dl.acm.org/doi/",'Sheridan Main'!A108)</f>
        <v>https://dl.acm.org/doi/10.1145/3774904.3792174</v>
      </c>
    </row>
    <row r="109">
      <c r="A109" s="169" t="s">
        <v>666</v>
      </c>
      <c r="B109" s="169" t="s">
        <v>667</v>
      </c>
      <c r="C109" s="170" t="str">
        <f>CONCATENATE("https://dl.acm.org/doi/",'Sheridan Main'!A109)</f>
        <v>https://dl.acm.org/doi/10.1145/3774904.3792175</v>
      </c>
    </row>
    <row r="110">
      <c r="A110" s="169" t="s">
        <v>668</v>
      </c>
      <c r="B110" s="169" t="s">
        <v>669</v>
      </c>
      <c r="C110" s="170" t="str">
        <f>CONCATENATE("https://dl.acm.org/doi/",'Sheridan Main'!A110)</f>
        <v>https://dl.acm.org/doi/10.1145/3774904.3792176</v>
      </c>
    </row>
    <row r="111">
      <c r="A111" s="169" t="s">
        <v>670</v>
      </c>
      <c r="B111" s="169" t="s">
        <v>671</v>
      </c>
      <c r="C111" s="170" t="str">
        <f>CONCATENATE("https://dl.acm.org/doi/",'Sheridan Main'!A111)</f>
        <v>https://dl.acm.org/doi/10.1145/3774904.3792177</v>
      </c>
    </row>
    <row r="112">
      <c r="A112" s="169" t="s">
        <v>672</v>
      </c>
      <c r="B112" s="169" t="s">
        <v>673</v>
      </c>
      <c r="C112" s="170" t="str">
        <f>CONCATENATE("https://dl.acm.org/doi/",'Sheridan Main'!A112)</f>
        <v>https://dl.acm.org/doi/10.1145/3774904.3792178</v>
      </c>
    </row>
    <row r="113">
      <c r="A113" s="169" t="s">
        <v>674</v>
      </c>
      <c r="B113" s="169" t="s">
        <v>675</v>
      </c>
      <c r="C113" s="170" t="str">
        <f>CONCATENATE("https://dl.acm.org/doi/",'Sheridan Main'!A113)</f>
        <v>https://dl.acm.org/doi/10.1145/3774904.3792179</v>
      </c>
    </row>
    <row r="114">
      <c r="A114" s="169" t="s">
        <v>676</v>
      </c>
      <c r="B114" s="169" t="s">
        <v>677</v>
      </c>
      <c r="C114" s="170" t="str">
        <f>CONCATENATE("https://dl.acm.org/doi/",'Sheridan Main'!A114)</f>
        <v>https://dl.acm.org/doi/10.1145/3774904.3792180</v>
      </c>
    </row>
    <row r="115">
      <c r="A115" s="169" t="s">
        <v>678</v>
      </c>
      <c r="B115" s="169" t="s">
        <v>679</v>
      </c>
      <c r="C115" s="170" t="str">
        <f>CONCATENATE("https://dl.acm.org/doi/",'Sheridan Main'!A115)</f>
        <v>https://dl.acm.org/doi/10.1145/3774904.3792181</v>
      </c>
    </row>
    <row r="116">
      <c r="A116" s="169" t="s">
        <v>680</v>
      </c>
      <c r="B116" s="169" t="s">
        <v>681</v>
      </c>
      <c r="C116" s="170" t="str">
        <f>CONCATENATE("https://dl.acm.org/doi/",'Sheridan Main'!A116)</f>
        <v>https://dl.acm.org/doi/10.1145/3774904.3792182</v>
      </c>
    </row>
    <row r="117">
      <c r="A117" s="169" t="s">
        <v>682</v>
      </c>
      <c r="B117" s="169" t="s">
        <v>683</v>
      </c>
      <c r="C117" s="170" t="str">
        <f>CONCATENATE("https://dl.acm.org/doi/",'Sheridan Main'!A117)</f>
        <v>https://dl.acm.org/doi/10.1145/3774904.3792183</v>
      </c>
    </row>
    <row r="118">
      <c r="A118" s="169" t="s">
        <v>684</v>
      </c>
      <c r="B118" s="169" t="s">
        <v>685</v>
      </c>
      <c r="C118" s="170" t="str">
        <f>CONCATENATE("https://dl.acm.org/doi/",'Sheridan Main'!A118)</f>
        <v>https://dl.acm.org/doi/10.1145/3774904.3792184</v>
      </c>
    </row>
    <row r="119">
      <c r="A119" s="169" t="s">
        <v>686</v>
      </c>
      <c r="B119" s="169" t="s">
        <v>687</v>
      </c>
      <c r="C119" s="170" t="str">
        <f>CONCATENATE("https://dl.acm.org/doi/",'Sheridan Main'!A119)</f>
        <v>https://dl.acm.org/doi/10.1145/3774904.3792185</v>
      </c>
    </row>
    <row r="120">
      <c r="A120" s="169" t="s">
        <v>688</v>
      </c>
      <c r="B120" s="169" t="s">
        <v>689</v>
      </c>
      <c r="C120" s="170" t="str">
        <f>CONCATENATE("https://dl.acm.org/doi/",'Sheridan Main'!A120)</f>
        <v>https://dl.acm.org/doi/10.1145/3774904.3792186</v>
      </c>
    </row>
    <row r="121">
      <c r="A121" s="169" t="s">
        <v>690</v>
      </c>
      <c r="B121" s="169" t="s">
        <v>691</v>
      </c>
      <c r="C121" s="170" t="str">
        <f>CONCATENATE("https://dl.acm.org/doi/",'Sheridan Main'!A121)</f>
        <v>https://dl.acm.org/doi/10.1145/3774904.3792187</v>
      </c>
    </row>
    <row r="122">
      <c r="A122" s="169" t="s">
        <v>692</v>
      </c>
      <c r="B122" s="169" t="s">
        <v>693</v>
      </c>
      <c r="C122" s="170" t="str">
        <f>CONCATENATE("https://dl.acm.org/doi/",'Sheridan Main'!A122)</f>
        <v>https://dl.acm.org/doi/10.1145/3774904.3792188</v>
      </c>
    </row>
    <row r="123">
      <c r="A123" s="169" t="s">
        <v>694</v>
      </c>
      <c r="B123" s="169" t="s">
        <v>695</v>
      </c>
      <c r="C123" s="170" t="str">
        <f>CONCATENATE("https://dl.acm.org/doi/",'Sheridan Main'!A123)</f>
        <v>https://dl.acm.org/doi/10.1145/3774904.3792189</v>
      </c>
    </row>
    <row r="124">
      <c r="A124" s="169" t="s">
        <v>696</v>
      </c>
      <c r="B124" s="169" t="s">
        <v>697</v>
      </c>
      <c r="C124" s="170" t="str">
        <f>CONCATENATE("https://dl.acm.org/doi/",'Sheridan Main'!A124)</f>
        <v>https://dl.acm.org/doi/10.1145/3774904.3792190</v>
      </c>
    </row>
    <row r="125">
      <c r="A125" s="169" t="s">
        <v>698</v>
      </c>
      <c r="B125" s="169" t="s">
        <v>699</v>
      </c>
      <c r="C125" s="170" t="str">
        <f>CONCATENATE("https://dl.acm.org/doi/",'Sheridan Main'!A125)</f>
        <v>https://dl.acm.org/doi/10.1145/3774904.3792191</v>
      </c>
    </row>
    <row r="126">
      <c r="A126" s="169" t="s">
        <v>700</v>
      </c>
      <c r="B126" s="169" t="s">
        <v>701</v>
      </c>
      <c r="C126" s="170" t="str">
        <f>CONCATENATE("https://dl.acm.org/doi/",'Sheridan Main'!A126)</f>
        <v>https://dl.acm.org/doi/10.1145/3774904.3792192</v>
      </c>
    </row>
    <row r="127">
      <c r="A127" s="169" t="s">
        <v>702</v>
      </c>
      <c r="B127" s="169" t="s">
        <v>703</v>
      </c>
      <c r="C127" s="170" t="str">
        <f>CONCATENATE("https://dl.acm.org/doi/",'Sheridan Main'!A127)</f>
        <v>https://dl.acm.org/doi/10.1145/3774904.3792193</v>
      </c>
    </row>
    <row r="128">
      <c r="A128" s="169" t="s">
        <v>704</v>
      </c>
      <c r="B128" s="169" t="s">
        <v>705</v>
      </c>
      <c r="C128" s="170" t="str">
        <f>CONCATENATE("https://dl.acm.org/doi/",'Sheridan Main'!A128)</f>
        <v>https://dl.acm.org/doi/10.1145/3774904.3792194</v>
      </c>
    </row>
    <row r="129">
      <c r="A129" s="169" t="s">
        <v>706</v>
      </c>
      <c r="B129" s="169" t="s">
        <v>707</v>
      </c>
      <c r="C129" s="170" t="str">
        <f>CONCATENATE("https://dl.acm.org/doi/",'Sheridan Main'!A129)</f>
        <v>https://dl.acm.org/doi/10.1145/3774904.3792195</v>
      </c>
    </row>
    <row r="130">
      <c r="A130" s="169" t="s">
        <v>708</v>
      </c>
      <c r="B130" s="169" t="s">
        <v>709</v>
      </c>
      <c r="C130" s="170" t="str">
        <f>CONCATENATE("https://dl.acm.org/doi/",'Sheridan Main'!A130)</f>
        <v>https://dl.acm.org/doi/10.1145/3774904.3792196</v>
      </c>
    </row>
    <row r="131">
      <c r="A131" s="169" t="s">
        <v>710</v>
      </c>
      <c r="B131" s="169" t="s">
        <v>711</v>
      </c>
      <c r="C131" s="170" t="str">
        <f>CONCATENATE("https://dl.acm.org/doi/",'Sheridan Main'!A131)</f>
        <v>https://dl.acm.org/doi/10.1145/3774904.3792197</v>
      </c>
    </row>
    <row r="132">
      <c r="A132" s="169" t="s">
        <v>712</v>
      </c>
      <c r="B132" s="169" t="s">
        <v>713</v>
      </c>
      <c r="C132" s="170" t="str">
        <f>CONCATENATE("https://dl.acm.org/doi/",'Sheridan Main'!A132)</f>
        <v>https://dl.acm.org/doi/10.1145/3774904.3792198</v>
      </c>
    </row>
    <row r="133">
      <c r="A133" s="169" t="s">
        <v>714</v>
      </c>
      <c r="B133" s="169" t="s">
        <v>715</v>
      </c>
      <c r="C133" s="170" t="str">
        <f>CONCATENATE("https://dl.acm.org/doi/",'Sheridan Main'!A133)</f>
        <v>https://dl.acm.org/doi/10.1145/3774904.3792199</v>
      </c>
    </row>
    <row r="134">
      <c r="A134" s="169" t="s">
        <v>716</v>
      </c>
      <c r="B134" s="169" t="s">
        <v>717</v>
      </c>
      <c r="C134" s="170" t="str">
        <f>CONCATENATE("https://dl.acm.org/doi/",'Sheridan Main'!A134)</f>
        <v>https://dl.acm.org/doi/10.1145/3774904.3792200</v>
      </c>
    </row>
    <row r="135">
      <c r="A135" s="169" t="s">
        <v>718</v>
      </c>
      <c r="B135" s="169" t="s">
        <v>719</v>
      </c>
      <c r="C135" s="170" t="str">
        <f>CONCATENATE("https://dl.acm.org/doi/",'Sheridan Main'!A135)</f>
        <v>https://dl.acm.org/doi/10.1145/3774904.3792201</v>
      </c>
    </row>
    <row r="136">
      <c r="A136" s="169" t="s">
        <v>720</v>
      </c>
      <c r="B136" s="169" t="s">
        <v>721</v>
      </c>
      <c r="C136" s="170" t="str">
        <f>CONCATENATE("https://dl.acm.org/doi/",'Sheridan Main'!A136)</f>
        <v>https://dl.acm.org/doi/10.1145/3774904.3792202</v>
      </c>
    </row>
    <row r="137">
      <c r="A137" s="169" t="s">
        <v>722</v>
      </c>
      <c r="B137" s="169" t="s">
        <v>723</v>
      </c>
      <c r="C137" s="170" t="str">
        <f>CONCATENATE("https://dl.acm.org/doi/",'Sheridan Main'!A137)</f>
        <v>https://dl.acm.org/doi/10.1145/3774904.3792203</v>
      </c>
    </row>
    <row r="138">
      <c r="A138" s="169" t="s">
        <v>724</v>
      </c>
      <c r="B138" s="169" t="s">
        <v>725</v>
      </c>
      <c r="C138" s="170" t="str">
        <f>CONCATENATE("https://dl.acm.org/doi/",'Sheridan Main'!A138)</f>
        <v>https://dl.acm.org/doi/10.1145/3774904.3792204</v>
      </c>
    </row>
    <row r="139">
      <c r="A139" s="169" t="s">
        <v>726</v>
      </c>
      <c r="B139" s="169" t="s">
        <v>727</v>
      </c>
      <c r="C139" s="170" t="str">
        <f>CONCATENATE("https://dl.acm.org/doi/",'Sheridan Main'!A139)</f>
        <v>https://dl.acm.org/doi/10.1145/3774904.3792205</v>
      </c>
    </row>
    <row r="140">
      <c r="A140" s="169" t="s">
        <v>728</v>
      </c>
      <c r="B140" s="169" t="s">
        <v>729</v>
      </c>
      <c r="C140" s="170" t="str">
        <f>CONCATENATE("https://dl.acm.org/doi/",'Sheridan Main'!A140)</f>
        <v>https://dl.acm.org/doi/10.1145/3774904.3792206</v>
      </c>
    </row>
    <row r="141">
      <c r="A141" s="169" t="s">
        <v>730</v>
      </c>
      <c r="B141" s="169" t="s">
        <v>731</v>
      </c>
      <c r="C141" s="170" t="str">
        <f>CONCATENATE("https://dl.acm.org/doi/",'Sheridan Main'!A141)</f>
        <v>https://dl.acm.org/doi/10.1145/3774904.3792207</v>
      </c>
    </row>
    <row r="142">
      <c r="A142" s="169" t="s">
        <v>732</v>
      </c>
      <c r="B142" s="169" t="s">
        <v>733</v>
      </c>
      <c r="C142" s="170" t="str">
        <f>CONCATENATE("https://dl.acm.org/doi/",'Sheridan Main'!A142)</f>
        <v>https://dl.acm.org/doi/10.1145/3774904.3792208</v>
      </c>
    </row>
    <row r="143">
      <c r="A143" s="169" t="s">
        <v>734</v>
      </c>
      <c r="B143" s="169" t="s">
        <v>735</v>
      </c>
      <c r="C143" s="170" t="str">
        <f>CONCATENATE("https://dl.acm.org/doi/",'Sheridan Main'!A143)</f>
        <v>https://dl.acm.org/doi/10.1145/3774904.3792209</v>
      </c>
    </row>
    <row r="144">
      <c r="A144" s="169" t="s">
        <v>736</v>
      </c>
      <c r="B144" s="169" t="s">
        <v>737</v>
      </c>
      <c r="C144" s="170" t="str">
        <f>CONCATENATE("https://dl.acm.org/doi/",'Sheridan Main'!A144)</f>
        <v>https://dl.acm.org/doi/10.1145/3774904.3792210</v>
      </c>
    </row>
    <row r="145">
      <c r="A145" s="169" t="s">
        <v>738</v>
      </c>
      <c r="B145" s="169" t="s">
        <v>739</v>
      </c>
      <c r="C145" s="170" t="str">
        <f>CONCATENATE("https://dl.acm.org/doi/",'Sheridan Main'!A145)</f>
        <v>https://dl.acm.org/doi/10.1145/3774904.3792211</v>
      </c>
    </row>
    <row r="146">
      <c r="A146" s="169" t="s">
        <v>740</v>
      </c>
      <c r="B146" s="169" t="s">
        <v>741</v>
      </c>
      <c r="C146" s="170" t="str">
        <f>CONCATENATE("https://dl.acm.org/doi/",'Sheridan Main'!A146)</f>
        <v>https://dl.acm.org/doi/10.1145/3774904.3792212</v>
      </c>
    </row>
    <row r="147">
      <c r="A147" s="169" t="s">
        <v>742</v>
      </c>
      <c r="B147" s="169" t="s">
        <v>743</v>
      </c>
      <c r="C147" s="170" t="str">
        <f>CONCATENATE("https://dl.acm.org/doi/",'Sheridan Main'!A147)</f>
        <v>https://dl.acm.org/doi/10.1145/3774904.3792213</v>
      </c>
    </row>
    <row r="148">
      <c r="A148" s="169" t="s">
        <v>744</v>
      </c>
      <c r="B148" s="169" t="s">
        <v>745</v>
      </c>
      <c r="C148" s="170" t="str">
        <f>CONCATENATE("https://dl.acm.org/doi/",'Sheridan Main'!A148)</f>
        <v>https://dl.acm.org/doi/10.1145/3774904.3792214</v>
      </c>
    </row>
    <row r="149">
      <c r="A149" s="169" t="s">
        <v>746</v>
      </c>
      <c r="B149" s="169" t="s">
        <v>747</v>
      </c>
      <c r="C149" s="170" t="str">
        <f>CONCATENATE("https://dl.acm.org/doi/",'Sheridan Main'!A149)</f>
        <v>https://dl.acm.org/doi/10.1145/3774904.3792215</v>
      </c>
    </row>
    <row r="150">
      <c r="A150" s="169" t="s">
        <v>748</v>
      </c>
      <c r="B150" s="169" t="s">
        <v>749</v>
      </c>
      <c r="C150" s="170" t="str">
        <f>CONCATENATE("https://dl.acm.org/doi/",'Sheridan Main'!A150)</f>
        <v>https://dl.acm.org/doi/10.1145/3774904.3792216</v>
      </c>
    </row>
    <row r="151">
      <c r="A151" s="169" t="s">
        <v>750</v>
      </c>
      <c r="B151" s="169" t="s">
        <v>751</v>
      </c>
      <c r="C151" s="170" t="str">
        <f>CONCATENATE("https://dl.acm.org/doi/",'Sheridan Main'!A151)</f>
        <v>https://dl.acm.org/doi/10.1145/3774904.3792217</v>
      </c>
    </row>
    <row r="152">
      <c r="A152" s="169" t="s">
        <v>752</v>
      </c>
      <c r="B152" s="169" t="s">
        <v>753</v>
      </c>
      <c r="C152" s="170" t="str">
        <f>CONCATENATE("https://dl.acm.org/doi/",'Sheridan Main'!A152)</f>
        <v>https://dl.acm.org/doi/10.1145/3774904.3792218</v>
      </c>
    </row>
    <row r="153">
      <c r="A153" s="169" t="s">
        <v>754</v>
      </c>
      <c r="B153" s="169" t="s">
        <v>755</v>
      </c>
      <c r="C153" s="170" t="str">
        <f>CONCATENATE("https://dl.acm.org/doi/",'Sheridan Main'!A153)</f>
        <v>https://dl.acm.org/doi/10.1145/3774904.3792219</v>
      </c>
    </row>
    <row r="154">
      <c r="A154" s="169" t="s">
        <v>756</v>
      </c>
      <c r="B154" s="169" t="s">
        <v>757</v>
      </c>
      <c r="C154" s="170" t="str">
        <f>CONCATENATE("https://dl.acm.org/doi/",'Sheridan Main'!A154)</f>
        <v>https://dl.acm.org/doi/10.1145/3774904.3792220</v>
      </c>
    </row>
    <row r="155">
      <c r="A155" s="169" t="s">
        <v>758</v>
      </c>
      <c r="B155" s="169" t="s">
        <v>759</v>
      </c>
      <c r="C155" s="170" t="str">
        <f>CONCATENATE("https://dl.acm.org/doi/",'Sheridan Main'!A155)</f>
        <v>https://dl.acm.org/doi/10.1145/3774904.3792221</v>
      </c>
    </row>
    <row r="156">
      <c r="A156" s="169" t="s">
        <v>760</v>
      </c>
      <c r="B156" s="169" t="s">
        <v>761</v>
      </c>
      <c r="C156" s="170" t="str">
        <f>CONCATENATE("https://dl.acm.org/doi/",'Sheridan Main'!A156)</f>
        <v>https://dl.acm.org/doi/10.1145/3774904.3792222</v>
      </c>
    </row>
    <row r="157">
      <c r="A157" s="169" t="s">
        <v>762</v>
      </c>
      <c r="B157" s="169" t="s">
        <v>763</v>
      </c>
      <c r="C157" s="170" t="str">
        <f>CONCATENATE("https://dl.acm.org/doi/",'Sheridan Main'!A157)</f>
        <v>https://dl.acm.org/doi/10.1145/3774904.3792223</v>
      </c>
    </row>
    <row r="158">
      <c r="A158" s="169" t="s">
        <v>764</v>
      </c>
      <c r="B158" s="169" t="s">
        <v>765</v>
      </c>
      <c r="C158" s="170" t="str">
        <f>CONCATENATE("https://dl.acm.org/doi/",'Sheridan Main'!A158)</f>
        <v>https://dl.acm.org/doi/10.1145/3774904.3792224</v>
      </c>
    </row>
    <row r="159">
      <c r="A159" s="169" t="s">
        <v>766</v>
      </c>
      <c r="B159" s="169" t="s">
        <v>767</v>
      </c>
      <c r="C159" s="170" t="str">
        <f>CONCATENATE("https://dl.acm.org/doi/",'Sheridan Main'!A159)</f>
        <v>https://dl.acm.org/doi/10.1145/3774904.3792225</v>
      </c>
    </row>
    <row r="160">
      <c r="A160" s="169" t="s">
        <v>768</v>
      </c>
      <c r="B160" s="169" t="s">
        <v>769</v>
      </c>
      <c r="C160" s="170" t="str">
        <f>CONCATENATE("https://dl.acm.org/doi/",'Sheridan Main'!A160)</f>
        <v>https://dl.acm.org/doi/10.1145/3774904.3792226</v>
      </c>
    </row>
    <row r="161">
      <c r="A161" s="169" t="s">
        <v>770</v>
      </c>
      <c r="B161" s="169" t="s">
        <v>771</v>
      </c>
      <c r="C161" s="170" t="str">
        <f>CONCATENATE("https://dl.acm.org/doi/",'Sheridan Main'!A161)</f>
        <v>https://dl.acm.org/doi/10.1145/3774904.3792227</v>
      </c>
    </row>
    <row r="162">
      <c r="A162" s="169" t="s">
        <v>772</v>
      </c>
      <c r="B162" s="169" t="s">
        <v>773</v>
      </c>
      <c r="C162" s="170" t="str">
        <f>CONCATENATE("https://dl.acm.org/doi/",'Sheridan Main'!A162)</f>
        <v>https://dl.acm.org/doi/10.1145/3774904.3792228</v>
      </c>
    </row>
    <row r="163">
      <c r="A163" s="169" t="s">
        <v>774</v>
      </c>
      <c r="B163" s="169" t="s">
        <v>775</v>
      </c>
      <c r="C163" s="170" t="str">
        <f>CONCATENATE("https://dl.acm.org/doi/",'Sheridan Main'!A163)</f>
        <v>https://dl.acm.org/doi/10.1145/3774904.3792229</v>
      </c>
    </row>
    <row r="164">
      <c r="A164" s="169" t="s">
        <v>776</v>
      </c>
      <c r="B164" s="169" t="s">
        <v>777</v>
      </c>
      <c r="C164" s="170" t="str">
        <f>CONCATENATE("https://dl.acm.org/doi/",'Sheridan Main'!A164)</f>
        <v>https://dl.acm.org/doi/10.1145/3774904.3792230</v>
      </c>
    </row>
    <row r="165">
      <c r="A165" s="169" t="s">
        <v>778</v>
      </c>
      <c r="B165" s="169" t="s">
        <v>779</v>
      </c>
      <c r="C165" s="170" t="str">
        <f>CONCATENATE("https://dl.acm.org/doi/",'Sheridan Main'!A165)</f>
        <v>https://dl.acm.org/doi/10.1145/3774904.3792231</v>
      </c>
    </row>
    <row r="166">
      <c r="A166" s="169" t="s">
        <v>780</v>
      </c>
      <c r="B166" s="169" t="s">
        <v>781</v>
      </c>
      <c r="C166" s="170" t="str">
        <f>CONCATENATE("https://dl.acm.org/doi/",'Sheridan Main'!A166)</f>
        <v>https://dl.acm.org/doi/10.1145/3774904.3792232</v>
      </c>
    </row>
    <row r="167">
      <c r="A167" s="169" t="s">
        <v>782</v>
      </c>
      <c r="B167" s="169" t="s">
        <v>783</v>
      </c>
      <c r="C167" s="170" t="str">
        <f>CONCATENATE("https://dl.acm.org/doi/",'Sheridan Main'!A167)</f>
        <v>https://dl.acm.org/doi/10.1145/3774904.3792233</v>
      </c>
    </row>
    <row r="168">
      <c r="A168" s="169" t="s">
        <v>784</v>
      </c>
      <c r="B168" s="169" t="s">
        <v>785</v>
      </c>
      <c r="C168" s="170" t="str">
        <f>CONCATENATE("https://dl.acm.org/doi/",'Sheridan Main'!A168)</f>
        <v>https://dl.acm.org/doi/10.1145/3774904.3792234</v>
      </c>
    </row>
    <row r="169">
      <c r="A169" s="169" t="s">
        <v>786</v>
      </c>
      <c r="B169" s="169" t="s">
        <v>787</v>
      </c>
      <c r="C169" s="170" t="str">
        <f>CONCATENATE("https://dl.acm.org/doi/",'Sheridan Main'!A169)</f>
        <v>https://dl.acm.org/doi/10.1145/3774904.3792235</v>
      </c>
    </row>
    <row r="170">
      <c r="A170" s="169" t="s">
        <v>788</v>
      </c>
      <c r="B170" s="169" t="s">
        <v>789</v>
      </c>
      <c r="C170" s="170" t="str">
        <f>CONCATENATE("https://dl.acm.org/doi/",'Sheridan Main'!A170)</f>
        <v>https://dl.acm.org/doi/10.1145/3774904.3792236</v>
      </c>
    </row>
    <row r="171">
      <c r="A171" s="169" t="s">
        <v>790</v>
      </c>
      <c r="B171" s="169" t="s">
        <v>791</v>
      </c>
      <c r="C171" s="170" t="str">
        <f>CONCATENATE("https://dl.acm.org/doi/",'Sheridan Main'!A171)</f>
        <v>https://dl.acm.org/doi/10.1145/3774904.3792237</v>
      </c>
    </row>
    <row r="172">
      <c r="A172" s="169" t="s">
        <v>792</v>
      </c>
      <c r="B172" s="169" t="s">
        <v>793</v>
      </c>
      <c r="C172" s="170" t="str">
        <f>CONCATENATE("https://dl.acm.org/doi/",'Sheridan Main'!A172)</f>
        <v>https://dl.acm.org/doi/10.1145/3774904.3792238</v>
      </c>
    </row>
    <row r="173">
      <c r="A173" s="169" t="s">
        <v>794</v>
      </c>
      <c r="B173" s="169" t="s">
        <v>795</v>
      </c>
      <c r="C173" s="170" t="str">
        <f>CONCATENATE("https://dl.acm.org/doi/",'Sheridan Main'!A173)</f>
        <v>https://dl.acm.org/doi/10.1145/3774904.3792239</v>
      </c>
    </row>
    <row r="174">
      <c r="A174" s="169" t="s">
        <v>796</v>
      </c>
      <c r="B174" s="169" t="s">
        <v>797</v>
      </c>
      <c r="C174" s="170" t="str">
        <f>CONCATENATE("https://dl.acm.org/doi/",'Sheridan Main'!A174)</f>
        <v>https://dl.acm.org/doi/10.1145/3774904.3792240</v>
      </c>
    </row>
    <row r="175">
      <c r="A175" s="169" t="s">
        <v>798</v>
      </c>
      <c r="B175" s="169" t="s">
        <v>799</v>
      </c>
      <c r="C175" s="170" t="str">
        <f>CONCATENATE("https://dl.acm.org/doi/",'Sheridan Main'!A175)</f>
        <v>https://dl.acm.org/doi/10.1145/3774904.3792241</v>
      </c>
    </row>
    <row r="176">
      <c r="A176" s="169" t="s">
        <v>800</v>
      </c>
      <c r="B176" s="169" t="s">
        <v>801</v>
      </c>
      <c r="C176" s="170" t="str">
        <f>CONCATENATE("https://dl.acm.org/doi/",'Sheridan Main'!A176)</f>
        <v>https://dl.acm.org/doi/10.1145/3774904.3792242</v>
      </c>
    </row>
    <row r="177">
      <c r="A177" s="169" t="s">
        <v>802</v>
      </c>
      <c r="B177" s="169" t="s">
        <v>803</v>
      </c>
      <c r="C177" s="170" t="str">
        <f>CONCATENATE("https://dl.acm.org/doi/",'Sheridan Main'!A177)</f>
        <v>https://dl.acm.org/doi/10.1145/3774904.3792243</v>
      </c>
    </row>
    <row r="178">
      <c r="A178" s="169" t="s">
        <v>804</v>
      </c>
      <c r="B178" s="169" t="s">
        <v>805</v>
      </c>
      <c r="C178" s="170" t="str">
        <f>CONCATENATE("https://dl.acm.org/doi/",'Sheridan Main'!A178)</f>
        <v>https://dl.acm.org/doi/10.1145/3774904.3792244</v>
      </c>
    </row>
    <row r="179">
      <c r="A179" s="169" t="s">
        <v>806</v>
      </c>
      <c r="B179" s="169" t="s">
        <v>807</v>
      </c>
      <c r="C179" s="170" t="str">
        <f>CONCATENATE("https://dl.acm.org/doi/",'Sheridan Main'!A179)</f>
        <v>https://dl.acm.org/doi/10.1145/3774904.3792245</v>
      </c>
    </row>
    <row r="180">
      <c r="A180" s="169" t="s">
        <v>808</v>
      </c>
      <c r="B180" s="169" t="s">
        <v>809</v>
      </c>
      <c r="C180" s="170" t="str">
        <f>CONCATENATE("https://dl.acm.org/doi/",'Sheridan Main'!A180)</f>
        <v>https://dl.acm.org/doi/10.1145/3774904.3792246</v>
      </c>
    </row>
    <row r="181">
      <c r="A181" s="169" t="s">
        <v>810</v>
      </c>
      <c r="B181" s="169" t="s">
        <v>811</v>
      </c>
      <c r="C181" s="170" t="str">
        <f>CONCATENATE("https://dl.acm.org/doi/",'Sheridan Main'!A181)</f>
        <v>https://dl.acm.org/doi/10.1145/3774904.3792247</v>
      </c>
    </row>
    <row r="182">
      <c r="A182" s="169" t="s">
        <v>812</v>
      </c>
      <c r="B182" s="169" t="s">
        <v>813</v>
      </c>
      <c r="C182" s="170" t="str">
        <f>CONCATENATE("https://dl.acm.org/doi/",'Sheridan Main'!A182)</f>
        <v>https://dl.acm.org/doi/10.1145/3774904.3792248</v>
      </c>
    </row>
    <row r="183">
      <c r="A183" s="169" t="s">
        <v>814</v>
      </c>
      <c r="B183" s="169" t="s">
        <v>815</v>
      </c>
      <c r="C183" s="170" t="str">
        <f>CONCATENATE("https://dl.acm.org/doi/",'Sheridan Main'!A183)</f>
        <v>https://dl.acm.org/doi/10.1145/3774904.3792249</v>
      </c>
    </row>
    <row r="184">
      <c r="A184" s="169" t="s">
        <v>816</v>
      </c>
      <c r="B184" s="169" t="s">
        <v>817</v>
      </c>
      <c r="C184" s="170" t="str">
        <f>CONCATENATE("https://dl.acm.org/doi/",'Sheridan Main'!A184)</f>
        <v>https://dl.acm.org/doi/10.1145/3774904.3792250</v>
      </c>
    </row>
    <row r="185">
      <c r="A185" s="169" t="s">
        <v>818</v>
      </c>
      <c r="B185" s="169" t="s">
        <v>819</v>
      </c>
      <c r="C185" s="170" t="str">
        <f>CONCATENATE("https://dl.acm.org/doi/",'Sheridan Main'!A185)</f>
        <v>https://dl.acm.org/doi/10.1145/3774904.3792251</v>
      </c>
    </row>
    <row r="186">
      <c r="A186" s="169" t="s">
        <v>820</v>
      </c>
      <c r="B186" s="169" t="s">
        <v>821</v>
      </c>
      <c r="C186" s="170" t="str">
        <f>CONCATENATE("https://dl.acm.org/doi/",'Sheridan Main'!A186)</f>
        <v>https://dl.acm.org/doi/10.1145/3774904.3792252</v>
      </c>
    </row>
    <row r="187">
      <c r="A187" s="169" t="s">
        <v>822</v>
      </c>
      <c r="B187" s="169" t="s">
        <v>823</v>
      </c>
      <c r="C187" s="170" t="str">
        <f>CONCATENATE("https://dl.acm.org/doi/",'Sheridan Main'!A187)</f>
        <v>https://dl.acm.org/doi/10.1145/3774904.3792253</v>
      </c>
    </row>
    <row r="188">
      <c r="A188" s="169" t="s">
        <v>824</v>
      </c>
      <c r="B188" s="169" t="s">
        <v>825</v>
      </c>
      <c r="C188" s="170" t="str">
        <f>CONCATENATE("https://dl.acm.org/doi/",'Sheridan Main'!A188)</f>
        <v>https://dl.acm.org/doi/10.1145/3774904.3792254</v>
      </c>
    </row>
    <row r="189">
      <c r="A189" s="169" t="s">
        <v>826</v>
      </c>
      <c r="B189" s="169" t="s">
        <v>827</v>
      </c>
      <c r="C189" s="170" t="str">
        <f>CONCATENATE("https://dl.acm.org/doi/",'Sheridan Main'!A189)</f>
        <v>https://dl.acm.org/doi/10.1145/3774904.3792255</v>
      </c>
    </row>
    <row r="190">
      <c r="A190" s="169" t="s">
        <v>828</v>
      </c>
      <c r="B190" s="169" t="s">
        <v>829</v>
      </c>
      <c r="C190" s="170" t="str">
        <f>CONCATENATE("https://dl.acm.org/doi/",'Sheridan Main'!A190)</f>
        <v>https://dl.acm.org/doi/10.1145/3774904.3792256</v>
      </c>
    </row>
    <row r="191">
      <c r="A191" s="169" t="s">
        <v>830</v>
      </c>
      <c r="B191" s="169" t="s">
        <v>831</v>
      </c>
      <c r="C191" s="170" t="str">
        <f>CONCATENATE("https://dl.acm.org/doi/",'Sheridan Main'!A191)</f>
        <v>https://dl.acm.org/doi/10.1145/3774904.3792257</v>
      </c>
    </row>
    <row r="192">
      <c r="A192" s="169" t="s">
        <v>832</v>
      </c>
      <c r="B192" s="169" t="s">
        <v>833</v>
      </c>
      <c r="C192" s="170" t="str">
        <f>CONCATENATE("https://dl.acm.org/doi/",'Sheridan Main'!A192)</f>
        <v>https://dl.acm.org/doi/10.1145/3774904.3792258</v>
      </c>
    </row>
    <row r="193">
      <c r="A193" s="169" t="s">
        <v>834</v>
      </c>
      <c r="B193" s="169" t="s">
        <v>835</v>
      </c>
      <c r="C193" s="170" t="str">
        <f>CONCATENATE("https://dl.acm.org/doi/",'Sheridan Main'!A193)</f>
        <v>https://dl.acm.org/doi/10.1145/3774904.3792259</v>
      </c>
    </row>
    <row r="194">
      <c r="A194" s="169" t="s">
        <v>836</v>
      </c>
      <c r="B194" s="169" t="s">
        <v>837</v>
      </c>
      <c r="C194" s="170" t="str">
        <f>CONCATENATE("https://dl.acm.org/doi/",'Sheridan Main'!A194)</f>
        <v>https://dl.acm.org/doi/10.1145/3774904.3792260</v>
      </c>
    </row>
    <row r="195">
      <c r="A195" s="169" t="s">
        <v>838</v>
      </c>
      <c r="B195" s="169" t="s">
        <v>839</v>
      </c>
      <c r="C195" s="170" t="str">
        <f>CONCATENATE("https://dl.acm.org/doi/",'Sheridan Main'!A195)</f>
        <v>https://dl.acm.org/doi/10.1145/3774904.3792261</v>
      </c>
    </row>
    <row r="196">
      <c r="A196" s="169" t="s">
        <v>840</v>
      </c>
      <c r="B196" s="169" t="s">
        <v>841</v>
      </c>
      <c r="C196" s="170" t="str">
        <f>CONCATENATE("https://dl.acm.org/doi/",'Sheridan Main'!A196)</f>
        <v>https://dl.acm.org/doi/10.1145/3774904.3792262</v>
      </c>
    </row>
    <row r="197">
      <c r="A197" s="169" t="s">
        <v>842</v>
      </c>
      <c r="B197" s="169" t="s">
        <v>843</v>
      </c>
      <c r="C197" s="170" t="str">
        <f>CONCATENATE("https://dl.acm.org/doi/",'Sheridan Main'!A197)</f>
        <v>https://dl.acm.org/doi/10.1145/3774904.3792263</v>
      </c>
    </row>
    <row r="198">
      <c r="A198" s="169" t="s">
        <v>844</v>
      </c>
      <c r="B198" s="169" t="s">
        <v>845</v>
      </c>
      <c r="C198" s="170" t="str">
        <f>CONCATENATE("https://dl.acm.org/doi/",'Sheridan Main'!A198)</f>
        <v>https://dl.acm.org/doi/10.1145/3774904.3792264</v>
      </c>
    </row>
    <row r="199">
      <c r="A199" s="169" t="s">
        <v>846</v>
      </c>
      <c r="B199" s="169" t="s">
        <v>847</v>
      </c>
      <c r="C199" s="170" t="str">
        <f>CONCATENATE("https://dl.acm.org/doi/",'Sheridan Main'!A199)</f>
        <v>https://dl.acm.org/doi/10.1145/3774904.3792265</v>
      </c>
    </row>
    <row r="200">
      <c r="A200" s="169" t="s">
        <v>848</v>
      </c>
      <c r="B200" s="169" t="s">
        <v>849</v>
      </c>
      <c r="C200" s="170" t="str">
        <f>CONCATENATE("https://dl.acm.org/doi/",'Sheridan Main'!A200)</f>
        <v>https://dl.acm.org/doi/10.1145/3774904.3792266</v>
      </c>
    </row>
    <row r="201">
      <c r="A201" s="169" t="s">
        <v>850</v>
      </c>
      <c r="B201" s="169" t="s">
        <v>851</v>
      </c>
      <c r="C201" s="170" t="str">
        <f>CONCATENATE("https://dl.acm.org/doi/",'Sheridan Main'!A201)</f>
        <v>https://dl.acm.org/doi/10.1145/3774904.3792267</v>
      </c>
    </row>
    <row r="202">
      <c r="A202" s="169" t="s">
        <v>852</v>
      </c>
      <c r="B202" s="169" t="s">
        <v>853</v>
      </c>
      <c r="C202" s="170" t="str">
        <f>CONCATENATE("https://dl.acm.org/doi/",'Sheridan Main'!A202)</f>
        <v>https://dl.acm.org/doi/10.1145/3774904.3792268</v>
      </c>
    </row>
    <row r="203">
      <c r="A203" s="169" t="s">
        <v>854</v>
      </c>
      <c r="B203" s="169" t="s">
        <v>855</v>
      </c>
      <c r="C203" s="170" t="str">
        <f>CONCATENATE("https://dl.acm.org/doi/",'Sheridan Main'!A203)</f>
        <v>https://dl.acm.org/doi/10.1145/3774904.3792269</v>
      </c>
    </row>
    <row r="204">
      <c r="A204" s="169" t="s">
        <v>856</v>
      </c>
      <c r="B204" s="169" t="s">
        <v>857</v>
      </c>
      <c r="C204" s="170" t="str">
        <f>CONCATENATE("https://dl.acm.org/doi/",'Sheridan Main'!A204)</f>
        <v>https://dl.acm.org/doi/10.1145/3774904.3792270</v>
      </c>
    </row>
    <row r="205">
      <c r="A205" s="169" t="s">
        <v>858</v>
      </c>
      <c r="B205" s="169" t="s">
        <v>859</v>
      </c>
      <c r="C205" s="170" t="str">
        <f>CONCATENATE("https://dl.acm.org/doi/",'Sheridan Main'!A205)</f>
        <v>https://dl.acm.org/doi/10.1145/3774904.3792271</v>
      </c>
    </row>
    <row r="206">
      <c r="A206" s="169" t="s">
        <v>860</v>
      </c>
      <c r="B206" s="169" t="s">
        <v>861</v>
      </c>
      <c r="C206" s="170" t="str">
        <f>CONCATENATE("https://dl.acm.org/doi/",'Sheridan Main'!A206)</f>
        <v>https://dl.acm.org/doi/10.1145/3774904.3792272</v>
      </c>
    </row>
    <row r="207">
      <c r="A207" s="169" t="s">
        <v>862</v>
      </c>
      <c r="B207" s="169" t="s">
        <v>863</v>
      </c>
      <c r="C207" s="170" t="str">
        <f>CONCATENATE("https://dl.acm.org/doi/",'Sheridan Main'!A207)</f>
        <v>https://dl.acm.org/doi/10.1145/3774904.3792273</v>
      </c>
    </row>
    <row r="208">
      <c r="A208" s="169" t="s">
        <v>864</v>
      </c>
      <c r="B208" s="169" t="s">
        <v>865</v>
      </c>
      <c r="C208" s="170" t="str">
        <f>CONCATENATE("https://dl.acm.org/doi/",'Sheridan Main'!A208)</f>
        <v>https://dl.acm.org/doi/10.1145/3774904.3792274</v>
      </c>
    </row>
    <row r="209">
      <c r="A209" s="169" t="s">
        <v>866</v>
      </c>
      <c r="B209" s="169" t="s">
        <v>867</v>
      </c>
      <c r="C209" s="170" t="str">
        <f>CONCATENATE("https://dl.acm.org/doi/",'Sheridan Main'!A209)</f>
        <v>https://dl.acm.org/doi/10.1145/3774904.3792275</v>
      </c>
    </row>
    <row r="210">
      <c r="A210" s="169" t="s">
        <v>868</v>
      </c>
      <c r="B210" s="169" t="s">
        <v>869</v>
      </c>
      <c r="C210" s="170" t="str">
        <f>CONCATENATE("https://dl.acm.org/doi/",'Sheridan Main'!A210)</f>
        <v>https://dl.acm.org/doi/10.1145/3774904.3792276</v>
      </c>
    </row>
    <row r="211">
      <c r="A211" s="169" t="s">
        <v>870</v>
      </c>
      <c r="B211" s="169" t="s">
        <v>871</v>
      </c>
      <c r="C211" s="170" t="str">
        <f>CONCATENATE("https://dl.acm.org/doi/",'Sheridan Main'!A211)</f>
        <v>https://dl.acm.org/doi/10.1145/3774904.3792277</v>
      </c>
    </row>
    <row r="212">
      <c r="A212" s="169" t="s">
        <v>872</v>
      </c>
      <c r="B212" s="169" t="s">
        <v>873</v>
      </c>
      <c r="C212" s="170" t="str">
        <f>CONCATENATE("https://dl.acm.org/doi/",'Sheridan Main'!A212)</f>
        <v>https://dl.acm.org/doi/10.1145/3774904.3792278</v>
      </c>
    </row>
    <row r="213">
      <c r="A213" s="169" t="s">
        <v>874</v>
      </c>
      <c r="B213" s="169" t="s">
        <v>875</v>
      </c>
      <c r="C213" s="170" t="str">
        <f>CONCATENATE("https://dl.acm.org/doi/",'Sheridan Main'!A213)</f>
        <v>https://dl.acm.org/doi/10.1145/3774904.3792279</v>
      </c>
    </row>
    <row r="214">
      <c r="A214" s="169" t="s">
        <v>876</v>
      </c>
      <c r="B214" s="169" t="s">
        <v>877</v>
      </c>
      <c r="C214" s="170" t="str">
        <f>CONCATENATE("https://dl.acm.org/doi/",'Sheridan Main'!A214)</f>
        <v>https://dl.acm.org/doi/10.1145/3774904.3792280</v>
      </c>
    </row>
    <row r="215">
      <c r="A215" s="169" t="s">
        <v>878</v>
      </c>
      <c r="B215" s="169" t="s">
        <v>879</v>
      </c>
      <c r="C215" s="170" t="str">
        <f>CONCATENATE("https://dl.acm.org/doi/",'Sheridan Main'!A215)</f>
        <v>https://dl.acm.org/doi/10.1145/3774904.3792281</v>
      </c>
    </row>
    <row r="216">
      <c r="A216" s="169" t="s">
        <v>880</v>
      </c>
      <c r="B216" s="169" t="s">
        <v>881</v>
      </c>
      <c r="C216" s="170" t="str">
        <f>CONCATENATE("https://dl.acm.org/doi/",'Sheridan Main'!A216)</f>
        <v>https://dl.acm.org/doi/10.1145/3774904.3792282</v>
      </c>
    </row>
    <row r="217">
      <c r="A217" s="169" t="s">
        <v>882</v>
      </c>
      <c r="B217" s="169" t="s">
        <v>883</v>
      </c>
      <c r="C217" s="170" t="str">
        <f>CONCATENATE("https://dl.acm.org/doi/",'Sheridan Main'!A217)</f>
        <v>https://dl.acm.org/doi/10.1145/3774904.3792283</v>
      </c>
    </row>
    <row r="218">
      <c r="A218" s="169" t="s">
        <v>884</v>
      </c>
      <c r="B218" s="169" t="s">
        <v>885</v>
      </c>
      <c r="C218" s="170" t="str">
        <f>CONCATENATE("https://dl.acm.org/doi/",'Sheridan Main'!A218)</f>
        <v>https://dl.acm.org/doi/10.1145/3774904.3792284</v>
      </c>
    </row>
    <row r="219">
      <c r="A219" s="169" t="s">
        <v>886</v>
      </c>
      <c r="B219" s="169" t="s">
        <v>887</v>
      </c>
      <c r="C219" s="170" t="str">
        <f>CONCATENATE("https://dl.acm.org/doi/",'Sheridan Main'!A219)</f>
        <v>https://dl.acm.org/doi/10.1145/3774904.3792285</v>
      </c>
    </row>
    <row r="220">
      <c r="A220" s="169" t="s">
        <v>888</v>
      </c>
      <c r="B220" s="169" t="s">
        <v>889</v>
      </c>
      <c r="C220" s="170" t="str">
        <f>CONCATENATE("https://dl.acm.org/doi/",'Sheridan Main'!A220)</f>
        <v>https://dl.acm.org/doi/10.1145/3774904.3792286</v>
      </c>
    </row>
    <row r="221">
      <c r="A221" s="169" t="s">
        <v>890</v>
      </c>
      <c r="B221" s="169" t="s">
        <v>891</v>
      </c>
      <c r="C221" s="170" t="str">
        <f>CONCATENATE("https://dl.acm.org/doi/",'Sheridan Main'!A221)</f>
        <v>https://dl.acm.org/doi/10.1145/3774904.3792287</v>
      </c>
    </row>
    <row r="222">
      <c r="A222" s="169" t="s">
        <v>892</v>
      </c>
      <c r="B222" s="169" t="s">
        <v>893</v>
      </c>
      <c r="C222" s="170" t="str">
        <f>CONCATENATE("https://dl.acm.org/doi/",'Sheridan Main'!A222)</f>
        <v>https://dl.acm.org/doi/10.1145/3774904.3792288</v>
      </c>
    </row>
    <row r="223">
      <c r="A223" s="169" t="s">
        <v>894</v>
      </c>
      <c r="B223" s="169" t="s">
        <v>895</v>
      </c>
      <c r="C223" s="170" t="str">
        <f>CONCATENATE("https://dl.acm.org/doi/",'Sheridan Main'!A223)</f>
        <v>https://dl.acm.org/doi/10.1145/3774904.3792289</v>
      </c>
    </row>
    <row r="224">
      <c r="A224" s="169" t="s">
        <v>896</v>
      </c>
      <c r="B224" s="169" t="s">
        <v>897</v>
      </c>
      <c r="C224" s="170" t="str">
        <f>CONCATENATE("https://dl.acm.org/doi/",'Sheridan Main'!A224)</f>
        <v>https://dl.acm.org/doi/10.1145/3774904.3792290</v>
      </c>
    </row>
    <row r="225">
      <c r="A225" s="169" t="s">
        <v>898</v>
      </c>
      <c r="B225" s="169" t="s">
        <v>899</v>
      </c>
      <c r="C225" s="170" t="str">
        <f>CONCATENATE("https://dl.acm.org/doi/",'Sheridan Main'!A225)</f>
        <v>https://dl.acm.org/doi/10.1145/3774904.3792291</v>
      </c>
    </row>
    <row r="226">
      <c r="A226" s="169" t="s">
        <v>900</v>
      </c>
      <c r="B226" s="169" t="s">
        <v>901</v>
      </c>
      <c r="C226" s="170" t="str">
        <f>CONCATENATE("https://dl.acm.org/doi/",'Sheridan Main'!A226)</f>
        <v>https://dl.acm.org/doi/10.1145/3774904.3792292</v>
      </c>
    </row>
    <row r="227">
      <c r="A227" s="169" t="s">
        <v>902</v>
      </c>
      <c r="B227" s="169" t="s">
        <v>903</v>
      </c>
      <c r="C227" s="170" t="str">
        <f>CONCATENATE("https://dl.acm.org/doi/",'Sheridan Main'!A227)</f>
        <v>https://dl.acm.org/doi/10.1145/3774904.3792293</v>
      </c>
    </row>
    <row r="228">
      <c r="A228" s="169" t="s">
        <v>904</v>
      </c>
      <c r="B228" s="169" t="s">
        <v>905</v>
      </c>
      <c r="C228" s="170" t="str">
        <f>CONCATENATE("https://dl.acm.org/doi/",'Sheridan Main'!A228)</f>
        <v>https://dl.acm.org/doi/10.1145/3774904.3792294</v>
      </c>
    </row>
    <row r="229">
      <c r="A229" s="169" t="s">
        <v>906</v>
      </c>
      <c r="B229" s="169" t="s">
        <v>907</v>
      </c>
      <c r="C229" s="170" t="str">
        <f>CONCATENATE("https://dl.acm.org/doi/",'Sheridan Main'!A229)</f>
        <v>https://dl.acm.org/doi/10.1145/3774904.3792295</v>
      </c>
    </row>
    <row r="230">
      <c r="A230" s="169" t="s">
        <v>908</v>
      </c>
      <c r="B230" s="169" t="s">
        <v>909</v>
      </c>
      <c r="C230" s="170" t="str">
        <f>CONCATENATE("https://dl.acm.org/doi/",'Sheridan Main'!A230)</f>
        <v>https://dl.acm.org/doi/10.1145/3774904.3792296</v>
      </c>
    </row>
    <row r="231">
      <c r="A231" s="169" t="s">
        <v>910</v>
      </c>
      <c r="B231" s="169" t="s">
        <v>911</v>
      </c>
      <c r="C231" s="170" t="str">
        <f>CONCATENATE("https://dl.acm.org/doi/",'Sheridan Main'!A231)</f>
        <v>https://dl.acm.org/doi/10.1145/3774904.3792297</v>
      </c>
    </row>
    <row r="232">
      <c r="A232" s="169" t="s">
        <v>912</v>
      </c>
      <c r="B232" s="169" t="s">
        <v>913</v>
      </c>
      <c r="C232" s="170" t="str">
        <f>CONCATENATE("https://dl.acm.org/doi/",'Sheridan Main'!A232)</f>
        <v>https://dl.acm.org/doi/10.1145/3774904.3792298</v>
      </c>
    </row>
    <row r="233">
      <c r="A233" s="169" t="s">
        <v>914</v>
      </c>
      <c r="B233" s="169" t="s">
        <v>915</v>
      </c>
      <c r="C233" s="170" t="str">
        <f>CONCATENATE("https://dl.acm.org/doi/",'Sheridan Main'!A233)</f>
        <v>https://dl.acm.org/doi/10.1145/3774904.3792299</v>
      </c>
    </row>
    <row r="234">
      <c r="A234" s="169" t="s">
        <v>916</v>
      </c>
      <c r="B234" s="169" t="s">
        <v>917</v>
      </c>
      <c r="C234" s="170" t="str">
        <f>CONCATENATE("https://dl.acm.org/doi/",'Sheridan Main'!A234)</f>
        <v>https://dl.acm.org/doi/10.1145/3774904.3792300</v>
      </c>
    </row>
    <row r="235">
      <c r="A235" s="169" t="s">
        <v>918</v>
      </c>
      <c r="B235" s="169" t="s">
        <v>919</v>
      </c>
      <c r="C235" s="170" t="str">
        <f>CONCATENATE("https://dl.acm.org/doi/",'Sheridan Main'!A235)</f>
        <v>https://dl.acm.org/doi/10.1145/3774904.3792301</v>
      </c>
    </row>
    <row r="236">
      <c r="A236" s="169" t="s">
        <v>920</v>
      </c>
      <c r="B236" s="169" t="s">
        <v>921</v>
      </c>
      <c r="C236" s="170" t="str">
        <f>CONCATENATE("https://dl.acm.org/doi/",'Sheridan Main'!A236)</f>
        <v>https://dl.acm.org/doi/10.1145/3774904.3792302</v>
      </c>
    </row>
    <row r="237">
      <c r="A237" s="169" t="s">
        <v>922</v>
      </c>
      <c r="B237" s="169" t="s">
        <v>923</v>
      </c>
      <c r="C237" s="170" t="str">
        <f>CONCATENATE("https://dl.acm.org/doi/",'Sheridan Main'!A237)</f>
        <v>https://dl.acm.org/doi/10.1145/3774904.3792303</v>
      </c>
    </row>
    <row r="238">
      <c r="A238" s="169" t="s">
        <v>924</v>
      </c>
      <c r="B238" s="169" t="s">
        <v>925</v>
      </c>
      <c r="C238" s="170" t="str">
        <f>CONCATENATE("https://dl.acm.org/doi/",'Sheridan Main'!A238)</f>
        <v>https://dl.acm.org/doi/10.1145/3774904.3792304</v>
      </c>
    </row>
    <row r="239">
      <c r="A239" s="169" t="s">
        <v>926</v>
      </c>
      <c r="B239" s="169" t="s">
        <v>927</v>
      </c>
      <c r="C239" s="170" t="str">
        <f>CONCATENATE("https://dl.acm.org/doi/",'Sheridan Main'!A239)</f>
        <v>https://dl.acm.org/doi/10.1145/3774904.3792305</v>
      </c>
    </row>
    <row r="240">
      <c r="A240" s="169" t="s">
        <v>928</v>
      </c>
      <c r="B240" s="169" t="s">
        <v>929</v>
      </c>
      <c r="C240" s="170" t="str">
        <f>CONCATENATE("https://dl.acm.org/doi/",'Sheridan Main'!A240)</f>
        <v>https://dl.acm.org/doi/10.1145/3774904.3792306</v>
      </c>
    </row>
    <row r="241">
      <c r="A241" s="169" t="s">
        <v>930</v>
      </c>
      <c r="B241" s="169" t="s">
        <v>931</v>
      </c>
      <c r="C241" s="170" t="str">
        <f>CONCATENATE("https://dl.acm.org/doi/",'Sheridan Main'!A241)</f>
        <v>https://dl.acm.org/doi/10.1145/3774904.3792307</v>
      </c>
    </row>
    <row r="242">
      <c r="A242" s="169" t="s">
        <v>932</v>
      </c>
      <c r="B242" s="169" t="s">
        <v>933</v>
      </c>
      <c r="C242" s="170" t="str">
        <f>CONCATENATE("https://dl.acm.org/doi/",'Sheridan Main'!A242)</f>
        <v>https://dl.acm.org/doi/10.1145/3774904.3792308</v>
      </c>
    </row>
    <row r="243">
      <c r="A243" s="169" t="s">
        <v>934</v>
      </c>
      <c r="B243" s="169" t="s">
        <v>935</v>
      </c>
      <c r="C243" s="170" t="str">
        <f>CONCATENATE("https://dl.acm.org/doi/",'Sheridan Main'!A243)</f>
        <v>https://dl.acm.org/doi/10.1145/3774904.3792309</v>
      </c>
    </row>
    <row r="244">
      <c r="A244" s="169" t="s">
        <v>936</v>
      </c>
      <c r="B244" s="169" t="s">
        <v>937</v>
      </c>
      <c r="C244" s="170" t="str">
        <f>CONCATENATE("https://dl.acm.org/doi/",'Sheridan Main'!A244)</f>
        <v>https://dl.acm.org/doi/10.1145/3774904.3792310</v>
      </c>
    </row>
    <row r="245">
      <c r="A245" s="169" t="s">
        <v>938</v>
      </c>
      <c r="B245" s="169" t="s">
        <v>939</v>
      </c>
      <c r="C245" s="170" t="str">
        <f>CONCATENATE("https://dl.acm.org/doi/",'Sheridan Main'!A245)</f>
        <v>https://dl.acm.org/doi/10.1145/3774904.3792311</v>
      </c>
    </row>
    <row r="246">
      <c r="A246" s="169" t="s">
        <v>940</v>
      </c>
      <c r="B246" s="169" t="s">
        <v>941</v>
      </c>
      <c r="C246" s="170" t="str">
        <f>CONCATENATE("https://dl.acm.org/doi/",'Sheridan Main'!A246)</f>
        <v>https://dl.acm.org/doi/10.1145/3774904.3792312</v>
      </c>
    </row>
    <row r="247">
      <c r="A247" s="169" t="s">
        <v>942</v>
      </c>
      <c r="B247" s="169" t="s">
        <v>943</v>
      </c>
      <c r="C247" s="170" t="str">
        <f>CONCATENATE("https://dl.acm.org/doi/",'Sheridan Main'!A247)</f>
        <v>https://dl.acm.org/doi/10.1145/3774904.3792313</v>
      </c>
    </row>
    <row r="248">
      <c r="A248" s="169" t="s">
        <v>944</v>
      </c>
      <c r="B248" s="169" t="s">
        <v>945</v>
      </c>
      <c r="C248" s="170" t="str">
        <f>CONCATENATE("https://dl.acm.org/doi/",'Sheridan Main'!A248)</f>
        <v>https://dl.acm.org/doi/10.1145/3774904.3792314</v>
      </c>
    </row>
    <row r="249">
      <c r="A249" s="169" t="s">
        <v>946</v>
      </c>
      <c r="B249" s="169" t="s">
        <v>947</v>
      </c>
      <c r="C249" s="170" t="str">
        <f>CONCATENATE("https://dl.acm.org/doi/",'Sheridan Main'!A249)</f>
        <v>https://dl.acm.org/doi/10.1145/3774904.3792315</v>
      </c>
    </row>
    <row r="250">
      <c r="A250" s="169" t="s">
        <v>948</v>
      </c>
      <c r="B250" s="169" t="s">
        <v>949</v>
      </c>
      <c r="C250" s="170" t="str">
        <f>CONCATENATE("https://dl.acm.org/doi/",'Sheridan Main'!A250)</f>
        <v>https://dl.acm.org/doi/10.1145/3774904.3792316</v>
      </c>
    </row>
    <row r="251">
      <c r="A251" s="169" t="s">
        <v>950</v>
      </c>
      <c r="B251" s="169" t="s">
        <v>951</v>
      </c>
      <c r="C251" s="170" t="str">
        <f>CONCATENATE("https://dl.acm.org/doi/",'Sheridan Main'!A251)</f>
        <v>https://dl.acm.org/doi/10.1145/3774904.3792317</v>
      </c>
    </row>
    <row r="252">
      <c r="A252" s="169" t="s">
        <v>952</v>
      </c>
      <c r="B252" s="169" t="s">
        <v>953</v>
      </c>
      <c r="C252" s="170" t="str">
        <f>CONCATENATE("https://dl.acm.org/doi/",'Sheridan Main'!A252)</f>
        <v>https://dl.acm.org/doi/10.1145/3774904.3792318</v>
      </c>
    </row>
    <row r="253">
      <c r="A253" s="169" t="s">
        <v>954</v>
      </c>
      <c r="B253" s="169" t="s">
        <v>955</v>
      </c>
      <c r="C253" s="170" t="str">
        <f>CONCATENATE("https://dl.acm.org/doi/",'Sheridan Main'!A253)</f>
        <v>https://dl.acm.org/doi/10.1145/3774904.3792319</v>
      </c>
    </row>
    <row r="254">
      <c r="A254" s="169" t="s">
        <v>956</v>
      </c>
      <c r="B254" s="169" t="s">
        <v>957</v>
      </c>
      <c r="C254" s="170" t="str">
        <f>CONCATENATE("https://dl.acm.org/doi/",'Sheridan Main'!A254)</f>
        <v>https://dl.acm.org/doi/10.1145/3774904.3792320</v>
      </c>
    </row>
    <row r="255">
      <c r="A255" s="169" t="s">
        <v>958</v>
      </c>
      <c r="B255" s="169" t="s">
        <v>959</v>
      </c>
      <c r="C255" s="170" t="str">
        <f>CONCATENATE("https://dl.acm.org/doi/",'Sheridan Main'!A255)</f>
        <v>https://dl.acm.org/doi/10.1145/3774904.3792321</v>
      </c>
    </row>
    <row r="256">
      <c r="A256" s="169" t="s">
        <v>960</v>
      </c>
      <c r="B256" s="169" t="s">
        <v>961</v>
      </c>
      <c r="C256" s="170" t="str">
        <f>CONCATENATE("https://dl.acm.org/doi/",'Sheridan Main'!A256)</f>
        <v>https://dl.acm.org/doi/10.1145/3774904.3792322</v>
      </c>
    </row>
    <row r="257">
      <c r="A257" s="169" t="s">
        <v>962</v>
      </c>
      <c r="B257" s="169" t="s">
        <v>963</v>
      </c>
      <c r="C257" s="170" t="str">
        <f>CONCATENATE("https://dl.acm.org/doi/",'Sheridan Main'!A257)</f>
        <v>https://dl.acm.org/doi/10.1145/3774904.3792323</v>
      </c>
    </row>
    <row r="258">
      <c r="A258" s="169" t="s">
        <v>964</v>
      </c>
      <c r="B258" s="169" t="s">
        <v>965</v>
      </c>
      <c r="C258" s="170" t="str">
        <f>CONCATENATE("https://dl.acm.org/doi/",'Sheridan Main'!A258)</f>
        <v>https://dl.acm.org/doi/10.1145/3774904.3792324</v>
      </c>
    </row>
    <row r="259">
      <c r="A259" s="169" t="s">
        <v>966</v>
      </c>
      <c r="B259" s="169" t="s">
        <v>967</v>
      </c>
      <c r="C259" s="170" t="str">
        <f>CONCATENATE("https://dl.acm.org/doi/",'Sheridan Main'!A259)</f>
        <v>https://dl.acm.org/doi/10.1145/3774904.3792325</v>
      </c>
    </row>
    <row r="260">
      <c r="A260" s="169" t="s">
        <v>968</v>
      </c>
      <c r="B260" s="169" t="s">
        <v>969</v>
      </c>
      <c r="C260" s="170" t="str">
        <f>CONCATENATE("https://dl.acm.org/doi/",'Sheridan Main'!A260)</f>
        <v>https://dl.acm.org/doi/10.1145/3774904.3792326</v>
      </c>
    </row>
    <row r="261">
      <c r="A261" s="169" t="s">
        <v>970</v>
      </c>
      <c r="B261" s="169" t="s">
        <v>971</v>
      </c>
      <c r="C261" s="170" t="str">
        <f>CONCATENATE("https://dl.acm.org/doi/",'Sheridan Main'!A261)</f>
        <v>https://dl.acm.org/doi/10.1145/3774904.3792327</v>
      </c>
    </row>
    <row r="262">
      <c r="A262" s="169" t="s">
        <v>972</v>
      </c>
      <c r="B262" s="169" t="s">
        <v>973</v>
      </c>
      <c r="C262" s="170" t="str">
        <f>CONCATENATE("https://dl.acm.org/doi/",'Sheridan Main'!A262)</f>
        <v>https://dl.acm.org/doi/10.1145/3774904.3792328</v>
      </c>
    </row>
    <row r="263">
      <c r="A263" s="169" t="s">
        <v>974</v>
      </c>
      <c r="B263" s="169" t="s">
        <v>975</v>
      </c>
      <c r="C263" s="170" t="str">
        <f>CONCATENATE("https://dl.acm.org/doi/",'Sheridan Main'!A263)</f>
        <v>https://dl.acm.org/doi/10.1145/3774904.3792329</v>
      </c>
    </row>
    <row r="264">
      <c r="A264" s="169" t="s">
        <v>976</v>
      </c>
      <c r="B264" s="169" t="s">
        <v>977</v>
      </c>
      <c r="C264" s="170" t="str">
        <f>CONCATENATE("https://dl.acm.org/doi/",'Sheridan Main'!A264)</f>
        <v>https://dl.acm.org/doi/10.1145/3774904.3792330</v>
      </c>
    </row>
    <row r="265">
      <c r="A265" s="169" t="s">
        <v>978</v>
      </c>
      <c r="B265" s="169" t="s">
        <v>979</v>
      </c>
      <c r="C265" s="170" t="str">
        <f>CONCATENATE("https://dl.acm.org/doi/",'Sheridan Main'!A265)</f>
        <v>https://dl.acm.org/doi/10.1145/3774904.3792331</v>
      </c>
    </row>
    <row r="266">
      <c r="A266" s="169" t="s">
        <v>980</v>
      </c>
      <c r="B266" s="169" t="s">
        <v>981</v>
      </c>
      <c r="C266" s="170" t="str">
        <f>CONCATENATE("https://dl.acm.org/doi/",'Sheridan Main'!A266)</f>
        <v>https://dl.acm.org/doi/10.1145/3774904.3792332</v>
      </c>
    </row>
    <row r="267">
      <c r="A267" s="169" t="s">
        <v>982</v>
      </c>
      <c r="B267" s="169" t="s">
        <v>983</v>
      </c>
      <c r="C267" s="170" t="str">
        <f>CONCATENATE("https://dl.acm.org/doi/",'Sheridan Main'!A267)</f>
        <v>https://dl.acm.org/doi/10.1145/3774904.3792333</v>
      </c>
    </row>
    <row r="268">
      <c r="A268" s="169" t="s">
        <v>984</v>
      </c>
      <c r="B268" s="169" t="s">
        <v>985</v>
      </c>
      <c r="C268" s="170" t="str">
        <f>CONCATENATE("https://dl.acm.org/doi/",'Sheridan Main'!A268)</f>
        <v>https://dl.acm.org/doi/10.1145/3774904.3792334</v>
      </c>
    </row>
    <row r="269">
      <c r="A269" s="169" t="s">
        <v>986</v>
      </c>
      <c r="B269" s="169" t="s">
        <v>987</v>
      </c>
      <c r="C269" s="170" t="str">
        <f>CONCATENATE("https://dl.acm.org/doi/",'Sheridan Main'!A269)</f>
        <v>https://dl.acm.org/doi/10.1145/3774904.3792335</v>
      </c>
    </row>
    <row r="270">
      <c r="A270" s="169" t="s">
        <v>988</v>
      </c>
      <c r="B270" s="169" t="s">
        <v>989</v>
      </c>
      <c r="C270" s="170" t="str">
        <f>CONCATENATE("https://dl.acm.org/doi/",'Sheridan Main'!A270)</f>
        <v>https://dl.acm.org/doi/10.1145/3774904.3792336</v>
      </c>
    </row>
    <row r="271">
      <c r="A271" s="169" t="s">
        <v>990</v>
      </c>
      <c r="B271" s="169" t="s">
        <v>991</v>
      </c>
      <c r="C271" s="170" t="str">
        <f>CONCATENATE("https://dl.acm.org/doi/",'Sheridan Main'!A271)</f>
        <v>https://dl.acm.org/doi/10.1145/3774904.3792337</v>
      </c>
    </row>
    <row r="272">
      <c r="A272" s="169" t="s">
        <v>992</v>
      </c>
      <c r="B272" s="169" t="s">
        <v>993</v>
      </c>
      <c r="C272" s="170" t="str">
        <f>CONCATENATE("https://dl.acm.org/doi/",'Sheridan Main'!A272)</f>
        <v>https://dl.acm.org/doi/10.1145/3774904.3792338</v>
      </c>
    </row>
    <row r="273">
      <c r="A273" s="169" t="s">
        <v>994</v>
      </c>
      <c r="B273" s="169" t="s">
        <v>995</v>
      </c>
      <c r="C273" s="170" t="str">
        <f>CONCATENATE("https://dl.acm.org/doi/",'Sheridan Main'!A273)</f>
        <v>https://dl.acm.org/doi/10.1145/3774904.3792339</v>
      </c>
    </row>
    <row r="274">
      <c r="A274" s="169" t="s">
        <v>996</v>
      </c>
      <c r="B274" s="169" t="s">
        <v>997</v>
      </c>
      <c r="C274" s="170" t="str">
        <f>CONCATENATE("https://dl.acm.org/doi/",'Sheridan Main'!A274)</f>
        <v>https://dl.acm.org/doi/10.1145/3774904.3792340</v>
      </c>
    </row>
    <row r="275">
      <c r="A275" s="169" t="s">
        <v>998</v>
      </c>
      <c r="B275" s="169" t="s">
        <v>999</v>
      </c>
      <c r="C275" s="170" t="str">
        <f>CONCATENATE("https://dl.acm.org/doi/",'Sheridan Main'!A275)</f>
        <v>https://dl.acm.org/doi/10.1145/3774904.3792341</v>
      </c>
    </row>
    <row r="276">
      <c r="A276" s="169" t="s">
        <v>1000</v>
      </c>
      <c r="B276" s="169" t="s">
        <v>1001</v>
      </c>
      <c r="C276" s="170" t="str">
        <f>CONCATENATE("https://dl.acm.org/doi/",'Sheridan Main'!A276)</f>
        <v>https://dl.acm.org/doi/10.1145/3774904.3792342</v>
      </c>
    </row>
    <row r="277">
      <c r="A277" s="169" t="s">
        <v>1002</v>
      </c>
      <c r="B277" s="169" t="s">
        <v>1003</v>
      </c>
      <c r="C277" s="170" t="str">
        <f>CONCATENATE("https://dl.acm.org/doi/",'Sheridan Main'!A277)</f>
        <v>https://dl.acm.org/doi/10.1145/3774904.3792343</v>
      </c>
    </row>
    <row r="278">
      <c r="A278" s="169" t="s">
        <v>1004</v>
      </c>
      <c r="B278" s="169" t="s">
        <v>1005</v>
      </c>
      <c r="C278" s="170" t="str">
        <f>CONCATENATE("https://dl.acm.org/doi/",'Sheridan Main'!A278)</f>
        <v>https://dl.acm.org/doi/10.1145/3774904.3792344</v>
      </c>
    </row>
    <row r="279">
      <c r="A279" s="169" t="s">
        <v>1006</v>
      </c>
      <c r="B279" s="169" t="s">
        <v>1007</v>
      </c>
      <c r="C279" s="170" t="str">
        <f>CONCATENATE("https://dl.acm.org/doi/",'Sheridan Main'!A279)</f>
        <v>https://dl.acm.org/doi/10.1145/3774904.3792345</v>
      </c>
    </row>
    <row r="280">
      <c r="A280" s="169" t="s">
        <v>1008</v>
      </c>
      <c r="B280" s="169" t="s">
        <v>1009</v>
      </c>
      <c r="C280" s="170" t="str">
        <f>CONCATENATE("https://dl.acm.org/doi/",'Sheridan Main'!A280)</f>
        <v>https://dl.acm.org/doi/10.1145/3774904.3792346</v>
      </c>
    </row>
    <row r="281">
      <c r="A281" s="169" t="s">
        <v>1010</v>
      </c>
      <c r="B281" s="169" t="s">
        <v>1011</v>
      </c>
      <c r="C281" s="170" t="str">
        <f>CONCATENATE("https://dl.acm.org/doi/",'Sheridan Main'!A281)</f>
        <v>https://dl.acm.org/doi/10.1145/3774904.3792347</v>
      </c>
    </row>
    <row r="282">
      <c r="A282" s="169" t="s">
        <v>1012</v>
      </c>
      <c r="B282" s="169" t="s">
        <v>1013</v>
      </c>
      <c r="C282" s="170" t="str">
        <f>CONCATENATE("https://dl.acm.org/doi/",'Sheridan Main'!A282)</f>
        <v>https://dl.acm.org/doi/10.1145/3774904.3792348</v>
      </c>
    </row>
    <row r="283">
      <c r="A283" s="169" t="s">
        <v>1014</v>
      </c>
      <c r="B283" s="169" t="s">
        <v>1015</v>
      </c>
      <c r="C283" s="170" t="str">
        <f>CONCATENATE("https://dl.acm.org/doi/",'Sheridan Main'!A283)</f>
        <v>https://dl.acm.org/doi/10.1145/3774904.3792349</v>
      </c>
    </row>
    <row r="284">
      <c r="A284" s="169" t="s">
        <v>1016</v>
      </c>
      <c r="B284" s="169" t="s">
        <v>1017</v>
      </c>
      <c r="C284" s="170" t="str">
        <f>CONCATENATE("https://dl.acm.org/doi/",'Sheridan Main'!A284)</f>
        <v>https://dl.acm.org/doi/10.1145/3774904.3792350</v>
      </c>
    </row>
    <row r="285">
      <c r="A285" s="169" t="s">
        <v>1018</v>
      </c>
      <c r="B285" s="169" t="s">
        <v>1019</v>
      </c>
      <c r="C285" s="170" t="str">
        <f>CONCATENATE("https://dl.acm.org/doi/",'Sheridan Main'!A285)</f>
        <v>https://dl.acm.org/doi/10.1145/3774904.3792351</v>
      </c>
    </row>
    <row r="286">
      <c r="A286" s="169" t="s">
        <v>1020</v>
      </c>
      <c r="B286" s="169" t="s">
        <v>1021</v>
      </c>
      <c r="C286" s="170" t="str">
        <f>CONCATENATE("https://dl.acm.org/doi/",'Sheridan Main'!A286)</f>
        <v>https://dl.acm.org/doi/10.1145/3774904.3792352</v>
      </c>
    </row>
    <row r="287">
      <c r="A287" s="169" t="s">
        <v>1022</v>
      </c>
      <c r="B287" s="169" t="s">
        <v>1023</v>
      </c>
      <c r="C287" s="170" t="str">
        <f>CONCATENATE("https://dl.acm.org/doi/",'Sheridan Main'!A287)</f>
        <v>https://dl.acm.org/doi/10.1145/3774904.3792353</v>
      </c>
    </row>
    <row r="288">
      <c r="A288" s="169" t="s">
        <v>1024</v>
      </c>
      <c r="B288" s="169" t="s">
        <v>1025</v>
      </c>
      <c r="C288" s="170" t="str">
        <f>CONCATENATE("https://dl.acm.org/doi/",'Sheridan Main'!A288)</f>
        <v>https://dl.acm.org/doi/10.1145/3774904.3792354</v>
      </c>
    </row>
    <row r="289">
      <c r="A289" s="169" t="s">
        <v>1026</v>
      </c>
      <c r="B289" s="169" t="s">
        <v>1027</v>
      </c>
      <c r="C289" s="170" t="str">
        <f>CONCATENATE("https://dl.acm.org/doi/",'Sheridan Main'!A289)</f>
        <v>https://dl.acm.org/doi/10.1145/3774904.3792355</v>
      </c>
    </row>
    <row r="290">
      <c r="A290" s="169" t="s">
        <v>1028</v>
      </c>
      <c r="B290" s="169" t="s">
        <v>1029</v>
      </c>
      <c r="C290" s="170" t="str">
        <f>CONCATENATE("https://dl.acm.org/doi/",'Sheridan Main'!A290)</f>
        <v>https://dl.acm.org/doi/10.1145/3774904.3792356</v>
      </c>
    </row>
    <row r="291">
      <c r="A291" s="169" t="s">
        <v>1030</v>
      </c>
      <c r="B291" s="169" t="s">
        <v>1031</v>
      </c>
      <c r="C291" s="170" t="str">
        <f>CONCATENATE("https://dl.acm.org/doi/",'Sheridan Main'!A291)</f>
        <v>https://dl.acm.org/doi/10.1145/3774904.3792357</v>
      </c>
    </row>
    <row r="292">
      <c r="A292" s="169" t="s">
        <v>1032</v>
      </c>
      <c r="B292" s="169" t="s">
        <v>1033</v>
      </c>
      <c r="C292" s="170" t="str">
        <f>CONCATENATE("https://dl.acm.org/doi/",'Sheridan Main'!A292)</f>
        <v>https://dl.acm.org/doi/10.1145/3774904.3792358</v>
      </c>
    </row>
    <row r="293">
      <c r="A293" s="169" t="s">
        <v>1034</v>
      </c>
      <c r="B293" s="169" t="s">
        <v>1035</v>
      </c>
      <c r="C293" s="170" t="str">
        <f>CONCATENATE("https://dl.acm.org/doi/",'Sheridan Main'!A293)</f>
        <v>https://dl.acm.org/doi/10.1145/3774904.3792359</v>
      </c>
    </row>
    <row r="294">
      <c r="A294" s="169" t="s">
        <v>1036</v>
      </c>
      <c r="B294" s="169" t="s">
        <v>1037</v>
      </c>
      <c r="C294" s="170" t="str">
        <f>CONCATENATE("https://dl.acm.org/doi/",'Sheridan Main'!A294)</f>
        <v>https://dl.acm.org/doi/10.1145/3774904.3792360</v>
      </c>
    </row>
    <row r="295">
      <c r="A295" s="169" t="s">
        <v>1038</v>
      </c>
      <c r="B295" s="169" t="s">
        <v>1039</v>
      </c>
      <c r="C295" s="170" t="str">
        <f>CONCATENATE("https://dl.acm.org/doi/",'Sheridan Main'!A295)</f>
        <v>https://dl.acm.org/doi/10.1145/3774904.3792361</v>
      </c>
    </row>
    <row r="296">
      <c r="A296" s="169" t="s">
        <v>1040</v>
      </c>
      <c r="B296" s="169" t="s">
        <v>1041</v>
      </c>
      <c r="C296" s="170" t="str">
        <f>CONCATENATE("https://dl.acm.org/doi/",'Sheridan Main'!A296)</f>
        <v>https://dl.acm.org/doi/10.1145/3774904.3792362</v>
      </c>
    </row>
    <row r="297">
      <c r="A297" s="169" t="s">
        <v>1042</v>
      </c>
      <c r="B297" s="169" t="s">
        <v>1043</v>
      </c>
      <c r="C297" s="170" t="str">
        <f>CONCATENATE("https://dl.acm.org/doi/",'Sheridan Main'!A297)</f>
        <v>https://dl.acm.org/doi/10.1145/3774904.3792363</v>
      </c>
    </row>
    <row r="298">
      <c r="A298" s="169" t="s">
        <v>1044</v>
      </c>
      <c r="B298" s="169" t="s">
        <v>1045</v>
      </c>
      <c r="C298" s="170" t="str">
        <f>CONCATENATE("https://dl.acm.org/doi/",'Sheridan Main'!A298)</f>
        <v>https://dl.acm.org/doi/10.1145/3774904.3792364</v>
      </c>
    </row>
    <row r="299">
      <c r="A299" s="169" t="s">
        <v>1046</v>
      </c>
      <c r="B299" s="169" t="s">
        <v>1047</v>
      </c>
      <c r="C299" s="170" t="str">
        <f>CONCATENATE("https://dl.acm.org/doi/",'Sheridan Main'!A299)</f>
        <v>https://dl.acm.org/doi/10.1145/3774904.3792365</v>
      </c>
    </row>
    <row r="300">
      <c r="A300" s="169" t="s">
        <v>1048</v>
      </c>
      <c r="B300" s="169" t="s">
        <v>1049</v>
      </c>
      <c r="C300" s="170" t="str">
        <f>CONCATENATE("https://dl.acm.org/doi/",'Sheridan Main'!A300)</f>
        <v>https://dl.acm.org/doi/10.1145/3774904.3792366</v>
      </c>
    </row>
    <row r="301">
      <c r="A301" s="169" t="s">
        <v>1050</v>
      </c>
      <c r="B301" s="169" t="s">
        <v>1051</v>
      </c>
      <c r="C301" s="170" t="str">
        <f>CONCATENATE("https://dl.acm.org/doi/",'Sheridan Main'!A301)</f>
        <v>https://dl.acm.org/doi/10.1145/3774904.3792367</v>
      </c>
    </row>
    <row r="302">
      <c r="A302" s="169" t="s">
        <v>1052</v>
      </c>
      <c r="B302" s="169" t="s">
        <v>1053</v>
      </c>
      <c r="C302" s="170" t="str">
        <f>CONCATENATE("https://dl.acm.org/doi/",'Sheridan Main'!A302)</f>
        <v>https://dl.acm.org/doi/10.1145/3774904.3792368</v>
      </c>
    </row>
    <row r="303">
      <c r="A303" s="169" t="s">
        <v>1054</v>
      </c>
      <c r="B303" s="169" t="s">
        <v>1055</v>
      </c>
      <c r="C303" s="170" t="str">
        <f>CONCATENATE("https://dl.acm.org/doi/",'Sheridan Main'!A303)</f>
        <v>https://dl.acm.org/doi/10.1145/3774904.3792369</v>
      </c>
    </row>
    <row r="304">
      <c r="A304" s="169" t="s">
        <v>1056</v>
      </c>
      <c r="B304" s="169" t="s">
        <v>1057</v>
      </c>
      <c r="C304" s="170" t="str">
        <f>CONCATENATE("https://dl.acm.org/doi/",'Sheridan Main'!A304)</f>
        <v>https://dl.acm.org/doi/10.1145/3774904.3792370</v>
      </c>
    </row>
    <row r="305">
      <c r="A305" s="169" t="s">
        <v>1058</v>
      </c>
      <c r="B305" s="169" t="s">
        <v>1059</v>
      </c>
      <c r="C305" s="170" t="str">
        <f>CONCATENATE("https://dl.acm.org/doi/",'Sheridan Main'!A305)</f>
        <v>https://dl.acm.org/doi/10.1145/3774904.3792371</v>
      </c>
    </row>
    <row r="306">
      <c r="A306" s="169" t="s">
        <v>1060</v>
      </c>
      <c r="B306" s="169" t="s">
        <v>1061</v>
      </c>
      <c r="C306" s="170" t="str">
        <f>CONCATENATE("https://dl.acm.org/doi/",'Sheridan Main'!A306)</f>
        <v>https://dl.acm.org/doi/10.1145/3774904.3792372</v>
      </c>
    </row>
    <row r="307">
      <c r="A307" s="169" t="s">
        <v>1062</v>
      </c>
      <c r="B307" s="169" t="s">
        <v>1063</v>
      </c>
      <c r="C307" s="170" t="str">
        <f>CONCATENATE("https://dl.acm.org/doi/",'Sheridan Main'!A307)</f>
        <v>https://dl.acm.org/doi/10.1145/3774904.3792373</v>
      </c>
    </row>
    <row r="308">
      <c r="A308" s="169" t="s">
        <v>1064</v>
      </c>
      <c r="B308" s="169" t="s">
        <v>1065</v>
      </c>
      <c r="C308" s="170" t="str">
        <f>CONCATENATE("https://dl.acm.org/doi/",'Sheridan Main'!A308)</f>
        <v>https://dl.acm.org/doi/10.1145/3774904.3792374</v>
      </c>
    </row>
    <row r="309">
      <c r="A309" s="169" t="s">
        <v>1064</v>
      </c>
      <c r="B309" s="169" t="s">
        <v>1065</v>
      </c>
      <c r="C309" s="170" t="str">
        <f>CONCATENATE("https://dl.acm.org/doi/",'Sheridan Main'!A309)</f>
        <v>https://dl.acm.org/doi/10.1145/3774904.3792374</v>
      </c>
    </row>
    <row r="310">
      <c r="A310" s="169" t="s">
        <v>1066</v>
      </c>
      <c r="B310" s="169" t="s">
        <v>1067</v>
      </c>
      <c r="C310" s="170" t="str">
        <f>CONCATENATE("https://dl.acm.org/doi/",'Sheridan Main'!A310)</f>
        <v>https://dl.acm.org/doi/10.1145/3774904.3792375</v>
      </c>
    </row>
    <row r="311">
      <c r="A311" s="169" t="s">
        <v>1068</v>
      </c>
      <c r="B311" s="169" t="s">
        <v>1069</v>
      </c>
      <c r="C311" s="170" t="str">
        <f>CONCATENATE("https://dl.acm.org/doi/",'Sheridan Main'!A311)</f>
        <v>https://dl.acm.org/doi/10.1145/3774904.3792376</v>
      </c>
    </row>
    <row r="312">
      <c r="A312" s="169" t="s">
        <v>1070</v>
      </c>
      <c r="B312" s="169" t="s">
        <v>1071</v>
      </c>
      <c r="C312" s="170" t="str">
        <f>CONCATENATE("https://dl.acm.org/doi/",'Sheridan Main'!A312)</f>
        <v>https://dl.acm.org/doi/10.1145/3774904.3792377</v>
      </c>
    </row>
    <row r="313">
      <c r="A313" s="169" t="s">
        <v>1072</v>
      </c>
      <c r="B313" s="169" t="s">
        <v>1073</v>
      </c>
      <c r="C313" s="170" t="str">
        <f>CONCATENATE("https://dl.acm.org/doi/",'Sheridan Main'!A313)</f>
        <v>https://dl.acm.org/doi/10.1145/3774904.3792378</v>
      </c>
    </row>
    <row r="314">
      <c r="A314" s="169" t="s">
        <v>1074</v>
      </c>
      <c r="B314" s="169" t="s">
        <v>1075</v>
      </c>
      <c r="C314" s="170" t="str">
        <f>CONCATENATE("https://dl.acm.org/doi/",'Sheridan Main'!A314)</f>
        <v>https://dl.acm.org/doi/10.1145/3774904.3792379</v>
      </c>
    </row>
    <row r="315">
      <c r="A315" s="169" t="s">
        <v>1076</v>
      </c>
      <c r="B315" s="169" t="s">
        <v>1077</v>
      </c>
      <c r="C315" s="170" t="str">
        <f>CONCATENATE("https://dl.acm.org/doi/",'Sheridan Main'!A315)</f>
        <v>https://dl.acm.org/doi/10.1145/3774904.3792380</v>
      </c>
    </row>
    <row r="316">
      <c r="A316" s="169" t="s">
        <v>1078</v>
      </c>
      <c r="B316" s="169" t="s">
        <v>1079</v>
      </c>
      <c r="C316" s="170" t="str">
        <f>CONCATENATE("https://dl.acm.org/doi/",'Sheridan Main'!A316)</f>
        <v>https://dl.acm.org/doi/10.1145/3774904.3792381</v>
      </c>
    </row>
    <row r="317">
      <c r="A317" s="169" t="s">
        <v>1080</v>
      </c>
      <c r="B317" s="169" t="s">
        <v>1081</v>
      </c>
      <c r="C317" s="170" t="str">
        <f>CONCATENATE("https://dl.acm.org/doi/",'Sheridan Main'!A317)</f>
        <v>https://dl.acm.org/doi/10.1145/3774904.3792382</v>
      </c>
    </row>
    <row r="318">
      <c r="A318" s="169" t="s">
        <v>1082</v>
      </c>
      <c r="B318" s="169" t="s">
        <v>1083</v>
      </c>
      <c r="C318" s="170" t="str">
        <f>CONCATENATE("https://dl.acm.org/doi/",'Sheridan Main'!A318)</f>
        <v>https://dl.acm.org/doi/10.1145/3774904.3792383</v>
      </c>
    </row>
    <row r="319">
      <c r="A319" s="169" t="s">
        <v>1084</v>
      </c>
      <c r="B319" s="169" t="s">
        <v>1085</v>
      </c>
      <c r="C319" s="170" t="str">
        <f>CONCATENATE("https://dl.acm.org/doi/",'Sheridan Main'!A319)</f>
        <v>https://dl.acm.org/doi/10.1145/3774904.3792384</v>
      </c>
    </row>
    <row r="320">
      <c r="A320" s="169" t="s">
        <v>1086</v>
      </c>
      <c r="B320" s="169" t="s">
        <v>1087</v>
      </c>
      <c r="C320" s="170" t="str">
        <f>CONCATENATE("https://dl.acm.org/doi/",'Sheridan Main'!A320)</f>
        <v>https://dl.acm.org/doi/10.1145/3774904.3792385</v>
      </c>
    </row>
    <row r="321">
      <c r="A321" s="169" t="s">
        <v>1088</v>
      </c>
      <c r="B321" s="169" t="s">
        <v>1089</v>
      </c>
      <c r="C321" s="170" t="str">
        <f>CONCATENATE("https://dl.acm.org/doi/",'Sheridan Main'!A321)</f>
        <v>https://dl.acm.org/doi/10.1145/3774904.3792386</v>
      </c>
    </row>
    <row r="322">
      <c r="A322" s="169" t="s">
        <v>1090</v>
      </c>
      <c r="B322" s="169" t="s">
        <v>1091</v>
      </c>
      <c r="C322" s="170" t="str">
        <f>CONCATENATE("https://dl.acm.org/doi/",'Sheridan Main'!A322)</f>
        <v>https://dl.acm.org/doi/10.1145/3774904.3792387</v>
      </c>
    </row>
    <row r="323">
      <c r="A323" s="169" t="s">
        <v>1092</v>
      </c>
      <c r="B323" s="169" t="s">
        <v>1093</v>
      </c>
      <c r="C323" s="170" t="str">
        <f>CONCATENATE("https://dl.acm.org/doi/",'Sheridan Main'!A323)</f>
        <v>https://dl.acm.org/doi/10.1145/3774904.3792388</v>
      </c>
    </row>
    <row r="324">
      <c r="A324" s="169" t="s">
        <v>1094</v>
      </c>
      <c r="B324" s="169" t="s">
        <v>1095</v>
      </c>
      <c r="C324" s="170" t="str">
        <f>CONCATENATE("https://dl.acm.org/doi/",'Sheridan Main'!A324)</f>
        <v>https://dl.acm.org/doi/10.1145/3774904.3792389</v>
      </c>
    </row>
    <row r="325">
      <c r="A325" s="169" t="s">
        <v>1096</v>
      </c>
      <c r="B325" s="169" t="s">
        <v>1097</v>
      </c>
      <c r="C325" s="170" t="str">
        <f>CONCATENATE("https://dl.acm.org/doi/",'Sheridan Main'!A325)</f>
        <v>https://dl.acm.org/doi/10.1145/3774904.3792390</v>
      </c>
    </row>
    <row r="326">
      <c r="A326" s="169" t="s">
        <v>1098</v>
      </c>
      <c r="B326" s="169" t="s">
        <v>1099</v>
      </c>
      <c r="C326" s="170" t="str">
        <f>CONCATENATE("https://dl.acm.org/doi/",'Sheridan Main'!A326)</f>
        <v>https://dl.acm.org/doi/10.1145/3774904.3792391</v>
      </c>
    </row>
    <row r="327">
      <c r="A327" s="169" t="s">
        <v>1100</v>
      </c>
      <c r="B327" s="169" t="s">
        <v>1101</v>
      </c>
      <c r="C327" s="170" t="str">
        <f>CONCATENATE("https://dl.acm.org/doi/",'Sheridan Main'!A327)</f>
        <v>https://dl.acm.org/doi/10.1145/3774904.3792392</v>
      </c>
    </row>
    <row r="328">
      <c r="A328" s="169" t="s">
        <v>1102</v>
      </c>
      <c r="B328" s="169" t="s">
        <v>1103</v>
      </c>
      <c r="C328" s="170" t="str">
        <f>CONCATENATE("https://dl.acm.org/doi/",'Sheridan Main'!A328)</f>
        <v>https://dl.acm.org/doi/10.1145/3774904.3792393</v>
      </c>
    </row>
    <row r="329">
      <c r="A329" s="169" t="s">
        <v>1104</v>
      </c>
      <c r="B329" s="169" t="s">
        <v>1105</v>
      </c>
      <c r="C329" s="170" t="str">
        <f>CONCATENATE("https://dl.acm.org/doi/",'Sheridan Main'!A329)</f>
        <v>https://dl.acm.org/doi/10.1145/3774904.3792394</v>
      </c>
    </row>
    <row r="330">
      <c r="A330" s="169" t="s">
        <v>1106</v>
      </c>
      <c r="B330" s="169" t="s">
        <v>1107</v>
      </c>
      <c r="C330" s="170" t="str">
        <f>CONCATENATE("https://dl.acm.org/doi/",'Sheridan Main'!A330)</f>
        <v>https://dl.acm.org/doi/10.1145/3774904.3792395</v>
      </c>
    </row>
    <row r="331">
      <c r="A331" s="169" t="s">
        <v>1108</v>
      </c>
      <c r="B331" s="169" t="s">
        <v>1109</v>
      </c>
      <c r="C331" s="170" t="str">
        <f>CONCATENATE("https://dl.acm.org/doi/",'Sheridan Main'!A331)</f>
        <v>https://dl.acm.org/doi/10.1145/3774904.3792396</v>
      </c>
    </row>
    <row r="332">
      <c r="A332" s="169" t="s">
        <v>1110</v>
      </c>
      <c r="B332" s="169" t="s">
        <v>1111</v>
      </c>
      <c r="C332" s="170" t="str">
        <f>CONCATENATE("https://dl.acm.org/doi/",'Sheridan Main'!A332)</f>
        <v>https://dl.acm.org/doi/10.1145/3774904.3792397</v>
      </c>
    </row>
    <row r="333">
      <c r="A333" s="169" t="s">
        <v>1112</v>
      </c>
      <c r="B333" s="169" t="s">
        <v>1113</v>
      </c>
      <c r="C333" s="170" t="str">
        <f>CONCATENATE("https://dl.acm.org/doi/",'Sheridan Main'!A333)</f>
        <v>https://dl.acm.org/doi/10.1145/3774904.3792398</v>
      </c>
    </row>
    <row r="334">
      <c r="A334" s="169" t="s">
        <v>1114</v>
      </c>
      <c r="B334" s="169" t="s">
        <v>1115</v>
      </c>
      <c r="C334" s="170" t="str">
        <f>CONCATENATE("https://dl.acm.org/doi/",'Sheridan Main'!A334)</f>
        <v>https://dl.acm.org/doi/10.1145/3774904.3792399</v>
      </c>
    </row>
    <row r="335">
      <c r="A335" s="169" t="s">
        <v>1116</v>
      </c>
      <c r="B335" s="169" t="s">
        <v>1117</v>
      </c>
      <c r="C335" s="170" t="str">
        <f>CONCATENATE("https://dl.acm.org/doi/",'Sheridan Main'!A335)</f>
        <v>https://dl.acm.org/doi/10.1145/3774904.3792400</v>
      </c>
    </row>
    <row r="336">
      <c r="A336" s="169" t="s">
        <v>1118</v>
      </c>
      <c r="B336" s="169" t="s">
        <v>1119</v>
      </c>
      <c r="C336" s="170" t="str">
        <f>CONCATENATE("https://dl.acm.org/doi/",'Sheridan Main'!A336)</f>
        <v>https://dl.acm.org/doi/10.1145/3774904.3792401</v>
      </c>
    </row>
    <row r="337">
      <c r="A337" s="169" t="s">
        <v>1120</v>
      </c>
      <c r="B337" s="169" t="s">
        <v>1121</v>
      </c>
      <c r="C337" s="170" t="str">
        <f>CONCATENATE("https://dl.acm.org/doi/",'Sheridan Main'!A337)</f>
        <v>https://dl.acm.org/doi/10.1145/3774904.3792402</v>
      </c>
    </row>
    <row r="338">
      <c r="A338" s="169" t="s">
        <v>1122</v>
      </c>
      <c r="B338" s="169" t="s">
        <v>1123</v>
      </c>
      <c r="C338" s="170" t="str">
        <f>CONCATENATE("https://dl.acm.org/doi/",'Sheridan Main'!A338)</f>
        <v>https://dl.acm.org/doi/10.1145/3774904.3792403</v>
      </c>
    </row>
    <row r="339">
      <c r="A339" s="169" t="s">
        <v>1124</v>
      </c>
      <c r="B339" s="169" t="s">
        <v>1125</v>
      </c>
      <c r="C339" s="170" t="str">
        <f>CONCATENATE("https://dl.acm.org/doi/",'Sheridan Main'!A339)</f>
        <v>https://dl.acm.org/doi/10.1145/3774904.3792404</v>
      </c>
    </row>
    <row r="340">
      <c r="A340" s="169" t="s">
        <v>1126</v>
      </c>
      <c r="B340" s="169" t="s">
        <v>1127</v>
      </c>
      <c r="C340" s="170" t="str">
        <f>CONCATENATE("https://dl.acm.org/doi/",'Sheridan Main'!A340)</f>
        <v>https://dl.acm.org/doi/10.1145/3774904.3792405</v>
      </c>
    </row>
    <row r="341">
      <c r="A341" s="169" t="s">
        <v>1128</v>
      </c>
      <c r="B341" s="169" t="s">
        <v>1129</v>
      </c>
      <c r="C341" s="170" t="str">
        <f>CONCATENATE("https://dl.acm.org/doi/",'Sheridan Main'!A341)</f>
        <v>https://dl.acm.org/doi/10.1145/3774904.3792406</v>
      </c>
    </row>
    <row r="342">
      <c r="A342" s="169" t="s">
        <v>1130</v>
      </c>
      <c r="B342" s="169" t="s">
        <v>1131</v>
      </c>
      <c r="C342" s="170" t="str">
        <f>CONCATENATE("https://dl.acm.org/doi/",'Sheridan Main'!A342)</f>
        <v>https://dl.acm.org/doi/10.1145/3774904.3792407</v>
      </c>
    </row>
    <row r="343">
      <c r="A343" s="169" t="s">
        <v>1132</v>
      </c>
      <c r="B343" s="169" t="s">
        <v>1133</v>
      </c>
      <c r="C343" s="170" t="str">
        <f>CONCATENATE("https://dl.acm.org/doi/",'Sheridan Main'!A343)</f>
        <v>https://dl.acm.org/doi/10.1145/3774904.3792408</v>
      </c>
    </row>
    <row r="344">
      <c r="A344" s="169" t="s">
        <v>1134</v>
      </c>
      <c r="B344" s="169" t="s">
        <v>1135</v>
      </c>
      <c r="C344" s="170" t="str">
        <f>CONCATENATE("https://dl.acm.org/doi/",'Sheridan Main'!A344)</f>
        <v>https://dl.acm.org/doi/10.1145/3774904.3792409</v>
      </c>
    </row>
    <row r="345">
      <c r="A345" s="169" t="s">
        <v>1136</v>
      </c>
      <c r="B345" s="169" t="s">
        <v>1137</v>
      </c>
      <c r="C345" s="170" t="str">
        <f>CONCATENATE("https://dl.acm.org/doi/",'Sheridan Main'!A345)</f>
        <v>https://dl.acm.org/doi/10.1145/3774904.3792410</v>
      </c>
    </row>
    <row r="346">
      <c r="A346" s="169" t="s">
        <v>1138</v>
      </c>
      <c r="B346" s="169" t="s">
        <v>1139</v>
      </c>
      <c r="C346" s="170" t="str">
        <f>CONCATENATE("https://dl.acm.org/doi/",'Sheridan Main'!A346)</f>
        <v>https://dl.acm.org/doi/10.1145/3774904.3792411</v>
      </c>
    </row>
    <row r="347">
      <c r="A347" s="169" t="s">
        <v>1140</v>
      </c>
      <c r="B347" s="169" t="s">
        <v>1141</v>
      </c>
      <c r="C347" s="170" t="str">
        <f>CONCATENATE("https://dl.acm.org/doi/",'Sheridan Main'!A347)</f>
        <v>https://dl.acm.org/doi/10.1145/3774904.3792412</v>
      </c>
    </row>
    <row r="348">
      <c r="A348" s="169" t="s">
        <v>1142</v>
      </c>
      <c r="B348" s="169" t="s">
        <v>1143</v>
      </c>
      <c r="C348" s="170" t="str">
        <f>CONCATENATE("https://dl.acm.org/doi/",'Sheridan Main'!A348)</f>
        <v>https://dl.acm.org/doi/10.1145/3774904.3792413</v>
      </c>
    </row>
    <row r="349">
      <c r="A349" s="169" t="s">
        <v>1144</v>
      </c>
      <c r="B349" s="169" t="s">
        <v>1145</v>
      </c>
      <c r="C349" s="170" t="str">
        <f>CONCATENATE("https://dl.acm.org/doi/",'Sheridan Main'!A349)</f>
        <v>https://dl.acm.org/doi/10.1145/3774904.3792414</v>
      </c>
    </row>
    <row r="350">
      <c r="A350" s="169" t="s">
        <v>1144</v>
      </c>
      <c r="B350" s="169" t="s">
        <v>1145</v>
      </c>
      <c r="C350" s="170" t="str">
        <f>CONCATENATE("https://dl.acm.org/doi/",'Sheridan Main'!A350)</f>
        <v>https://dl.acm.org/doi/10.1145/3774904.3792414</v>
      </c>
    </row>
    <row r="351">
      <c r="A351" s="169" t="s">
        <v>1146</v>
      </c>
      <c r="B351" s="169" t="s">
        <v>1147</v>
      </c>
      <c r="C351" s="170" t="str">
        <f>CONCATENATE("https://dl.acm.org/doi/",'Sheridan Main'!A351)</f>
        <v>https://dl.acm.org/doi/10.1145/3774904.3792415</v>
      </c>
    </row>
    <row r="352">
      <c r="A352" s="169" t="s">
        <v>1148</v>
      </c>
      <c r="B352" s="169" t="s">
        <v>1149</v>
      </c>
      <c r="C352" s="170" t="str">
        <f>CONCATENATE("https://dl.acm.org/doi/",'Sheridan Main'!A352)</f>
        <v>https://dl.acm.org/doi/10.1145/3774904.3792416</v>
      </c>
    </row>
    <row r="353">
      <c r="A353" s="169" t="s">
        <v>1150</v>
      </c>
      <c r="B353" s="169" t="s">
        <v>1151</v>
      </c>
      <c r="C353" s="170" t="str">
        <f>CONCATENATE("https://dl.acm.org/doi/",'Sheridan Main'!A353)</f>
        <v>https://dl.acm.org/doi/10.1145/3774904.3792417</v>
      </c>
    </row>
    <row r="354">
      <c r="A354" s="169" t="s">
        <v>1152</v>
      </c>
      <c r="B354" s="169" t="s">
        <v>1153</v>
      </c>
      <c r="C354" s="170" t="str">
        <f>CONCATENATE("https://dl.acm.org/doi/",'Sheridan Main'!A354)</f>
        <v>https://dl.acm.org/doi/10.1145/3774904.3792418</v>
      </c>
    </row>
    <row r="355">
      <c r="A355" s="169" t="s">
        <v>1154</v>
      </c>
      <c r="B355" s="169" t="s">
        <v>1155</v>
      </c>
      <c r="C355" s="170" t="str">
        <f>CONCATENATE("https://dl.acm.org/doi/",'Sheridan Main'!A355)</f>
        <v>https://dl.acm.org/doi/10.1145/3774904.3792419</v>
      </c>
    </row>
    <row r="356">
      <c r="A356" s="169" t="s">
        <v>1156</v>
      </c>
      <c r="B356" s="169" t="s">
        <v>1157</v>
      </c>
      <c r="C356" s="170" t="str">
        <f>CONCATENATE("https://dl.acm.org/doi/",'Sheridan Main'!A356)</f>
        <v>https://dl.acm.org/doi/10.1145/3774904.3792420</v>
      </c>
    </row>
    <row r="357">
      <c r="A357" s="169" t="s">
        <v>1158</v>
      </c>
      <c r="B357" s="169" t="s">
        <v>1159</v>
      </c>
      <c r="C357" s="170" t="str">
        <f>CONCATENATE("https://dl.acm.org/doi/",'Sheridan Main'!A357)</f>
        <v>https://dl.acm.org/doi/10.1145/3774904.3792421</v>
      </c>
    </row>
    <row r="358">
      <c r="A358" s="169" t="s">
        <v>1160</v>
      </c>
      <c r="B358" s="169" t="s">
        <v>1161</v>
      </c>
      <c r="C358" s="170" t="str">
        <f>CONCATENATE("https://dl.acm.org/doi/",'Sheridan Main'!A358)</f>
        <v>https://dl.acm.org/doi/10.1145/3774904.3792422</v>
      </c>
    </row>
    <row r="359">
      <c r="A359" s="169" t="s">
        <v>1162</v>
      </c>
      <c r="B359" s="169" t="s">
        <v>1163</v>
      </c>
      <c r="C359" s="170" t="str">
        <f>CONCATENATE("https://dl.acm.org/doi/",'Sheridan Main'!A359)</f>
        <v>https://dl.acm.org/doi/10.1145/3774904.3792423</v>
      </c>
    </row>
    <row r="360">
      <c r="A360" s="169" t="s">
        <v>1164</v>
      </c>
      <c r="B360" s="169" t="s">
        <v>1165</v>
      </c>
      <c r="C360" s="170" t="str">
        <f>CONCATENATE("https://dl.acm.org/doi/",'Sheridan Main'!A360)</f>
        <v>https://dl.acm.org/doi/10.1145/3774904.3792424</v>
      </c>
    </row>
    <row r="361">
      <c r="A361" s="169" t="s">
        <v>1166</v>
      </c>
      <c r="B361" s="169" t="s">
        <v>1167</v>
      </c>
      <c r="C361" s="170" t="str">
        <f>CONCATENATE("https://dl.acm.org/doi/",'Sheridan Main'!A361)</f>
        <v>https://dl.acm.org/doi/10.1145/3774904.3792425</v>
      </c>
    </row>
    <row r="362">
      <c r="A362" s="169" t="s">
        <v>1168</v>
      </c>
      <c r="B362" s="169" t="s">
        <v>1169</v>
      </c>
      <c r="C362" s="170" t="str">
        <f>CONCATENATE("https://dl.acm.org/doi/",'Sheridan Main'!A362)</f>
        <v>https://dl.acm.org/doi/10.1145/3774904.3792426</v>
      </c>
    </row>
    <row r="363">
      <c r="A363" s="169" t="s">
        <v>1170</v>
      </c>
      <c r="B363" s="169" t="s">
        <v>1171</v>
      </c>
      <c r="C363" s="170" t="str">
        <f>CONCATENATE("https://dl.acm.org/doi/",'Sheridan Main'!A363)</f>
        <v>https://dl.acm.org/doi/10.1145/3774904.3792427</v>
      </c>
    </row>
    <row r="364">
      <c r="A364" s="169" t="s">
        <v>1172</v>
      </c>
      <c r="B364" s="169" t="s">
        <v>1173</v>
      </c>
      <c r="C364" s="170" t="str">
        <f>CONCATENATE("https://dl.acm.org/doi/",'Sheridan Main'!A364)</f>
        <v>https://dl.acm.org/doi/10.1145/3774904.3792428</v>
      </c>
    </row>
    <row r="365">
      <c r="A365" s="169" t="s">
        <v>1174</v>
      </c>
      <c r="B365" s="169" t="s">
        <v>1175</v>
      </c>
      <c r="C365" s="170" t="str">
        <f>CONCATENATE("https://dl.acm.org/doi/",'Sheridan Main'!A365)</f>
        <v>https://dl.acm.org/doi/10.1145/3774904.3792429</v>
      </c>
    </row>
    <row r="366">
      <c r="A366" s="169" t="s">
        <v>1176</v>
      </c>
      <c r="B366" s="169" t="s">
        <v>1177</v>
      </c>
      <c r="C366" s="170" t="str">
        <f>CONCATENATE("https://dl.acm.org/doi/",'Sheridan Main'!A366)</f>
        <v>https://dl.acm.org/doi/10.1145/3774904.3792430</v>
      </c>
    </row>
    <row r="367">
      <c r="A367" s="169" t="s">
        <v>1178</v>
      </c>
      <c r="B367" s="169" t="s">
        <v>1179</v>
      </c>
      <c r="C367" s="170" t="str">
        <f>CONCATENATE("https://dl.acm.org/doi/",'Sheridan Main'!A367)</f>
        <v>https://dl.acm.org/doi/10.1145/3774904.3792431</v>
      </c>
    </row>
    <row r="368">
      <c r="A368" s="169" t="s">
        <v>1178</v>
      </c>
      <c r="B368" s="169" t="s">
        <v>1179</v>
      </c>
      <c r="C368" s="170" t="str">
        <f>CONCATENATE("https://dl.acm.org/doi/",'Sheridan Main'!A368)</f>
        <v>https://dl.acm.org/doi/10.1145/3774904.3792431</v>
      </c>
    </row>
    <row r="369">
      <c r="A369" s="169" t="s">
        <v>1180</v>
      </c>
      <c r="B369" s="169" t="s">
        <v>1181</v>
      </c>
      <c r="C369" s="170" t="str">
        <f>CONCATENATE("https://dl.acm.org/doi/",'Sheridan Main'!A369)</f>
        <v>https://dl.acm.org/doi/10.1145/3774904.3792432</v>
      </c>
    </row>
    <row r="370">
      <c r="A370" s="169" t="s">
        <v>1182</v>
      </c>
      <c r="B370" s="169" t="s">
        <v>1183</v>
      </c>
      <c r="C370" s="170" t="str">
        <f>CONCATENATE("https://dl.acm.org/doi/",'Sheridan Main'!A370)</f>
        <v>https://dl.acm.org/doi/10.1145/3774904.3792433</v>
      </c>
    </row>
    <row r="371">
      <c r="A371" s="169" t="s">
        <v>1184</v>
      </c>
      <c r="B371" s="169" t="s">
        <v>1185</v>
      </c>
      <c r="C371" s="170" t="str">
        <f>CONCATENATE("https://dl.acm.org/doi/",'Sheridan Main'!A371)</f>
        <v>https://dl.acm.org/doi/10.1145/3774904.3792434</v>
      </c>
    </row>
    <row r="372">
      <c r="A372" s="169" t="s">
        <v>1186</v>
      </c>
      <c r="B372" s="169" t="s">
        <v>1187</v>
      </c>
      <c r="C372" s="170" t="str">
        <f>CONCATENATE("https://dl.acm.org/doi/",'Sheridan Main'!A372)</f>
        <v>https://dl.acm.org/doi/10.1145/3774904.3792435</v>
      </c>
    </row>
    <row r="373">
      <c r="A373" s="169" t="s">
        <v>1188</v>
      </c>
      <c r="B373" s="169" t="s">
        <v>1189</v>
      </c>
      <c r="C373" s="170" t="str">
        <f>CONCATENATE("https://dl.acm.org/doi/",'Sheridan Main'!A373)</f>
        <v>https://dl.acm.org/doi/10.1145/3774904.3792436</v>
      </c>
    </row>
    <row r="374">
      <c r="A374" s="169" t="s">
        <v>1190</v>
      </c>
      <c r="B374" s="169" t="s">
        <v>1191</v>
      </c>
      <c r="C374" s="170" t="str">
        <f>CONCATENATE("https://dl.acm.org/doi/",'Sheridan Main'!A374)</f>
        <v>https://dl.acm.org/doi/10.1145/3774904.3792437</v>
      </c>
    </row>
    <row r="375">
      <c r="A375" s="169" t="s">
        <v>1192</v>
      </c>
      <c r="B375" s="169" t="s">
        <v>1193</v>
      </c>
      <c r="C375" s="170" t="str">
        <f>CONCATENATE("https://dl.acm.org/doi/",'Sheridan Main'!A375)</f>
        <v>https://dl.acm.org/doi/10.1145/3774904.3792438</v>
      </c>
    </row>
    <row r="376">
      <c r="A376" s="169" t="s">
        <v>1194</v>
      </c>
      <c r="B376" s="169" t="s">
        <v>1195</v>
      </c>
      <c r="C376" s="170" t="str">
        <f>CONCATENATE("https://dl.acm.org/doi/",'Sheridan Main'!A376)</f>
        <v>https://dl.acm.org/doi/10.1145/3774904.3792439</v>
      </c>
    </row>
    <row r="377">
      <c r="A377" s="169" t="s">
        <v>1196</v>
      </c>
      <c r="B377" s="169" t="s">
        <v>1197</v>
      </c>
      <c r="C377" s="170" t="str">
        <f>CONCATENATE("https://dl.acm.org/doi/",'Sheridan Main'!A377)</f>
        <v>https://dl.acm.org/doi/10.1145/3774904.3792440</v>
      </c>
    </row>
    <row r="378">
      <c r="A378" s="169" t="s">
        <v>1198</v>
      </c>
      <c r="B378" s="169" t="s">
        <v>1199</v>
      </c>
      <c r="C378" s="170" t="str">
        <f>CONCATENATE("https://dl.acm.org/doi/",'Sheridan Main'!A378)</f>
        <v>https://dl.acm.org/doi/10.1145/3774904.3792441</v>
      </c>
    </row>
    <row r="379">
      <c r="A379" s="169" t="s">
        <v>1200</v>
      </c>
      <c r="B379" s="169" t="s">
        <v>1201</v>
      </c>
      <c r="C379" s="170" t="str">
        <f>CONCATENATE("https://dl.acm.org/doi/",'Sheridan Main'!A379)</f>
        <v>https://dl.acm.org/doi/10.1145/3774904.3792442</v>
      </c>
    </row>
    <row r="380">
      <c r="A380" s="169" t="s">
        <v>1202</v>
      </c>
      <c r="B380" s="169" t="s">
        <v>1203</v>
      </c>
      <c r="C380" s="170" t="str">
        <f>CONCATENATE("https://dl.acm.org/doi/",'Sheridan Main'!A380)</f>
        <v>https://dl.acm.org/doi/10.1145/3774904.3792443</v>
      </c>
    </row>
    <row r="381">
      <c r="A381" s="169" t="s">
        <v>1204</v>
      </c>
      <c r="B381" s="169" t="s">
        <v>1205</v>
      </c>
      <c r="C381" s="170" t="str">
        <f>CONCATENATE("https://dl.acm.org/doi/",'Sheridan Main'!A381)</f>
        <v>https://dl.acm.org/doi/10.1145/3774904.3792444</v>
      </c>
    </row>
    <row r="382">
      <c r="A382" s="169" t="s">
        <v>1206</v>
      </c>
      <c r="B382" s="169" t="s">
        <v>1207</v>
      </c>
      <c r="C382" s="170" t="str">
        <f>CONCATENATE("https://dl.acm.org/doi/",'Sheridan Main'!A382)</f>
        <v>https://dl.acm.org/doi/10.1145/3774904.3792445</v>
      </c>
    </row>
    <row r="383">
      <c r="A383" s="169" t="s">
        <v>1208</v>
      </c>
      <c r="B383" s="169" t="s">
        <v>1209</v>
      </c>
      <c r="C383" s="170" t="str">
        <f>CONCATENATE("https://dl.acm.org/doi/",'Sheridan Main'!A383)</f>
        <v>https://dl.acm.org/doi/10.1145/3774904.3792446</v>
      </c>
    </row>
    <row r="384">
      <c r="A384" s="169" t="s">
        <v>1210</v>
      </c>
      <c r="B384" s="169" t="s">
        <v>1211</v>
      </c>
      <c r="C384" s="170" t="str">
        <f>CONCATENATE("https://dl.acm.org/doi/",'Sheridan Main'!A384)</f>
        <v>https://dl.acm.org/doi/10.1145/3774904.3792447</v>
      </c>
    </row>
    <row r="385">
      <c r="A385" s="169" t="s">
        <v>1212</v>
      </c>
      <c r="B385" s="169" t="s">
        <v>1213</v>
      </c>
      <c r="C385" s="170" t="str">
        <f>CONCATENATE("https://dl.acm.org/doi/",'Sheridan Main'!A385)</f>
        <v>https://dl.acm.org/doi/10.1145/3774904.3792448</v>
      </c>
    </row>
    <row r="386">
      <c r="A386" s="169" t="s">
        <v>1214</v>
      </c>
      <c r="B386" s="169" t="s">
        <v>1215</v>
      </c>
      <c r="C386" s="170" t="str">
        <f>CONCATENATE("https://dl.acm.org/doi/",'Sheridan Main'!A386)</f>
        <v>https://dl.acm.org/doi/10.1145/3774904.3792449</v>
      </c>
    </row>
    <row r="387">
      <c r="A387" s="169" t="s">
        <v>1216</v>
      </c>
      <c r="B387" s="169" t="s">
        <v>1217</v>
      </c>
      <c r="C387" s="170" t="str">
        <f>CONCATENATE("https://dl.acm.org/doi/",'Sheridan Main'!A387)</f>
        <v>https://dl.acm.org/doi/10.1145/3774904.3792450</v>
      </c>
    </row>
    <row r="388">
      <c r="A388" s="169" t="s">
        <v>1218</v>
      </c>
      <c r="B388" s="169" t="s">
        <v>1219</v>
      </c>
      <c r="C388" s="170" t="str">
        <f>CONCATENATE("https://dl.acm.org/doi/",'Sheridan Main'!A388)</f>
        <v>https://dl.acm.org/doi/10.1145/3774904.3792451</v>
      </c>
    </row>
    <row r="389">
      <c r="A389" s="169" t="s">
        <v>1220</v>
      </c>
      <c r="B389" s="169" t="s">
        <v>1221</v>
      </c>
      <c r="C389" s="170" t="str">
        <f>CONCATENATE("https://dl.acm.org/doi/",'Sheridan Main'!A389)</f>
        <v>https://dl.acm.org/doi/10.1145/3774904.3792452</v>
      </c>
    </row>
    <row r="390">
      <c r="A390" s="169" t="s">
        <v>1222</v>
      </c>
      <c r="B390" s="169" t="s">
        <v>1223</v>
      </c>
      <c r="C390" s="170" t="str">
        <f>CONCATENATE("https://dl.acm.org/doi/",'Sheridan Main'!A390)</f>
        <v>https://dl.acm.org/doi/10.1145/3774904.3792453</v>
      </c>
    </row>
    <row r="391">
      <c r="A391" s="169" t="s">
        <v>1224</v>
      </c>
      <c r="B391" s="169" t="s">
        <v>1225</v>
      </c>
      <c r="C391" s="170" t="str">
        <f>CONCATENATE("https://dl.acm.org/doi/",'Sheridan Main'!A391)</f>
        <v>https://dl.acm.org/doi/10.1145/3774904.3792454</v>
      </c>
    </row>
    <row r="392">
      <c r="A392" s="169" t="s">
        <v>1226</v>
      </c>
      <c r="B392" s="169" t="s">
        <v>1227</v>
      </c>
      <c r="C392" s="170" t="str">
        <f>CONCATENATE("https://dl.acm.org/doi/",'Sheridan Main'!A392)</f>
        <v>https://dl.acm.org/doi/10.1145/3774904.3792455</v>
      </c>
    </row>
    <row r="393">
      <c r="A393" s="169" t="s">
        <v>1228</v>
      </c>
      <c r="B393" s="169" t="s">
        <v>1229</v>
      </c>
      <c r="C393" s="170" t="str">
        <f>CONCATENATE("https://dl.acm.org/doi/",'Sheridan Main'!A393)</f>
        <v>https://dl.acm.org/doi/10.1145/3774904.3792456</v>
      </c>
    </row>
    <row r="394">
      <c r="A394" s="169" t="s">
        <v>1230</v>
      </c>
      <c r="B394" s="169" t="s">
        <v>1231</v>
      </c>
      <c r="C394" s="170" t="str">
        <f>CONCATENATE("https://dl.acm.org/doi/",'Sheridan Main'!A394)</f>
        <v>https://dl.acm.org/doi/10.1145/3774904.3792457</v>
      </c>
    </row>
    <row r="395">
      <c r="A395" s="169" t="s">
        <v>1232</v>
      </c>
      <c r="B395" s="169" t="s">
        <v>1233</v>
      </c>
      <c r="C395" s="170" t="str">
        <f>CONCATENATE("https://dl.acm.org/doi/",'Sheridan Main'!A395)</f>
        <v>https://dl.acm.org/doi/10.1145/3774904.3792458</v>
      </c>
    </row>
    <row r="396">
      <c r="A396" s="169" t="s">
        <v>1234</v>
      </c>
      <c r="B396" s="169" t="s">
        <v>1235</v>
      </c>
      <c r="C396" s="170" t="str">
        <f>CONCATENATE("https://dl.acm.org/doi/",'Sheridan Main'!A396)</f>
        <v>https://dl.acm.org/doi/10.1145/3774904.3792459</v>
      </c>
    </row>
    <row r="397">
      <c r="A397" s="169" t="s">
        <v>1236</v>
      </c>
      <c r="B397" s="169" t="s">
        <v>1237</v>
      </c>
      <c r="C397" s="170" t="str">
        <f>CONCATENATE("https://dl.acm.org/doi/",'Sheridan Main'!A397)</f>
        <v>https://dl.acm.org/doi/10.1145/3774904.3792460</v>
      </c>
    </row>
    <row r="398">
      <c r="A398" s="169" t="s">
        <v>1238</v>
      </c>
      <c r="B398" s="169" t="s">
        <v>1239</v>
      </c>
      <c r="C398" s="170" t="str">
        <f>CONCATENATE("https://dl.acm.org/doi/",'Sheridan Main'!A398)</f>
        <v>https://dl.acm.org/doi/10.1145/3774904.3792461</v>
      </c>
    </row>
    <row r="399">
      <c r="A399" s="169" t="s">
        <v>1240</v>
      </c>
      <c r="B399" s="169" t="s">
        <v>1241</v>
      </c>
      <c r="C399" s="170" t="str">
        <f>CONCATENATE("https://dl.acm.org/doi/",'Sheridan Main'!A399)</f>
        <v>https://dl.acm.org/doi/10.1145/3774904.3792462</v>
      </c>
    </row>
    <row r="400">
      <c r="A400" s="169" t="s">
        <v>1242</v>
      </c>
      <c r="B400" s="169" t="s">
        <v>1243</v>
      </c>
      <c r="C400" s="170" t="str">
        <f>CONCATENATE("https://dl.acm.org/doi/",'Sheridan Main'!A400)</f>
        <v>https://dl.acm.org/doi/10.1145/3774904.3792463</v>
      </c>
    </row>
    <row r="401">
      <c r="A401" s="169" t="s">
        <v>1244</v>
      </c>
      <c r="B401" s="169" t="s">
        <v>1245</v>
      </c>
      <c r="C401" s="170" t="str">
        <f>CONCATENATE("https://dl.acm.org/doi/",'Sheridan Main'!A401)</f>
        <v>https://dl.acm.org/doi/10.1145/3774904.3792464</v>
      </c>
    </row>
    <row r="402">
      <c r="A402" s="169" t="s">
        <v>1246</v>
      </c>
      <c r="B402" s="169" t="s">
        <v>1247</v>
      </c>
      <c r="C402" s="170" t="str">
        <f>CONCATENATE("https://dl.acm.org/doi/",'Sheridan Main'!A402)</f>
        <v>https://dl.acm.org/doi/10.1145/3774904.3792465</v>
      </c>
    </row>
    <row r="403">
      <c r="A403" s="169" t="s">
        <v>1248</v>
      </c>
      <c r="B403" s="169" t="s">
        <v>1249</v>
      </c>
      <c r="C403" s="170" t="str">
        <f>CONCATENATE("https://dl.acm.org/doi/",'Sheridan Main'!A403)</f>
        <v>https://dl.acm.org/doi/10.1145/3774904.3792466</v>
      </c>
    </row>
    <row r="404">
      <c r="A404" s="169" t="s">
        <v>1250</v>
      </c>
      <c r="B404" s="169" t="s">
        <v>1251</v>
      </c>
      <c r="C404" s="170" t="str">
        <f>CONCATENATE("https://dl.acm.org/doi/",'Sheridan Main'!A404)</f>
        <v>https://dl.acm.org/doi/10.1145/3774904.3792467</v>
      </c>
    </row>
    <row r="405">
      <c r="A405" s="169" t="s">
        <v>1252</v>
      </c>
      <c r="B405" s="169" t="s">
        <v>1253</v>
      </c>
      <c r="C405" s="170" t="str">
        <f>CONCATENATE("https://dl.acm.org/doi/",'Sheridan Main'!A405)</f>
        <v>https://dl.acm.org/doi/10.1145/3774904.3792468</v>
      </c>
    </row>
    <row r="406">
      <c r="A406" s="169" t="s">
        <v>1254</v>
      </c>
      <c r="B406" s="169" t="s">
        <v>1255</v>
      </c>
      <c r="C406" s="170" t="str">
        <f>CONCATENATE("https://dl.acm.org/doi/",'Sheridan Main'!A406)</f>
        <v>https://dl.acm.org/doi/10.1145/3774904.3792469</v>
      </c>
    </row>
    <row r="407">
      <c r="A407" s="169" t="s">
        <v>1256</v>
      </c>
      <c r="B407" s="169" t="s">
        <v>1257</v>
      </c>
      <c r="C407" s="170" t="str">
        <f>CONCATENATE("https://dl.acm.org/doi/",'Sheridan Main'!A407)</f>
        <v>https://dl.acm.org/doi/10.1145/3774904.3792470</v>
      </c>
    </row>
    <row r="408">
      <c r="A408" s="169" t="s">
        <v>1258</v>
      </c>
      <c r="B408" s="169" t="s">
        <v>1259</v>
      </c>
      <c r="C408" s="170" t="str">
        <f>CONCATENATE("https://dl.acm.org/doi/",'Sheridan Main'!A408)</f>
        <v>https://dl.acm.org/doi/10.1145/3774904.3792471</v>
      </c>
    </row>
    <row r="409">
      <c r="A409" s="169" t="s">
        <v>1260</v>
      </c>
      <c r="B409" s="169" t="s">
        <v>1261</v>
      </c>
      <c r="C409" s="170" t="str">
        <f>CONCATENATE("https://dl.acm.org/doi/",'Sheridan Main'!A409)</f>
        <v>https://dl.acm.org/doi/10.1145/3774904.3792472</v>
      </c>
    </row>
    <row r="410">
      <c r="A410" s="169" t="s">
        <v>1262</v>
      </c>
      <c r="B410" s="169" t="s">
        <v>1263</v>
      </c>
      <c r="C410" s="170" t="str">
        <f>CONCATENATE("https://dl.acm.org/doi/",'Sheridan Main'!A410)</f>
        <v>https://dl.acm.org/doi/10.1145/3774904.3792473</v>
      </c>
    </row>
    <row r="411">
      <c r="A411" s="169" t="s">
        <v>1264</v>
      </c>
      <c r="B411" s="169" t="s">
        <v>1265</v>
      </c>
      <c r="C411" s="170" t="str">
        <f>CONCATENATE("https://dl.acm.org/doi/",'Sheridan Main'!A411)</f>
        <v>https://dl.acm.org/doi/10.1145/3774904.3792474</v>
      </c>
    </row>
    <row r="412">
      <c r="A412" s="169" t="s">
        <v>1266</v>
      </c>
      <c r="B412" s="169" t="s">
        <v>1267</v>
      </c>
      <c r="C412" s="170" t="str">
        <f>CONCATENATE("https://dl.acm.org/doi/",'Sheridan Main'!A412)</f>
        <v>https://dl.acm.org/doi/10.1145/3774904.3792475</v>
      </c>
    </row>
    <row r="413">
      <c r="A413" s="169" t="s">
        <v>1268</v>
      </c>
      <c r="B413" s="169" t="s">
        <v>1269</v>
      </c>
      <c r="C413" s="170" t="str">
        <f>CONCATENATE("https://dl.acm.org/doi/",'Sheridan Main'!A413)</f>
        <v>https://dl.acm.org/doi/10.1145/3774904.3792476</v>
      </c>
    </row>
    <row r="414">
      <c r="A414" s="169" t="s">
        <v>1270</v>
      </c>
      <c r="B414" s="169" t="s">
        <v>1271</v>
      </c>
      <c r="C414" s="170" t="str">
        <f>CONCATENATE("https://dl.acm.org/doi/",'Sheridan Main'!A414)</f>
        <v>https://dl.acm.org/doi/10.1145/3774904.3792477</v>
      </c>
    </row>
    <row r="415">
      <c r="A415" s="169" t="s">
        <v>1272</v>
      </c>
      <c r="B415" s="169" t="s">
        <v>1273</v>
      </c>
      <c r="C415" s="170" t="str">
        <f>CONCATENATE("https://dl.acm.org/doi/",'Sheridan Main'!A415)</f>
        <v>https://dl.acm.org/doi/10.1145/3774904.3792478</v>
      </c>
    </row>
    <row r="416">
      <c r="A416" s="169" t="s">
        <v>1274</v>
      </c>
      <c r="B416" s="169" t="s">
        <v>1275</v>
      </c>
      <c r="C416" s="170" t="str">
        <f>CONCATENATE("https://dl.acm.org/doi/",'Sheridan Main'!A416)</f>
        <v>https://dl.acm.org/doi/10.1145/3774904.3792479</v>
      </c>
    </row>
    <row r="417">
      <c r="A417" s="169" t="s">
        <v>1276</v>
      </c>
      <c r="B417" s="169" t="s">
        <v>1277</v>
      </c>
      <c r="C417" s="170" t="str">
        <f>CONCATENATE("https://dl.acm.org/doi/",'Sheridan Main'!A417)</f>
        <v>https://dl.acm.org/doi/10.1145/3774904.3792480</v>
      </c>
    </row>
    <row r="418">
      <c r="A418" s="169" t="s">
        <v>1278</v>
      </c>
      <c r="B418" s="169" t="s">
        <v>1279</v>
      </c>
      <c r="C418" s="170" t="str">
        <f>CONCATENATE("https://dl.acm.org/doi/",'Sheridan Main'!A418)</f>
        <v>https://dl.acm.org/doi/10.1145/3774904.3792481</v>
      </c>
    </row>
    <row r="419">
      <c r="A419" s="169" t="s">
        <v>1280</v>
      </c>
      <c r="B419" s="169" t="s">
        <v>1281</v>
      </c>
      <c r="C419" s="170" t="str">
        <f>CONCATENATE("https://dl.acm.org/doi/",'Sheridan Main'!A419)</f>
        <v>https://dl.acm.org/doi/10.1145/3774904.3792482</v>
      </c>
    </row>
    <row r="420">
      <c r="A420" s="169" t="s">
        <v>1282</v>
      </c>
      <c r="B420" s="169" t="s">
        <v>1283</v>
      </c>
      <c r="C420" s="170" t="str">
        <f>CONCATENATE("https://dl.acm.org/doi/",'Sheridan Main'!A420)</f>
        <v>https://dl.acm.org/doi/10.1145/3774904.3792483</v>
      </c>
    </row>
    <row r="421">
      <c r="A421" s="169" t="s">
        <v>1284</v>
      </c>
      <c r="B421" s="169" t="s">
        <v>1285</v>
      </c>
      <c r="C421" s="170" t="str">
        <f>CONCATENATE("https://dl.acm.org/doi/",'Sheridan Main'!A421)</f>
        <v>https://dl.acm.org/doi/10.1145/3774904.3792484</v>
      </c>
    </row>
    <row r="422">
      <c r="A422" s="169" t="s">
        <v>1286</v>
      </c>
      <c r="B422" s="169" t="s">
        <v>1287</v>
      </c>
      <c r="C422" s="170" t="str">
        <f>CONCATENATE("https://dl.acm.org/doi/",'Sheridan Main'!A422)</f>
        <v>https://dl.acm.org/doi/10.1145/3774904.3792485</v>
      </c>
    </row>
    <row r="423">
      <c r="A423" s="169" t="s">
        <v>1288</v>
      </c>
      <c r="B423" s="169" t="s">
        <v>1289</v>
      </c>
      <c r="C423" s="170" t="str">
        <f>CONCATENATE("https://dl.acm.org/doi/",'Sheridan Main'!A423)</f>
        <v>https://dl.acm.org/doi/10.1145/3774904.3792486</v>
      </c>
    </row>
    <row r="424">
      <c r="A424" s="169" t="s">
        <v>1290</v>
      </c>
      <c r="B424" s="169" t="s">
        <v>1291</v>
      </c>
      <c r="C424" s="170" t="str">
        <f>CONCATENATE("https://dl.acm.org/doi/",'Sheridan Main'!A424)</f>
        <v>https://dl.acm.org/doi/10.1145/3774904.3792487</v>
      </c>
    </row>
    <row r="425">
      <c r="A425" s="169" t="s">
        <v>1292</v>
      </c>
      <c r="B425" s="169" t="s">
        <v>1293</v>
      </c>
      <c r="C425" s="170" t="str">
        <f>CONCATENATE("https://dl.acm.org/doi/",'Sheridan Main'!A425)</f>
        <v>https://dl.acm.org/doi/10.1145/3774904.3792488</v>
      </c>
    </row>
    <row r="426">
      <c r="A426" s="169" t="s">
        <v>1294</v>
      </c>
      <c r="B426" s="169" t="s">
        <v>1295</v>
      </c>
      <c r="C426" s="170" t="str">
        <f>CONCATENATE("https://dl.acm.org/doi/",'Sheridan Main'!A426)</f>
        <v>https://dl.acm.org/doi/10.1145/3774904.3792489</v>
      </c>
    </row>
    <row r="427">
      <c r="A427" s="169" t="s">
        <v>1296</v>
      </c>
      <c r="B427" s="169" t="s">
        <v>1297</v>
      </c>
      <c r="C427" s="170" t="str">
        <f>CONCATENATE("https://dl.acm.org/doi/",'Sheridan Main'!A427)</f>
        <v>https://dl.acm.org/doi/10.1145/3774904.3792490</v>
      </c>
    </row>
    <row r="428">
      <c r="A428" s="169" t="s">
        <v>1298</v>
      </c>
      <c r="B428" s="169" t="s">
        <v>1299</v>
      </c>
      <c r="C428" s="170" t="str">
        <f>CONCATENATE("https://dl.acm.org/doi/",'Sheridan Main'!A428)</f>
        <v>https://dl.acm.org/doi/10.1145/3774904.3792491</v>
      </c>
    </row>
    <row r="429">
      <c r="A429" s="169" t="s">
        <v>1300</v>
      </c>
      <c r="B429" s="169" t="s">
        <v>1301</v>
      </c>
      <c r="C429" s="170" t="str">
        <f>CONCATENATE("https://dl.acm.org/doi/",'Sheridan Main'!A429)</f>
        <v>https://dl.acm.org/doi/10.1145/3774904.3792492</v>
      </c>
    </row>
    <row r="430">
      <c r="A430" s="169" t="s">
        <v>1302</v>
      </c>
      <c r="B430" s="169" t="s">
        <v>1303</v>
      </c>
      <c r="C430" s="170" t="str">
        <f>CONCATENATE("https://dl.acm.org/doi/",'Sheridan Main'!A430)</f>
        <v>https://dl.acm.org/doi/10.1145/3774904.3792493</v>
      </c>
    </row>
    <row r="431">
      <c r="A431" s="169" t="s">
        <v>1304</v>
      </c>
      <c r="B431" s="169" t="s">
        <v>1305</v>
      </c>
      <c r="C431" s="170" t="str">
        <f>CONCATENATE("https://dl.acm.org/doi/",'Sheridan Main'!A431)</f>
        <v>https://dl.acm.org/doi/10.1145/3774904.3792494</v>
      </c>
    </row>
    <row r="432">
      <c r="A432" s="169" t="s">
        <v>1306</v>
      </c>
      <c r="B432" s="169" t="s">
        <v>1307</v>
      </c>
      <c r="C432" s="170" t="str">
        <f>CONCATENATE("https://dl.acm.org/doi/",'Sheridan Main'!A432)</f>
        <v>https://dl.acm.org/doi/10.1145/3774904.3792495</v>
      </c>
    </row>
    <row r="433">
      <c r="A433" s="169" t="s">
        <v>1308</v>
      </c>
      <c r="B433" s="169" t="s">
        <v>1309</v>
      </c>
      <c r="C433" s="170" t="str">
        <f>CONCATENATE("https://dl.acm.org/doi/",'Sheridan Main'!A433)</f>
        <v>https://dl.acm.org/doi/10.1145/3774904.3792496</v>
      </c>
    </row>
    <row r="434">
      <c r="A434" s="169" t="s">
        <v>1310</v>
      </c>
      <c r="B434" s="169" t="s">
        <v>1311</v>
      </c>
      <c r="C434" s="170" t="str">
        <f>CONCATENATE("https://dl.acm.org/doi/",'Sheridan Main'!A434)</f>
        <v>https://dl.acm.org/doi/10.1145/3774904.3792497</v>
      </c>
    </row>
    <row r="435">
      <c r="A435" s="169" t="s">
        <v>1312</v>
      </c>
      <c r="B435" s="169" t="s">
        <v>1313</v>
      </c>
      <c r="C435" s="170" t="str">
        <f>CONCATENATE("https://dl.acm.org/doi/",'Sheridan Main'!A435)</f>
        <v>https://dl.acm.org/doi/10.1145/3774904.3792498</v>
      </c>
    </row>
    <row r="436">
      <c r="A436" s="169" t="s">
        <v>1314</v>
      </c>
      <c r="B436" s="169" t="s">
        <v>1315</v>
      </c>
      <c r="C436" s="170" t="str">
        <f>CONCATENATE("https://dl.acm.org/doi/",'Sheridan Main'!A436)</f>
        <v>https://dl.acm.org/doi/10.1145/3774904.3792499</v>
      </c>
    </row>
    <row r="437">
      <c r="A437" s="169" t="s">
        <v>1316</v>
      </c>
      <c r="B437" s="169" t="s">
        <v>1317</v>
      </c>
      <c r="C437" s="170" t="str">
        <f>CONCATENATE("https://dl.acm.org/doi/",'Sheridan Main'!A437)</f>
        <v>https://dl.acm.org/doi/10.1145/3774904.3792500</v>
      </c>
    </row>
    <row r="438">
      <c r="A438" s="169" t="s">
        <v>1318</v>
      </c>
      <c r="B438" s="169" t="s">
        <v>1319</v>
      </c>
      <c r="C438" s="170" t="str">
        <f>CONCATENATE("https://dl.acm.org/doi/",'Sheridan Main'!A438)</f>
        <v>https://dl.acm.org/doi/10.1145/3774904.3792501</v>
      </c>
    </row>
    <row r="439">
      <c r="A439" s="169" t="s">
        <v>1320</v>
      </c>
      <c r="B439" s="169" t="s">
        <v>1321</v>
      </c>
      <c r="C439" s="170" t="str">
        <f>CONCATENATE("https://dl.acm.org/doi/",'Sheridan Main'!A439)</f>
        <v>https://dl.acm.org/doi/10.1145/3774904.3792502</v>
      </c>
    </row>
    <row r="440">
      <c r="A440" s="169" t="s">
        <v>1322</v>
      </c>
      <c r="B440" s="169" t="s">
        <v>1323</v>
      </c>
      <c r="C440" s="170" t="str">
        <f>CONCATENATE("https://dl.acm.org/doi/",'Sheridan Main'!A440)</f>
        <v>https://dl.acm.org/doi/10.1145/3774904.3792503</v>
      </c>
    </row>
    <row r="441">
      <c r="A441" s="169" t="s">
        <v>1324</v>
      </c>
      <c r="B441" s="169" t="s">
        <v>1325</v>
      </c>
      <c r="C441" s="170" t="str">
        <f>CONCATENATE("https://dl.acm.org/doi/",'Sheridan Main'!A441)</f>
        <v>https://dl.acm.org/doi/10.1145/3774904.3792504</v>
      </c>
    </row>
    <row r="442">
      <c r="A442" s="169" t="s">
        <v>1326</v>
      </c>
      <c r="B442" s="169" t="s">
        <v>1327</v>
      </c>
      <c r="C442" s="170" t="str">
        <f>CONCATENATE("https://dl.acm.org/doi/",'Sheridan Main'!A442)</f>
        <v>https://dl.acm.org/doi/10.1145/3774904.3792505</v>
      </c>
    </row>
    <row r="443">
      <c r="A443" s="169" t="s">
        <v>1328</v>
      </c>
      <c r="B443" s="169" t="s">
        <v>1329</v>
      </c>
      <c r="C443" s="170" t="str">
        <f>CONCATENATE("https://dl.acm.org/doi/",'Sheridan Main'!A443)</f>
        <v>https://dl.acm.org/doi/10.1145/3774904.3792506</v>
      </c>
    </row>
    <row r="444">
      <c r="A444" s="169" t="s">
        <v>1330</v>
      </c>
      <c r="B444" s="169" t="s">
        <v>1331</v>
      </c>
      <c r="C444" s="170" t="str">
        <f>CONCATENATE("https://dl.acm.org/doi/",'Sheridan Main'!A444)</f>
        <v>https://dl.acm.org/doi/10.1145/3774904.3792507</v>
      </c>
    </row>
    <row r="445">
      <c r="A445" s="169" t="s">
        <v>1332</v>
      </c>
      <c r="B445" s="169" t="s">
        <v>1333</v>
      </c>
      <c r="C445" s="170" t="str">
        <f>CONCATENATE("https://dl.acm.org/doi/",'Sheridan Main'!A445)</f>
        <v>https://dl.acm.org/doi/10.1145/3774904.3792508</v>
      </c>
    </row>
    <row r="446">
      <c r="A446" s="169" t="s">
        <v>1334</v>
      </c>
      <c r="B446" s="169" t="s">
        <v>1335</v>
      </c>
      <c r="C446" s="170" t="str">
        <f>CONCATENATE("https://dl.acm.org/doi/",'Sheridan Main'!A446)</f>
        <v>https://dl.acm.org/doi/10.1145/3774904.3792509</v>
      </c>
    </row>
    <row r="447">
      <c r="A447" s="169" t="s">
        <v>1336</v>
      </c>
      <c r="B447" s="169" t="s">
        <v>1337</v>
      </c>
      <c r="C447" s="170" t="str">
        <f>CONCATENATE("https://dl.acm.org/doi/",'Sheridan Main'!A447)</f>
        <v>https://dl.acm.org/doi/10.1145/3774904.3792510</v>
      </c>
    </row>
    <row r="448">
      <c r="A448" s="169" t="s">
        <v>1338</v>
      </c>
      <c r="B448" s="169" t="s">
        <v>1339</v>
      </c>
      <c r="C448" s="170" t="str">
        <f>CONCATENATE("https://dl.acm.org/doi/",'Sheridan Main'!A448)</f>
        <v>https://dl.acm.org/doi/10.1145/3774904.3792511</v>
      </c>
    </row>
    <row r="449">
      <c r="A449" s="169" t="s">
        <v>1340</v>
      </c>
      <c r="B449" s="169" t="s">
        <v>1341</v>
      </c>
      <c r="C449" s="170" t="str">
        <f>CONCATENATE("https://dl.acm.org/doi/",'Sheridan Main'!A449)</f>
        <v>https://dl.acm.org/doi/10.1145/3774904.3792512</v>
      </c>
    </row>
    <row r="450">
      <c r="A450" s="169" t="s">
        <v>1342</v>
      </c>
      <c r="B450" s="169" t="s">
        <v>1343</v>
      </c>
      <c r="C450" s="170" t="str">
        <f>CONCATENATE("https://dl.acm.org/doi/",'Sheridan Main'!A450)</f>
        <v>https://dl.acm.org/doi/10.1145/3774904.3792513</v>
      </c>
    </row>
    <row r="451">
      <c r="A451" s="169" t="s">
        <v>1344</v>
      </c>
      <c r="B451" s="169" t="s">
        <v>1345</v>
      </c>
      <c r="C451" s="170" t="str">
        <f>CONCATENATE("https://dl.acm.org/doi/",'Sheridan Main'!A451)</f>
        <v>https://dl.acm.org/doi/10.1145/3774904.3792514</v>
      </c>
    </row>
    <row r="452">
      <c r="A452" s="169" t="s">
        <v>1346</v>
      </c>
      <c r="B452" s="169" t="s">
        <v>1347</v>
      </c>
      <c r="C452" s="170" t="str">
        <f>CONCATENATE("https://dl.acm.org/doi/",'Sheridan Main'!A452)</f>
        <v>https://dl.acm.org/doi/10.1145/3774904.3792515</v>
      </c>
    </row>
    <row r="453">
      <c r="A453" s="169" t="s">
        <v>1348</v>
      </c>
      <c r="B453" s="169" t="s">
        <v>1349</v>
      </c>
      <c r="C453" s="170" t="str">
        <f>CONCATENATE("https://dl.acm.org/doi/",'Sheridan Main'!A453)</f>
        <v>https://dl.acm.org/doi/10.1145/3774904.3792516</v>
      </c>
    </row>
    <row r="454">
      <c r="A454" s="169" t="s">
        <v>1350</v>
      </c>
      <c r="B454" s="169" t="s">
        <v>1351</v>
      </c>
      <c r="C454" s="170" t="str">
        <f>CONCATENATE("https://dl.acm.org/doi/",'Sheridan Main'!A454)</f>
        <v>https://dl.acm.org/doi/10.1145/3774904.3792517</v>
      </c>
    </row>
    <row r="455">
      <c r="A455" s="169" t="s">
        <v>1352</v>
      </c>
      <c r="B455" s="169" t="s">
        <v>1353</v>
      </c>
      <c r="C455" s="170" t="str">
        <f>CONCATENATE("https://dl.acm.org/doi/",'Sheridan Main'!A455)</f>
        <v>https://dl.acm.org/doi/10.1145/3774904.3792518</v>
      </c>
    </row>
    <row r="456">
      <c r="A456" s="169" t="s">
        <v>1354</v>
      </c>
      <c r="B456" s="169" t="s">
        <v>1355</v>
      </c>
      <c r="C456" s="170" t="str">
        <f>CONCATENATE("https://dl.acm.org/doi/",'Sheridan Main'!A456)</f>
        <v>https://dl.acm.org/doi/10.1145/3774904.3792519</v>
      </c>
    </row>
    <row r="457">
      <c r="A457" s="169" t="s">
        <v>1356</v>
      </c>
      <c r="B457" s="169" t="s">
        <v>1357</v>
      </c>
      <c r="C457" s="170" t="str">
        <f>CONCATENATE("https://dl.acm.org/doi/",'Sheridan Main'!A457)</f>
        <v>https://dl.acm.org/doi/10.1145/3774904.3792520</v>
      </c>
    </row>
    <row r="458">
      <c r="A458" s="169" t="s">
        <v>1358</v>
      </c>
      <c r="B458" s="169" t="s">
        <v>1359</v>
      </c>
      <c r="C458" s="170" t="str">
        <f>CONCATENATE("https://dl.acm.org/doi/",'Sheridan Main'!A458)</f>
        <v>https://dl.acm.org/doi/10.1145/3774904.3792521</v>
      </c>
    </row>
    <row r="459">
      <c r="A459" s="169" t="s">
        <v>1360</v>
      </c>
      <c r="B459" s="169" t="s">
        <v>1361</v>
      </c>
      <c r="C459" s="170" t="str">
        <f>CONCATENATE("https://dl.acm.org/doi/",'Sheridan Main'!A459)</f>
        <v>https://dl.acm.org/doi/10.1145/3774904.3792522</v>
      </c>
    </row>
    <row r="460">
      <c r="A460" s="169" t="s">
        <v>1362</v>
      </c>
      <c r="B460" s="169" t="s">
        <v>1363</v>
      </c>
      <c r="C460" s="170" t="str">
        <f>CONCATENATE("https://dl.acm.org/doi/",'Sheridan Main'!A460)</f>
        <v>https://dl.acm.org/doi/10.1145/3774904.3792523</v>
      </c>
    </row>
    <row r="461">
      <c r="A461" s="169" t="s">
        <v>1364</v>
      </c>
      <c r="B461" s="169" t="s">
        <v>1365</v>
      </c>
      <c r="C461" s="170" t="str">
        <f>CONCATENATE("https://dl.acm.org/doi/",'Sheridan Main'!A461)</f>
        <v>https://dl.acm.org/doi/10.1145/3774904.3792524</v>
      </c>
    </row>
    <row r="462">
      <c r="A462" s="169" t="s">
        <v>1366</v>
      </c>
      <c r="B462" s="169" t="s">
        <v>1367</v>
      </c>
      <c r="C462" s="170" t="str">
        <f>CONCATENATE("https://dl.acm.org/doi/",'Sheridan Main'!A462)</f>
        <v>https://dl.acm.org/doi/10.1145/3774904.3792525</v>
      </c>
    </row>
    <row r="463">
      <c r="A463" s="169" t="s">
        <v>1368</v>
      </c>
      <c r="B463" s="169" t="s">
        <v>1369</v>
      </c>
      <c r="C463" s="170" t="str">
        <f>CONCATENATE("https://dl.acm.org/doi/",'Sheridan Main'!A463)</f>
        <v>https://dl.acm.org/doi/10.1145/3774904.3792526</v>
      </c>
    </row>
    <row r="464">
      <c r="A464" s="169" t="s">
        <v>1370</v>
      </c>
      <c r="B464" s="169" t="s">
        <v>1371</v>
      </c>
      <c r="C464" s="170" t="str">
        <f>CONCATENATE("https://dl.acm.org/doi/",'Sheridan Main'!A464)</f>
        <v>https://dl.acm.org/doi/10.1145/3774904.3792527</v>
      </c>
    </row>
    <row r="465">
      <c r="A465" s="169" t="s">
        <v>1372</v>
      </c>
      <c r="B465" s="169" t="s">
        <v>1373</v>
      </c>
      <c r="C465" s="170" t="str">
        <f>CONCATENATE("https://dl.acm.org/doi/",'Sheridan Main'!A465)</f>
        <v>https://dl.acm.org/doi/10.1145/3774904.3792528</v>
      </c>
    </row>
    <row r="466">
      <c r="A466" s="169" t="s">
        <v>1374</v>
      </c>
      <c r="B466" s="169" t="s">
        <v>1375</v>
      </c>
      <c r="C466" s="170" t="str">
        <f>CONCATENATE("https://dl.acm.org/doi/",'Sheridan Main'!A466)</f>
        <v>https://dl.acm.org/doi/10.1145/3774904.3792529</v>
      </c>
    </row>
    <row r="467">
      <c r="A467" s="169" t="s">
        <v>1376</v>
      </c>
      <c r="B467" s="169" t="s">
        <v>1377</v>
      </c>
      <c r="C467" s="170" t="str">
        <f>CONCATENATE("https://dl.acm.org/doi/",'Sheridan Main'!A467)</f>
        <v>https://dl.acm.org/doi/10.1145/3774904.3792530</v>
      </c>
    </row>
    <row r="468">
      <c r="A468" s="169" t="s">
        <v>1378</v>
      </c>
      <c r="B468" s="169" t="s">
        <v>1379</v>
      </c>
      <c r="C468" s="170" t="str">
        <f>CONCATENATE("https://dl.acm.org/doi/",'Sheridan Main'!A468)</f>
        <v>https://dl.acm.org/doi/10.1145/3774904.3792531</v>
      </c>
    </row>
    <row r="469">
      <c r="A469" s="169" t="s">
        <v>1380</v>
      </c>
      <c r="B469" s="169" t="s">
        <v>1381</v>
      </c>
      <c r="C469" s="170" t="str">
        <f>CONCATENATE("https://dl.acm.org/doi/",'Sheridan Main'!A469)</f>
        <v>https://dl.acm.org/doi/10.1145/3774904.3792532</v>
      </c>
    </row>
    <row r="470">
      <c r="A470" s="169" t="s">
        <v>1382</v>
      </c>
      <c r="B470" s="169" t="s">
        <v>1383</v>
      </c>
      <c r="C470" s="170" t="str">
        <f>CONCATENATE("https://dl.acm.org/doi/",'Sheridan Main'!A470)</f>
        <v>https://dl.acm.org/doi/10.1145/3774904.3792533</v>
      </c>
    </row>
    <row r="471">
      <c r="A471" s="169" t="s">
        <v>1384</v>
      </c>
      <c r="B471" s="169" t="s">
        <v>1385</v>
      </c>
      <c r="C471" s="170" t="str">
        <f>CONCATENATE("https://dl.acm.org/doi/",'Sheridan Main'!A471)</f>
        <v>https://dl.acm.org/doi/10.1145/3774904.3792534</v>
      </c>
    </row>
    <row r="472">
      <c r="A472" s="169" t="s">
        <v>1386</v>
      </c>
      <c r="B472" s="169" t="s">
        <v>1387</v>
      </c>
      <c r="C472" s="170" t="str">
        <f>CONCATENATE("https://dl.acm.org/doi/",'Sheridan Main'!A472)</f>
        <v>https://dl.acm.org/doi/10.1145/3774904.3792535</v>
      </c>
    </row>
    <row r="473">
      <c r="A473" s="169" t="s">
        <v>1388</v>
      </c>
      <c r="B473" s="169" t="s">
        <v>1389</v>
      </c>
      <c r="C473" s="170" t="str">
        <f>CONCATENATE("https://dl.acm.org/doi/",'Sheridan Main'!A473)</f>
        <v>https://dl.acm.org/doi/10.1145/3774904.3792536</v>
      </c>
    </row>
    <row r="474">
      <c r="A474" s="169" t="s">
        <v>1390</v>
      </c>
      <c r="B474" s="169" t="s">
        <v>1391</v>
      </c>
      <c r="C474" s="170" t="str">
        <f>CONCATENATE("https://dl.acm.org/doi/",'Sheridan Main'!A474)</f>
        <v>https://dl.acm.org/doi/10.1145/3774904.3792537</v>
      </c>
    </row>
    <row r="475">
      <c r="A475" s="169" t="s">
        <v>1392</v>
      </c>
      <c r="B475" s="169" t="s">
        <v>1393</v>
      </c>
      <c r="C475" s="170" t="str">
        <f>CONCATENATE("https://dl.acm.org/doi/",'Sheridan Main'!A475)</f>
        <v>https://dl.acm.org/doi/10.1145/3774904.3792538</v>
      </c>
    </row>
    <row r="476">
      <c r="A476" s="169" t="s">
        <v>1394</v>
      </c>
      <c r="B476" s="169" t="s">
        <v>1395</v>
      </c>
      <c r="C476" s="170" t="str">
        <f>CONCATENATE("https://dl.acm.org/doi/",'Sheridan Main'!A476)</f>
        <v>https://dl.acm.org/doi/10.1145/3774904.3792539</v>
      </c>
    </row>
    <row r="477">
      <c r="A477" s="169" t="s">
        <v>1396</v>
      </c>
      <c r="B477" s="169" t="s">
        <v>1397</v>
      </c>
      <c r="C477" s="170" t="str">
        <f>CONCATENATE("https://dl.acm.org/doi/",'Sheridan Main'!A477)</f>
        <v>https://dl.acm.org/doi/10.1145/3774904.3792540</v>
      </c>
    </row>
    <row r="478">
      <c r="A478" s="169" t="s">
        <v>1398</v>
      </c>
      <c r="B478" s="169" t="s">
        <v>1399</v>
      </c>
      <c r="C478" s="170" t="str">
        <f>CONCATENATE("https://dl.acm.org/doi/",'Sheridan Main'!A478)</f>
        <v>https://dl.acm.org/doi/10.1145/3774904.3792541</v>
      </c>
    </row>
    <row r="479">
      <c r="A479" s="169" t="s">
        <v>1400</v>
      </c>
      <c r="B479" s="169" t="s">
        <v>1401</v>
      </c>
      <c r="C479" s="170" t="str">
        <f>CONCATENATE("https://dl.acm.org/doi/",'Sheridan Main'!A479)</f>
        <v>https://dl.acm.org/doi/10.1145/3774904.3792542</v>
      </c>
    </row>
    <row r="480">
      <c r="A480" s="169" t="s">
        <v>1402</v>
      </c>
      <c r="B480" s="169" t="s">
        <v>1403</v>
      </c>
      <c r="C480" s="170" t="str">
        <f>CONCATENATE("https://dl.acm.org/doi/",'Sheridan Main'!A480)</f>
        <v>https://dl.acm.org/doi/10.1145/3774904.3792543</v>
      </c>
    </row>
    <row r="481">
      <c r="A481" s="169" t="s">
        <v>1404</v>
      </c>
      <c r="B481" s="169" t="s">
        <v>1405</v>
      </c>
      <c r="C481" s="170" t="str">
        <f>CONCATENATE("https://dl.acm.org/doi/",'Sheridan Main'!A481)</f>
        <v>https://dl.acm.org/doi/10.1145/3774904.3792544</v>
      </c>
    </row>
    <row r="482">
      <c r="A482" s="169" t="s">
        <v>1406</v>
      </c>
      <c r="B482" s="169" t="s">
        <v>1407</v>
      </c>
      <c r="C482" s="170" t="str">
        <f>CONCATENATE("https://dl.acm.org/doi/",'Sheridan Main'!A482)</f>
        <v>https://dl.acm.org/doi/10.1145/3774904.3792545</v>
      </c>
    </row>
    <row r="483">
      <c r="A483" s="169" t="s">
        <v>1408</v>
      </c>
      <c r="B483" s="169" t="s">
        <v>1409</v>
      </c>
      <c r="C483" s="170" t="str">
        <f>CONCATENATE("https://dl.acm.org/doi/",'Sheridan Main'!A483)</f>
        <v>https://dl.acm.org/doi/10.1145/3774904.3792546</v>
      </c>
    </row>
    <row r="484">
      <c r="A484" s="169" t="s">
        <v>1410</v>
      </c>
      <c r="B484" s="169" t="s">
        <v>1411</v>
      </c>
      <c r="C484" s="170" t="str">
        <f>CONCATENATE("https://dl.acm.org/doi/",'Sheridan Main'!A484)</f>
        <v>https://dl.acm.org/doi/10.1145/3774904.3792547</v>
      </c>
    </row>
    <row r="485">
      <c r="A485" s="169" t="s">
        <v>1412</v>
      </c>
      <c r="B485" s="169" t="s">
        <v>1413</v>
      </c>
      <c r="C485" s="170" t="str">
        <f>CONCATENATE("https://dl.acm.org/doi/",'Sheridan Main'!A485)</f>
        <v>https://dl.acm.org/doi/10.1145/3774904.3792548</v>
      </c>
    </row>
    <row r="486">
      <c r="A486" s="169" t="s">
        <v>1414</v>
      </c>
      <c r="B486" s="169" t="s">
        <v>1415</v>
      </c>
      <c r="C486" s="170" t="str">
        <f>CONCATENATE("https://dl.acm.org/doi/",'Sheridan Main'!A486)</f>
        <v>https://dl.acm.org/doi/10.1145/3774904.3792549</v>
      </c>
    </row>
    <row r="487">
      <c r="A487" s="169" t="s">
        <v>1416</v>
      </c>
      <c r="B487" s="169" t="s">
        <v>1417</v>
      </c>
      <c r="C487" s="170" t="str">
        <f>CONCATENATE("https://dl.acm.org/doi/",'Sheridan Main'!A487)</f>
        <v>https://dl.acm.org/doi/10.1145/3774904.3792550</v>
      </c>
    </row>
    <row r="488">
      <c r="A488" s="169" t="s">
        <v>1418</v>
      </c>
      <c r="B488" s="169" t="s">
        <v>1419</v>
      </c>
      <c r="C488" s="170" t="str">
        <f>CONCATENATE("https://dl.acm.org/doi/",'Sheridan Main'!A488)</f>
        <v>https://dl.acm.org/doi/10.1145/3774904.3792551</v>
      </c>
    </row>
    <row r="489">
      <c r="A489" s="169" t="s">
        <v>1420</v>
      </c>
      <c r="B489" s="169" t="s">
        <v>1421</v>
      </c>
      <c r="C489" s="170" t="str">
        <f>CONCATENATE("https://dl.acm.org/doi/",'Sheridan Main'!A489)</f>
        <v>https://dl.acm.org/doi/10.1145/3774904.3792552</v>
      </c>
    </row>
    <row r="490">
      <c r="A490" s="169" t="s">
        <v>1422</v>
      </c>
      <c r="B490" s="169" t="s">
        <v>1423</v>
      </c>
      <c r="C490" s="170" t="str">
        <f>CONCATENATE("https://dl.acm.org/doi/",'Sheridan Main'!A490)</f>
        <v>https://dl.acm.org/doi/10.1145/3774904.3792553</v>
      </c>
    </row>
    <row r="491">
      <c r="A491" s="169" t="s">
        <v>1424</v>
      </c>
      <c r="B491" s="169" t="s">
        <v>1425</v>
      </c>
      <c r="C491" s="170" t="str">
        <f>CONCATENATE("https://dl.acm.org/doi/",'Sheridan Main'!A491)</f>
        <v>https://dl.acm.org/doi/10.1145/3774904.3792554</v>
      </c>
    </row>
    <row r="492">
      <c r="A492" s="169" t="s">
        <v>1426</v>
      </c>
      <c r="B492" s="169" t="s">
        <v>1427</v>
      </c>
      <c r="C492" s="170" t="str">
        <f>CONCATENATE("https://dl.acm.org/doi/",'Sheridan Main'!A492)</f>
        <v>https://dl.acm.org/doi/10.1145/3774904.3792555</v>
      </c>
    </row>
    <row r="493">
      <c r="A493" s="169" t="s">
        <v>1428</v>
      </c>
      <c r="B493" s="169" t="s">
        <v>1429</v>
      </c>
      <c r="C493" s="170" t="str">
        <f>CONCATENATE("https://dl.acm.org/doi/",'Sheridan Main'!A493)</f>
        <v>https://dl.acm.org/doi/10.1145/3774904.3792556</v>
      </c>
    </row>
    <row r="494">
      <c r="A494" s="169" t="s">
        <v>1430</v>
      </c>
      <c r="B494" s="169" t="s">
        <v>1431</v>
      </c>
      <c r="C494" s="170" t="str">
        <f>CONCATENATE("https://dl.acm.org/doi/",'Sheridan Main'!A494)</f>
        <v>https://dl.acm.org/doi/10.1145/3774904.3792557</v>
      </c>
    </row>
    <row r="495">
      <c r="A495" s="169" t="s">
        <v>1432</v>
      </c>
      <c r="B495" s="169" t="s">
        <v>1433</v>
      </c>
      <c r="C495" s="170" t="str">
        <f>CONCATENATE("https://dl.acm.org/doi/",'Sheridan Main'!A495)</f>
        <v>https://dl.acm.org/doi/10.1145/3774904.3792558</v>
      </c>
    </row>
    <row r="496">
      <c r="A496" s="169" t="s">
        <v>1434</v>
      </c>
      <c r="B496" s="169" t="s">
        <v>1435</v>
      </c>
      <c r="C496" s="170" t="str">
        <f>CONCATENATE("https://dl.acm.org/doi/",'Sheridan Main'!A496)</f>
        <v>https://dl.acm.org/doi/10.1145/3774904.3792559</v>
      </c>
    </row>
    <row r="497">
      <c r="A497" s="169" t="s">
        <v>1436</v>
      </c>
      <c r="B497" s="169" t="s">
        <v>1437</v>
      </c>
      <c r="C497" s="170" t="str">
        <f>CONCATENATE("https://dl.acm.org/doi/",'Sheridan Main'!A497)</f>
        <v>https://dl.acm.org/doi/10.1145/3774904.3792560</v>
      </c>
    </row>
    <row r="498">
      <c r="A498" s="169" t="s">
        <v>1438</v>
      </c>
      <c r="B498" s="169" t="s">
        <v>1439</v>
      </c>
      <c r="C498" s="170" t="str">
        <f>CONCATENATE("https://dl.acm.org/doi/",'Sheridan Main'!A498)</f>
        <v>https://dl.acm.org/doi/10.1145/3774904.3792561</v>
      </c>
    </row>
    <row r="499">
      <c r="A499" s="169" t="s">
        <v>1440</v>
      </c>
      <c r="B499" s="169" t="s">
        <v>1441</v>
      </c>
      <c r="C499" s="170" t="str">
        <f>CONCATENATE("https://dl.acm.org/doi/",'Sheridan Main'!A499)</f>
        <v>https://dl.acm.org/doi/10.1145/3774904.3792562</v>
      </c>
    </row>
    <row r="500">
      <c r="A500" s="169" t="s">
        <v>1442</v>
      </c>
      <c r="B500" s="169" t="s">
        <v>1443</v>
      </c>
      <c r="C500" s="170" t="str">
        <f>CONCATENATE("https://dl.acm.org/doi/",'Sheridan Main'!A500)</f>
        <v>https://dl.acm.org/doi/10.1145/3774904.3792563</v>
      </c>
    </row>
    <row r="501">
      <c r="A501" s="169" t="s">
        <v>1444</v>
      </c>
      <c r="B501" s="169" t="s">
        <v>1445</v>
      </c>
      <c r="C501" s="170" t="str">
        <f>CONCATENATE("https://dl.acm.org/doi/",'Sheridan Main'!A501)</f>
        <v>https://dl.acm.org/doi/10.1145/3774904.3792564</v>
      </c>
    </row>
    <row r="502">
      <c r="A502" s="169" t="s">
        <v>1446</v>
      </c>
      <c r="B502" s="169" t="s">
        <v>1447</v>
      </c>
      <c r="C502" s="170" t="str">
        <f>CONCATENATE("https://dl.acm.org/doi/",'Sheridan Main'!A502)</f>
        <v>https://dl.acm.org/doi/10.1145/3774904.3792565</v>
      </c>
    </row>
    <row r="503">
      <c r="A503" s="169" t="s">
        <v>1448</v>
      </c>
      <c r="B503" s="169" t="s">
        <v>1449</v>
      </c>
      <c r="C503" s="170" t="str">
        <f>CONCATENATE("https://dl.acm.org/doi/",'Sheridan Main'!A503)</f>
        <v>https://dl.acm.org/doi/10.1145/3774904.3792566</v>
      </c>
    </row>
    <row r="504">
      <c r="A504" s="169" t="s">
        <v>1450</v>
      </c>
      <c r="B504" s="169" t="s">
        <v>1451</v>
      </c>
      <c r="C504" s="170" t="str">
        <f>CONCATENATE("https://dl.acm.org/doi/",'Sheridan Main'!A504)</f>
        <v>https://dl.acm.org/doi/10.1145/3774904.3792567</v>
      </c>
    </row>
    <row r="505">
      <c r="A505" s="169" t="s">
        <v>1452</v>
      </c>
      <c r="B505" s="169" t="s">
        <v>1453</v>
      </c>
      <c r="C505" s="170" t="str">
        <f>CONCATENATE("https://dl.acm.org/doi/",'Sheridan Main'!A505)</f>
        <v>https://dl.acm.org/doi/10.1145/3774904.3792568</v>
      </c>
    </row>
    <row r="506">
      <c r="A506" s="169" t="s">
        <v>1454</v>
      </c>
      <c r="B506" s="169" t="s">
        <v>1455</v>
      </c>
      <c r="C506" s="170" t="str">
        <f>CONCATENATE("https://dl.acm.org/doi/",'Sheridan Main'!A506)</f>
        <v>https://dl.acm.org/doi/10.1145/3774904.3792569</v>
      </c>
    </row>
    <row r="507">
      <c r="A507" s="169" t="s">
        <v>1456</v>
      </c>
      <c r="B507" s="169" t="s">
        <v>1457</v>
      </c>
      <c r="C507" s="170" t="str">
        <f>CONCATENATE("https://dl.acm.org/doi/",'Sheridan Main'!A507)</f>
        <v>https://dl.acm.org/doi/10.1145/3774904.3792570</v>
      </c>
    </row>
    <row r="508">
      <c r="A508" s="169" t="s">
        <v>1458</v>
      </c>
      <c r="B508" s="169" t="s">
        <v>1459</v>
      </c>
      <c r="C508" s="170" t="str">
        <f>CONCATENATE("https://dl.acm.org/doi/",'Sheridan Main'!A508)</f>
        <v>https://dl.acm.org/doi/10.1145/3774904.3792571</v>
      </c>
    </row>
    <row r="509">
      <c r="A509" s="169" t="s">
        <v>1460</v>
      </c>
      <c r="B509" s="169" t="s">
        <v>1461</v>
      </c>
      <c r="C509" s="170" t="str">
        <f>CONCATENATE("https://dl.acm.org/doi/",'Sheridan Main'!A509)</f>
        <v>https://dl.acm.org/doi/10.1145/3774904.3792572</v>
      </c>
    </row>
    <row r="510">
      <c r="A510" s="169" t="s">
        <v>1462</v>
      </c>
      <c r="B510" s="169" t="s">
        <v>1463</v>
      </c>
      <c r="C510" s="170" t="str">
        <f>CONCATENATE("https://dl.acm.org/doi/",'Sheridan Main'!A510)</f>
        <v>https://dl.acm.org/doi/10.1145/3774904.3792573</v>
      </c>
    </row>
    <row r="511">
      <c r="A511" s="169" t="s">
        <v>1464</v>
      </c>
      <c r="B511" s="169" t="s">
        <v>1465</v>
      </c>
      <c r="C511" s="170" t="str">
        <f>CONCATENATE("https://dl.acm.org/doi/",'Sheridan Main'!A511)</f>
        <v>https://dl.acm.org/doi/10.1145/3774904.3792574</v>
      </c>
    </row>
    <row r="512">
      <c r="A512" s="169" t="s">
        <v>1466</v>
      </c>
      <c r="B512" s="169" t="s">
        <v>1467</v>
      </c>
      <c r="C512" s="170" t="str">
        <f>CONCATENATE("https://dl.acm.org/doi/",'Sheridan Main'!A512)</f>
        <v>https://dl.acm.org/doi/10.1145/3774904.3792575</v>
      </c>
    </row>
    <row r="513">
      <c r="A513" s="169" t="s">
        <v>1468</v>
      </c>
      <c r="B513" s="169" t="s">
        <v>1469</v>
      </c>
      <c r="C513" s="170" t="str">
        <f>CONCATENATE("https://dl.acm.org/doi/",'Sheridan Main'!A513)</f>
        <v>https://dl.acm.org/doi/10.1145/3774904.3792576</v>
      </c>
    </row>
    <row r="514">
      <c r="A514" s="169" t="s">
        <v>1470</v>
      </c>
      <c r="B514" s="169" t="s">
        <v>1471</v>
      </c>
      <c r="C514" s="170" t="str">
        <f>CONCATENATE("https://dl.acm.org/doi/",'Sheridan Main'!A514)</f>
        <v>https://dl.acm.org/doi/10.1145/3774904.3792577</v>
      </c>
    </row>
    <row r="515">
      <c r="A515" s="169" t="s">
        <v>1472</v>
      </c>
      <c r="B515" s="169" t="s">
        <v>1473</v>
      </c>
      <c r="C515" s="170" t="str">
        <f>CONCATENATE("https://dl.acm.org/doi/",'Sheridan Main'!A515)</f>
        <v>https://dl.acm.org/doi/10.1145/3774904.3792578</v>
      </c>
    </row>
    <row r="516">
      <c r="A516" s="169" t="s">
        <v>1474</v>
      </c>
      <c r="B516" s="169" t="s">
        <v>1475</v>
      </c>
      <c r="C516" s="170" t="str">
        <f>CONCATENATE("https://dl.acm.org/doi/",'Sheridan Main'!A516)</f>
        <v>https://dl.acm.org/doi/10.1145/3774904.3792579</v>
      </c>
    </row>
    <row r="517">
      <c r="A517" s="169" t="s">
        <v>1476</v>
      </c>
      <c r="B517" s="169" t="s">
        <v>1477</v>
      </c>
      <c r="C517" s="170" t="str">
        <f>CONCATENATE("https://dl.acm.org/doi/",'Sheridan Main'!A517)</f>
        <v>https://dl.acm.org/doi/10.1145/3774904.3792580</v>
      </c>
    </row>
    <row r="518">
      <c r="A518" s="169" t="s">
        <v>1478</v>
      </c>
      <c r="B518" s="169" t="s">
        <v>1479</v>
      </c>
      <c r="C518" s="170" t="str">
        <f>CONCATENATE("https://dl.acm.org/doi/",'Sheridan Main'!A518)</f>
        <v>https://dl.acm.org/doi/10.1145/3774904.3792581</v>
      </c>
    </row>
    <row r="519">
      <c r="A519" s="169" t="s">
        <v>1480</v>
      </c>
      <c r="B519" s="169" t="s">
        <v>1481</v>
      </c>
      <c r="C519" s="170" t="str">
        <f>CONCATENATE("https://dl.acm.org/doi/",'Sheridan Main'!A519)</f>
        <v>https://dl.acm.org/doi/10.1145/3774904.3792582</v>
      </c>
    </row>
    <row r="520">
      <c r="A520" s="169" t="s">
        <v>1482</v>
      </c>
      <c r="B520" s="169" t="s">
        <v>1483</v>
      </c>
      <c r="C520" s="170" t="str">
        <f>CONCATENATE("https://dl.acm.org/doi/",'Sheridan Main'!A520)</f>
        <v>https://dl.acm.org/doi/10.1145/3774904.3792583</v>
      </c>
    </row>
    <row r="521">
      <c r="A521" s="169" t="s">
        <v>1484</v>
      </c>
      <c r="B521" s="169" t="s">
        <v>1485</v>
      </c>
      <c r="C521" s="170" t="str">
        <f>CONCATENATE("https://dl.acm.org/doi/",'Sheridan Main'!A521)</f>
        <v>https://dl.acm.org/doi/10.1145/3774904.3792584</v>
      </c>
    </row>
    <row r="522">
      <c r="A522" s="169" t="s">
        <v>1486</v>
      </c>
      <c r="B522" s="169" t="s">
        <v>1487</v>
      </c>
      <c r="C522" s="170" t="str">
        <f>CONCATENATE("https://dl.acm.org/doi/",'Sheridan Main'!A522)</f>
        <v>https://dl.acm.org/doi/10.1145/3774904.3792585</v>
      </c>
    </row>
    <row r="523">
      <c r="A523" s="169" t="s">
        <v>1488</v>
      </c>
      <c r="B523" s="169" t="s">
        <v>1489</v>
      </c>
      <c r="C523" s="170" t="str">
        <f>CONCATENATE("https://dl.acm.org/doi/",'Sheridan Main'!A523)</f>
        <v>https://dl.acm.org/doi/10.1145/3774904.3792586</v>
      </c>
    </row>
    <row r="524">
      <c r="A524" s="169" t="s">
        <v>1490</v>
      </c>
      <c r="B524" s="169" t="s">
        <v>1491</v>
      </c>
      <c r="C524" s="170" t="str">
        <f>CONCATENATE("https://dl.acm.org/doi/",'Sheridan Main'!A524)</f>
        <v>https://dl.acm.org/doi/10.1145/3774904.3792587</v>
      </c>
    </row>
    <row r="525">
      <c r="A525" s="169" t="s">
        <v>1492</v>
      </c>
      <c r="B525" s="169" t="s">
        <v>1493</v>
      </c>
      <c r="C525" s="170" t="str">
        <f>CONCATENATE("https://dl.acm.org/doi/",'Sheridan Main'!A525)</f>
        <v>https://dl.acm.org/doi/10.1145/3774904.3792588</v>
      </c>
    </row>
    <row r="526">
      <c r="A526" s="169" t="s">
        <v>1494</v>
      </c>
      <c r="B526" s="169" t="s">
        <v>1495</v>
      </c>
      <c r="C526" s="170" t="str">
        <f>CONCATENATE("https://dl.acm.org/doi/",'Sheridan Main'!A526)</f>
        <v>https://dl.acm.org/doi/10.1145/3774904.3792589</v>
      </c>
    </row>
    <row r="527">
      <c r="A527" s="169" t="s">
        <v>1496</v>
      </c>
      <c r="B527" s="169" t="s">
        <v>1497</v>
      </c>
      <c r="C527" s="170" t="str">
        <f>CONCATENATE("https://dl.acm.org/doi/",'Sheridan Main'!A527)</f>
        <v>https://dl.acm.org/doi/10.1145/3774904.3792590</v>
      </c>
    </row>
    <row r="528">
      <c r="A528" s="169" t="s">
        <v>1498</v>
      </c>
      <c r="B528" s="169" t="s">
        <v>1499</v>
      </c>
      <c r="C528" s="170" t="str">
        <f>CONCATENATE("https://dl.acm.org/doi/",'Sheridan Main'!A528)</f>
        <v>https://dl.acm.org/doi/10.1145/3774904.3792591</v>
      </c>
    </row>
    <row r="529">
      <c r="A529" s="169" t="s">
        <v>1500</v>
      </c>
      <c r="B529" s="169" t="s">
        <v>1501</v>
      </c>
      <c r="C529" s="170" t="str">
        <f>CONCATENATE("https://dl.acm.org/doi/",'Sheridan Main'!A529)</f>
        <v>https://dl.acm.org/doi/10.1145/3774904.3792592</v>
      </c>
    </row>
    <row r="530">
      <c r="A530" s="169" t="s">
        <v>1502</v>
      </c>
      <c r="B530" s="169" t="s">
        <v>1503</v>
      </c>
      <c r="C530" s="170" t="str">
        <f>CONCATENATE("https://dl.acm.org/doi/",'Sheridan Main'!A530)</f>
        <v>https://dl.acm.org/doi/10.1145/3774904.3792593</v>
      </c>
    </row>
    <row r="531">
      <c r="A531" s="169" t="s">
        <v>1504</v>
      </c>
      <c r="B531" s="169" t="s">
        <v>1505</v>
      </c>
      <c r="C531" s="170" t="str">
        <f>CONCATENATE("https://dl.acm.org/doi/",'Sheridan Main'!A531)</f>
        <v>https://dl.acm.org/doi/10.1145/3774904.3792594</v>
      </c>
    </row>
    <row r="532">
      <c r="A532" s="169" t="s">
        <v>1506</v>
      </c>
      <c r="B532" s="169" t="s">
        <v>1507</v>
      </c>
      <c r="C532" s="170" t="str">
        <f>CONCATENATE("https://dl.acm.org/doi/",'Sheridan Main'!A532)</f>
        <v>https://dl.acm.org/doi/10.1145/3774904.3792595</v>
      </c>
    </row>
    <row r="533">
      <c r="A533" s="169" t="s">
        <v>1508</v>
      </c>
      <c r="B533" s="169" t="s">
        <v>1509</v>
      </c>
      <c r="C533" s="170" t="str">
        <f>CONCATENATE("https://dl.acm.org/doi/",'Sheridan Main'!A533)</f>
        <v>https://dl.acm.org/doi/10.1145/3774904.3792596</v>
      </c>
    </row>
    <row r="534">
      <c r="A534" s="169" t="s">
        <v>1510</v>
      </c>
      <c r="B534" s="169" t="s">
        <v>1511</v>
      </c>
      <c r="C534" s="170" t="str">
        <f>CONCATENATE("https://dl.acm.org/doi/",'Sheridan Main'!A534)</f>
        <v>https://dl.acm.org/doi/10.1145/3774904.3792597</v>
      </c>
    </row>
    <row r="535">
      <c r="A535" s="169" t="s">
        <v>1512</v>
      </c>
      <c r="B535" s="169" t="s">
        <v>1513</v>
      </c>
      <c r="C535" s="170" t="str">
        <f>CONCATENATE("https://dl.acm.org/doi/",'Sheridan Main'!A535)</f>
        <v>https://dl.acm.org/doi/10.1145/3774904.3792598</v>
      </c>
    </row>
    <row r="536">
      <c r="A536" s="169" t="s">
        <v>1514</v>
      </c>
      <c r="B536" s="169" t="s">
        <v>1515</v>
      </c>
      <c r="C536" s="170" t="str">
        <f>CONCATENATE("https://dl.acm.org/doi/",'Sheridan Main'!A536)</f>
        <v>https://dl.acm.org/doi/10.1145/3774904.3792599</v>
      </c>
    </row>
    <row r="537">
      <c r="A537" s="169" t="s">
        <v>1516</v>
      </c>
      <c r="B537" s="169" t="s">
        <v>1517</v>
      </c>
      <c r="C537" s="170" t="str">
        <f>CONCATENATE("https://dl.acm.org/doi/",'Sheridan Main'!A537)</f>
        <v>https://dl.acm.org/doi/10.1145/3774904.3792600</v>
      </c>
    </row>
    <row r="538">
      <c r="A538" s="169" t="s">
        <v>1518</v>
      </c>
      <c r="B538" s="169" t="s">
        <v>1519</v>
      </c>
      <c r="C538" s="170" t="str">
        <f>CONCATENATE("https://dl.acm.org/doi/",'Sheridan Main'!A538)</f>
        <v>https://dl.acm.org/doi/10.1145/3774904.3792601</v>
      </c>
    </row>
    <row r="539">
      <c r="A539" s="169" t="s">
        <v>1520</v>
      </c>
      <c r="B539" s="169" t="s">
        <v>1521</v>
      </c>
      <c r="C539" s="170" t="str">
        <f>CONCATENATE("https://dl.acm.org/doi/",'Sheridan Main'!A539)</f>
        <v>https://dl.acm.org/doi/10.1145/3774904.3792602</v>
      </c>
    </row>
    <row r="540">
      <c r="A540" s="169" t="s">
        <v>1522</v>
      </c>
      <c r="B540" s="169" t="s">
        <v>1523</v>
      </c>
      <c r="C540" s="170" t="str">
        <f>CONCATENATE("https://dl.acm.org/doi/",'Sheridan Main'!A540)</f>
        <v>https://dl.acm.org/doi/10.1145/3774904.3792603</v>
      </c>
    </row>
    <row r="541">
      <c r="A541" s="169" t="s">
        <v>1524</v>
      </c>
      <c r="B541" s="169" t="s">
        <v>1525</v>
      </c>
      <c r="C541" s="170" t="str">
        <f>CONCATENATE("https://dl.acm.org/doi/",'Sheridan Main'!A541)</f>
        <v>https://dl.acm.org/doi/10.1145/3774904.3792604</v>
      </c>
    </row>
    <row r="542">
      <c r="A542" s="169" t="s">
        <v>1526</v>
      </c>
      <c r="B542" s="169" t="s">
        <v>1527</v>
      </c>
      <c r="C542" s="170" t="str">
        <f>CONCATENATE("https://dl.acm.org/doi/",'Sheridan Main'!A542)</f>
        <v>https://dl.acm.org/doi/10.1145/3774904.3792605</v>
      </c>
    </row>
    <row r="543">
      <c r="A543" s="169" t="s">
        <v>1528</v>
      </c>
      <c r="B543" s="169" t="s">
        <v>1529</v>
      </c>
      <c r="C543" s="170" t="str">
        <f>CONCATENATE("https://dl.acm.org/doi/",'Sheridan Main'!A543)</f>
        <v>https://dl.acm.org/doi/10.1145/3774904.3792606</v>
      </c>
    </row>
    <row r="544">
      <c r="A544" s="169" t="s">
        <v>1530</v>
      </c>
      <c r="B544" s="169" t="s">
        <v>1531</v>
      </c>
      <c r="C544" s="170" t="str">
        <f>CONCATENATE("https://dl.acm.org/doi/",'Sheridan Main'!A544)</f>
        <v>https://dl.acm.org/doi/10.1145/3774904.3792607</v>
      </c>
    </row>
    <row r="545">
      <c r="A545" s="169" t="s">
        <v>1532</v>
      </c>
      <c r="B545" s="169" t="s">
        <v>1533</v>
      </c>
      <c r="C545" s="170" t="str">
        <f>CONCATENATE("https://dl.acm.org/doi/",'Sheridan Main'!A545)</f>
        <v>https://dl.acm.org/doi/10.1145/3774904.3792608</v>
      </c>
    </row>
    <row r="546">
      <c r="A546" s="169" t="s">
        <v>1534</v>
      </c>
      <c r="B546" s="169" t="s">
        <v>1535</v>
      </c>
      <c r="C546" s="170" t="str">
        <f>CONCATENATE("https://dl.acm.org/doi/",'Sheridan Main'!A546)</f>
        <v>https://dl.acm.org/doi/10.1145/3774904.3792609</v>
      </c>
    </row>
    <row r="547">
      <c r="A547" s="169" t="s">
        <v>1536</v>
      </c>
      <c r="B547" s="169" t="s">
        <v>1537</v>
      </c>
      <c r="C547" s="170" t="str">
        <f>CONCATENATE("https://dl.acm.org/doi/",'Sheridan Main'!A547)</f>
        <v>https://dl.acm.org/doi/10.1145/3774904.3792610</v>
      </c>
    </row>
    <row r="548">
      <c r="A548" s="169" t="s">
        <v>1538</v>
      </c>
      <c r="B548" s="169" t="s">
        <v>1539</v>
      </c>
      <c r="C548" s="170" t="str">
        <f>CONCATENATE("https://dl.acm.org/doi/",'Sheridan Main'!A548)</f>
        <v>https://dl.acm.org/doi/10.1145/3774904.3792611</v>
      </c>
    </row>
    <row r="549">
      <c r="A549" s="169" t="s">
        <v>1540</v>
      </c>
      <c r="B549" s="169" t="s">
        <v>1541</v>
      </c>
      <c r="C549" s="170" t="str">
        <f>CONCATENATE("https://dl.acm.org/doi/",'Sheridan Main'!A549)</f>
        <v>https://dl.acm.org/doi/10.1145/3774904.3792612</v>
      </c>
    </row>
    <row r="550">
      <c r="A550" s="169" t="s">
        <v>1542</v>
      </c>
      <c r="B550" s="169" t="s">
        <v>1543</v>
      </c>
      <c r="C550" s="170" t="str">
        <f>CONCATENATE("https://dl.acm.org/doi/",'Sheridan Main'!A550)</f>
        <v>https://dl.acm.org/doi/10.1145/3774904.3792613</v>
      </c>
    </row>
    <row r="551">
      <c r="A551" s="169" t="s">
        <v>1544</v>
      </c>
      <c r="B551" s="169" t="s">
        <v>1545</v>
      </c>
      <c r="C551" s="170" t="str">
        <f>CONCATENATE("https://dl.acm.org/doi/",'Sheridan Main'!A551)</f>
        <v>https://dl.acm.org/doi/10.1145/3774904.3792614</v>
      </c>
    </row>
    <row r="552">
      <c r="A552" s="169" t="s">
        <v>1546</v>
      </c>
      <c r="B552" s="169" t="s">
        <v>1547</v>
      </c>
      <c r="C552" s="170" t="str">
        <f>CONCATENATE("https://dl.acm.org/doi/",'Sheridan Main'!A552)</f>
        <v>https://dl.acm.org/doi/10.1145/3774904.3792615</v>
      </c>
    </row>
    <row r="553">
      <c r="A553" s="169" t="s">
        <v>1548</v>
      </c>
      <c r="B553" s="169" t="s">
        <v>1549</v>
      </c>
      <c r="C553" s="170" t="str">
        <f>CONCATENATE("https://dl.acm.org/doi/",'Sheridan Main'!A553)</f>
        <v>https://dl.acm.org/doi/10.1145/3774904.3792616</v>
      </c>
    </row>
    <row r="554">
      <c r="A554" s="169" t="s">
        <v>1550</v>
      </c>
      <c r="B554" s="169" t="s">
        <v>1551</v>
      </c>
      <c r="C554" s="170" t="str">
        <f>CONCATENATE("https://dl.acm.org/doi/",'Sheridan Main'!A554)</f>
        <v>https://dl.acm.org/doi/10.1145/3774904.3792617</v>
      </c>
    </row>
    <row r="555">
      <c r="A555" s="169" t="s">
        <v>1552</v>
      </c>
      <c r="B555" s="169" t="s">
        <v>1553</v>
      </c>
      <c r="C555" s="170" t="str">
        <f>CONCATENATE("https://dl.acm.org/doi/",'Sheridan Main'!A555)</f>
        <v>https://dl.acm.org/doi/10.1145/3774904.3792618</v>
      </c>
    </row>
    <row r="556">
      <c r="A556" s="169" t="s">
        <v>1554</v>
      </c>
      <c r="B556" s="169" t="s">
        <v>1555</v>
      </c>
      <c r="C556" s="170" t="str">
        <f>CONCATENATE("https://dl.acm.org/doi/",'Sheridan Main'!A556)</f>
        <v>https://dl.acm.org/doi/10.1145/3774904.3792619</v>
      </c>
    </row>
    <row r="557">
      <c r="A557" s="169" t="s">
        <v>1556</v>
      </c>
      <c r="B557" s="169" t="s">
        <v>1557</v>
      </c>
      <c r="C557" s="170" t="str">
        <f>CONCATENATE("https://dl.acm.org/doi/",'Sheridan Main'!A557)</f>
        <v>https://dl.acm.org/doi/10.1145/3774904.3792620</v>
      </c>
    </row>
    <row r="558">
      <c r="A558" s="169" t="s">
        <v>1558</v>
      </c>
      <c r="B558" s="169" t="s">
        <v>1559</v>
      </c>
      <c r="C558" s="170" t="str">
        <f>CONCATENATE("https://dl.acm.org/doi/",'Sheridan Main'!A558)</f>
        <v>https://dl.acm.org/doi/10.1145/3774904.3792621</v>
      </c>
    </row>
    <row r="559">
      <c r="A559" s="169" t="s">
        <v>1560</v>
      </c>
      <c r="B559" s="169" t="s">
        <v>1561</v>
      </c>
      <c r="C559" s="170" t="str">
        <f>CONCATENATE("https://dl.acm.org/doi/",'Sheridan Main'!A559)</f>
        <v>https://dl.acm.org/doi/10.1145/3774904.3792622</v>
      </c>
    </row>
    <row r="560">
      <c r="A560" s="169" t="s">
        <v>1562</v>
      </c>
      <c r="B560" s="169" t="s">
        <v>1563</v>
      </c>
      <c r="C560" s="170" t="str">
        <f>CONCATENATE("https://dl.acm.org/doi/",'Sheridan Main'!A560)</f>
        <v>https://dl.acm.org/doi/10.1145/3774904.3792623</v>
      </c>
    </row>
    <row r="561">
      <c r="A561" s="169" t="s">
        <v>1564</v>
      </c>
      <c r="B561" s="169" t="s">
        <v>1565</v>
      </c>
      <c r="C561" s="170" t="str">
        <f>CONCATENATE("https://dl.acm.org/doi/",'Sheridan Main'!A561)</f>
        <v>https://dl.acm.org/doi/10.1145/3774904.3792624</v>
      </c>
    </row>
    <row r="562">
      <c r="A562" s="169" t="s">
        <v>1566</v>
      </c>
      <c r="B562" s="169" t="s">
        <v>1567</v>
      </c>
      <c r="C562" s="170" t="str">
        <f>CONCATENATE("https://dl.acm.org/doi/",'Sheridan Main'!A562)</f>
        <v>https://dl.acm.org/doi/10.1145/3774904.3792625</v>
      </c>
    </row>
    <row r="563">
      <c r="A563" s="169" t="s">
        <v>1568</v>
      </c>
      <c r="B563" s="169" t="s">
        <v>1569</v>
      </c>
      <c r="C563" s="170" t="str">
        <f>CONCATENATE("https://dl.acm.org/doi/",'Sheridan Main'!A563)</f>
        <v>https://dl.acm.org/doi/10.1145/3774904.3792626</v>
      </c>
    </row>
    <row r="564">
      <c r="A564" s="169" t="s">
        <v>1570</v>
      </c>
      <c r="B564" s="169" t="s">
        <v>1571</v>
      </c>
      <c r="C564" s="170" t="str">
        <f>CONCATENATE("https://dl.acm.org/doi/",'Sheridan Main'!A564)</f>
        <v>https://dl.acm.org/doi/10.1145/3774904.3792627</v>
      </c>
    </row>
    <row r="565">
      <c r="A565" s="169" t="s">
        <v>1572</v>
      </c>
      <c r="B565" s="169" t="s">
        <v>1573</v>
      </c>
      <c r="C565" s="170" t="str">
        <f>CONCATENATE("https://dl.acm.org/doi/",'Sheridan Main'!A565)</f>
        <v>https://dl.acm.org/doi/10.1145/3774904.3792628</v>
      </c>
    </row>
    <row r="566">
      <c r="A566" s="169" t="s">
        <v>1574</v>
      </c>
      <c r="B566" s="169" t="s">
        <v>1575</v>
      </c>
      <c r="C566" s="170" t="str">
        <f>CONCATENATE("https://dl.acm.org/doi/",'Sheridan Main'!A566)</f>
        <v>https://dl.acm.org/doi/10.1145/3774904.3792629</v>
      </c>
    </row>
    <row r="567">
      <c r="A567" s="169" t="s">
        <v>1576</v>
      </c>
      <c r="B567" s="169" t="s">
        <v>1577</v>
      </c>
      <c r="C567" s="170" t="str">
        <f>CONCATENATE("https://dl.acm.org/doi/",'Sheridan Main'!A567)</f>
        <v>https://dl.acm.org/doi/10.1145/3774904.3792630</v>
      </c>
    </row>
    <row r="568">
      <c r="A568" s="169" t="s">
        <v>1578</v>
      </c>
      <c r="B568" s="169" t="s">
        <v>1579</v>
      </c>
      <c r="C568" s="170" t="str">
        <f>CONCATENATE("https://dl.acm.org/doi/",'Sheridan Main'!A568)</f>
        <v>https://dl.acm.org/doi/10.1145/3774904.3792631</v>
      </c>
    </row>
    <row r="569">
      <c r="A569" s="169" t="s">
        <v>1580</v>
      </c>
      <c r="B569" s="169" t="s">
        <v>1581</v>
      </c>
      <c r="C569" s="170" t="str">
        <f>CONCATENATE("https://dl.acm.org/doi/",'Sheridan Main'!A569)</f>
        <v>https://dl.acm.org/doi/10.1145/3774904.3792632</v>
      </c>
    </row>
    <row r="570">
      <c r="A570" s="169" t="s">
        <v>1582</v>
      </c>
      <c r="B570" s="169" t="s">
        <v>1583</v>
      </c>
      <c r="C570" s="170" t="str">
        <f>CONCATENATE("https://dl.acm.org/doi/",'Sheridan Main'!A570)</f>
        <v>https://dl.acm.org/doi/10.1145/3774904.3792633</v>
      </c>
    </row>
    <row r="571">
      <c r="A571" s="169" t="s">
        <v>1584</v>
      </c>
      <c r="B571" s="169" t="s">
        <v>1585</v>
      </c>
      <c r="C571" s="170" t="str">
        <f>CONCATENATE("https://dl.acm.org/doi/",'Sheridan Main'!A571)</f>
        <v>https://dl.acm.org/doi/10.1145/3774904.3792634</v>
      </c>
    </row>
    <row r="572">
      <c r="A572" s="169" t="s">
        <v>1586</v>
      </c>
      <c r="B572" s="169" t="s">
        <v>1587</v>
      </c>
      <c r="C572" s="170" t="str">
        <f>CONCATENATE("https://dl.acm.org/doi/",'Sheridan Main'!A572)</f>
        <v>https://dl.acm.org/doi/10.1145/3774904.3792635</v>
      </c>
    </row>
    <row r="573">
      <c r="A573" s="169" t="s">
        <v>1588</v>
      </c>
      <c r="B573" s="169" t="s">
        <v>1589</v>
      </c>
      <c r="C573" s="170" t="str">
        <f>CONCATENATE("https://dl.acm.org/doi/",'Sheridan Main'!A573)</f>
        <v>https://dl.acm.org/doi/10.1145/3774904.3792636</v>
      </c>
    </row>
    <row r="574">
      <c r="A574" s="169" t="s">
        <v>1590</v>
      </c>
      <c r="B574" s="169" t="s">
        <v>1591</v>
      </c>
      <c r="C574" s="170" t="str">
        <f>CONCATENATE("https://dl.acm.org/doi/",'Sheridan Main'!A574)</f>
        <v>https://dl.acm.org/doi/10.1145/3774904.3792637</v>
      </c>
    </row>
    <row r="575">
      <c r="A575" s="169" t="s">
        <v>1592</v>
      </c>
      <c r="B575" s="169" t="s">
        <v>1593</v>
      </c>
      <c r="C575" s="170" t="str">
        <f>CONCATENATE("https://dl.acm.org/doi/",'Sheridan Main'!A575)</f>
        <v>https://dl.acm.org/doi/10.1145/3774904.3792638</v>
      </c>
    </row>
    <row r="576">
      <c r="A576" s="169" t="s">
        <v>1594</v>
      </c>
      <c r="B576" s="169" t="s">
        <v>1595</v>
      </c>
      <c r="C576" s="170" t="str">
        <f>CONCATENATE("https://dl.acm.org/doi/",'Sheridan Main'!A576)</f>
        <v>https://dl.acm.org/doi/10.1145/3774904.3792639</v>
      </c>
    </row>
    <row r="577">
      <c r="A577" s="169" t="s">
        <v>1596</v>
      </c>
      <c r="B577" s="169" t="s">
        <v>1597</v>
      </c>
      <c r="C577" s="170" t="str">
        <f>CONCATENATE("https://dl.acm.org/doi/",'Sheridan Main'!A577)</f>
        <v>https://dl.acm.org/doi/10.1145/3774904.3792640</v>
      </c>
    </row>
    <row r="578">
      <c r="A578" s="169" t="s">
        <v>1598</v>
      </c>
      <c r="B578" s="169" t="s">
        <v>1599</v>
      </c>
      <c r="C578" s="170" t="str">
        <f>CONCATENATE("https://dl.acm.org/doi/",'Sheridan Main'!A578)</f>
        <v>https://dl.acm.org/doi/10.1145/3774904.3792641</v>
      </c>
    </row>
    <row r="579">
      <c r="A579" s="169" t="s">
        <v>1600</v>
      </c>
      <c r="B579" s="169" t="s">
        <v>1601</v>
      </c>
      <c r="C579" s="170" t="str">
        <f>CONCATENATE("https://dl.acm.org/doi/",'Sheridan Main'!A579)</f>
        <v>https://dl.acm.org/doi/10.1145/3774904.3792642</v>
      </c>
    </row>
    <row r="580">
      <c r="A580" s="169" t="s">
        <v>1602</v>
      </c>
      <c r="B580" s="169" t="s">
        <v>1603</v>
      </c>
      <c r="C580" s="170" t="str">
        <f>CONCATENATE("https://dl.acm.org/doi/",'Sheridan Main'!A580)</f>
        <v>https://dl.acm.org/doi/10.1145/3774904.3792643</v>
      </c>
    </row>
    <row r="581">
      <c r="A581" s="169" t="s">
        <v>1604</v>
      </c>
      <c r="B581" s="169" t="s">
        <v>1605</v>
      </c>
      <c r="C581" s="170" t="str">
        <f>CONCATENATE("https://dl.acm.org/doi/",'Sheridan Main'!A581)</f>
        <v>https://dl.acm.org/doi/10.1145/3774904.3792644</v>
      </c>
    </row>
    <row r="582">
      <c r="A582" s="169" t="s">
        <v>1606</v>
      </c>
      <c r="B582" s="169" t="s">
        <v>1607</v>
      </c>
      <c r="C582" s="170" t="str">
        <f>CONCATENATE("https://dl.acm.org/doi/",'Sheridan Main'!A582)</f>
        <v>https://dl.acm.org/doi/10.1145/3774904.3792645</v>
      </c>
    </row>
    <row r="583">
      <c r="A583" s="169" t="s">
        <v>1608</v>
      </c>
      <c r="B583" s="169" t="s">
        <v>1609</v>
      </c>
      <c r="C583" s="170" t="str">
        <f>CONCATENATE("https://dl.acm.org/doi/",'Sheridan Main'!A583)</f>
        <v>https://dl.acm.org/doi/10.1145/3774904.3792646</v>
      </c>
    </row>
    <row r="584">
      <c r="A584" s="169" t="s">
        <v>1610</v>
      </c>
      <c r="B584" s="169" t="s">
        <v>1611</v>
      </c>
      <c r="C584" s="170" t="str">
        <f>CONCATENATE("https://dl.acm.org/doi/",'Sheridan Main'!A584)</f>
        <v>https://dl.acm.org/doi/10.1145/3774904.3792647</v>
      </c>
    </row>
    <row r="585">
      <c r="A585" s="169" t="s">
        <v>1612</v>
      </c>
      <c r="B585" s="169" t="s">
        <v>1613</v>
      </c>
      <c r="C585" s="170" t="str">
        <f>CONCATENATE("https://dl.acm.org/doi/",'Sheridan Main'!A585)</f>
        <v>https://dl.acm.org/doi/10.1145/3774904.3792648</v>
      </c>
    </row>
    <row r="586">
      <c r="A586" s="169" t="s">
        <v>1614</v>
      </c>
      <c r="B586" s="169" t="s">
        <v>1615</v>
      </c>
      <c r="C586" s="170" t="str">
        <f>CONCATENATE("https://dl.acm.org/doi/",'Sheridan Main'!A586)</f>
        <v>https://dl.acm.org/doi/10.1145/3774904.3792649</v>
      </c>
    </row>
    <row r="587">
      <c r="A587" s="169" t="s">
        <v>1616</v>
      </c>
      <c r="B587" s="169" t="s">
        <v>1617</v>
      </c>
      <c r="C587" s="170" t="str">
        <f>CONCATENATE("https://dl.acm.org/doi/",'Sheridan Main'!A587)</f>
        <v>https://dl.acm.org/doi/10.1145/3774904.3792650</v>
      </c>
    </row>
    <row r="588">
      <c r="A588" s="169" t="s">
        <v>1618</v>
      </c>
      <c r="B588" s="169" t="s">
        <v>1619</v>
      </c>
      <c r="C588" s="170" t="str">
        <f>CONCATENATE("https://dl.acm.org/doi/",'Sheridan Main'!A588)</f>
        <v>https://dl.acm.org/doi/10.1145/3774904.3792651</v>
      </c>
    </row>
    <row r="589">
      <c r="A589" s="169" t="s">
        <v>1620</v>
      </c>
      <c r="B589" s="169" t="s">
        <v>1621</v>
      </c>
      <c r="C589" s="170" t="str">
        <f>CONCATENATE("https://dl.acm.org/doi/",'Sheridan Main'!A589)</f>
        <v>https://dl.acm.org/doi/10.1145/3774904.3792652</v>
      </c>
    </row>
    <row r="590">
      <c r="A590" s="169" t="s">
        <v>1622</v>
      </c>
      <c r="B590" s="169" t="s">
        <v>1623</v>
      </c>
      <c r="C590" s="170" t="str">
        <f>CONCATENATE("https://dl.acm.org/doi/",'Sheridan Main'!A590)</f>
        <v>https://dl.acm.org/doi/10.1145/3774904.3792653</v>
      </c>
    </row>
    <row r="591">
      <c r="A591" s="169" t="s">
        <v>1624</v>
      </c>
      <c r="B591" s="169" t="s">
        <v>1625</v>
      </c>
      <c r="C591" s="170" t="str">
        <f>CONCATENATE("https://dl.acm.org/doi/",'Sheridan Main'!A591)</f>
        <v>https://dl.acm.org/doi/10.1145/3774904.3792654</v>
      </c>
    </row>
    <row r="592">
      <c r="A592" s="169" t="s">
        <v>1626</v>
      </c>
      <c r="B592" s="169" t="s">
        <v>1627</v>
      </c>
      <c r="C592" s="170" t="str">
        <f>CONCATENATE("https://dl.acm.org/doi/",'Sheridan Main'!A592)</f>
        <v>https://dl.acm.org/doi/10.1145/3774904.3792655</v>
      </c>
    </row>
    <row r="593">
      <c r="A593" s="169" t="s">
        <v>1628</v>
      </c>
      <c r="B593" s="169" t="s">
        <v>1629</v>
      </c>
      <c r="C593" s="170" t="str">
        <f>CONCATENATE("https://dl.acm.org/doi/",'Sheridan Main'!A593)</f>
        <v>https://dl.acm.org/doi/10.1145/3774904.3792656</v>
      </c>
    </row>
    <row r="594">
      <c r="A594" s="169" t="s">
        <v>1630</v>
      </c>
      <c r="B594" s="169" t="s">
        <v>1631</v>
      </c>
      <c r="C594" s="170" t="str">
        <f>CONCATENATE("https://dl.acm.org/doi/",'Sheridan Main'!A594)</f>
        <v>https://dl.acm.org/doi/10.1145/3774904.3792657</v>
      </c>
    </row>
    <row r="595">
      <c r="A595" s="169" t="s">
        <v>1632</v>
      </c>
      <c r="B595" s="169" t="s">
        <v>1633</v>
      </c>
      <c r="C595" s="170" t="str">
        <f>CONCATENATE("https://dl.acm.org/doi/",'Sheridan Main'!A595)</f>
        <v>https://dl.acm.org/doi/10.1145/3774904.3792658</v>
      </c>
    </row>
    <row r="596">
      <c r="A596" s="169" t="s">
        <v>1634</v>
      </c>
      <c r="B596" s="169" t="s">
        <v>1635</v>
      </c>
      <c r="C596" s="170" t="str">
        <f>CONCATENATE("https://dl.acm.org/doi/",'Sheridan Main'!A596)</f>
        <v>https://dl.acm.org/doi/10.1145/3774904.3792659</v>
      </c>
    </row>
    <row r="597">
      <c r="A597" s="169" t="s">
        <v>1636</v>
      </c>
      <c r="B597" s="169" t="s">
        <v>1637</v>
      </c>
      <c r="C597" s="170" t="str">
        <f>CONCATENATE("https://dl.acm.org/doi/",'Sheridan Main'!A597)</f>
        <v>https://dl.acm.org/doi/10.1145/3774904.3792660</v>
      </c>
    </row>
    <row r="598">
      <c r="A598" s="169" t="s">
        <v>1638</v>
      </c>
      <c r="B598" s="169" t="s">
        <v>1639</v>
      </c>
      <c r="C598" s="170" t="str">
        <f>CONCATENATE("https://dl.acm.org/doi/",'Sheridan Main'!A598)</f>
        <v>https://dl.acm.org/doi/10.1145/3774904.3792661</v>
      </c>
    </row>
    <row r="599">
      <c r="A599" s="169" t="s">
        <v>1640</v>
      </c>
      <c r="B599" s="169" t="s">
        <v>1641</v>
      </c>
      <c r="C599" s="170" t="str">
        <f>CONCATENATE("https://dl.acm.org/doi/",'Sheridan Main'!A599)</f>
        <v>https://dl.acm.org/doi/10.1145/3774904.3792662</v>
      </c>
    </row>
    <row r="600">
      <c r="A600" s="169" t="s">
        <v>1642</v>
      </c>
      <c r="B600" s="169" t="s">
        <v>1643</v>
      </c>
      <c r="C600" s="170" t="str">
        <f>CONCATENATE("https://dl.acm.org/doi/",'Sheridan Main'!A600)</f>
        <v>https://dl.acm.org/doi/10.1145/3774904.3792663</v>
      </c>
    </row>
    <row r="601">
      <c r="A601" s="169" t="s">
        <v>1644</v>
      </c>
      <c r="B601" s="169" t="s">
        <v>1645</v>
      </c>
      <c r="C601" s="170" t="str">
        <f>CONCATENATE("https://dl.acm.org/doi/",'Sheridan Main'!A601)</f>
        <v>https://dl.acm.org/doi/10.1145/3774904.3792664</v>
      </c>
    </row>
    <row r="602">
      <c r="A602" s="169" t="s">
        <v>1646</v>
      </c>
      <c r="B602" s="169" t="s">
        <v>1647</v>
      </c>
      <c r="C602" s="170" t="str">
        <f>CONCATENATE("https://dl.acm.org/doi/",'Sheridan Main'!A602)</f>
        <v>https://dl.acm.org/doi/10.1145/3774904.3792665</v>
      </c>
    </row>
    <row r="603">
      <c r="A603" s="169" t="s">
        <v>1648</v>
      </c>
      <c r="B603" s="169" t="s">
        <v>1649</v>
      </c>
      <c r="C603" s="170" t="str">
        <f>CONCATENATE("https://dl.acm.org/doi/",'Sheridan Main'!A603)</f>
        <v>https://dl.acm.org/doi/10.1145/3774904.3792666</v>
      </c>
    </row>
    <row r="604">
      <c r="A604" s="169" t="s">
        <v>1650</v>
      </c>
      <c r="B604" s="169" t="s">
        <v>1651</v>
      </c>
      <c r="C604" s="170" t="str">
        <f>CONCATENATE("https://dl.acm.org/doi/",'Sheridan Main'!A604)</f>
        <v>https://dl.acm.org/doi/10.1145/3774904.3792667</v>
      </c>
    </row>
    <row r="605">
      <c r="A605" s="169" t="s">
        <v>1652</v>
      </c>
      <c r="B605" s="169" t="s">
        <v>1653</v>
      </c>
      <c r="C605" s="170" t="str">
        <f>CONCATENATE("https://dl.acm.org/doi/",'Sheridan Main'!A605)</f>
        <v>https://dl.acm.org/doi/10.1145/3774904.3792668</v>
      </c>
    </row>
    <row r="606">
      <c r="A606" s="169" t="s">
        <v>1654</v>
      </c>
      <c r="B606" s="169" t="s">
        <v>1655</v>
      </c>
      <c r="C606" s="170" t="str">
        <f>CONCATENATE("https://dl.acm.org/doi/",'Sheridan Main'!A606)</f>
        <v>https://dl.acm.org/doi/10.1145/3774904.3792669</v>
      </c>
    </row>
    <row r="607">
      <c r="A607" s="169" t="s">
        <v>1656</v>
      </c>
      <c r="B607" s="169" t="s">
        <v>1657</v>
      </c>
      <c r="C607" s="170" t="str">
        <f>CONCATENATE("https://dl.acm.org/doi/",'Sheridan Main'!A607)</f>
        <v>https://dl.acm.org/doi/10.1145/3774904.3792670</v>
      </c>
    </row>
    <row r="608">
      <c r="A608" s="169" t="s">
        <v>1658</v>
      </c>
      <c r="B608" s="169" t="s">
        <v>1659</v>
      </c>
      <c r="C608" s="170" t="str">
        <f>CONCATENATE("https://dl.acm.org/doi/",'Sheridan Main'!A608)</f>
        <v>https://dl.acm.org/doi/10.1145/3774904.3792671</v>
      </c>
    </row>
    <row r="609">
      <c r="A609" s="169" t="s">
        <v>1660</v>
      </c>
      <c r="B609" s="169" t="s">
        <v>1661</v>
      </c>
      <c r="C609" s="170" t="str">
        <f>CONCATENATE("https://dl.acm.org/doi/",'Sheridan Main'!A609)</f>
        <v>https://dl.acm.org/doi/10.1145/3774904.3792672</v>
      </c>
    </row>
    <row r="610">
      <c r="A610" s="169" t="s">
        <v>1662</v>
      </c>
      <c r="B610" s="169" t="s">
        <v>1663</v>
      </c>
      <c r="C610" s="170" t="str">
        <f>CONCATENATE("https://dl.acm.org/doi/",'Sheridan Main'!A610)</f>
        <v>https://dl.acm.org/doi/10.1145/3774904.3792673</v>
      </c>
    </row>
    <row r="611">
      <c r="A611" s="169" t="s">
        <v>1664</v>
      </c>
      <c r="B611" s="169" t="s">
        <v>1665</v>
      </c>
      <c r="C611" s="170" t="str">
        <f>CONCATENATE("https://dl.acm.org/doi/",'Sheridan Main'!A611)</f>
        <v>https://dl.acm.org/doi/10.1145/3774904.3792674</v>
      </c>
    </row>
    <row r="612">
      <c r="A612" s="169" t="s">
        <v>1666</v>
      </c>
      <c r="B612" s="169" t="s">
        <v>1667</v>
      </c>
      <c r="C612" s="170" t="str">
        <f>CONCATENATE("https://dl.acm.org/doi/",'Sheridan Main'!A612)</f>
        <v>https://dl.acm.org/doi/10.1145/3774904.3792675</v>
      </c>
    </row>
    <row r="613">
      <c r="A613" s="169" t="s">
        <v>1668</v>
      </c>
      <c r="B613" s="169" t="s">
        <v>1669</v>
      </c>
      <c r="C613" s="170" t="str">
        <f>CONCATENATE("https://dl.acm.org/doi/",'Sheridan Main'!A613)</f>
        <v>https://dl.acm.org/doi/10.1145/3774904.3792676</v>
      </c>
    </row>
    <row r="614">
      <c r="A614" s="169" t="s">
        <v>1670</v>
      </c>
      <c r="B614" s="169" t="s">
        <v>1671</v>
      </c>
      <c r="C614" s="170" t="str">
        <f>CONCATENATE("https://dl.acm.org/doi/",'Sheridan Main'!A614)</f>
        <v>https://dl.acm.org/doi/10.1145/3774904.3792677</v>
      </c>
    </row>
    <row r="615">
      <c r="A615" s="169" t="s">
        <v>1672</v>
      </c>
      <c r="B615" s="169" t="s">
        <v>1673</v>
      </c>
      <c r="C615" s="170" t="str">
        <f>CONCATENATE("https://dl.acm.org/doi/",'Sheridan Main'!A615)</f>
        <v>https://dl.acm.org/doi/10.1145/3774904.3792678</v>
      </c>
    </row>
    <row r="616">
      <c r="A616" s="169" t="s">
        <v>1674</v>
      </c>
      <c r="B616" s="169" t="s">
        <v>1675</v>
      </c>
      <c r="C616" s="170" t="str">
        <f>CONCATENATE("https://dl.acm.org/doi/",'Sheridan Main'!A616)</f>
        <v>https://dl.acm.org/doi/10.1145/3774904.3792679</v>
      </c>
    </row>
    <row r="617">
      <c r="A617" s="169" t="s">
        <v>1676</v>
      </c>
      <c r="B617" s="169" t="s">
        <v>1677</v>
      </c>
      <c r="C617" s="170" t="str">
        <f>CONCATENATE("https://dl.acm.org/doi/",'Sheridan Main'!A617)</f>
        <v>https://dl.acm.org/doi/10.1145/3774904.3792680</v>
      </c>
    </row>
    <row r="618">
      <c r="A618" s="169" t="s">
        <v>1678</v>
      </c>
      <c r="B618" s="169" t="s">
        <v>1679</v>
      </c>
      <c r="C618" s="170" t="str">
        <f>CONCATENATE("https://dl.acm.org/doi/",'Sheridan Main'!A618)</f>
        <v>https://dl.acm.org/doi/10.1145/3774904.3792681</v>
      </c>
    </row>
    <row r="619">
      <c r="A619" s="169" t="s">
        <v>1680</v>
      </c>
      <c r="B619" s="169" t="s">
        <v>1681</v>
      </c>
      <c r="C619" s="170" t="str">
        <f>CONCATENATE("https://dl.acm.org/doi/",'Sheridan Main'!A619)</f>
        <v>https://dl.acm.org/doi/10.1145/3774904.3792682</v>
      </c>
    </row>
    <row r="620">
      <c r="A620" s="169" t="s">
        <v>1682</v>
      </c>
      <c r="B620" s="169" t="s">
        <v>1683</v>
      </c>
      <c r="C620" s="170" t="str">
        <f>CONCATENATE("https://dl.acm.org/doi/",'Sheridan Main'!A620)</f>
        <v>https://dl.acm.org/doi/10.1145/3774904.3792683</v>
      </c>
    </row>
    <row r="621">
      <c r="A621" s="169" t="s">
        <v>1684</v>
      </c>
      <c r="B621" s="169" t="s">
        <v>1685</v>
      </c>
      <c r="C621" s="170" t="str">
        <f>CONCATENATE("https://dl.acm.org/doi/",'Sheridan Main'!A621)</f>
        <v>https://dl.acm.org/doi/10.1145/3774904.3792684</v>
      </c>
    </row>
    <row r="622">
      <c r="A622" s="169" t="s">
        <v>1686</v>
      </c>
      <c r="B622" s="169" t="s">
        <v>1687</v>
      </c>
      <c r="C622" s="170" t="str">
        <f>CONCATENATE("https://dl.acm.org/doi/",'Sheridan Main'!A622)</f>
        <v>https://dl.acm.org/doi/10.1145/3774904.3792685</v>
      </c>
    </row>
    <row r="623">
      <c r="A623" s="169" t="s">
        <v>1688</v>
      </c>
      <c r="B623" s="169" t="s">
        <v>1689</v>
      </c>
      <c r="C623" s="170" t="str">
        <f>CONCATENATE("https://dl.acm.org/doi/",'Sheridan Main'!A623)</f>
        <v>https://dl.acm.org/doi/10.1145/3774904.3792686</v>
      </c>
    </row>
    <row r="624">
      <c r="A624" s="169" t="s">
        <v>1690</v>
      </c>
      <c r="B624" s="169" t="s">
        <v>1691</v>
      </c>
      <c r="C624" s="170" t="str">
        <f>CONCATENATE("https://dl.acm.org/doi/",'Sheridan Main'!A624)</f>
        <v>https://dl.acm.org/doi/10.1145/3774904.3792687</v>
      </c>
    </row>
    <row r="625">
      <c r="A625" s="169" t="s">
        <v>1692</v>
      </c>
      <c r="B625" s="169" t="s">
        <v>1693</v>
      </c>
      <c r="C625" s="170" t="str">
        <f>CONCATENATE("https://dl.acm.org/doi/",'Sheridan Main'!A625)</f>
        <v>https://dl.acm.org/doi/10.1145/3774904.3792688</v>
      </c>
    </row>
    <row r="626">
      <c r="A626" s="169" t="s">
        <v>1694</v>
      </c>
      <c r="B626" s="169" t="s">
        <v>1695</v>
      </c>
      <c r="C626" s="170" t="str">
        <f>CONCATENATE("https://dl.acm.org/doi/",'Sheridan Main'!A626)</f>
        <v>https://dl.acm.org/doi/10.1145/3774904.3792689</v>
      </c>
    </row>
    <row r="627">
      <c r="A627" s="169" t="s">
        <v>1696</v>
      </c>
      <c r="B627" s="169" t="s">
        <v>1697</v>
      </c>
      <c r="C627" s="170" t="str">
        <f>CONCATENATE("https://dl.acm.org/doi/",'Sheridan Main'!A627)</f>
        <v>https://dl.acm.org/doi/10.1145/3774904.3792690</v>
      </c>
    </row>
    <row r="628">
      <c r="A628" s="169" t="s">
        <v>1698</v>
      </c>
      <c r="B628" s="169" t="s">
        <v>1699</v>
      </c>
      <c r="C628" s="170" t="str">
        <f>CONCATENATE("https://dl.acm.org/doi/",'Sheridan Main'!A628)</f>
        <v>https://dl.acm.org/doi/10.1145/3774904.3792691</v>
      </c>
    </row>
    <row r="629">
      <c r="A629" s="169" t="s">
        <v>1700</v>
      </c>
      <c r="B629" s="169" t="s">
        <v>1701</v>
      </c>
      <c r="C629" s="170" t="str">
        <f>CONCATENATE("https://dl.acm.org/doi/",'Sheridan Main'!A629)</f>
        <v>https://dl.acm.org/doi/10.1145/3774904.3792692</v>
      </c>
    </row>
    <row r="630">
      <c r="A630" s="169" t="s">
        <v>1702</v>
      </c>
      <c r="B630" s="169" t="s">
        <v>1703</v>
      </c>
      <c r="C630" s="170" t="str">
        <f>CONCATENATE("https://dl.acm.org/doi/",'Sheridan Main'!A630)</f>
        <v>https://dl.acm.org/doi/10.1145/3774904.3792693</v>
      </c>
    </row>
    <row r="631">
      <c r="A631" s="169" t="s">
        <v>1704</v>
      </c>
      <c r="B631" s="169" t="s">
        <v>1705</v>
      </c>
      <c r="C631" s="170" t="str">
        <f>CONCATENATE("https://dl.acm.org/doi/",'Sheridan Main'!A631)</f>
        <v>https://dl.acm.org/doi/10.1145/3774904.3792694</v>
      </c>
    </row>
    <row r="632">
      <c r="A632" s="169" t="s">
        <v>1706</v>
      </c>
      <c r="B632" s="169" t="s">
        <v>1707</v>
      </c>
      <c r="C632" s="170" t="str">
        <f>CONCATENATE("https://dl.acm.org/doi/",'Sheridan Main'!A632)</f>
        <v>https://dl.acm.org/doi/10.1145/3774904.3792695</v>
      </c>
    </row>
    <row r="633">
      <c r="A633" s="169" t="s">
        <v>1708</v>
      </c>
      <c r="B633" s="169" t="s">
        <v>1709</v>
      </c>
      <c r="C633" s="170" t="str">
        <f>CONCATENATE("https://dl.acm.org/doi/",'Sheridan Main'!A633)</f>
        <v>https://dl.acm.org/doi/10.1145/3774904.3792696</v>
      </c>
    </row>
    <row r="634">
      <c r="A634" s="169" t="s">
        <v>1710</v>
      </c>
      <c r="B634" s="169" t="s">
        <v>1711</v>
      </c>
      <c r="C634" s="170" t="str">
        <f>CONCATENATE("https://dl.acm.org/doi/",'Sheridan Main'!A634)</f>
        <v>https://dl.acm.org/doi/10.1145/3774904.3792697</v>
      </c>
    </row>
    <row r="635">
      <c r="A635" s="169" t="s">
        <v>1712</v>
      </c>
      <c r="B635" s="169" t="s">
        <v>1713</v>
      </c>
      <c r="C635" s="170" t="str">
        <f>CONCATENATE("https://dl.acm.org/doi/",'Sheridan Main'!A635)</f>
        <v>https://dl.acm.org/doi/10.1145/3774904.3792698</v>
      </c>
    </row>
    <row r="636">
      <c r="A636" s="169" t="s">
        <v>1714</v>
      </c>
      <c r="B636" s="169" t="s">
        <v>1715</v>
      </c>
      <c r="C636" s="170" t="str">
        <f>CONCATENATE("https://dl.acm.org/doi/",'Sheridan Main'!A636)</f>
        <v>https://dl.acm.org/doi/10.1145/3774904.3792699</v>
      </c>
    </row>
    <row r="637">
      <c r="A637" s="169" t="s">
        <v>1716</v>
      </c>
      <c r="B637" s="169" t="s">
        <v>1717</v>
      </c>
      <c r="C637" s="170" t="str">
        <f>CONCATENATE("https://dl.acm.org/doi/",'Sheridan Main'!A637)</f>
        <v>https://dl.acm.org/doi/10.1145/3774904.3792700</v>
      </c>
    </row>
    <row r="638">
      <c r="A638" s="169" t="s">
        <v>1718</v>
      </c>
      <c r="B638" s="169" t="s">
        <v>1719</v>
      </c>
      <c r="C638" s="170" t="str">
        <f>CONCATENATE("https://dl.acm.org/doi/",'Sheridan Main'!A638)</f>
        <v>https://dl.acm.org/doi/10.1145/3774904.3792701</v>
      </c>
    </row>
    <row r="639">
      <c r="A639" s="169" t="s">
        <v>1720</v>
      </c>
      <c r="B639" s="169" t="s">
        <v>1721</v>
      </c>
      <c r="C639" s="170" t="str">
        <f>CONCATENATE("https://dl.acm.org/doi/",'Sheridan Main'!A639)</f>
        <v>https://dl.acm.org/doi/10.1145/3774904.3792702</v>
      </c>
    </row>
    <row r="640">
      <c r="A640" s="169" t="s">
        <v>1722</v>
      </c>
      <c r="B640" s="169" t="s">
        <v>1723</v>
      </c>
      <c r="C640" s="170" t="str">
        <f>CONCATENATE("https://dl.acm.org/doi/",'Sheridan Main'!A640)</f>
        <v>https://dl.acm.org/doi/10.1145/3774904.3792703</v>
      </c>
    </row>
    <row r="641">
      <c r="A641" s="169" t="s">
        <v>1724</v>
      </c>
      <c r="B641" s="169" t="s">
        <v>1725</v>
      </c>
      <c r="C641" s="170" t="str">
        <f>CONCATENATE("https://dl.acm.org/doi/",'Sheridan Main'!A641)</f>
        <v>https://dl.acm.org/doi/10.1145/3774904.3792704</v>
      </c>
    </row>
    <row r="642">
      <c r="A642" s="169" t="s">
        <v>1726</v>
      </c>
      <c r="B642" s="169" t="s">
        <v>1727</v>
      </c>
      <c r="C642" s="170" t="str">
        <f>CONCATENATE("https://dl.acm.org/doi/",'Sheridan Main'!A642)</f>
        <v>https://dl.acm.org/doi/10.1145/3774904.3792705</v>
      </c>
    </row>
    <row r="643">
      <c r="A643" s="169" t="s">
        <v>1728</v>
      </c>
      <c r="B643" s="169" t="s">
        <v>1729</v>
      </c>
      <c r="C643" s="170" t="str">
        <f>CONCATENATE("https://dl.acm.org/doi/",'Sheridan Main'!A643)</f>
        <v>https://dl.acm.org/doi/10.1145/3774904.3792706</v>
      </c>
    </row>
    <row r="644">
      <c r="A644" s="169" t="s">
        <v>1730</v>
      </c>
      <c r="B644" s="169" t="s">
        <v>1731</v>
      </c>
      <c r="C644" s="170" t="str">
        <f>CONCATENATE("https://dl.acm.org/doi/",'Sheridan Main'!A644)</f>
        <v>https://dl.acm.org/doi/10.1145/3774904.3792707</v>
      </c>
    </row>
    <row r="645">
      <c r="A645" s="169" t="s">
        <v>1732</v>
      </c>
      <c r="B645" s="169" t="s">
        <v>1733</v>
      </c>
      <c r="C645" s="170" t="str">
        <f>CONCATENATE("https://dl.acm.org/doi/",'Sheridan Main'!A645)</f>
        <v>https://dl.acm.org/doi/10.1145/3774904.3792708</v>
      </c>
    </row>
    <row r="646">
      <c r="A646" s="169" t="s">
        <v>1734</v>
      </c>
      <c r="B646" s="169" t="s">
        <v>1735</v>
      </c>
      <c r="C646" s="170" t="str">
        <f>CONCATENATE("https://dl.acm.org/doi/",'Sheridan Main'!A646)</f>
        <v>https://dl.acm.org/doi/10.1145/3774904.3792709</v>
      </c>
    </row>
    <row r="647">
      <c r="A647" s="169" t="s">
        <v>1736</v>
      </c>
      <c r="B647" s="169" t="s">
        <v>1737</v>
      </c>
      <c r="C647" s="170" t="str">
        <f>CONCATENATE("https://dl.acm.org/doi/",'Sheridan Main'!A647)</f>
        <v>https://dl.acm.org/doi/10.1145/3774904.3792710</v>
      </c>
    </row>
    <row r="648">
      <c r="A648" s="169" t="s">
        <v>1738</v>
      </c>
      <c r="B648" s="169" t="s">
        <v>1739</v>
      </c>
      <c r="C648" s="170" t="str">
        <f>CONCATENATE("https://dl.acm.org/doi/",'Sheridan Main'!A648)</f>
        <v>https://dl.acm.org/doi/10.1145/3774904.3792711</v>
      </c>
    </row>
    <row r="649">
      <c r="A649" s="169" t="s">
        <v>1740</v>
      </c>
      <c r="B649" s="169" t="s">
        <v>1741</v>
      </c>
      <c r="C649" s="170" t="str">
        <f>CONCATENATE("https://dl.acm.org/doi/",'Sheridan Main'!A649)</f>
        <v>https://dl.acm.org/doi/10.1145/3774904.3792712</v>
      </c>
    </row>
    <row r="650">
      <c r="A650" s="169" t="s">
        <v>1742</v>
      </c>
      <c r="B650" s="169" t="s">
        <v>1743</v>
      </c>
      <c r="C650" s="170" t="str">
        <f>CONCATENATE("https://dl.acm.org/doi/",'Sheridan Main'!A650)</f>
        <v>https://dl.acm.org/doi/10.1145/3774904.3792713</v>
      </c>
    </row>
    <row r="651">
      <c r="A651" s="169" t="s">
        <v>1744</v>
      </c>
      <c r="B651" s="169" t="s">
        <v>1745</v>
      </c>
      <c r="C651" s="170" t="str">
        <f>CONCATENATE("https://dl.acm.org/doi/",'Sheridan Main'!A651)</f>
        <v>https://dl.acm.org/doi/10.1145/3774904.3792714</v>
      </c>
    </row>
    <row r="652">
      <c r="A652" s="169" t="s">
        <v>1746</v>
      </c>
      <c r="B652" s="169" t="s">
        <v>1747</v>
      </c>
      <c r="C652" s="170" t="str">
        <f>CONCATENATE("https://dl.acm.org/doi/",'Sheridan Main'!A652)</f>
        <v>https://dl.acm.org/doi/10.1145/3774904.3792715</v>
      </c>
    </row>
    <row r="653">
      <c r="A653" s="169" t="s">
        <v>1748</v>
      </c>
      <c r="B653" s="169" t="s">
        <v>1749</v>
      </c>
      <c r="C653" s="170" t="str">
        <f>CONCATENATE("https://dl.acm.org/doi/",'Sheridan Main'!A653)</f>
        <v>https://dl.acm.org/doi/10.1145/3774904.3792716</v>
      </c>
    </row>
    <row r="654">
      <c r="A654" s="169" t="s">
        <v>1750</v>
      </c>
      <c r="B654" s="169" t="s">
        <v>1751</v>
      </c>
      <c r="C654" s="170" t="str">
        <f>CONCATENATE("https://dl.acm.org/doi/",'Sheridan Main'!A654)</f>
        <v>https://dl.acm.org/doi/10.1145/3774904.3792717</v>
      </c>
    </row>
    <row r="655">
      <c r="A655" s="169" t="s">
        <v>1752</v>
      </c>
      <c r="B655" s="169" t="s">
        <v>1753</v>
      </c>
      <c r="C655" s="170" t="str">
        <f>CONCATENATE("https://dl.acm.org/doi/",'Sheridan Main'!A655)</f>
        <v>https://dl.acm.org/doi/10.1145/3774904.3792718</v>
      </c>
    </row>
    <row r="656">
      <c r="A656" s="169" t="s">
        <v>1754</v>
      </c>
      <c r="B656" s="169" t="s">
        <v>1755</v>
      </c>
      <c r="C656" s="170" t="str">
        <f>CONCATENATE("https://dl.acm.org/doi/",'Sheridan Main'!A656)</f>
        <v>https://dl.acm.org/doi/10.1145/3774904.3792719</v>
      </c>
    </row>
    <row r="657">
      <c r="A657" s="169" t="s">
        <v>1756</v>
      </c>
      <c r="B657" s="169" t="s">
        <v>1757</v>
      </c>
      <c r="C657" s="170" t="str">
        <f>CONCATENATE("https://dl.acm.org/doi/",'Sheridan Main'!A657)</f>
        <v>https://dl.acm.org/doi/10.1145/3774904.3792720</v>
      </c>
    </row>
    <row r="658">
      <c r="A658" s="169" t="s">
        <v>1758</v>
      </c>
      <c r="B658" s="169" t="s">
        <v>1759</v>
      </c>
      <c r="C658" s="170" t="str">
        <f>CONCATENATE("https://dl.acm.org/doi/",'Sheridan Main'!A658)</f>
        <v>https://dl.acm.org/doi/10.1145/3774904.3792721</v>
      </c>
    </row>
    <row r="659">
      <c r="A659" s="169" t="s">
        <v>1760</v>
      </c>
      <c r="B659" s="169" t="s">
        <v>1761</v>
      </c>
      <c r="C659" s="170" t="str">
        <f>CONCATENATE("https://dl.acm.org/doi/",'Sheridan Main'!A659)</f>
        <v>https://dl.acm.org/doi/10.1145/3774904.3792722</v>
      </c>
    </row>
    <row r="660">
      <c r="A660" s="169" t="s">
        <v>1762</v>
      </c>
      <c r="B660" s="169" t="s">
        <v>1763</v>
      </c>
      <c r="C660" s="170" t="str">
        <f>CONCATENATE("https://dl.acm.org/doi/",'Sheridan Main'!A660)</f>
        <v>https://dl.acm.org/doi/10.1145/3774904.3792723</v>
      </c>
    </row>
    <row r="661">
      <c r="A661" s="169" t="s">
        <v>1764</v>
      </c>
      <c r="B661" s="169" t="s">
        <v>1765</v>
      </c>
      <c r="C661" s="170" t="str">
        <f>CONCATENATE("https://dl.acm.org/doi/",'Sheridan Main'!A661)</f>
        <v>https://dl.acm.org/doi/10.1145/3774904.3792724</v>
      </c>
    </row>
    <row r="662">
      <c r="A662" s="169" t="s">
        <v>1766</v>
      </c>
      <c r="B662" s="169" t="s">
        <v>1767</v>
      </c>
      <c r="C662" s="170" t="str">
        <f>CONCATENATE("https://dl.acm.org/doi/",'Sheridan Main'!A662)</f>
        <v>https://dl.acm.org/doi/10.1145/3774904.3792725</v>
      </c>
    </row>
    <row r="663">
      <c r="A663" s="169" t="s">
        <v>1768</v>
      </c>
      <c r="B663" s="169" t="s">
        <v>1769</v>
      </c>
      <c r="C663" s="170" t="str">
        <f>CONCATENATE("https://dl.acm.org/doi/",'Sheridan Main'!A663)</f>
        <v>https://dl.acm.org/doi/10.1145/3774904.3792726</v>
      </c>
    </row>
    <row r="664">
      <c r="A664" s="169" t="s">
        <v>1770</v>
      </c>
      <c r="B664" s="169" t="s">
        <v>1771</v>
      </c>
      <c r="C664" s="170" t="str">
        <f>CONCATENATE("https://dl.acm.org/doi/",'Sheridan Main'!A664)</f>
        <v>https://dl.acm.org/doi/10.1145/3774904.3792727</v>
      </c>
    </row>
    <row r="665">
      <c r="A665" s="169" t="s">
        <v>1772</v>
      </c>
      <c r="B665" s="169" t="s">
        <v>1773</v>
      </c>
      <c r="C665" s="170" t="str">
        <f>CONCATENATE("https://dl.acm.org/doi/",'Sheridan Main'!A665)</f>
        <v>https://dl.acm.org/doi/10.1145/3774904.3792728</v>
      </c>
    </row>
    <row r="666">
      <c r="A666" s="169" t="s">
        <v>1774</v>
      </c>
      <c r="B666" s="169" t="s">
        <v>1775</v>
      </c>
      <c r="C666" s="170" t="str">
        <f>CONCATENATE("https://dl.acm.org/doi/",'Sheridan Main'!A666)</f>
        <v>https://dl.acm.org/doi/10.1145/3774904.3792729</v>
      </c>
    </row>
    <row r="667">
      <c r="A667" s="169" t="s">
        <v>1776</v>
      </c>
      <c r="B667" s="169" t="s">
        <v>1777</v>
      </c>
      <c r="C667" s="170" t="str">
        <f>CONCATENATE("https://dl.acm.org/doi/",'Sheridan Main'!A667)</f>
        <v>https://dl.acm.org/doi/10.1145/3774904.3792730</v>
      </c>
    </row>
    <row r="668">
      <c r="A668" s="169" t="s">
        <v>1778</v>
      </c>
      <c r="B668" s="169" t="s">
        <v>1779</v>
      </c>
      <c r="C668" s="170" t="str">
        <f>CONCATENATE("https://dl.acm.org/doi/",'Sheridan Main'!A668)</f>
        <v>https://dl.acm.org/doi/10.1145/3774904.3792731</v>
      </c>
    </row>
    <row r="669">
      <c r="A669" s="169" t="s">
        <v>1780</v>
      </c>
      <c r="B669" s="169" t="s">
        <v>1781</v>
      </c>
      <c r="C669" s="170" t="str">
        <f>CONCATENATE("https://dl.acm.org/doi/",'Sheridan Main'!A669)</f>
        <v>https://dl.acm.org/doi/10.1145/3774904.3792732</v>
      </c>
    </row>
    <row r="670">
      <c r="A670" s="169" t="s">
        <v>1782</v>
      </c>
      <c r="B670" s="169" t="s">
        <v>1783</v>
      </c>
      <c r="C670" s="170" t="str">
        <f>CONCATENATE("https://dl.acm.org/doi/",'Sheridan Main'!A670)</f>
        <v>https://dl.acm.org/doi/10.1145/3774904.3792733</v>
      </c>
    </row>
    <row r="671">
      <c r="A671" s="169" t="s">
        <v>1784</v>
      </c>
      <c r="B671" s="169" t="s">
        <v>1785</v>
      </c>
      <c r="C671" s="170" t="str">
        <f>CONCATENATE("https://dl.acm.org/doi/",'Sheridan Main'!A671)</f>
        <v>https://dl.acm.org/doi/10.1145/3774904.3792734</v>
      </c>
    </row>
    <row r="672">
      <c r="A672" s="169" t="s">
        <v>1786</v>
      </c>
      <c r="B672" s="169" t="s">
        <v>1787</v>
      </c>
      <c r="C672" s="170" t="str">
        <f>CONCATENATE("https://dl.acm.org/doi/",'Sheridan Main'!A672)</f>
        <v>https://dl.acm.org/doi/10.1145/3774904.3792735</v>
      </c>
    </row>
    <row r="673">
      <c r="A673" s="169" t="s">
        <v>1788</v>
      </c>
      <c r="B673" s="169" t="s">
        <v>1789</v>
      </c>
      <c r="C673" s="170" t="str">
        <f>CONCATENATE("https://dl.acm.org/doi/",'Sheridan Main'!A673)</f>
        <v>https://dl.acm.org/doi/10.1145/3774904.3792736</v>
      </c>
    </row>
    <row r="674">
      <c r="A674" s="169" t="s">
        <v>1790</v>
      </c>
      <c r="B674" s="169" t="s">
        <v>1791</v>
      </c>
      <c r="C674" s="170" t="str">
        <f>CONCATENATE("https://dl.acm.org/doi/",'Sheridan Main'!A674)</f>
        <v>https://dl.acm.org/doi/10.1145/3774904.3792737</v>
      </c>
    </row>
    <row r="675">
      <c r="A675" s="169" t="s">
        <v>1792</v>
      </c>
      <c r="B675" s="169" t="s">
        <v>1793</v>
      </c>
      <c r="C675" s="170" t="str">
        <f>CONCATENATE("https://dl.acm.org/doi/",'Sheridan Main'!A675)</f>
        <v>https://dl.acm.org/doi/10.1145/3774904.3792738</v>
      </c>
    </row>
    <row r="676">
      <c r="A676" s="169" t="s">
        <v>1794</v>
      </c>
      <c r="B676" s="169" t="s">
        <v>1795</v>
      </c>
      <c r="C676" s="170" t="str">
        <f>CONCATENATE("https://dl.acm.org/doi/",'Sheridan Main'!A676)</f>
        <v>https://dl.acm.org/doi/10.1145/3774904.3792739</v>
      </c>
    </row>
    <row r="677">
      <c r="A677" s="169" t="s">
        <v>1796</v>
      </c>
      <c r="B677" s="169" t="s">
        <v>1797</v>
      </c>
      <c r="C677" s="170" t="str">
        <f>CONCATENATE("https://dl.acm.org/doi/",'Sheridan Main'!A677)</f>
        <v>https://dl.acm.org/doi/10.1145/3774904.3792740</v>
      </c>
    </row>
    <row r="678">
      <c r="A678" s="169" t="s">
        <v>1798</v>
      </c>
      <c r="B678" s="169" t="s">
        <v>1799</v>
      </c>
      <c r="C678" s="170" t="str">
        <f>CONCATENATE("https://dl.acm.org/doi/",'Sheridan Main'!A678)</f>
        <v>https://dl.acm.org/doi/10.1145/3774904.3792741</v>
      </c>
    </row>
    <row r="679">
      <c r="A679" s="169" t="s">
        <v>1800</v>
      </c>
      <c r="B679" s="169" t="s">
        <v>1801</v>
      </c>
      <c r="C679" s="170" t="str">
        <f>CONCATENATE("https://dl.acm.org/doi/",'Sheridan Main'!A679)</f>
        <v>https://dl.acm.org/doi/10.1145/3774904.3792742</v>
      </c>
    </row>
    <row r="680">
      <c r="A680" s="169" t="s">
        <v>1802</v>
      </c>
      <c r="B680" s="169" t="s">
        <v>1803</v>
      </c>
      <c r="C680" s="170" t="str">
        <f>CONCATENATE("https://dl.acm.org/doi/",'Sheridan Main'!A680)</f>
        <v>https://dl.acm.org/doi/10.1145/3774904.3792743</v>
      </c>
    </row>
    <row r="681">
      <c r="A681" s="169" t="s">
        <v>1804</v>
      </c>
      <c r="B681" s="169" t="s">
        <v>1805</v>
      </c>
      <c r="C681" s="170" t="str">
        <f>CONCATENATE("https://dl.acm.org/doi/",'Sheridan Main'!A681)</f>
        <v>https://dl.acm.org/doi/10.1145/3774904.3792744</v>
      </c>
    </row>
    <row r="682">
      <c r="A682" s="169" t="s">
        <v>1806</v>
      </c>
      <c r="B682" s="169" t="s">
        <v>1807</v>
      </c>
      <c r="C682" s="170" t="str">
        <f>CONCATENATE("https://dl.acm.org/doi/",'Sheridan Main'!A682)</f>
        <v>https://dl.acm.org/doi/10.1145/3774904.3792745</v>
      </c>
    </row>
    <row r="683">
      <c r="A683" s="169" t="s">
        <v>1808</v>
      </c>
      <c r="B683" s="169" t="s">
        <v>1809</v>
      </c>
      <c r="C683" s="170" t="str">
        <f>CONCATENATE("https://dl.acm.org/doi/",'Sheridan Main'!A683)</f>
        <v>https://dl.acm.org/doi/10.1145/3774904.3792788</v>
      </c>
    </row>
    <row r="684">
      <c r="A684" s="169" t="s">
        <v>1810</v>
      </c>
      <c r="B684" s="169" t="s">
        <v>1811</v>
      </c>
      <c r="C684" s="170" t="str">
        <f>CONCATENATE("https://dl.acm.org/doi/",'Sheridan Main'!A684)</f>
        <v>https://dl.acm.org/doi/10.1145/3774904.3792789</v>
      </c>
    </row>
    <row r="685">
      <c r="A685" s="169" t="s">
        <v>1812</v>
      </c>
      <c r="B685" s="169" t="s">
        <v>1813</v>
      </c>
      <c r="C685" s="170" t="str">
        <f>CONCATENATE("https://dl.acm.org/doi/",'Sheridan Main'!A685)</f>
        <v>https://dl.acm.org/doi/10.1145/3774904.3792790</v>
      </c>
    </row>
    <row r="686">
      <c r="A686" s="169" t="s">
        <v>1814</v>
      </c>
      <c r="B686" s="169" t="s">
        <v>1815</v>
      </c>
      <c r="C686" s="170" t="str">
        <f>CONCATENATE("https://dl.acm.org/doi/",'Sheridan Main'!A686)</f>
        <v>https://dl.acm.org/doi/10.1145/3774904.3792791</v>
      </c>
    </row>
    <row r="687">
      <c r="A687" s="169" t="s">
        <v>1816</v>
      </c>
      <c r="B687" s="169" t="s">
        <v>1817</v>
      </c>
      <c r="C687" s="170" t="str">
        <f>CONCATENATE("https://dl.acm.org/doi/",'Sheridan Main'!A687)</f>
        <v>https://dl.acm.org/doi/10.1145/3774904.3792792</v>
      </c>
    </row>
    <row r="688">
      <c r="A688" s="169" t="s">
        <v>1818</v>
      </c>
      <c r="B688" s="169" t="s">
        <v>1819</v>
      </c>
      <c r="C688" s="170" t="str">
        <f>CONCATENATE("https://dl.acm.org/doi/",'Sheridan Main'!A688)</f>
        <v>https://dl.acm.org/doi/10.1145/3774904.3792793</v>
      </c>
    </row>
    <row r="689">
      <c r="A689" s="169" t="s">
        <v>1820</v>
      </c>
      <c r="B689" s="169" t="s">
        <v>1821</v>
      </c>
      <c r="C689" s="170" t="str">
        <f>CONCATENATE("https://dl.acm.org/doi/",'Sheridan Main'!A689)</f>
        <v>https://dl.acm.org/doi/10.1145/3774904.3792794</v>
      </c>
    </row>
    <row r="690">
      <c r="A690" s="169" t="s">
        <v>1822</v>
      </c>
      <c r="B690" s="169" t="s">
        <v>1823</v>
      </c>
      <c r="C690" s="170" t="str">
        <f>CONCATENATE("https://dl.acm.org/doi/",'Sheridan Main'!A690)</f>
        <v>https://dl.acm.org/doi/10.1145/3774904.3792795</v>
      </c>
    </row>
    <row r="691">
      <c r="A691" s="169" t="s">
        <v>1824</v>
      </c>
      <c r="B691" s="169" t="s">
        <v>1825</v>
      </c>
      <c r="C691" s="170" t="str">
        <f>CONCATENATE("https://dl.acm.org/doi/",'Sheridan Main'!A691)</f>
        <v>https://dl.acm.org/doi/10.1145/3774904.3792796</v>
      </c>
    </row>
    <row r="692">
      <c r="A692" s="169" t="s">
        <v>1826</v>
      </c>
      <c r="B692" s="169" t="s">
        <v>1827</v>
      </c>
      <c r="C692" s="170" t="str">
        <f>CONCATENATE("https://dl.acm.org/doi/",'Sheridan Main'!A692)</f>
        <v>https://dl.acm.org/doi/10.1145/3774904.3792797</v>
      </c>
    </row>
    <row r="693">
      <c r="A693" s="169" t="s">
        <v>1828</v>
      </c>
      <c r="B693" s="169" t="s">
        <v>1829</v>
      </c>
      <c r="C693" s="170" t="str">
        <f>CONCATENATE("https://dl.acm.org/doi/",'Sheridan Main'!A693)</f>
        <v>https://dl.acm.org/doi/10.1145/3774904.3792798</v>
      </c>
    </row>
    <row r="694">
      <c r="A694" s="169" t="s">
        <v>1830</v>
      </c>
      <c r="B694" s="169" t="s">
        <v>1831</v>
      </c>
      <c r="C694" s="170" t="str">
        <f>CONCATENATE("https://dl.acm.org/doi/",'Sheridan Main'!A694)</f>
        <v>https://dl.acm.org/doi/10.1145/3774904.3792799</v>
      </c>
    </row>
    <row r="695">
      <c r="A695" s="169" t="s">
        <v>1832</v>
      </c>
      <c r="B695" s="169" t="s">
        <v>1833</v>
      </c>
      <c r="C695" s="170" t="str">
        <f>CONCATENATE("https://dl.acm.org/doi/",'Sheridan Main'!A695)</f>
        <v>https://dl.acm.org/doi/10.1145/3774904.3792800</v>
      </c>
    </row>
    <row r="696">
      <c r="A696" s="169" t="s">
        <v>1834</v>
      </c>
      <c r="B696" s="169" t="s">
        <v>1835</v>
      </c>
      <c r="C696" s="170" t="str">
        <f>CONCATENATE("https://dl.acm.org/doi/",'Sheridan Main'!A696)</f>
        <v>https://dl.acm.org/doi/10.1145/3774904.3792801</v>
      </c>
    </row>
    <row r="697">
      <c r="A697" s="169" t="s">
        <v>1836</v>
      </c>
      <c r="B697" s="169" t="s">
        <v>1837</v>
      </c>
      <c r="C697" s="170" t="str">
        <f>CONCATENATE("https://dl.acm.org/doi/",'Sheridan Main'!A697)</f>
        <v>https://dl.acm.org/doi/10.1145/3774904.3792802</v>
      </c>
    </row>
    <row r="698">
      <c r="A698" s="169" t="s">
        <v>1838</v>
      </c>
      <c r="B698" s="169" t="s">
        <v>1839</v>
      </c>
      <c r="C698" s="170" t="str">
        <f>CONCATENATE("https://dl.acm.org/doi/",'Sheridan Main'!A698)</f>
        <v>https://dl.acm.org/doi/10.1145/3774904.3792803</v>
      </c>
    </row>
    <row r="699">
      <c r="A699" s="169" t="s">
        <v>1840</v>
      </c>
      <c r="B699" s="169" t="s">
        <v>1841</v>
      </c>
      <c r="C699" s="170" t="str">
        <f>CONCATENATE("https://dl.acm.org/doi/",'Sheridan Main'!A699)</f>
        <v>https://dl.acm.org/doi/10.1145/3774904.3792804</v>
      </c>
    </row>
    <row r="700">
      <c r="A700" s="169" t="s">
        <v>1842</v>
      </c>
      <c r="B700" s="169" t="s">
        <v>1843</v>
      </c>
      <c r="C700" s="170" t="str">
        <f>CONCATENATE("https://dl.acm.org/doi/",'Sheridan Main'!A700)</f>
        <v>https://dl.acm.org/doi/10.1145/3774904.3792805</v>
      </c>
    </row>
    <row r="701">
      <c r="A701" s="169" t="s">
        <v>1844</v>
      </c>
      <c r="B701" s="169" t="s">
        <v>1845</v>
      </c>
      <c r="C701" s="170" t="str">
        <f>CONCATENATE("https://dl.acm.org/doi/",'Sheridan Main'!A701)</f>
        <v>https://dl.acm.org/doi/10.1145/3774904.3792806</v>
      </c>
    </row>
    <row r="702">
      <c r="A702" s="169" t="s">
        <v>1846</v>
      </c>
      <c r="B702" s="169" t="s">
        <v>1847</v>
      </c>
      <c r="C702" s="170" t="str">
        <f>CONCATENATE("https://dl.acm.org/doi/",'Sheridan Main'!A702)</f>
        <v>https://dl.acm.org/doi/10.1145/3774904.3792807</v>
      </c>
    </row>
    <row r="703">
      <c r="A703" s="169" t="s">
        <v>1848</v>
      </c>
      <c r="B703" s="169" t="s">
        <v>1849</v>
      </c>
      <c r="C703" s="170" t="str">
        <f>CONCATENATE("https://dl.acm.org/doi/",'Sheridan Main'!A703)</f>
        <v>https://dl.acm.org/doi/10.1145/3774904.3792808</v>
      </c>
    </row>
    <row r="704">
      <c r="A704" s="169" t="s">
        <v>1850</v>
      </c>
      <c r="B704" s="169" t="s">
        <v>1851</v>
      </c>
      <c r="C704" s="170" t="str">
        <f>CONCATENATE("https://dl.acm.org/doi/",'Sheridan Main'!A704)</f>
        <v>https://dl.acm.org/doi/10.1145/3774904.3792809</v>
      </c>
    </row>
    <row r="705">
      <c r="A705" s="169" t="s">
        <v>1852</v>
      </c>
      <c r="B705" s="169" t="s">
        <v>1853</v>
      </c>
      <c r="C705" s="170" t="str">
        <f>CONCATENATE("https://dl.acm.org/doi/",'Sheridan Main'!A705)</f>
        <v>https://dl.acm.org/doi/10.1145/3774904.3792810</v>
      </c>
    </row>
    <row r="706">
      <c r="A706" s="169" t="s">
        <v>1854</v>
      </c>
      <c r="B706" s="169" t="s">
        <v>1855</v>
      </c>
      <c r="C706" s="170" t="str">
        <f>CONCATENATE("https://dl.acm.org/doi/",'Sheridan Main'!A706)</f>
        <v>https://dl.acm.org/doi/10.1145/3774904.3792811</v>
      </c>
    </row>
    <row r="707">
      <c r="A707" s="169" t="s">
        <v>1856</v>
      </c>
      <c r="B707" s="169" t="s">
        <v>1857</v>
      </c>
      <c r="C707" s="170" t="str">
        <f>CONCATENATE("https://dl.acm.org/doi/",'Sheridan Main'!A707)</f>
        <v>https://dl.acm.org/doi/10.1145/3774904.3792812</v>
      </c>
    </row>
    <row r="708">
      <c r="A708" s="169" t="s">
        <v>1858</v>
      </c>
      <c r="B708" s="169" t="s">
        <v>1859</v>
      </c>
      <c r="C708" s="170" t="str">
        <f>CONCATENATE("https://dl.acm.org/doi/",'Sheridan Main'!A708)</f>
        <v>https://dl.acm.org/doi/10.1145/3774904.3792813</v>
      </c>
    </row>
    <row r="709">
      <c r="A709" s="169" t="s">
        <v>1860</v>
      </c>
      <c r="B709" s="169" t="s">
        <v>1861</v>
      </c>
      <c r="C709" s="170" t="str">
        <f>CONCATENATE("https://dl.acm.org/doi/",'Sheridan Main'!A709)</f>
        <v>https://dl.acm.org/doi/10.1145/3774904.3792814</v>
      </c>
    </row>
    <row r="710">
      <c r="A710" s="169" t="s">
        <v>1862</v>
      </c>
      <c r="B710" s="169" t="s">
        <v>1863</v>
      </c>
      <c r="C710" s="170" t="str">
        <f>CONCATENATE("https://dl.acm.org/doi/",'Sheridan Main'!A710)</f>
        <v>https://dl.acm.org/doi/10.1145/3774904.3792815</v>
      </c>
    </row>
    <row r="711">
      <c r="A711" s="169" t="s">
        <v>1864</v>
      </c>
      <c r="B711" s="169" t="s">
        <v>1865</v>
      </c>
      <c r="C711" s="170" t="str">
        <f>CONCATENATE("https://dl.acm.org/doi/",'Sheridan Main'!A711)</f>
        <v>https://dl.acm.org/doi/10.1145/3774904.3792816</v>
      </c>
    </row>
    <row r="712">
      <c r="A712" s="169" t="s">
        <v>1866</v>
      </c>
      <c r="B712" s="169" t="s">
        <v>1867</v>
      </c>
      <c r="C712" s="170" t="str">
        <f>CONCATENATE("https://dl.acm.org/doi/",'Sheridan Main'!A712)</f>
        <v>https://dl.acm.org/doi/10.1145/3774904.3792817</v>
      </c>
    </row>
    <row r="713">
      <c r="A713" s="169" t="s">
        <v>1868</v>
      </c>
      <c r="B713" s="169" t="s">
        <v>1869</v>
      </c>
      <c r="C713" s="170" t="str">
        <f>CONCATENATE("https://dl.acm.org/doi/",'Sheridan Main'!A713)</f>
        <v>https://dl.acm.org/doi/10.1145/3774904.3792818</v>
      </c>
    </row>
    <row r="714">
      <c r="A714" s="169" t="s">
        <v>1870</v>
      </c>
      <c r="B714" s="169" t="s">
        <v>1871</v>
      </c>
      <c r="C714" s="170" t="str">
        <f>CONCATENATE("https://dl.acm.org/doi/",'Sheridan Main'!A714)</f>
        <v>https://dl.acm.org/doi/10.1145/3774904.3792819</v>
      </c>
    </row>
    <row r="715">
      <c r="A715" s="169" t="s">
        <v>1872</v>
      </c>
      <c r="B715" s="169" t="s">
        <v>1873</v>
      </c>
      <c r="C715" s="170" t="str">
        <f>CONCATENATE("https://dl.acm.org/doi/",'Sheridan Main'!A715)</f>
        <v>https://dl.acm.org/doi/10.1145/3774904.3792820</v>
      </c>
    </row>
    <row r="716">
      <c r="A716" s="169" t="s">
        <v>1874</v>
      </c>
      <c r="B716" s="169" t="s">
        <v>1875</v>
      </c>
      <c r="C716" s="170" t="str">
        <f>CONCATENATE("https://dl.acm.org/doi/",'Sheridan Main'!A716)</f>
        <v>https://dl.acm.org/doi/10.1145/3774904.3792821</v>
      </c>
    </row>
    <row r="717">
      <c r="A717" s="169" t="s">
        <v>1876</v>
      </c>
      <c r="B717" s="169" t="s">
        <v>1877</v>
      </c>
      <c r="C717" s="170" t="str">
        <f>CONCATENATE("https://dl.acm.org/doi/",'Sheridan Main'!A717)</f>
        <v>https://dl.acm.org/doi/10.1145/3774904.3792822</v>
      </c>
    </row>
    <row r="718">
      <c r="A718" s="169" t="s">
        <v>1878</v>
      </c>
      <c r="B718" s="169" t="s">
        <v>1879</v>
      </c>
      <c r="C718" s="170" t="str">
        <f>CONCATENATE("https://dl.acm.org/doi/",'Sheridan Main'!A718)</f>
        <v>https://dl.acm.org/doi/10.1145/3774904.3792823</v>
      </c>
    </row>
    <row r="719">
      <c r="A719" s="169" t="s">
        <v>1880</v>
      </c>
      <c r="B719" s="169" t="s">
        <v>1881</v>
      </c>
      <c r="C719" s="170" t="str">
        <f>CONCATENATE("https://dl.acm.org/doi/",'Sheridan Main'!A719)</f>
        <v>https://dl.acm.org/doi/10.1145/3774904.3792824</v>
      </c>
    </row>
    <row r="720">
      <c r="A720" s="169" t="s">
        <v>1882</v>
      </c>
      <c r="B720" s="169" t="s">
        <v>1883</v>
      </c>
      <c r="C720" s="170" t="str">
        <f>CONCATENATE("https://dl.acm.org/doi/",'Sheridan Main'!A720)</f>
        <v>https://dl.acm.org/doi/10.1145/3774904.3792825</v>
      </c>
    </row>
    <row r="721">
      <c r="A721" s="169" t="s">
        <v>1884</v>
      </c>
      <c r="B721" s="169" t="s">
        <v>1885</v>
      </c>
      <c r="C721" s="170" t="str">
        <f>CONCATENATE("https://dl.acm.org/doi/",'Sheridan Main'!A721)</f>
        <v>https://dl.acm.org/doi/10.1145/3774904.3792826</v>
      </c>
    </row>
    <row r="722">
      <c r="A722" s="169" t="s">
        <v>1886</v>
      </c>
      <c r="B722" s="169" t="s">
        <v>1887</v>
      </c>
      <c r="C722" s="170" t="str">
        <f>CONCATENATE("https://dl.acm.org/doi/",'Sheridan Main'!A722)</f>
        <v>https://dl.acm.org/doi/10.1145/3774904.3792827</v>
      </c>
    </row>
    <row r="723">
      <c r="A723" s="169" t="s">
        <v>1888</v>
      </c>
      <c r="B723" s="169" t="s">
        <v>1889</v>
      </c>
      <c r="C723" s="170" t="str">
        <f>CONCATENATE("https://dl.acm.org/doi/",'Sheridan Main'!A723)</f>
        <v>https://dl.acm.org/doi/10.1145/3774904.3792828</v>
      </c>
    </row>
    <row r="724">
      <c r="A724" s="169" t="s">
        <v>1890</v>
      </c>
      <c r="B724" s="169" t="s">
        <v>1891</v>
      </c>
      <c r="C724" s="170" t="str">
        <f>CONCATENATE("https://dl.acm.org/doi/",'Sheridan Main'!A724)</f>
        <v>https://dl.acm.org/doi/10.1145/3774904.3792829</v>
      </c>
    </row>
    <row r="725">
      <c r="A725" s="169" t="s">
        <v>1892</v>
      </c>
      <c r="B725" s="169" t="s">
        <v>1893</v>
      </c>
      <c r="C725" s="170" t="str">
        <f>CONCATENATE("https://dl.acm.org/doi/",'Sheridan Main'!A725)</f>
        <v>https://dl.acm.org/doi/10.1145/3774904.3792830</v>
      </c>
    </row>
    <row r="726">
      <c r="A726" s="169" t="s">
        <v>1894</v>
      </c>
      <c r="B726" s="169" t="s">
        <v>1895</v>
      </c>
      <c r="C726" s="170" t="str">
        <f>CONCATENATE("https://dl.acm.org/doi/",'Sheridan Main'!A726)</f>
        <v>https://dl.acm.org/doi/10.1145/3774904.3792831</v>
      </c>
    </row>
    <row r="727">
      <c r="A727" s="169" t="s">
        <v>1896</v>
      </c>
      <c r="B727" s="169" t="s">
        <v>1897</v>
      </c>
      <c r="C727" s="170" t="str">
        <f>CONCATENATE("https://dl.acm.org/doi/",'Sheridan Main'!A727)</f>
        <v>https://dl.acm.org/doi/10.1145/3774904.3792832</v>
      </c>
    </row>
    <row r="728">
      <c r="A728" s="169" t="s">
        <v>1898</v>
      </c>
      <c r="B728" s="169" t="s">
        <v>1899</v>
      </c>
      <c r="C728" s="170" t="str">
        <f>CONCATENATE("https://dl.acm.org/doi/",'Sheridan Main'!A728)</f>
        <v>https://dl.acm.org/doi/10.1145/3774904.3792833</v>
      </c>
    </row>
    <row r="729">
      <c r="A729" s="169" t="s">
        <v>1900</v>
      </c>
      <c r="B729" s="169" t="s">
        <v>1901</v>
      </c>
      <c r="C729" s="170" t="str">
        <f>CONCATENATE("https://dl.acm.org/doi/",'Sheridan Main'!A729)</f>
        <v>https://dl.acm.org/doi/10.1145/3774904.3792834</v>
      </c>
    </row>
    <row r="730">
      <c r="A730" s="169" t="s">
        <v>1902</v>
      </c>
      <c r="B730" s="169" t="s">
        <v>1903</v>
      </c>
      <c r="C730" s="170" t="str">
        <f>CONCATENATE("https://dl.acm.org/doi/",'Sheridan Main'!A730)</f>
        <v>https://dl.acm.org/doi/10.1145/3774904.3792835</v>
      </c>
    </row>
    <row r="731">
      <c r="A731" s="169" t="s">
        <v>1904</v>
      </c>
      <c r="B731" s="169" t="s">
        <v>1905</v>
      </c>
      <c r="C731" s="170" t="str">
        <f>CONCATENATE("https://dl.acm.org/doi/",'Sheridan Main'!A731)</f>
        <v>https://dl.acm.org/doi/10.1145/3774904.3792836</v>
      </c>
    </row>
    <row r="732">
      <c r="A732" s="169" t="s">
        <v>1906</v>
      </c>
      <c r="B732" s="169" t="s">
        <v>1907</v>
      </c>
      <c r="C732" s="170" t="str">
        <f>CONCATENATE("https://dl.acm.org/doi/",'Sheridan Main'!A732)</f>
        <v>https://dl.acm.org/doi/10.1145/3774904.3792837</v>
      </c>
    </row>
    <row r="733">
      <c r="A733" s="169" t="s">
        <v>1908</v>
      </c>
      <c r="B733" s="169" t="s">
        <v>1909</v>
      </c>
      <c r="C733" s="170" t="str">
        <f>CONCATENATE("https://dl.acm.org/doi/",'Sheridan Main'!A733)</f>
        <v>https://dl.acm.org/doi/10.1145/3774904.3792838</v>
      </c>
    </row>
    <row r="734">
      <c r="A734" s="169" t="s">
        <v>1910</v>
      </c>
      <c r="B734" s="169" t="s">
        <v>1911</v>
      </c>
      <c r="C734" s="170" t="str">
        <f>CONCATENATE("https://dl.acm.org/doi/",'Sheridan Main'!A734)</f>
        <v>https://dl.acm.org/doi/10.1145/3774904.3792839</v>
      </c>
    </row>
    <row r="735">
      <c r="A735" s="169" t="s">
        <v>1912</v>
      </c>
      <c r="B735" s="169" t="s">
        <v>1913</v>
      </c>
      <c r="C735" s="170" t="str">
        <f>CONCATENATE("https://dl.acm.org/doi/",'Sheridan Main'!A735)</f>
        <v>https://dl.acm.org/doi/10.1145/3774904.3792840</v>
      </c>
    </row>
    <row r="736">
      <c r="A736" s="169" t="s">
        <v>1914</v>
      </c>
      <c r="B736" s="169" t="s">
        <v>1915</v>
      </c>
      <c r="C736" s="170" t="str">
        <f>CONCATENATE("https://dl.acm.org/doi/",'Sheridan Main'!A736)</f>
        <v>https://dl.acm.org/doi/10.1145/3774904.3792841</v>
      </c>
    </row>
    <row r="737">
      <c r="A737" s="169" t="s">
        <v>1916</v>
      </c>
      <c r="B737" s="169" t="s">
        <v>1917</v>
      </c>
      <c r="C737" s="170" t="str">
        <f>CONCATENATE("https://dl.acm.org/doi/",'Sheridan Main'!A737)</f>
        <v>https://dl.acm.org/doi/10.1145/3774904.3792842</v>
      </c>
    </row>
    <row r="738">
      <c r="A738" s="169" t="s">
        <v>1918</v>
      </c>
      <c r="B738" s="169" t="s">
        <v>1919</v>
      </c>
      <c r="C738" s="170" t="str">
        <f>CONCATENATE("https://dl.acm.org/doi/",'Sheridan Main'!A738)</f>
        <v>https://dl.acm.org/doi/10.1145/3774904.3792843</v>
      </c>
    </row>
    <row r="739">
      <c r="A739" s="169" t="s">
        <v>1920</v>
      </c>
      <c r="B739" s="169" t="s">
        <v>1921</v>
      </c>
      <c r="C739" s="170" t="str">
        <f>CONCATENATE("https://dl.acm.org/doi/",'Sheridan Main'!A739)</f>
        <v>https://dl.acm.org/doi/10.1145/3774904.3792844</v>
      </c>
    </row>
    <row r="740">
      <c r="A740" s="169" t="s">
        <v>1922</v>
      </c>
      <c r="B740" s="169" t="s">
        <v>1923</v>
      </c>
      <c r="C740" s="170" t="str">
        <f>CONCATENATE("https://dl.acm.org/doi/",'Sheridan Main'!A740)</f>
        <v>https://dl.acm.org/doi/10.1145/3774904.3792845</v>
      </c>
    </row>
    <row r="741">
      <c r="A741" s="169" t="s">
        <v>1924</v>
      </c>
      <c r="B741" s="169" t="s">
        <v>1925</v>
      </c>
      <c r="C741" s="170" t="str">
        <f>CONCATENATE("https://dl.acm.org/doi/",'Sheridan Main'!A741)</f>
        <v>https://dl.acm.org/doi/10.1145/3774904.3792846</v>
      </c>
    </row>
    <row r="742">
      <c r="A742" s="169" t="s">
        <v>1926</v>
      </c>
      <c r="B742" s="169" t="s">
        <v>1927</v>
      </c>
      <c r="C742" s="170" t="str">
        <f>CONCATENATE("https://dl.acm.org/doi/",'Sheridan Main'!A742)</f>
        <v>https://dl.acm.org/doi/10.1145/3774904.3792847</v>
      </c>
    </row>
    <row r="743">
      <c r="A743" s="169" t="s">
        <v>1928</v>
      </c>
      <c r="B743" s="169" t="s">
        <v>1929</v>
      </c>
      <c r="C743" s="170" t="str">
        <f>CONCATENATE("https://dl.acm.org/doi/",'Sheridan Main'!A743)</f>
        <v>https://dl.acm.org/doi/10.1145/3774904.3792848</v>
      </c>
    </row>
    <row r="744">
      <c r="A744" s="169" t="s">
        <v>1930</v>
      </c>
      <c r="B744" s="169" t="s">
        <v>1931</v>
      </c>
      <c r="C744" s="170" t="str">
        <f>CONCATENATE("https://dl.acm.org/doi/",'Sheridan Main'!A744)</f>
        <v>https://dl.acm.org/doi/10.1145/3774904.3792849</v>
      </c>
    </row>
    <row r="745">
      <c r="A745" s="169" t="s">
        <v>1932</v>
      </c>
      <c r="B745" s="169" t="s">
        <v>1933</v>
      </c>
      <c r="C745" s="170" t="str">
        <f>CONCATENATE("https://dl.acm.org/doi/",'Sheridan Main'!A745)</f>
        <v>https://dl.acm.org/doi/10.1145/3774904.3792850</v>
      </c>
    </row>
    <row r="746">
      <c r="A746" s="169" t="s">
        <v>1934</v>
      </c>
      <c r="B746" s="169" t="s">
        <v>1935</v>
      </c>
      <c r="C746" s="170" t="str">
        <f>CONCATENATE("https://dl.acm.org/doi/",'Sheridan Main'!A746)</f>
        <v>https://dl.acm.org/doi/10.1145/3774904.3792851</v>
      </c>
    </row>
    <row r="747">
      <c r="A747" s="169" t="s">
        <v>1936</v>
      </c>
      <c r="B747" s="169" t="s">
        <v>1937</v>
      </c>
      <c r="C747" s="170" t="str">
        <f>CONCATENATE("https://dl.acm.org/doi/",'Sheridan Main'!A747)</f>
        <v>https://dl.acm.org/doi/10.1145/3774904.3792852</v>
      </c>
    </row>
    <row r="748">
      <c r="A748" s="169" t="s">
        <v>1938</v>
      </c>
      <c r="B748" s="169" t="s">
        <v>1939</v>
      </c>
      <c r="C748" s="170" t="str">
        <f>CONCATENATE("https://dl.acm.org/doi/",'Sheridan Main'!A748)</f>
        <v>https://dl.acm.org/doi/10.1145/3774904.3792853</v>
      </c>
    </row>
    <row r="749">
      <c r="A749" s="169" t="s">
        <v>1940</v>
      </c>
      <c r="B749" s="169" t="s">
        <v>1941</v>
      </c>
      <c r="C749" s="170" t="str">
        <f>CONCATENATE("https://dl.acm.org/doi/",'Sheridan Main'!A749)</f>
        <v>https://dl.acm.org/doi/10.1145/3774904.3792854</v>
      </c>
    </row>
    <row r="750">
      <c r="A750" s="169" t="s">
        <v>1942</v>
      </c>
      <c r="B750" s="169" t="s">
        <v>1943</v>
      </c>
      <c r="C750" s="170" t="str">
        <f>CONCATENATE("https://dl.acm.org/doi/",'Sheridan Main'!A750)</f>
        <v>https://dl.acm.org/doi/10.1145/3774904.3792855</v>
      </c>
    </row>
    <row r="751">
      <c r="A751" s="169" t="s">
        <v>1944</v>
      </c>
      <c r="B751" s="169" t="s">
        <v>1945</v>
      </c>
      <c r="C751" s="170" t="str">
        <f>CONCATENATE("https://dl.acm.org/doi/",'Sheridan Main'!A751)</f>
        <v>https://dl.acm.org/doi/10.1145/3774904.3792856</v>
      </c>
    </row>
    <row r="752">
      <c r="A752" s="169" t="s">
        <v>1946</v>
      </c>
      <c r="B752" s="169" t="s">
        <v>1947</v>
      </c>
      <c r="C752" s="170" t="str">
        <f>CONCATENATE("https://dl.acm.org/doi/",'Sheridan Main'!A752)</f>
        <v>https://dl.acm.org/doi/10.1145/3774904.3792857</v>
      </c>
    </row>
    <row r="753">
      <c r="A753" s="169" t="s">
        <v>1948</v>
      </c>
      <c r="B753" s="169" t="s">
        <v>1949</v>
      </c>
      <c r="C753" s="170" t="str">
        <f>CONCATENATE("https://dl.acm.org/doi/",'Sheridan Main'!A753)</f>
        <v>https://dl.acm.org/doi/10.1145/3774904.3792858</v>
      </c>
    </row>
    <row r="754">
      <c r="A754" s="169" t="s">
        <v>1950</v>
      </c>
      <c r="B754" s="169" t="s">
        <v>1951</v>
      </c>
      <c r="C754" s="170" t="str">
        <f>CONCATENATE("https://dl.acm.org/doi/",'Sheridan Main'!A754)</f>
        <v>https://dl.acm.org/doi/10.1145/3774904.3792859</v>
      </c>
    </row>
    <row r="755">
      <c r="A755" s="169" t="s">
        <v>1952</v>
      </c>
      <c r="B755" s="169" t="s">
        <v>1953</v>
      </c>
      <c r="C755" s="170" t="str">
        <f>CONCATENATE("https://dl.acm.org/doi/",'Sheridan Main'!A755)</f>
        <v>https://dl.acm.org/doi/10.1145/3774904.3792860</v>
      </c>
    </row>
    <row r="756">
      <c r="A756" s="169" t="s">
        <v>1954</v>
      </c>
      <c r="B756" s="169" t="s">
        <v>1955</v>
      </c>
      <c r="C756" s="170" t="str">
        <f>CONCATENATE("https://dl.acm.org/doi/",'Sheridan Main'!A756)</f>
        <v>https://dl.acm.org/doi/10.1145/3774904.3792861</v>
      </c>
    </row>
    <row r="757">
      <c r="A757" s="169" t="s">
        <v>1956</v>
      </c>
      <c r="B757" s="169" t="s">
        <v>1957</v>
      </c>
      <c r="C757" s="170" t="str">
        <f>CONCATENATE("https://dl.acm.org/doi/",'Sheridan Main'!A757)</f>
        <v>https://dl.acm.org/doi/10.1145/3774904.3792862</v>
      </c>
    </row>
    <row r="758">
      <c r="A758" s="169" t="s">
        <v>1958</v>
      </c>
      <c r="B758" s="169" t="s">
        <v>1959</v>
      </c>
      <c r="C758" s="170" t="str">
        <f>CONCATENATE("https://dl.acm.org/doi/",'Sheridan Main'!A758)</f>
        <v>https://dl.acm.org/doi/10.1145/3774904.3792863</v>
      </c>
    </row>
    <row r="759">
      <c r="A759" s="169" t="s">
        <v>1960</v>
      </c>
      <c r="B759" s="169" t="s">
        <v>1961</v>
      </c>
      <c r="C759" s="170" t="str">
        <f>CONCATENATE("https://dl.acm.org/doi/",'Sheridan Main'!A759)</f>
        <v>https://dl.acm.org/doi/10.1145/3774904.3792864</v>
      </c>
    </row>
    <row r="760">
      <c r="A760" s="169" t="s">
        <v>1962</v>
      </c>
      <c r="B760" s="169" t="s">
        <v>1963</v>
      </c>
      <c r="C760" s="170" t="str">
        <f>CONCATENATE("https://dl.acm.org/doi/",'Sheridan Main'!A760)</f>
        <v>https://dl.acm.org/doi/10.1145/3774904.3792865</v>
      </c>
    </row>
    <row r="761">
      <c r="A761" s="169" t="s">
        <v>1964</v>
      </c>
      <c r="B761" s="169" t="s">
        <v>1965</v>
      </c>
      <c r="C761" s="170" t="str">
        <f>CONCATENATE("https://dl.acm.org/doi/",'Sheridan Main'!A761)</f>
        <v>https://dl.acm.org/doi/10.1145/3774904.3792866</v>
      </c>
    </row>
    <row r="762">
      <c r="A762" s="169" t="s">
        <v>1966</v>
      </c>
      <c r="B762" s="169" t="s">
        <v>1967</v>
      </c>
      <c r="C762" s="170" t="str">
        <f>CONCATENATE("https://dl.acm.org/doi/",'Sheridan Main'!A762)</f>
        <v>https://dl.acm.org/doi/10.1145/3774904.3792867</v>
      </c>
    </row>
    <row r="763">
      <c r="A763" s="169" t="s">
        <v>1968</v>
      </c>
      <c r="B763" s="169" t="s">
        <v>1969</v>
      </c>
      <c r="C763" s="170" t="str">
        <f>CONCATENATE("https://dl.acm.org/doi/",'Sheridan Main'!A763)</f>
        <v>https://dl.acm.org/doi/10.1145/3774904.3792868</v>
      </c>
    </row>
    <row r="764">
      <c r="A764" s="169" t="s">
        <v>1970</v>
      </c>
      <c r="B764" s="169" t="s">
        <v>1971</v>
      </c>
      <c r="C764" s="170" t="str">
        <f>CONCATENATE("https://dl.acm.org/doi/",'Sheridan Main'!A764)</f>
        <v>https://dl.acm.org/doi/10.1145/3774904.3792869</v>
      </c>
    </row>
    <row r="765">
      <c r="A765" s="169" t="s">
        <v>1972</v>
      </c>
      <c r="B765" s="169" t="s">
        <v>1973</v>
      </c>
      <c r="C765" s="170" t="str">
        <f>CONCATENATE("https://dl.acm.org/doi/",'Sheridan Main'!A765)</f>
        <v>https://dl.acm.org/doi/10.1145/3774904.3792870</v>
      </c>
    </row>
    <row r="766">
      <c r="A766" s="169" t="s">
        <v>1974</v>
      </c>
      <c r="B766" s="169" t="s">
        <v>1975</v>
      </c>
      <c r="C766" s="170" t="str">
        <f>CONCATENATE("https://dl.acm.org/doi/",'Sheridan Main'!A766)</f>
        <v>https://dl.acm.org/doi/10.1145/3774904.3792871</v>
      </c>
    </row>
    <row r="767">
      <c r="A767" s="169" t="s">
        <v>1976</v>
      </c>
      <c r="B767" s="169" t="s">
        <v>1977</v>
      </c>
      <c r="C767" s="170" t="str">
        <f>CONCATENATE("https://dl.acm.org/doi/",'Sheridan Main'!A767)</f>
        <v>https://dl.acm.org/doi/10.1145/3774904.3792872</v>
      </c>
    </row>
    <row r="768">
      <c r="A768" s="169" t="s">
        <v>1978</v>
      </c>
      <c r="B768" s="169" t="s">
        <v>1979</v>
      </c>
      <c r="C768" s="170" t="str">
        <f>CONCATENATE("https://dl.acm.org/doi/",'Sheridan Main'!A768)</f>
        <v>https://dl.acm.org/doi/10.1145/3774904.3792873</v>
      </c>
    </row>
    <row r="769">
      <c r="A769" s="169" t="s">
        <v>1980</v>
      </c>
      <c r="B769" s="169" t="s">
        <v>1981</v>
      </c>
      <c r="C769" s="170" t="str">
        <f>CONCATENATE("https://dl.acm.org/doi/",'Sheridan Main'!A769)</f>
        <v>https://dl.acm.org/doi/10.1145/3774904.3792874</v>
      </c>
    </row>
    <row r="770">
      <c r="A770" s="169" t="s">
        <v>1982</v>
      </c>
      <c r="B770" s="169" t="s">
        <v>1983</v>
      </c>
      <c r="C770" s="170" t="str">
        <f>CONCATENATE("https://dl.acm.org/doi/",'Sheridan Main'!A770)</f>
        <v>https://dl.acm.org/doi/10.1145/3774904.3792875</v>
      </c>
    </row>
    <row r="771">
      <c r="A771" s="169" t="s">
        <v>1984</v>
      </c>
      <c r="B771" s="169" t="s">
        <v>1985</v>
      </c>
      <c r="C771" s="170" t="str">
        <f>CONCATENATE("https://dl.acm.org/doi/",'Sheridan Main'!A771)</f>
        <v>https://dl.acm.org/doi/10.1145/3774904.3792876</v>
      </c>
    </row>
    <row r="772">
      <c r="A772" s="169" t="s">
        <v>1986</v>
      </c>
      <c r="B772" s="169" t="s">
        <v>1987</v>
      </c>
      <c r="C772" s="170" t="str">
        <f>CONCATENATE("https://dl.acm.org/doi/",'Sheridan Main'!A772)</f>
        <v>https://dl.acm.org/doi/10.1145/3774904.3792877</v>
      </c>
    </row>
    <row r="773">
      <c r="A773" s="169" t="s">
        <v>1988</v>
      </c>
      <c r="B773" s="169" t="s">
        <v>1989</v>
      </c>
      <c r="C773" s="170" t="str">
        <f>CONCATENATE("https://dl.acm.org/doi/",'Sheridan Main'!A773)</f>
        <v>https://dl.acm.org/doi/10.1145/3774904.3792878</v>
      </c>
    </row>
    <row r="774">
      <c r="A774" s="169" t="s">
        <v>1990</v>
      </c>
      <c r="B774" s="169" t="s">
        <v>1991</v>
      </c>
      <c r="C774" s="170" t="str">
        <f>CONCATENATE("https://dl.acm.org/doi/",'Sheridan Main'!A774)</f>
        <v>https://dl.acm.org/doi/10.1145/3774904.3792879</v>
      </c>
    </row>
    <row r="775">
      <c r="A775" s="169" t="s">
        <v>1992</v>
      </c>
      <c r="B775" s="169" t="s">
        <v>1993</v>
      </c>
      <c r="C775" s="170" t="str">
        <f>CONCATENATE("https://dl.acm.org/doi/",'Sheridan Main'!A775)</f>
        <v>https://dl.acm.org/doi/10.1145/3774904.3792880</v>
      </c>
    </row>
    <row r="776">
      <c r="A776" s="169" t="s">
        <v>1994</v>
      </c>
      <c r="B776" s="169" t="s">
        <v>1995</v>
      </c>
      <c r="C776" s="170" t="str">
        <f>CONCATENATE("https://dl.acm.org/doi/",'Sheridan Main'!A776)</f>
        <v>https://dl.acm.org/doi/10.1145/3774904.3792881</v>
      </c>
    </row>
    <row r="777">
      <c r="A777" s="169" t="s">
        <v>1996</v>
      </c>
      <c r="B777" s="169" t="s">
        <v>1997</v>
      </c>
      <c r="C777" s="170" t="str">
        <f>CONCATENATE("https://dl.acm.org/doi/",'Sheridan Main'!A777)</f>
        <v>https://dl.acm.org/doi/10.1145/3774904.3792882</v>
      </c>
    </row>
    <row r="778">
      <c r="A778" s="169" t="s">
        <v>1998</v>
      </c>
      <c r="B778" s="169" t="s">
        <v>1999</v>
      </c>
      <c r="C778" s="170" t="str">
        <f>CONCATENATE("https://dl.acm.org/doi/",'Sheridan Main'!A778)</f>
        <v>https://dl.acm.org/doi/10.1145/3774904.3792883</v>
      </c>
    </row>
    <row r="779">
      <c r="A779" s="169" t="s">
        <v>2000</v>
      </c>
      <c r="B779" s="169" t="s">
        <v>2001</v>
      </c>
      <c r="C779" s="170" t="str">
        <f>CONCATENATE("https://dl.acm.org/doi/",'Sheridan Main'!A779)</f>
        <v>https://dl.acm.org/doi/10.1145/3774904.3792884</v>
      </c>
    </row>
    <row r="780">
      <c r="A780" s="169" t="s">
        <v>2002</v>
      </c>
      <c r="B780" s="169" t="s">
        <v>2003</v>
      </c>
      <c r="C780" s="170" t="str">
        <f>CONCATENATE("https://dl.acm.org/doi/",'Sheridan Main'!A780)</f>
        <v>https://dl.acm.org/doi/10.1145/3774904.3792885</v>
      </c>
    </row>
    <row r="781">
      <c r="A781" s="169" t="s">
        <v>2004</v>
      </c>
      <c r="B781" s="169" t="s">
        <v>2005</v>
      </c>
      <c r="C781" s="170" t="str">
        <f>CONCATENATE("https://dl.acm.org/doi/",'Sheridan Main'!A781)</f>
        <v>https://dl.acm.org/doi/10.1145/3774904.3792886</v>
      </c>
    </row>
    <row r="782">
      <c r="A782" s="169" t="s">
        <v>2006</v>
      </c>
      <c r="B782" s="169" t="s">
        <v>2007</v>
      </c>
      <c r="C782" s="170" t="str">
        <f>CONCATENATE("https://dl.acm.org/doi/",'Sheridan Main'!A782)</f>
        <v>https://dl.acm.org/doi/10.1145/3774904.3792887</v>
      </c>
    </row>
    <row r="783">
      <c r="A783" s="169" t="s">
        <v>2008</v>
      </c>
      <c r="B783" s="169" t="s">
        <v>2009</v>
      </c>
      <c r="C783" s="170" t="str">
        <f>CONCATENATE("https://dl.acm.org/doi/",'Sheridan Main'!A783)</f>
        <v>https://dl.acm.org/doi/10.1145/3774904.3792888</v>
      </c>
    </row>
    <row r="784">
      <c r="A784" s="169" t="s">
        <v>2010</v>
      </c>
      <c r="B784" s="169" t="s">
        <v>2011</v>
      </c>
      <c r="C784" s="170" t="str">
        <f>CONCATENATE("https://dl.acm.org/doi/",'Sheridan Main'!A784)</f>
        <v>https://dl.acm.org/doi/10.1145/3774904.3792889</v>
      </c>
    </row>
    <row r="785">
      <c r="A785" s="169" t="s">
        <v>2012</v>
      </c>
      <c r="B785" s="169" t="s">
        <v>2013</v>
      </c>
      <c r="C785" s="170" t="str">
        <f>CONCATENATE("https://dl.acm.org/doi/",'Sheridan Main'!A785)</f>
        <v>https://dl.acm.org/doi/10.1145/3774904.3792890</v>
      </c>
    </row>
    <row r="786">
      <c r="A786" s="169" t="s">
        <v>2014</v>
      </c>
      <c r="B786" s="169" t="s">
        <v>2015</v>
      </c>
      <c r="C786" s="170" t="str">
        <f>CONCATENATE("https://dl.acm.org/doi/",'Sheridan Main'!A786)</f>
        <v>https://dl.acm.org/doi/10.1145/3774904.3792891</v>
      </c>
    </row>
    <row r="787">
      <c r="A787" s="169" t="s">
        <v>2016</v>
      </c>
      <c r="B787" s="169" t="s">
        <v>2017</v>
      </c>
      <c r="C787" s="170" t="str">
        <f>CONCATENATE("https://dl.acm.org/doi/",'Sheridan Main'!A787)</f>
        <v>https://dl.acm.org/doi/10.1145/3774904.3792892</v>
      </c>
    </row>
    <row r="788">
      <c r="A788" s="169" t="s">
        <v>2018</v>
      </c>
      <c r="B788" s="169" t="s">
        <v>2019</v>
      </c>
      <c r="C788" s="170" t="str">
        <f>CONCATENATE("https://dl.acm.org/doi/",'Sheridan Main'!A788)</f>
        <v>https://dl.acm.org/doi/10.1145/3774904.3792893</v>
      </c>
    </row>
    <row r="789">
      <c r="A789" s="169" t="s">
        <v>2020</v>
      </c>
      <c r="B789" s="169" t="s">
        <v>2021</v>
      </c>
      <c r="C789" s="170" t="str">
        <f>CONCATENATE("https://dl.acm.org/doi/",'Sheridan Main'!A789)</f>
        <v>https://dl.acm.org/doi/10.1145/3774904.3792894</v>
      </c>
    </row>
    <row r="790">
      <c r="A790" s="169" t="s">
        <v>2022</v>
      </c>
      <c r="B790" s="169" t="s">
        <v>2023</v>
      </c>
      <c r="C790" s="170" t="str">
        <f>CONCATENATE("https://dl.acm.org/doi/",'Sheridan Main'!A790)</f>
        <v>https://dl.acm.org/doi/10.1145/3774904.3792895</v>
      </c>
    </row>
    <row r="791">
      <c r="A791" s="169" t="s">
        <v>2024</v>
      </c>
      <c r="B791" s="169" t="s">
        <v>2025</v>
      </c>
      <c r="C791" s="170" t="str">
        <f>CONCATENATE("https://dl.acm.org/doi/",'Sheridan Main'!A791)</f>
        <v>https://dl.acm.org/doi/10.1145/3774904.3792896</v>
      </c>
    </row>
    <row r="792">
      <c r="A792" s="169" t="s">
        <v>2026</v>
      </c>
      <c r="B792" s="169" t="s">
        <v>2027</v>
      </c>
      <c r="C792" s="170" t="str">
        <f>CONCATENATE("https://dl.acm.org/doi/",'Sheridan Main'!A792)</f>
        <v>https://dl.acm.org/doi/10.1145/3774904.3792897</v>
      </c>
    </row>
    <row r="793">
      <c r="A793" s="169" t="s">
        <v>2028</v>
      </c>
      <c r="B793" s="169" t="s">
        <v>2029</v>
      </c>
      <c r="C793" s="170" t="str">
        <f>CONCATENATE("https://dl.acm.org/doi/",'Sheridan Main'!A793)</f>
        <v>https://dl.acm.org/doi/10.1145/3774904.3792898</v>
      </c>
    </row>
    <row r="794">
      <c r="A794" s="169" t="s">
        <v>2030</v>
      </c>
      <c r="B794" s="169" t="s">
        <v>2031</v>
      </c>
      <c r="C794" s="170" t="str">
        <f>CONCATENATE("https://dl.acm.org/doi/",'Sheridan Main'!A794)</f>
        <v>https://dl.acm.org/doi/10.1145/3774904.3792899</v>
      </c>
    </row>
    <row r="795">
      <c r="A795" s="169" t="s">
        <v>2032</v>
      </c>
      <c r="B795" s="169" t="s">
        <v>2033</v>
      </c>
      <c r="C795" s="170" t="str">
        <f>CONCATENATE("https://dl.acm.org/doi/",'Sheridan Main'!A795)</f>
        <v>https://dl.acm.org/doi/10.1145/3774904.3792900</v>
      </c>
    </row>
    <row r="796">
      <c r="A796" s="169" t="s">
        <v>2034</v>
      </c>
      <c r="B796" s="169" t="s">
        <v>2035</v>
      </c>
      <c r="C796" s="170" t="str">
        <f>CONCATENATE("https://dl.acm.org/doi/",'Sheridan Main'!A796)</f>
        <v>https://dl.acm.org/doi/10.1145/3774904.3792901</v>
      </c>
    </row>
    <row r="797">
      <c r="A797" s="169" t="s">
        <v>2036</v>
      </c>
      <c r="B797" s="169" t="s">
        <v>2037</v>
      </c>
      <c r="C797" s="170" t="str">
        <f>CONCATENATE("https://dl.acm.org/doi/",'Sheridan Main'!A797)</f>
        <v>https://dl.acm.org/doi/10.1145/3774904.3792902</v>
      </c>
    </row>
    <row r="798">
      <c r="A798" s="169" t="s">
        <v>2038</v>
      </c>
      <c r="B798" s="169" t="s">
        <v>2039</v>
      </c>
      <c r="C798" s="170" t="str">
        <f>CONCATENATE("https://dl.acm.org/doi/",'Sheridan Main'!A798)</f>
        <v>https://dl.acm.org/doi/10.1145/3774904.3792903</v>
      </c>
    </row>
    <row r="799">
      <c r="A799" s="169" t="s">
        <v>2040</v>
      </c>
      <c r="B799" s="169" t="s">
        <v>2041</v>
      </c>
      <c r="C799" s="170" t="str">
        <f>CONCATENATE("https://dl.acm.org/doi/",'Sheridan Main'!A799)</f>
        <v>https://dl.acm.org/doi/10.1145/3774904.3792904</v>
      </c>
    </row>
    <row r="800">
      <c r="A800" s="169" t="s">
        <v>2042</v>
      </c>
      <c r="B800" s="169" t="s">
        <v>2043</v>
      </c>
      <c r="C800" s="170" t="str">
        <f>CONCATENATE("https://dl.acm.org/doi/",'Sheridan Main'!A800)</f>
        <v>https://dl.acm.org/doi/10.1145/3774904.3792905</v>
      </c>
    </row>
    <row r="801">
      <c r="A801" s="169" t="s">
        <v>2044</v>
      </c>
      <c r="B801" s="169" t="s">
        <v>2045</v>
      </c>
      <c r="C801" s="170" t="str">
        <f>CONCATENATE("https://dl.acm.org/doi/",'Sheridan Main'!A801)</f>
        <v>https://dl.acm.org/doi/10.1145/3774904.3792906</v>
      </c>
    </row>
    <row r="802">
      <c r="A802" s="169" t="s">
        <v>2046</v>
      </c>
      <c r="B802" s="169" t="s">
        <v>2047</v>
      </c>
      <c r="C802" s="170" t="str">
        <f>CONCATENATE("https://dl.acm.org/doi/",'Sheridan Main'!A802)</f>
        <v>https://dl.acm.org/doi/10.1145/3774904.3792907</v>
      </c>
    </row>
    <row r="803">
      <c r="A803" s="169" t="s">
        <v>2048</v>
      </c>
      <c r="B803" s="169" t="s">
        <v>2049</v>
      </c>
      <c r="C803" s="170" t="str">
        <f>CONCATENATE("https://dl.acm.org/doi/",'Sheridan Main'!A803)</f>
        <v>https://dl.acm.org/doi/10.1145/3774904.3792908</v>
      </c>
    </row>
    <row r="804">
      <c r="A804" s="169" t="s">
        <v>2050</v>
      </c>
      <c r="B804" s="169" t="s">
        <v>2051</v>
      </c>
      <c r="C804" s="170" t="str">
        <f>CONCATENATE("https://dl.acm.org/doi/",'Sheridan Main'!A804)</f>
        <v>https://dl.acm.org/doi/10.1145/3774904.3792909</v>
      </c>
    </row>
    <row r="805">
      <c r="A805" s="169" t="s">
        <v>2052</v>
      </c>
      <c r="B805" s="169" t="s">
        <v>2053</v>
      </c>
      <c r="C805" s="170" t="str">
        <f>CONCATENATE("https://dl.acm.org/doi/",'Sheridan Main'!A805)</f>
        <v>https://dl.acm.org/doi/10.1145/3774904.3792910</v>
      </c>
    </row>
    <row r="806">
      <c r="A806" s="169" t="s">
        <v>2054</v>
      </c>
      <c r="B806" s="169" t="s">
        <v>2055</v>
      </c>
      <c r="C806" s="170" t="str">
        <f>CONCATENATE("https://dl.acm.org/doi/",'Sheridan Main'!A806)</f>
        <v>https://dl.acm.org/doi/10.1145/3774904.3792911</v>
      </c>
    </row>
    <row r="807">
      <c r="A807" s="169" t="s">
        <v>2056</v>
      </c>
      <c r="B807" s="169" t="s">
        <v>2057</v>
      </c>
      <c r="C807" s="170" t="str">
        <f>CONCATENATE("https://dl.acm.org/doi/",'Sheridan Main'!A807)</f>
        <v>https://dl.acm.org/doi/10.1145/3774904.3792912</v>
      </c>
    </row>
    <row r="808">
      <c r="A808" s="169" t="s">
        <v>2058</v>
      </c>
      <c r="B808" s="169" t="s">
        <v>2059</v>
      </c>
      <c r="C808" s="170" t="str">
        <f>CONCATENATE("https://dl.acm.org/doi/",'Sheridan Main'!A808)</f>
        <v>https://dl.acm.org/doi/10.1145/3774904.3792913</v>
      </c>
    </row>
    <row r="809">
      <c r="A809" s="169" t="s">
        <v>2060</v>
      </c>
      <c r="B809" s="169" t="s">
        <v>2061</v>
      </c>
      <c r="C809" s="170" t="str">
        <f>CONCATENATE("https://dl.acm.org/doi/",'Sheridan Main'!A809)</f>
        <v>https://dl.acm.org/doi/10.1145/3774904.3792914</v>
      </c>
    </row>
    <row r="810">
      <c r="A810" s="169" t="s">
        <v>2062</v>
      </c>
      <c r="B810" s="169" t="s">
        <v>2063</v>
      </c>
      <c r="C810" s="170" t="str">
        <f>CONCATENATE("https://dl.acm.org/doi/",'Sheridan Main'!A810)</f>
        <v>https://dl.acm.org/doi/10.1145/3774904.3792915</v>
      </c>
    </row>
    <row r="811">
      <c r="A811" s="169" t="s">
        <v>2064</v>
      </c>
      <c r="B811" s="169" t="s">
        <v>2065</v>
      </c>
      <c r="C811" s="170" t="str">
        <f>CONCATENATE("https://dl.acm.org/doi/",'Sheridan Main'!A811)</f>
        <v>https://dl.acm.org/doi/10.1145/3774904.3792916</v>
      </c>
    </row>
    <row r="812">
      <c r="A812" s="169" t="s">
        <v>2066</v>
      </c>
      <c r="B812" s="169" t="s">
        <v>2067</v>
      </c>
      <c r="C812" s="170" t="str">
        <f>CONCATENATE("https://dl.acm.org/doi/",'Sheridan Main'!A812)</f>
        <v>https://dl.acm.org/doi/10.1145/3774904.3792917</v>
      </c>
    </row>
    <row r="813">
      <c r="A813" s="169" t="s">
        <v>2068</v>
      </c>
      <c r="B813" s="169" t="s">
        <v>2069</v>
      </c>
      <c r="C813" s="170" t="str">
        <f>CONCATENATE("https://dl.acm.org/doi/",'Sheridan Main'!A813)</f>
        <v>https://dl.acm.org/doi/10.1145/3774904.3792918</v>
      </c>
    </row>
    <row r="814">
      <c r="A814" s="169" t="s">
        <v>2070</v>
      </c>
      <c r="B814" s="169" t="s">
        <v>2071</v>
      </c>
      <c r="C814" s="170" t="str">
        <f>CONCATENATE("https://dl.acm.org/doi/",'Sheridan Main'!A814)</f>
        <v>https://dl.acm.org/doi/10.1145/3774904.3792919</v>
      </c>
    </row>
    <row r="815">
      <c r="A815" s="169" t="s">
        <v>2072</v>
      </c>
      <c r="B815" s="169" t="s">
        <v>2073</v>
      </c>
      <c r="C815" s="170" t="str">
        <f>CONCATENATE("https://dl.acm.org/doi/",'Sheridan Main'!A815)</f>
        <v>https://dl.acm.org/doi/10.1145/3774904.3792920</v>
      </c>
    </row>
    <row r="816">
      <c r="A816" s="169" t="s">
        <v>2074</v>
      </c>
      <c r="B816" s="169" t="s">
        <v>2075</v>
      </c>
      <c r="C816" s="170" t="str">
        <f>CONCATENATE("https://dl.acm.org/doi/",'Sheridan Main'!A816)</f>
        <v>https://dl.acm.org/doi/10.1145/3774904.3792921</v>
      </c>
    </row>
    <row r="817">
      <c r="A817" s="169" t="s">
        <v>2076</v>
      </c>
      <c r="B817" s="169" t="s">
        <v>2077</v>
      </c>
      <c r="C817" s="170" t="str">
        <f>CONCATENATE("https://dl.acm.org/doi/",'Sheridan Main'!A817)</f>
        <v>https://dl.acm.org/doi/10.1145/3774904.3792922</v>
      </c>
    </row>
    <row r="818">
      <c r="A818" s="169" t="s">
        <v>2078</v>
      </c>
      <c r="B818" s="169" t="s">
        <v>2079</v>
      </c>
      <c r="C818" s="170" t="str">
        <f>CONCATENATE("https://dl.acm.org/doi/",'Sheridan Main'!A818)</f>
        <v>https://dl.acm.org/doi/10.1145/3774904.3792923</v>
      </c>
    </row>
    <row r="819">
      <c r="A819" s="169" t="s">
        <v>2080</v>
      </c>
      <c r="B819" s="169" t="s">
        <v>2081</v>
      </c>
      <c r="C819" s="170" t="str">
        <f>CONCATENATE("https://dl.acm.org/doi/",'Sheridan Main'!A819)</f>
        <v>https://dl.acm.org/doi/10.1145/3774904.3792924</v>
      </c>
    </row>
    <row r="820">
      <c r="A820" s="169" t="s">
        <v>2082</v>
      </c>
      <c r="B820" s="169" t="s">
        <v>2083</v>
      </c>
      <c r="C820" s="170" t="str">
        <f>CONCATENATE("https://dl.acm.org/doi/",'Sheridan Main'!A820)</f>
        <v>https://dl.acm.org/doi/10.1145/3774904.3792925</v>
      </c>
    </row>
    <row r="821">
      <c r="A821" s="169" t="s">
        <v>2084</v>
      </c>
      <c r="B821" s="169" t="s">
        <v>2085</v>
      </c>
      <c r="C821" s="170" t="str">
        <f>CONCATENATE("https://dl.acm.org/doi/",'Sheridan Main'!A821)</f>
        <v>https://dl.acm.org/doi/10.1145/3774904.3792926</v>
      </c>
    </row>
    <row r="822">
      <c r="A822" s="169" t="s">
        <v>2086</v>
      </c>
      <c r="B822" s="169" t="s">
        <v>2087</v>
      </c>
      <c r="C822" s="170" t="str">
        <f>CONCATENATE("https://dl.acm.org/doi/",'Sheridan Main'!A822)</f>
        <v>https://dl.acm.org/doi/10.1145/3774904.3792927</v>
      </c>
    </row>
    <row r="823">
      <c r="A823" s="169" t="s">
        <v>2088</v>
      </c>
      <c r="B823" s="169" t="s">
        <v>2089</v>
      </c>
      <c r="C823" s="170" t="str">
        <f>CONCATENATE("https://dl.acm.org/doi/",'Sheridan Main'!A823)</f>
        <v>https://dl.acm.org/doi/10.1145/3774904.3792928</v>
      </c>
    </row>
    <row r="824">
      <c r="A824" s="169" t="s">
        <v>2090</v>
      </c>
      <c r="B824" s="169" t="s">
        <v>2091</v>
      </c>
      <c r="C824" s="170" t="str">
        <f>CONCATENATE("https://dl.acm.org/doi/",'Sheridan Main'!A824)</f>
        <v>https://dl.acm.org/doi/10.1145/3774904.3792929</v>
      </c>
    </row>
    <row r="825">
      <c r="A825" s="169" t="s">
        <v>2092</v>
      </c>
      <c r="B825" s="169" t="s">
        <v>2093</v>
      </c>
      <c r="C825" s="170" t="str">
        <f>CONCATENATE("https://dl.acm.org/doi/",'Sheridan Main'!A825)</f>
        <v>https://dl.acm.org/doi/10.1145/3774904.3792930</v>
      </c>
    </row>
    <row r="826">
      <c r="A826" s="169" t="s">
        <v>2094</v>
      </c>
      <c r="B826" s="169" t="s">
        <v>2095</v>
      </c>
      <c r="C826" s="170" t="str">
        <f>CONCATENATE("https://dl.acm.org/doi/",'Sheridan Main'!A826)</f>
        <v>https://dl.acm.org/doi/10.1145/3774904.3792931</v>
      </c>
    </row>
    <row r="827">
      <c r="A827" s="169" t="s">
        <v>2096</v>
      </c>
      <c r="B827" s="169" t="s">
        <v>2097</v>
      </c>
      <c r="C827" s="170" t="str">
        <f>CONCATENATE("https://dl.acm.org/doi/",'Sheridan Main'!A827)</f>
        <v>https://dl.acm.org/doi/10.1145/3774904.3792932</v>
      </c>
    </row>
    <row r="828">
      <c r="A828" s="169" t="s">
        <v>2098</v>
      </c>
      <c r="B828" s="169" t="s">
        <v>2099</v>
      </c>
      <c r="C828" s="170" t="str">
        <f>CONCATENATE("https://dl.acm.org/doi/",'Sheridan Main'!A828)</f>
        <v>https://dl.acm.org/doi/10.1145/3774904.3792933</v>
      </c>
    </row>
    <row r="829">
      <c r="A829" s="169" t="s">
        <v>2100</v>
      </c>
      <c r="B829" s="169" t="s">
        <v>2101</v>
      </c>
      <c r="C829" s="170" t="str">
        <f>CONCATENATE("https://dl.acm.org/doi/",'Sheridan Main'!A829)</f>
        <v>https://dl.acm.org/doi/10.1145/3774904.3792934</v>
      </c>
    </row>
    <row r="830">
      <c r="A830" s="169" t="s">
        <v>2102</v>
      </c>
      <c r="B830" s="169" t="s">
        <v>2103</v>
      </c>
      <c r="C830" s="170" t="str">
        <f>CONCATENATE("https://dl.acm.org/doi/",'Sheridan Main'!A830)</f>
        <v>https://dl.acm.org/doi/10.1145/3774904.3792935</v>
      </c>
    </row>
    <row r="831">
      <c r="A831" s="169" t="s">
        <v>2104</v>
      </c>
      <c r="B831" s="169" t="s">
        <v>2105</v>
      </c>
      <c r="C831" s="170" t="str">
        <f>CONCATENATE("https://dl.acm.org/doi/",'Sheridan Main'!A831)</f>
        <v>https://dl.acm.org/doi/10.1145/3774904.3792936</v>
      </c>
    </row>
    <row r="832">
      <c r="A832" s="169" t="s">
        <v>2106</v>
      </c>
      <c r="B832" s="169" t="s">
        <v>2107</v>
      </c>
      <c r="C832" s="170" t="str">
        <f>CONCATENATE("https://dl.acm.org/doi/",'Sheridan Main'!A832)</f>
        <v>https://dl.acm.org/doi/10.1145/3774904.3792937</v>
      </c>
    </row>
    <row r="833">
      <c r="A833" s="169" t="s">
        <v>2108</v>
      </c>
      <c r="B833" s="169" t="s">
        <v>2109</v>
      </c>
      <c r="C833" s="170" t="str">
        <f>CONCATENATE("https://dl.acm.org/doi/",'Sheridan Main'!A833)</f>
        <v>https://dl.acm.org/doi/10.1145/3774904.3792938</v>
      </c>
    </row>
    <row r="834">
      <c r="A834" s="169" t="s">
        <v>2110</v>
      </c>
      <c r="B834" s="169" t="s">
        <v>2111</v>
      </c>
      <c r="C834" s="170" t="str">
        <f>CONCATENATE("https://dl.acm.org/doi/",'Sheridan Main'!A834)</f>
        <v>https://dl.acm.org/doi/10.1145/3774904.3792939</v>
      </c>
    </row>
    <row r="835">
      <c r="A835" s="169" t="s">
        <v>2112</v>
      </c>
      <c r="B835" s="169" t="s">
        <v>2113</v>
      </c>
      <c r="C835" s="170" t="str">
        <f>CONCATENATE("https://dl.acm.org/doi/",'Sheridan Main'!A835)</f>
        <v>https://dl.acm.org/doi/10.1145/3774904.3792940</v>
      </c>
    </row>
    <row r="836">
      <c r="A836" s="169" t="s">
        <v>2114</v>
      </c>
      <c r="B836" s="169" t="s">
        <v>2115</v>
      </c>
      <c r="C836" s="170" t="str">
        <f>CONCATENATE("https://dl.acm.org/doi/",'Sheridan Main'!A836)</f>
        <v>https://dl.acm.org/doi/10.1145/3774904.3792941</v>
      </c>
    </row>
    <row r="837">
      <c r="A837" s="169" t="s">
        <v>2116</v>
      </c>
      <c r="B837" s="169" t="s">
        <v>2117</v>
      </c>
      <c r="C837" s="170" t="str">
        <f>CONCATENATE("https://dl.acm.org/doi/",'Sheridan Main'!A837)</f>
        <v>https://dl.acm.org/doi/10.1145/3774904.3792942</v>
      </c>
    </row>
    <row r="838">
      <c r="A838" s="169" t="s">
        <v>2118</v>
      </c>
      <c r="B838" s="169" t="s">
        <v>2119</v>
      </c>
      <c r="C838" s="170" t="str">
        <f>CONCATENATE("https://dl.acm.org/doi/",'Sheridan Main'!A838)</f>
        <v>https://dl.acm.org/doi/10.1145/3774904.3792943</v>
      </c>
    </row>
    <row r="839">
      <c r="A839" s="169" t="s">
        <v>2120</v>
      </c>
      <c r="B839" s="169" t="s">
        <v>2121</v>
      </c>
      <c r="C839" s="170" t="str">
        <f>CONCATENATE("https://dl.acm.org/doi/",'Sheridan Main'!A839)</f>
        <v>https://dl.acm.org/doi/10.1145/3774904.3792944</v>
      </c>
    </row>
    <row r="840">
      <c r="A840" s="169" t="s">
        <v>2122</v>
      </c>
      <c r="B840" s="169" t="s">
        <v>2123</v>
      </c>
      <c r="C840" s="170" t="str">
        <f>CONCATENATE("https://dl.acm.org/doi/",'Sheridan Main'!A840)</f>
        <v>https://dl.acm.org/doi/10.1145/3774904.3792945</v>
      </c>
    </row>
    <row r="841">
      <c r="A841" s="169" t="s">
        <v>2124</v>
      </c>
      <c r="B841" s="169" t="s">
        <v>2125</v>
      </c>
      <c r="C841" s="170" t="str">
        <f>CONCATENATE("https://dl.acm.org/doi/",'Sheridan Main'!A841)</f>
        <v>https://dl.acm.org/doi/10.1145/3774904.3792946</v>
      </c>
    </row>
    <row r="842">
      <c r="A842" s="169" t="s">
        <v>2126</v>
      </c>
      <c r="B842" s="169" t="s">
        <v>2127</v>
      </c>
      <c r="C842" s="170" t="str">
        <f>CONCATENATE("https://dl.acm.org/doi/",'Sheridan Main'!A842)</f>
        <v>https://dl.acm.org/doi/10.1145/3774904.3792947</v>
      </c>
    </row>
    <row r="843">
      <c r="A843" s="169" t="s">
        <v>2128</v>
      </c>
      <c r="B843" s="169" t="s">
        <v>2129</v>
      </c>
      <c r="C843" s="170" t="str">
        <f>CONCATENATE("https://dl.acm.org/doi/",'Sheridan Main'!A843)</f>
        <v>https://dl.acm.org/doi/10.1145/3774904.3792948</v>
      </c>
    </row>
    <row r="844">
      <c r="A844" s="169" t="s">
        <v>2130</v>
      </c>
      <c r="B844" s="169" t="s">
        <v>2131</v>
      </c>
      <c r="C844" s="170" t="str">
        <f>CONCATENATE("https://dl.acm.org/doi/",'Sheridan Main'!A844)</f>
        <v>https://dl.acm.org/doi/10.1145/3774904.3792949</v>
      </c>
    </row>
    <row r="845">
      <c r="A845" s="169" t="s">
        <v>2132</v>
      </c>
      <c r="B845" s="169" t="s">
        <v>2133</v>
      </c>
      <c r="C845" s="170" t="str">
        <f>CONCATENATE("https://dl.acm.org/doi/",'Sheridan Main'!A845)</f>
        <v>https://dl.acm.org/doi/10.1145/3774904.3792950</v>
      </c>
    </row>
    <row r="846">
      <c r="A846" s="169" t="s">
        <v>2134</v>
      </c>
      <c r="B846" s="169" t="s">
        <v>2135</v>
      </c>
      <c r="C846" s="170" t="str">
        <f>CONCATENATE("https://dl.acm.org/doi/",'Sheridan Main'!A846)</f>
        <v>https://dl.acm.org/doi/10.1145/3774904.3792951</v>
      </c>
    </row>
    <row r="847">
      <c r="A847" s="169" t="s">
        <v>2136</v>
      </c>
      <c r="B847" s="169" t="s">
        <v>2137</v>
      </c>
      <c r="C847" s="170" t="str">
        <f>CONCATENATE("https://dl.acm.org/doi/",'Sheridan Main'!A847)</f>
        <v>https://dl.acm.org/doi/10.1145/3774904.3792952</v>
      </c>
    </row>
    <row r="848">
      <c r="A848" s="169" t="s">
        <v>2138</v>
      </c>
      <c r="B848" s="169" t="s">
        <v>2139</v>
      </c>
      <c r="C848" s="170" t="str">
        <f>CONCATENATE("https://dl.acm.org/doi/",'Sheridan Main'!A848)</f>
        <v>https://dl.acm.org/doi/10.1145/3774904.3792953</v>
      </c>
    </row>
    <row r="849">
      <c r="A849" s="169" t="s">
        <v>2140</v>
      </c>
      <c r="B849" s="169" t="s">
        <v>2141</v>
      </c>
      <c r="C849" s="170" t="str">
        <f>CONCATENATE("https://dl.acm.org/doi/",'Sheridan Main'!A849)</f>
        <v>https://dl.acm.org/doi/10.1145/3774904.3792954</v>
      </c>
    </row>
    <row r="850">
      <c r="A850" s="169" t="s">
        <v>2142</v>
      </c>
      <c r="B850" s="169" t="s">
        <v>2143</v>
      </c>
      <c r="C850" s="170" t="str">
        <f>CONCATENATE("https://dl.acm.org/doi/",'Sheridan Main'!A850)</f>
        <v>https://dl.acm.org/doi/10.1145/3774904.3792955</v>
      </c>
    </row>
    <row r="851">
      <c r="A851" s="169" t="s">
        <v>2144</v>
      </c>
      <c r="B851" s="169" t="s">
        <v>2145</v>
      </c>
      <c r="C851" s="170" t="str">
        <f>CONCATENATE("https://dl.acm.org/doi/",'Sheridan Main'!A851)</f>
        <v>https://dl.acm.org/doi/10.1145/3774904.3792956</v>
      </c>
    </row>
    <row r="852">
      <c r="A852" s="169" t="s">
        <v>2146</v>
      </c>
      <c r="B852" s="169" t="s">
        <v>2147</v>
      </c>
      <c r="C852" s="170" t="str">
        <f>CONCATENATE("https://dl.acm.org/doi/",'Sheridan Main'!A852)</f>
        <v>https://dl.acm.org/doi/10.1145/3774904.3792957</v>
      </c>
    </row>
    <row r="853">
      <c r="A853" s="169" t="s">
        <v>2148</v>
      </c>
      <c r="B853" s="169" t="s">
        <v>2149</v>
      </c>
      <c r="C853" s="170" t="str">
        <f>CONCATENATE("https://dl.acm.org/doi/",'Sheridan Main'!A853)</f>
        <v>https://dl.acm.org/doi/10.1145/3774904.3792958</v>
      </c>
    </row>
    <row r="854">
      <c r="A854" s="169" t="s">
        <v>2150</v>
      </c>
      <c r="B854" s="169" t="s">
        <v>2151</v>
      </c>
      <c r="C854" s="170" t="str">
        <f>CONCATENATE("https://dl.acm.org/doi/",'Sheridan Main'!A854)</f>
        <v>https://dl.acm.org/doi/10.1145/3774904.3792959</v>
      </c>
    </row>
    <row r="855">
      <c r="A855" s="169" t="s">
        <v>2152</v>
      </c>
      <c r="B855" s="169" t="s">
        <v>2153</v>
      </c>
      <c r="C855" s="170" t="str">
        <f>CONCATENATE("https://dl.acm.org/doi/",'Sheridan Main'!A855)</f>
        <v>https://dl.acm.org/doi/10.1145/3774904.3792960</v>
      </c>
    </row>
    <row r="856">
      <c r="A856" s="169" t="s">
        <v>2154</v>
      </c>
      <c r="B856" s="169" t="s">
        <v>2155</v>
      </c>
      <c r="C856" s="170" t="str">
        <f>CONCATENATE("https://dl.acm.org/doi/",'Sheridan Main'!A856)</f>
        <v>https://dl.acm.org/doi/10.1145/3774904.3792961</v>
      </c>
    </row>
    <row r="857">
      <c r="A857" s="169" t="s">
        <v>2156</v>
      </c>
      <c r="B857" s="169" t="s">
        <v>2157</v>
      </c>
      <c r="C857" s="170" t="str">
        <f>CONCATENATE("https://dl.acm.org/doi/",'Sheridan Main'!A857)</f>
        <v>https://dl.acm.org/doi/10.1145/3774904.3792962</v>
      </c>
    </row>
    <row r="858">
      <c r="A858" s="169" t="s">
        <v>2158</v>
      </c>
      <c r="B858" s="169" t="s">
        <v>2159</v>
      </c>
      <c r="C858" s="170" t="str">
        <f>CONCATENATE("https://dl.acm.org/doi/",'Sheridan Main'!A858)</f>
        <v>https://dl.acm.org/doi/10.1145/3774904.3792963</v>
      </c>
    </row>
    <row r="859">
      <c r="A859" s="169" t="s">
        <v>2160</v>
      </c>
      <c r="B859" s="169" t="s">
        <v>2161</v>
      </c>
      <c r="C859" s="170" t="str">
        <f>CONCATENATE("https://dl.acm.org/doi/",'Sheridan Main'!A859)</f>
        <v>https://dl.acm.org/doi/10.1145/3774904.3792964</v>
      </c>
    </row>
    <row r="860">
      <c r="A860" s="169" t="s">
        <v>2162</v>
      </c>
      <c r="B860" s="169" t="s">
        <v>2163</v>
      </c>
      <c r="C860" s="170" t="str">
        <f>CONCATENATE("https://dl.acm.org/doi/",'Sheridan Main'!A860)</f>
        <v>https://dl.acm.org/doi/10.1145/3774904.3792965</v>
      </c>
    </row>
    <row r="861">
      <c r="A861" s="169" t="s">
        <v>2164</v>
      </c>
      <c r="B861" s="169" t="s">
        <v>2165</v>
      </c>
      <c r="C861" s="170" t="str">
        <f>CONCATENATE("https://dl.acm.org/doi/",'Sheridan Main'!A861)</f>
        <v>https://dl.acm.org/doi/10.1145/3774904.3792966</v>
      </c>
    </row>
    <row r="862">
      <c r="A862" s="169" t="s">
        <v>2166</v>
      </c>
      <c r="B862" s="169" t="s">
        <v>2167</v>
      </c>
      <c r="C862" s="170" t="str">
        <f>CONCATENATE("https://dl.acm.org/doi/",'Sheridan Main'!A862)</f>
        <v>https://dl.acm.org/doi/10.1145/3774904.3792967</v>
      </c>
    </row>
    <row r="863">
      <c r="A863" s="169" t="s">
        <v>2168</v>
      </c>
      <c r="B863" s="169" t="s">
        <v>2169</v>
      </c>
      <c r="C863" s="170" t="str">
        <f>CONCATENATE("https://dl.acm.org/doi/",'Sheridan Main'!A863)</f>
        <v>https://dl.acm.org/doi/10.1145/3774904.3792968</v>
      </c>
    </row>
    <row r="864">
      <c r="A864" s="169" t="s">
        <v>2170</v>
      </c>
      <c r="B864" s="169" t="s">
        <v>2171</v>
      </c>
      <c r="C864" s="170" t="str">
        <f>CONCATENATE("https://dl.acm.org/doi/",'Sheridan Main'!A864)</f>
        <v>https://dl.acm.org/doi/10.1145/3774904.3792969</v>
      </c>
    </row>
    <row r="865">
      <c r="A865" s="169" t="s">
        <v>2172</v>
      </c>
      <c r="B865" s="169" t="s">
        <v>2173</v>
      </c>
      <c r="C865" s="170" t="str">
        <f>CONCATENATE("https://dl.acm.org/doi/",'Sheridan Main'!A865)</f>
        <v>https://dl.acm.org/doi/10.1145/3774904.3792970</v>
      </c>
    </row>
    <row r="866">
      <c r="A866" s="169" t="s">
        <v>2174</v>
      </c>
      <c r="B866" s="169" t="s">
        <v>2175</v>
      </c>
      <c r="C866" s="170" t="str">
        <f>CONCATENATE("https://dl.acm.org/doi/",'Sheridan Main'!A866)</f>
        <v>https://dl.acm.org/doi/10.1145/3774904.3792971</v>
      </c>
    </row>
    <row r="867">
      <c r="A867" s="169" t="s">
        <v>2176</v>
      </c>
      <c r="B867" s="169" t="s">
        <v>2177</v>
      </c>
      <c r="C867" s="170" t="str">
        <f>CONCATENATE("https://dl.acm.org/doi/",'Sheridan Main'!A867)</f>
        <v>https://dl.acm.org/doi/10.1145/3774904.3792972</v>
      </c>
    </row>
    <row r="868">
      <c r="A868" s="169" t="s">
        <v>2178</v>
      </c>
      <c r="B868" s="169" t="s">
        <v>2179</v>
      </c>
      <c r="C868" s="170" t="str">
        <f>CONCATENATE("https://dl.acm.org/doi/",'Sheridan Main'!A868)</f>
        <v>https://dl.acm.org/doi/10.1145/3774904.3792973</v>
      </c>
    </row>
    <row r="869">
      <c r="A869" s="169" t="s">
        <v>2180</v>
      </c>
      <c r="B869" s="169" t="s">
        <v>2181</v>
      </c>
      <c r="C869" s="170" t="str">
        <f>CONCATENATE("https://dl.acm.org/doi/",'Sheridan Main'!A869)</f>
        <v>https://dl.acm.org/doi/10.1145/3774904.3792974</v>
      </c>
    </row>
    <row r="870">
      <c r="A870" s="169" t="s">
        <v>2182</v>
      </c>
      <c r="B870" s="169" t="s">
        <v>2183</v>
      </c>
      <c r="C870" s="170" t="str">
        <f>CONCATENATE("https://dl.acm.org/doi/",'Sheridan Main'!A870)</f>
        <v>https://dl.acm.org/doi/10.1145/3774904.3792975</v>
      </c>
    </row>
    <row r="871">
      <c r="A871" s="169" t="s">
        <v>2184</v>
      </c>
      <c r="B871" s="169" t="s">
        <v>2185</v>
      </c>
      <c r="C871" s="170" t="str">
        <f>CONCATENATE("https://dl.acm.org/doi/",'Sheridan Main'!A871)</f>
        <v>https://dl.acm.org/doi/10.1145/3774904.3792976</v>
      </c>
    </row>
    <row r="872">
      <c r="A872" s="169" t="s">
        <v>2186</v>
      </c>
      <c r="B872" s="169" t="s">
        <v>2187</v>
      </c>
      <c r="C872" s="170" t="str">
        <f>CONCATENATE("https://dl.acm.org/doi/",'Sheridan Main'!A872)</f>
        <v>https://dl.acm.org/doi/10.1145/3774904.3792977</v>
      </c>
    </row>
    <row r="873">
      <c r="A873" s="169" t="s">
        <v>2188</v>
      </c>
      <c r="B873" s="169" t="s">
        <v>2189</v>
      </c>
      <c r="C873" s="170" t="str">
        <f>CONCATENATE("https://dl.acm.org/doi/",'Sheridan Main'!A873)</f>
        <v>https://dl.acm.org/doi/10.1145/3774904.3792978</v>
      </c>
    </row>
    <row r="874">
      <c r="A874" s="169" t="s">
        <v>2190</v>
      </c>
      <c r="B874" s="169" t="s">
        <v>2191</v>
      </c>
      <c r="C874" s="170" t="str">
        <f>CONCATENATE("https://dl.acm.org/doi/",'Sheridan Main'!A874)</f>
        <v>https://dl.acm.org/doi/10.1145/3774904.3792979</v>
      </c>
    </row>
    <row r="875">
      <c r="A875" s="169" t="s">
        <v>2192</v>
      </c>
      <c r="B875" s="169" t="s">
        <v>2193</v>
      </c>
      <c r="C875" s="170" t="str">
        <f>CONCATENATE("https://dl.acm.org/doi/",'Sheridan Main'!A875)</f>
        <v>https://dl.acm.org/doi/10.1145/3774904.3792980</v>
      </c>
    </row>
    <row r="876">
      <c r="A876" s="169" t="s">
        <v>2194</v>
      </c>
      <c r="B876" s="169" t="s">
        <v>2195</v>
      </c>
      <c r="C876" s="170" t="str">
        <f>CONCATENATE("https://dl.acm.org/doi/",'Sheridan Main'!A876)</f>
        <v>https://dl.acm.org/doi/10.1145/3774904.3792981</v>
      </c>
    </row>
    <row r="877">
      <c r="A877" s="169" t="s">
        <v>2196</v>
      </c>
      <c r="B877" s="169" t="s">
        <v>2197</v>
      </c>
      <c r="C877" s="170" t="str">
        <f>CONCATENATE("https://dl.acm.org/doi/",'Sheridan Main'!A877)</f>
        <v>https://dl.acm.org/doi/10.1145/3774904.3792982</v>
      </c>
    </row>
    <row r="878">
      <c r="A878" s="169" t="s">
        <v>2198</v>
      </c>
      <c r="B878" s="169" t="s">
        <v>2199</v>
      </c>
      <c r="C878" s="170" t="str">
        <f>CONCATENATE("https://dl.acm.org/doi/",'Sheridan Main'!A878)</f>
        <v>https://dl.acm.org/doi/10.1145/3774904.3792983</v>
      </c>
    </row>
    <row r="879">
      <c r="A879" s="169" t="s">
        <v>2200</v>
      </c>
      <c r="B879" s="169" t="s">
        <v>2201</v>
      </c>
      <c r="C879" s="170" t="str">
        <f>CONCATENATE("https://dl.acm.org/doi/",'Sheridan Main'!A879)</f>
        <v>https://dl.acm.org/doi/10.1145/3774904.3792984</v>
      </c>
    </row>
    <row r="880">
      <c r="A880" s="169" t="s">
        <v>2202</v>
      </c>
      <c r="B880" s="169" t="s">
        <v>2203</v>
      </c>
      <c r="C880" s="170" t="str">
        <f>CONCATENATE("https://dl.acm.org/doi/",'Sheridan Main'!A880)</f>
        <v>https://dl.acm.org/doi/10.1145/3774904.3792985</v>
      </c>
    </row>
    <row r="881">
      <c r="A881" s="169" t="s">
        <v>2202</v>
      </c>
      <c r="B881" s="169" t="s">
        <v>2203</v>
      </c>
      <c r="C881" s="170" t="str">
        <f>CONCATENATE("https://dl.acm.org/doi/",'Sheridan Main'!A881)</f>
        <v>https://dl.acm.org/doi/10.1145/3774904.3792985</v>
      </c>
    </row>
    <row r="882">
      <c r="A882" s="169" t="s">
        <v>2204</v>
      </c>
      <c r="B882" s="169" t="s">
        <v>2205</v>
      </c>
      <c r="C882" s="170" t="str">
        <f>CONCATENATE("https://dl.acm.org/doi/",'Sheridan Main'!A882)</f>
        <v>https://dl.acm.org/doi/10.1145/3774904.3792986</v>
      </c>
    </row>
    <row r="883">
      <c r="A883" s="169" t="s">
        <v>2206</v>
      </c>
      <c r="B883" s="169" t="s">
        <v>2207</v>
      </c>
      <c r="C883" s="170" t="str">
        <f>CONCATENATE("https://dl.acm.org/doi/",'Sheridan Main'!A883)</f>
        <v>https://dl.acm.org/doi/10.1145/3774904.3792987</v>
      </c>
    </row>
    <row r="884">
      <c r="A884" s="169" t="s">
        <v>2208</v>
      </c>
      <c r="B884" s="169" t="s">
        <v>2209</v>
      </c>
      <c r="C884" s="170" t="str">
        <f>CONCATENATE("https://dl.acm.org/doi/",'Sheridan Main'!A884)</f>
        <v>https://dl.acm.org/doi/10.1145/3774904.3792988</v>
      </c>
    </row>
    <row r="885">
      <c r="A885" s="169" t="s">
        <v>2210</v>
      </c>
      <c r="B885" s="169" t="s">
        <v>2211</v>
      </c>
      <c r="C885" s="170" t="str">
        <f>CONCATENATE("https://dl.acm.org/doi/",'Sheridan Main'!A885)</f>
        <v>https://dl.acm.org/doi/10.1145/3774904.3792989</v>
      </c>
    </row>
    <row r="886">
      <c r="A886" s="169" t="s">
        <v>2212</v>
      </c>
      <c r="B886" s="169" t="s">
        <v>2213</v>
      </c>
      <c r="C886" s="170" t="str">
        <f>CONCATENATE("https://dl.acm.org/doi/",'Sheridan Main'!A886)</f>
        <v>https://dl.acm.org/doi/10.1145/3774904.3792990</v>
      </c>
    </row>
    <row r="887">
      <c r="A887" s="169" t="s">
        <v>2214</v>
      </c>
      <c r="B887" s="169" t="s">
        <v>2215</v>
      </c>
      <c r="C887" s="170" t="str">
        <f>CONCATENATE("https://dl.acm.org/doi/",'Sheridan Main'!A887)</f>
        <v>https://dl.acm.org/doi/10.1145/3774904.3792991</v>
      </c>
    </row>
    <row r="888">
      <c r="A888" s="169" t="s">
        <v>2216</v>
      </c>
      <c r="B888" s="169" t="s">
        <v>2217</v>
      </c>
      <c r="C888" s="170" t="str">
        <f>CONCATENATE("https://dl.acm.org/doi/",'Sheridan Main'!A888)</f>
        <v>https://dl.acm.org/doi/10.1145/3774904.3792992</v>
      </c>
    </row>
    <row r="889">
      <c r="A889" s="169" t="s">
        <v>2218</v>
      </c>
      <c r="B889" s="169" t="s">
        <v>2219</v>
      </c>
      <c r="C889" s="170" t="str">
        <f>CONCATENATE("https://dl.acm.org/doi/",'Sheridan Main'!A889)</f>
        <v>https://dl.acm.org/doi/10.1145/3774904.3792993</v>
      </c>
    </row>
    <row r="890">
      <c r="A890" s="169" t="s">
        <v>2220</v>
      </c>
      <c r="B890" s="169" t="s">
        <v>2221</v>
      </c>
      <c r="C890" s="170" t="str">
        <f>CONCATENATE("https://dl.acm.org/doi/",'Sheridan Main'!A890)</f>
        <v>https://dl.acm.org/doi/10.1145/3774904.3792994</v>
      </c>
    </row>
    <row r="891">
      <c r="A891" s="169" t="s">
        <v>2222</v>
      </c>
      <c r="B891" s="169" t="s">
        <v>2223</v>
      </c>
      <c r="C891" s="170" t="str">
        <f>CONCATENATE("https://dl.acm.org/doi/",'Sheridan Main'!A891)</f>
        <v>https://dl.acm.org/doi/10.1145/3774904.3792995</v>
      </c>
    </row>
    <row r="892">
      <c r="A892" s="169" t="s">
        <v>2224</v>
      </c>
      <c r="B892" s="169" t="s">
        <v>2225</v>
      </c>
      <c r="C892" s="170" t="str">
        <f>CONCATENATE("https://dl.acm.org/doi/",'Sheridan Main'!A892)</f>
        <v>https://dl.acm.org/doi/10.1145/3774904.3792996</v>
      </c>
    </row>
    <row r="893">
      <c r="A893" s="169" t="s">
        <v>2226</v>
      </c>
      <c r="B893" s="169" t="s">
        <v>2227</v>
      </c>
      <c r="C893" s="170" t="str">
        <f>CONCATENATE("https://dl.acm.org/doi/",'Sheridan Main'!A893)</f>
        <v>https://dl.acm.org/doi/10.1145/3774904.3792997</v>
      </c>
    </row>
    <row r="894">
      <c r="A894" s="169" t="s">
        <v>2228</v>
      </c>
      <c r="B894" s="169" t="s">
        <v>2229</v>
      </c>
      <c r="C894" s="170" t="str">
        <f>CONCATENATE("https://dl.acm.org/doi/",'Sheridan Main'!A894)</f>
        <v>https://dl.acm.org/doi/10.1145/3774904.3792998</v>
      </c>
    </row>
    <row r="895">
      <c r="A895" s="169" t="s">
        <v>2230</v>
      </c>
      <c r="B895" s="169" t="s">
        <v>2231</v>
      </c>
      <c r="C895" s="170" t="str">
        <f>CONCATENATE("https://dl.acm.org/doi/",'Sheridan Main'!A895)</f>
        <v>https://dl.acm.org/doi/10.1145/3774904.3792999</v>
      </c>
    </row>
    <row r="896">
      <c r="A896" s="169" t="s">
        <v>2232</v>
      </c>
      <c r="B896" s="169" t="s">
        <v>2233</v>
      </c>
      <c r="C896" s="170" t="str">
        <f>CONCATENATE("https://dl.acm.org/doi/",'Sheridan Main'!A896)</f>
        <v>https://dl.acm.org/doi/10.1145/3774904.3793000</v>
      </c>
    </row>
    <row r="897">
      <c r="A897" s="169" t="s">
        <v>2234</v>
      </c>
      <c r="B897" s="169" t="s">
        <v>2235</v>
      </c>
      <c r="C897" s="170" t="str">
        <f>CONCATENATE("https://dl.acm.org/doi/",'Sheridan Main'!A897)</f>
        <v>https://dl.acm.org/doi/10.1145/3774904.3793001</v>
      </c>
    </row>
    <row r="898">
      <c r="A898" s="169" t="s">
        <v>2236</v>
      </c>
      <c r="B898" s="169" t="s">
        <v>2237</v>
      </c>
      <c r="C898" s="170" t="str">
        <f>CONCATENATE("https://dl.acm.org/doi/",'Sheridan Main'!A898)</f>
        <v>https://dl.acm.org/doi/10.1145/3774904.3793002</v>
      </c>
    </row>
    <row r="899">
      <c r="A899" s="169" t="s">
        <v>2238</v>
      </c>
      <c r="B899" s="169" t="s">
        <v>2239</v>
      </c>
      <c r="C899" s="170" t="str">
        <f>CONCATENATE("https://dl.acm.org/doi/",'Sheridan Main'!A899)</f>
        <v>https://dl.acm.org/doi/10.1145/3774904.3793003</v>
      </c>
    </row>
    <row r="900">
      <c r="A900" s="169" t="s">
        <v>2240</v>
      </c>
      <c r="B900" s="169" t="s">
        <v>2241</v>
      </c>
      <c r="C900" s="170" t="str">
        <f>CONCATENATE("https://dl.acm.org/doi/",'Sheridan Main'!A900)</f>
        <v>https://dl.acm.org/doi/10.1145/3774904.3793004</v>
      </c>
    </row>
    <row r="901">
      <c r="A901" s="169" t="s">
        <v>2242</v>
      </c>
      <c r="B901" s="169" t="s">
        <v>2243</v>
      </c>
      <c r="C901" s="170" t="str">
        <f>CONCATENATE("https://dl.acm.org/doi/",'Sheridan Main'!A901)</f>
        <v>https://dl.acm.org/doi/10.1145/3774904.3793005</v>
      </c>
    </row>
    <row r="902">
      <c r="A902" s="169" t="s">
        <v>2244</v>
      </c>
      <c r="B902" s="169" t="s">
        <v>2245</v>
      </c>
      <c r="C902" s="170" t="str">
        <f>CONCATENATE("https://dl.acm.org/doi/",'Sheridan Main'!A902)</f>
        <v>https://dl.acm.org/doi/10.1145/3774904.3793006</v>
      </c>
    </row>
    <row r="903">
      <c r="A903" s="169" t="s">
        <v>2246</v>
      </c>
      <c r="B903" s="169" t="s">
        <v>2247</v>
      </c>
      <c r="C903" s="170" t="str">
        <f>CONCATENATE("https://dl.acm.org/doi/",'Sheridan Main'!A903)</f>
        <v>https://dl.acm.org/doi/10.1145/3774904.3793007</v>
      </c>
    </row>
    <row r="904">
      <c r="A904" s="169" t="s">
        <v>2248</v>
      </c>
      <c r="B904" s="169" t="s">
        <v>2249</v>
      </c>
      <c r="C904" s="170" t="str">
        <f>CONCATENATE("https://dl.acm.org/doi/",'Sheridan Main'!A904)</f>
        <v>https://dl.acm.org/doi/10.1145/3774904.3793008</v>
      </c>
    </row>
    <row r="905">
      <c r="A905" s="169" t="s">
        <v>2250</v>
      </c>
      <c r="B905" s="169" t="s">
        <v>2251</v>
      </c>
      <c r="C905" s="170" t="str">
        <f>CONCATENATE("https://dl.acm.org/doi/",'Sheridan Main'!A905)</f>
        <v>https://dl.acm.org/doi/10.1145/3774904.3793009</v>
      </c>
    </row>
    <row r="906">
      <c r="A906" s="169" t="s">
        <v>2252</v>
      </c>
      <c r="B906" s="169" t="s">
        <v>2253</v>
      </c>
      <c r="C906" s="170" t="str">
        <f>CONCATENATE("https://dl.acm.org/doi/",'Sheridan Main'!A906)</f>
        <v>https://dl.acm.org/doi/10.1145/3774904.3793010</v>
      </c>
    </row>
    <row r="907">
      <c r="A907" s="169" t="s">
        <v>2254</v>
      </c>
      <c r="B907" s="169" t="s">
        <v>2255</v>
      </c>
      <c r="C907" s="170" t="str">
        <f>CONCATENATE("https://dl.acm.org/doi/",'Sheridan Main'!A907)</f>
        <v>https://dl.acm.org/doi/10.1145/3774904.3793011</v>
      </c>
    </row>
    <row r="908">
      <c r="A908" s="169" t="s">
        <v>2256</v>
      </c>
      <c r="B908" s="169" t="s">
        <v>2257</v>
      </c>
      <c r="C908" s="170" t="str">
        <f>CONCATENATE("https://dl.acm.org/doi/",'Sheridan Main'!A908)</f>
        <v>https://dl.acm.org/doi/10.1145/3774904.3793012</v>
      </c>
    </row>
    <row r="909">
      <c r="A909" s="169" t="s">
        <v>2258</v>
      </c>
      <c r="B909" s="169" t="s">
        <v>2259</v>
      </c>
      <c r="C909" s="170" t="str">
        <f>CONCATENATE("https://dl.acm.org/doi/",'Sheridan Main'!A909)</f>
        <v>https://dl.acm.org/doi/10.1145/3774904.3793013</v>
      </c>
    </row>
    <row r="910">
      <c r="A910" s="169" t="s">
        <v>2260</v>
      </c>
      <c r="B910" s="169" t="s">
        <v>2261</v>
      </c>
      <c r="C910" s="170" t="str">
        <f>CONCATENATE("https://dl.acm.org/doi/",'Sheridan Main'!A910)</f>
        <v>https://dl.acm.org/doi/10.1145/3774904.3793014</v>
      </c>
    </row>
    <row r="911">
      <c r="A911" s="169" t="s">
        <v>2262</v>
      </c>
      <c r="B911" s="169" t="s">
        <v>2263</v>
      </c>
      <c r="C911" s="170" t="str">
        <f>CONCATENATE("https://dl.acm.org/doi/",'Sheridan Main'!A911)</f>
        <v>https://dl.acm.org/doi/10.1145/3774904.3793015</v>
      </c>
    </row>
    <row r="912">
      <c r="A912" s="169" t="s">
        <v>2264</v>
      </c>
      <c r="B912" s="169" t="s">
        <v>2265</v>
      </c>
      <c r="C912" s="170" t="str">
        <f>CONCATENATE("https://dl.acm.org/doi/",'Sheridan Main'!A912)</f>
        <v>https://dl.acm.org/doi/10.1145/3774904.3793016</v>
      </c>
    </row>
    <row r="913">
      <c r="A913" s="169" t="s">
        <v>2266</v>
      </c>
      <c r="B913" s="169" t="s">
        <v>2267</v>
      </c>
      <c r="C913" s="170" t="str">
        <f>CONCATENATE("https://dl.acm.org/doi/",'Sheridan Main'!A913)</f>
        <v>https://dl.acm.org/doi/10.1145/3774904.3793017</v>
      </c>
    </row>
    <row r="914">
      <c r="A914" s="169" t="s">
        <v>2268</v>
      </c>
      <c r="B914" s="169" t="s">
        <v>2269</v>
      </c>
      <c r="C914" s="170" t="str">
        <f>CONCATENATE("https://dl.acm.org/doi/",'Sheridan Main'!A914)</f>
        <v>https://dl.acm.org/doi/10.1145/3774904.3793018</v>
      </c>
    </row>
    <row r="915">
      <c r="A915" s="169" t="s">
        <v>2270</v>
      </c>
      <c r="B915" s="169" t="s">
        <v>2271</v>
      </c>
      <c r="C915" s="170" t="str">
        <f>CONCATENATE("https://dl.acm.org/doi/",'Sheridan Main'!A915)</f>
        <v>https://dl.acm.org/doi/10.1145/3774904.3793019</v>
      </c>
    </row>
    <row r="916">
      <c r="A916" s="169" t="s">
        <v>2272</v>
      </c>
      <c r="B916" s="169" t="s">
        <v>2273</v>
      </c>
      <c r="C916" s="170" t="str">
        <f>CONCATENATE("https://dl.acm.org/doi/",'Sheridan Main'!A916)</f>
        <v>https://dl.acm.org/doi/10.1145/3774904.3793020</v>
      </c>
    </row>
    <row r="917">
      <c r="A917" s="169" t="s">
        <v>2274</v>
      </c>
      <c r="B917" s="169" t="s">
        <v>2275</v>
      </c>
      <c r="C917" s="170" t="str">
        <f>CONCATENATE("https://dl.acm.org/doi/",'Sheridan Main'!A917)</f>
        <v>https://dl.acm.org/doi/10.1145/3774904.3793021</v>
      </c>
    </row>
    <row r="918">
      <c r="A918" s="169" t="s">
        <v>2276</v>
      </c>
      <c r="B918" s="169" t="s">
        <v>2277</v>
      </c>
      <c r="C918" s="170" t="str">
        <f>CONCATENATE("https://dl.acm.org/doi/",'Sheridan Main'!A918)</f>
        <v>https://dl.acm.org/doi/10.1145/3774904.3793022</v>
      </c>
    </row>
    <row r="919">
      <c r="A919" s="169" t="s">
        <v>2278</v>
      </c>
      <c r="B919" s="169" t="s">
        <v>2279</v>
      </c>
      <c r="C919" s="170" t="str">
        <f>CONCATENATE("https://dl.acm.org/doi/",'Sheridan Main'!A919)</f>
        <v>https://dl.acm.org/doi/10.1145/3774904.3793023</v>
      </c>
    </row>
    <row r="920">
      <c r="A920" s="169" t="s">
        <v>2280</v>
      </c>
      <c r="B920" s="169" t="s">
        <v>2281</v>
      </c>
      <c r="C920" s="170" t="str">
        <f>CONCATENATE("https://dl.acm.org/doi/",'Sheridan Main'!A920)</f>
        <v>https://dl.acm.org/doi/10.1145/3774904.3793024</v>
      </c>
    </row>
    <row r="921">
      <c r="A921" s="169" t="s">
        <v>2282</v>
      </c>
      <c r="B921" s="169" t="s">
        <v>2283</v>
      </c>
      <c r="C921" s="170" t="str">
        <f>CONCATENATE("https://dl.acm.org/doi/",'Sheridan Main'!A921)</f>
        <v>https://dl.acm.org/doi/10.1145/3774904.3793025</v>
      </c>
    </row>
    <row r="922">
      <c r="A922" s="169" t="s">
        <v>2284</v>
      </c>
      <c r="B922" s="169" t="s">
        <v>2285</v>
      </c>
      <c r="C922" s="170" t="str">
        <f>CONCATENATE("https://dl.acm.org/doi/",'Sheridan Main'!A922)</f>
        <v>https://dl.acm.org/doi/10.1145/3774904.3793026</v>
      </c>
    </row>
    <row r="923">
      <c r="A923" s="169" t="s">
        <v>2286</v>
      </c>
      <c r="B923" s="169" t="s">
        <v>2287</v>
      </c>
      <c r="C923" s="170" t="str">
        <f>CONCATENATE("https://dl.acm.org/doi/",'Sheridan Main'!A923)</f>
        <v>https://dl.acm.org/doi/10.1145/3774904.3793027</v>
      </c>
    </row>
    <row r="924">
      <c r="A924" s="169" t="s">
        <v>2288</v>
      </c>
      <c r="B924" s="169" t="s">
        <v>2289</v>
      </c>
      <c r="C924" s="170" t="str">
        <f>CONCATENATE("https://dl.acm.org/doi/",'Sheridan Main'!A924)</f>
        <v>https://dl.acm.org/doi/10.1145/3774904.3793028</v>
      </c>
    </row>
    <row r="925">
      <c r="A925" s="169" t="s">
        <v>2290</v>
      </c>
      <c r="B925" s="169" t="s">
        <v>2291</v>
      </c>
      <c r="C925" s="170" t="str">
        <f>CONCATENATE("https://dl.acm.org/doi/",'Sheridan Main'!A925)</f>
        <v>https://dl.acm.org/doi/10.1145/3774904.3793029</v>
      </c>
    </row>
    <row r="926">
      <c r="A926" s="169" t="s">
        <v>2292</v>
      </c>
      <c r="B926" s="169" t="s">
        <v>2293</v>
      </c>
      <c r="C926" s="170" t="str">
        <f>CONCATENATE("https://dl.acm.org/doi/",'Sheridan Main'!A926)</f>
        <v>https://dl.acm.org/doi/10.1145/3774904.3793030</v>
      </c>
    </row>
    <row r="927">
      <c r="A927" s="169" t="s">
        <v>2294</v>
      </c>
      <c r="B927" s="169" t="s">
        <v>2295</v>
      </c>
      <c r="C927" s="170" t="str">
        <f>CONCATENATE("https://dl.acm.org/doi/",'Sheridan Main'!A927)</f>
        <v>https://dl.acm.org/doi/10.1145/3774904.3793031</v>
      </c>
    </row>
    <row r="928">
      <c r="A928" s="169" t="s">
        <v>2296</v>
      </c>
      <c r="B928" s="169" t="s">
        <v>2297</v>
      </c>
      <c r="C928" s="170" t="str">
        <f>CONCATENATE("https://dl.acm.org/doi/",'Sheridan Main'!A928)</f>
        <v>https://dl.acm.org/doi/10.1145/3774904.3793032</v>
      </c>
    </row>
    <row r="929">
      <c r="A929" s="169" t="s">
        <v>2298</v>
      </c>
      <c r="B929" s="169" t="s">
        <v>2299</v>
      </c>
      <c r="C929" s="170" t="str">
        <f>CONCATENATE("https://dl.acm.org/doi/",'Sheridan Main'!A929)</f>
        <v>https://dl.acm.org/doi/10.1145/3774904.3793033</v>
      </c>
    </row>
    <row r="930">
      <c r="A930" s="169" t="s">
        <v>2300</v>
      </c>
      <c r="B930" s="169" t="s">
        <v>2301</v>
      </c>
      <c r="C930" s="170" t="str">
        <f>CONCATENATE("https://dl.acm.org/doi/",'Sheridan Main'!A930)</f>
        <v>https://dl.acm.org/doi/10.1145/3774904.3793034</v>
      </c>
    </row>
    <row r="931">
      <c r="A931" s="169" t="s">
        <v>2300</v>
      </c>
      <c r="B931" s="169" t="s">
        <v>2301</v>
      </c>
      <c r="C931" s="170" t="str">
        <f>CONCATENATE("https://dl.acm.org/doi/",'Sheridan Main'!A931)</f>
        <v>https://dl.acm.org/doi/10.1145/3774904.3793034</v>
      </c>
    </row>
    <row r="932">
      <c r="A932" s="169" t="s">
        <v>2302</v>
      </c>
      <c r="B932" s="169" t="s">
        <v>2303</v>
      </c>
      <c r="C932" s="170" t="str">
        <f>CONCATENATE("https://dl.acm.org/doi/",'Sheridan Main'!A932)</f>
        <v>https://dl.acm.org/doi/10.1145/3774904.3793035</v>
      </c>
    </row>
    <row r="933">
      <c r="A933" s="169" t="s">
        <v>2304</v>
      </c>
      <c r="B933" s="169" t="s">
        <v>2305</v>
      </c>
      <c r="C933" s="170" t="str">
        <f>CONCATENATE("https://dl.acm.org/doi/",'Sheridan Main'!A933)</f>
        <v>https://dl.acm.org/doi/10.1145/3774904.3793036</v>
      </c>
    </row>
    <row r="934">
      <c r="A934" s="169" t="s">
        <v>2306</v>
      </c>
      <c r="B934" s="169" t="s">
        <v>2307</v>
      </c>
      <c r="C934" s="170" t="str">
        <f>CONCATENATE("https://dl.acm.org/doi/",'Sheridan Main'!A934)</f>
        <v>https://dl.acm.org/doi/10.1145/3774904.3793037</v>
      </c>
    </row>
    <row r="935">
      <c r="A935" s="169" t="s">
        <v>2308</v>
      </c>
      <c r="B935" s="169" t="s">
        <v>2309</v>
      </c>
      <c r="C935" s="170" t="str">
        <f>CONCATENATE("https://dl.acm.org/doi/",'Sheridan Main'!A935)</f>
        <v>https://dl.acm.org/doi/10.1145/3774904.3793038</v>
      </c>
    </row>
    <row r="936">
      <c r="A936" s="169" t="s">
        <v>2310</v>
      </c>
      <c r="B936" s="169" t="s">
        <v>2311</v>
      </c>
      <c r="C936" s="170" t="str">
        <f>CONCATENATE("https://dl.acm.org/doi/",'Sheridan Main'!A936)</f>
        <v>https://dl.acm.org/doi/10.1145/3774904.3793039</v>
      </c>
    </row>
    <row r="937">
      <c r="A937" s="169" t="s">
        <v>2312</v>
      </c>
      <c r="B937" s="169" t="s">
        <v>2313</v>
      </c>
      <c r="C937" s="170" t="str">
        <f>CONCATENATE("https://dl.acm.org/doi/",'Sheridan Main'!A937)</f>
        <v>https://dl.acm.org/doi/10.1145/3774904.3793040</v>
      </c>
    </row>
    <row r="938">
      <c r="A938" s="169" t="s">
        <v>2314</v>
      </c>
      <c r="B938" s="169" t="s">
        <v>2315</v>
      </c>
      <c r="C938" s="170" t="str">
        <f>CONCATENATE("https://dl.acm.org/doi/",'Sheridan Main'!A938)</f>
        <v>https://dl.acm.org/doi/10.1145/3774904.3793041</v>
      </c>
    </row>
    <row r="939">
      <c r="A939" s="169" t="s">
        <v>2316</v>
      </c>
      <c r="B939" s="169" t="s">
        <v>2317</v>
      </c>
      <c r="C939" s="170" t="str">
        <f>CONCATENATE("https://dl.acm.org/doi/",'Sheridan Main'!A939)</f>
        <v>https://dl.acm.org/doi/10.1145/3774904.3793042</v>
      </c>
    </row>
    <row r="940">
      <c r="A940" s="169" t="s">
        <v>2318</v>
      </c>
      <c r="B940" s="169" t="s">
        <v>2319</v>
      </c>
      <c r="C940" s="170" t="str">
        <f>CONCATENATE("https://dl.acm.org/doi/",'Sheridan Main'!A940)</f>
        <v>https://dl.acm.org/doi/10.1145/3774904.3793043</v>
      </c>
    </row>
    <row r="941">
      <c r="A941" s="169" t="s">
        <v>2320</v>
      </c>
      <c r="B941" s="169" t="s">
        <v>2321</v>
      </c>
      <c r="C941" s="170" t="str">
        <f>CONCATENATE("https://dl.acm.org/doi/",'Sheridan Main'!A941)</f>
        <v>https://dl.acm.org/doi/10.1145/3774904.3793044</v>
      </c>
    </row>
    <row r="942">
      <c r="A942" s="169" t="s">
        <v>2322</v>
      </c>
      <c r="B942" s="169" t="s">
        <v>2323</v>
      </c>
      <c r="C942" s="170" t="str">
        <f>CONCATENATE("https://dl.acm.org/doi/",'Sheridan Main'!A942)</f>
        <v>https://dl.acm.org/doi/10.1145/3774904.3793045</v>
      </c>
    </row>
    <row r="943">
      <c r="A943" s="169" t="s">
        <v>2324</v>
      </c>
      <c r="B943" s="169" t="s">
        <v>2325</v>
      </c>
      <c r="C943" s="170" t="str">
        <f>CONCATENATE("https://dl.acm.org/doi/",'Sheridan Main'!A943)</f>
        <v>https://dl.acm.org/doi/10.1145/3774904.3793046</v>
      </c>
    </row>
    <row r="944">
      <c r="A944" s="169" t="s">
        <v>2326</v>
      </c>
      <c r="B944" s="169" t="s">
        <v>2327</v>
      </c>
      <c r="C944" s="170" t="str">
        <f>CONCATENATE("https://dl.acm.org/doi/",'Sheridan Main'!A944)</f>
        <v>https://dl.acm.org/doi/10.1145/3774904.3793047</v>
      </c>
    </row>
    <row r="945">
      <c r="A945" s="169" t="s">
        <v>2328</v>
      </c>
      <c r="B945" s="169" t="s">
        <v>2329</v>
      </c>
      <c r="C945" s="170" t="str">
        <f>CONCATENATE("https://dl.acm.org/doi/",'Sheridan Main'!A945)</f>
        <v>https://dl.acm.org/doi/10.1145/3774904.3793048</v>
      </c>
    </row>
    <row r="946">
      <c r="A946" s="169" t="s">
        <v>2330</v>
      </c>
      <c r="B946" s="169" t="s">
        <v>2331</v>
      </c>
      <c r="C946" s="170" t="str">
        <f>CONCATENATE("https://dl.acm.org/doi/",'Sheridan Main'!A946)</f>
        <v>https://dl.acm.org/doi/10.1145/3774904.3793049</v>
      </c>
    </row>
    <row r="947">
      <c r="A947" s="169" t="s">
        <v>2332</v>
      </c>
      <c r="B947" s="169" t="s">
        <v>2333</v>
      </c>
      <c r="C947" s="170" t="str">
        <f>CONCATENATE("https://dl.acm.org/doi/",'Sheridan Main'!A947)</f>
        <v>https://dl.acm.org/doi/10.1145/3774904.3793050</v>
      </c>
    </row>
    <row r="948">
      <c r="A948" s="169" t="s">
        <v>2334</v>
      </c>
      <c r="B948" s="169" t="s">
        <v>2335</v>
      </c>
      <c r="C948" s="170" t="str">
        <f>CONCATENATE("https://dl.acm.org/doi/",'Sheridan Main'!A948)</f>
        <v>https://dl.acm.org/doi/10.1145/3774904.3793051</v>
      </c>
    </row>
    <row r="949">
      <c r="A949" s="169" t="s">
        <v>2336</v>
      </c>
      <c r="B949" s="169" t="s">
        <v>2337</v>
      </c>
      <c r="C949" s="170" t="str">
        <f>CONCATENATE("https://dl.acm.org/doi/",'Sheridan Main'!A949)</f>
        <v>https://dl.acm.org/doi/10.1145/3774904.3793052</v>
      </c>
    </row>
    <row r="950">
      <c r="A950" s="169" t="s">
        <v>2338</v>
      </c>
      <c r="B950" s="169" t="s">
        <v>2339</v>
      </c>
      <c r="C950" s="170" t="str">
        <f>CONCATENATE("https://dl.acm.org/doi/",'Sheridan Main'!A950)</f>
        <v>https://dl.acm.org/doi/10.1145/3774904.3793053</v>
      </c>
    </row>
    <row r="951">
      <c r="A951" s="169" t="s">
        <v>2340</v>
      </c>
      <c r="B951" s="169" t="s">
        <v>2341</v>
      </c>
      <c r="C951" s="170" t="str">
        <f>CONCATENATE("https://dl.acm.org/doi/",'Sheridan Main'!A951)</f>
        <v>https://dl.acm.org/doi/10.1145/3774904.3793054</v>
      </c>
    </row>
    <row r="952">
      <c r="A952" s="169" t="s">
        <v>2342</v>
      </c>
      <c r="B952" s="169" t="s">
        <v>2343</v>
      </c>
      <c r="C952" s="170" t="str">
        <f>CONCATENATE("https://dl.acm.org/doi/",'Sheridan Main'!A952)</f>
        <v>https://dl.acm.org/doi/10.1145/3774904.3793055</v>
      </c>
    </row>
    <row r="953">
      <c r="A953" s="169" t="s">
        <v>2344</v>
      </c>
      <c r="B953" s="169" t="s">
        <v>2345</v>
      </c>
      <c r="C953" s="170" t="str">
        <f>CONCATENATE("https://dl.acm.org/doi/",'Sheridan Main'!A953)</f>
        <v>https://dl.acm.org/doi/10.1145/3774904.3793056</v>
      </c>
    </row>
    <row r="954">
      <c r="A954" s="169" t="s">
        <v>2346</v>
      </c>
      <c r="B954" s="169" t="s">
        <v>2347</v>
      </c>
      <c r="C954" s="170" t="str">
        <f>CONCATENATE("https://dl.acm.org/doi/",'Sheridan Main'!A954)</f>
        <v>https://dl.acm.org/doi/10.1145/3774904.3793057</v>
      </c>
    </row>
    <row r="955">
      <c r="A955" s="169" t="s">
        <v>2348</v>
      </c>
      <c r="B955" s="169" t="s">
        <v>2349</v>
      </c>
      <c r="C955" s="170" t="str">
        <f>CONCATENATE("https://dl.acm.org/doi/",'Sheridan Main'!A955)</f>
        <v>https://dl.acm.org/doi/10.1145/3774904.3793058</v>
      </c>
    </row>
    <row r="956">
      <c r="A956" s="169" t="s">
        <v>2350</v>
      </c>
      <c r="B956" s="169" t="s">
        <v>2351</v>
      </c>
      <c r="C956" s="170" t="str">
        <f>CONCATENATE("https://dl.acm.org/doi/",'Sheridan Main'!A956)</f>
        <v>https://dl.acm.org/doi/10.1145/3774904.3793059</v>
      </c>
    </row>
    <row r="957">
      <c r="A957" s="169" t="s">
        <v>2352</v>
      </c>
      <c r="B957" s="169" t="s">
        <v>2353</v>
      </c>
      <c r="C957" s="170" t="str">
        <f>CONCATENATE("https://dl.acm.org/doi/",'Sheridan Main'!A957)</f>
        <v>https://dl.acm.org/doi/10.1145/3774904.3793060</v>
      </c>
    </row>
    <row r="958">
      <c r="A958" s="169" t="s">
        <v>2354</v>
      </c>
      <c r="B958" s="169" t="s">
        <v>2355</v>
      </c>
      <c r="C958" s="170" t="str">
        <f>CONCATENATE("https://dl.acm.org/doi/",'Sheridan Main'!A958)</f>
        <v>https://dl.acm.org/doi/10.1145/3774904.3793061</v>
      </c>
    </row>
    <row r="959">
      <c r="A959" s="169" t="s">
        <v>2356</v>
      </c>
      <c r="B959" s="169" t="s">
        <v>2357</v>
      </c>
      <c r="C959" s="170" t="str">
        <f>CONCATENATE("https://dl.acm.org/doi/",'Sheridan Main'!A959)</f>
        <v>https://dl.acm.org/doi/10.1145/3774904.3793062</v>
      </c>
    </row>
    <row r="960">
      <c r="A960" s="169" t="s">
        <v>2358</v>
      </c>
      <c r="B960" s="169" t="s">
        <v>2359</v>
      </c>
      <c r="C960" s="170" t="str">
        <f>CONCATENATE("https://dl.acm.org/doi/",'Sheridan Main'!A960)</f>
        <v>https://dl.acm.org/doi/10.1145/3774904.3793805</v>
      </c>
    </row>
    <row r="961">
      <c r="A961" s="169" t="s">
        <v>2360</v>
      </c>
      <c r="B961" s="169" t="s">
        <v>2361</v>
      </c>
      <c r="C961" s="170" t="str">
        <f>CONCATENATE("https://dl.acm.org/doi/",'Sheridan Main'!A961)</f>
        <v>https://dl.acm.org/doi/10.1145/3774904.3795890</v>
      </c>
    </row>
    <row r="962">
      <c r="A962" s="169" t="s">
        <v>2362</v>
      </c>
      <c r="B962" s="169" t="s">
        <v>2363</v>
      </c>
      <c r="C962" s="170" t="str">
        <f>CONCATENATE("https://dl.acm.org/doi/",'Sheridan Main'!A962)</f>
        <v>https://dl.acm.org/doi/10.1145/3774904.3795891</v>
      </c>
    </row>
    <row r="963">
      <c r="A963" s="169"/>
      <c r="B963" s="169"/>
    </row>
    <row r="964">
      <c r="A964" s="169"/>
      <c r="B964" s="169"/>
    </row>
    <row r="965">
      <c r="A965" s="169"/>
      <c r="B965" s="169"/>
    </row>
    <row r="966">
      <c r="A966" s="169"/>
      <c r="B966" s="169"/>
    </row>
    <row r="967">
      <c r="A967" s="169"/>
      <c r="B967" s="169"/>
    </row>
    <row r="968">
      <c r="A968" s="169"/>
      <c r="B968" s="169"/>
    </row>
    <row r="969">
      <c r="A969" s="169"/>
      <c r="B969" s="169"/>
    </row>
    <row r="970">
      <c r="A970" s="169"/>
      <c r="B970" s="169"/>
    </row>
    <row r="971">
      <c r="A971" s="169"/>
      <c r="B971" s="169"/>
    </row>
    <row r="972">
      <c r="A972" s="169"/>
      <c r="B972" s="169"/>
    </row>
    <row r="973">
      <c r="A973" s="169"/>
      <c r="B973" s="169"/>
    </row>
    <row r="974">
      <c r="A974" s="169"/>
      <c r="B974" s="169"/>
    </row>
    <row r="975">
      <c r="A975" s="169"/>
      <c r="B975" s="169"/>
    </row>
    <row r="976">
      <c r="A976" s="169"/>
      <c r="B976" s="169"/>
    </row>
    <row r="977">
      <c r="A977" s="169"/>
      <c r="B977" s="169"/>
    </row>
    <row r="978">
      <c r="A978" s="169"/>
      <c r="B978" s="169"/>
    </row>
    <row r="979">
      <c r="A979" s="169"/>
      <c r="B979" s="169"/>
    </row>
    <row r="980">
      <c r="A980" s="169"/>
      <c r="B980" s="169"/>
    </row>
    <row r="981">
      <c r="A981" s="169"/>
      <c r="B981" s="169"/>
    </row>
    <row r="982">
      <c r="A982" s="169"/>
      <c r="B982" s="169"/>
    </row>
    <row r="983">
      <c r="A983" s="169"/>
      <c r="B983" s="169"/>
    </row>
    <row r="984">
      <c r="A984" s="169"/>
      <c r="B984" s="169"/>
    </row>
    <row r="985">
      <c r="A985" s="169"/>
      <c r="B985" s="169"/>
    </row>
    <row r="986">
      <c r="A986" s="169"/>
      <c r="B986" s="169"/>
    </row>
    <row r="987">
      <c r="A987" s="169"/>
      <c r="B987" s="169"/>
    </row>
    <row r="988">
      <c r="A988" s="169"/>
      <c r="B988" s="169"/>
    </row>
    <row r="989">
      <c r="A989" s="169"/>
      <c r="B989" s="169"/>
    </row>
    <row r="990">
      <c r="A990" s="169"/>
      <c r="B990" s="169"/>
    </row>
    <row r="991">
      <c r="A991" s="169"/>
      <c r="B991" s="169"/>
    </row>
    <row r="992">
      <c r="A992" s="169"/>
      <c r="B992" s="169"/>
    </row>
    <row r="993">
      <c r="A993" s="169"/>
      <c r="B993" s="169"/>
    </row>
    <row r="994">
      <c r="A994" s="169"/>
      <c r="B994" s="169"/>
    </row>
    <row r="995">
      <c r="A995" s="169"/>
      <c r="B995" s="169"/>
    </row>
    <row r="996">
      <c r="A996" s="169"/>
      <c r="B996" s="169"/>
    </row>
    <row r="997">
      <c r="A997" s="169"/>
      <c r="B997" s="169"/>
    </row>
    <row r="998">
      <c r="A998" s="169"/>
      <c r="B998" s="169"/>
    </row>
    <row r="999">
      <c r="A999" s="169"/>
      <c r="B999" s="169"/>
    </row>
    <row r="1000">
      <c r="A1000" s="169"/>
      <c r="B1000" s="169"/>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47.0"/>
  </cols>
  <sheetData>
    <row r="1">
      <c r="A1" s="169" t="str">
        <f t="array" ref="A1:A960">'Sheridan Comp'!C:C</f>
        <v>Manuscript ID</v>
      </c>
      <c r="B1" s="169" t="str">
        <f t="array" ref="B1:B960">'Sheridan Comp'!D:D</f>
        <v>Title of WWW Companion'26 Submission</v>
      </c>
    </row>
    <row r="2">
      <c r="A2" s="169" t="s">
        <v>2364</v>
      </c>
      <c r="B2" s="169" t="s">
        <v>2365</v>
      </c>
      <c r="C2" s="170" t="str">
        <f>CONCATENATE("https://dl.acm.org/doi/",'Sheridan Comp'!A2)</f>
        <v>https://dl.acm.org/doi/10.1145/3774905.3793103</v>
      </c>
    </row>
    <row r="3">
      <c r="A3" s="169" t="s">
        <v>2366</v>
      </c>
      <c r="B3" s="169" t="s">
        <v>2367</v>
      </c>
      <c r="C3" s="170" t="str">
        <f>CONCATENATE("https://dl.acm.org/doi/",'Sheridan Comp'!A3)</f>
        <v>https://dl.acm.org/doi/10.1145/3774905.3793104</v>
      </c>
    </row>
    <row r="4">
      <c r="A4" s="169" t="s">
        <v>2368</v>
      </c>
      <c r="B4" s="169" t="s">
        <v>2369</v>
      </c>
      <c r="C4" s="170" t="str">
        <f>CONCATENATE("https://dl.acm.org/doi/",'Sheridan Comp'!A4)</f>
        <v>https://dl.acm.org/doi/10.1145/3774905.3793105</v>
      </c>
    </row>
    <row r="5">
      <c r="A5" s="169" t="s">
        <v>2370</v>
      </c>
      <c r="B5" s="169" t="s">
        <v>2371</v>
      </c>
      <c r="C5" s="170" t="str">
        <f>CONCATENATE("https://dl.acm.org/doi/",'Sheridan Comp'!A5)</f>
        <v>https://dl.acm.org/doi/10.1145/3774905.3793106</v>
      </c>
    </row>
    <row r="6">
      <c r="A6" s="169" t="s">
        <v>2372</v>
      </c>
      <c r="B6" s="169" t="s">
        <v>2373</v>
      </c>
      <c r="C6" s="170" t="str">
        <f>CONCATENATE("https://dl.acm.org/doi/",'Sheridan Comp'!A6)</f>
        <v>https://dl.acm.org/doi/10.1145/3774905.3793107</v>
      </c>
    </row>
    <row r="7">
      <c r="A7" s="169" t="s">
        <v>2374</v>
      </c>
      <c r="B7" s="169" t="s">
        <v>2375</v>
      </c>
      <c r="C7" s="170" t="str">
        <f>CONCATENATE("https://dl.acm.org/doi/",'Sheridan Comp'!A7)</f>
        <v>https://dl.acm.org/doi/10.1145/3774905.3793108</v>
      </c>
    </row>
    <row r="8">
      <c r="A8" s="169" t="s">
        <v>2376</v>
      </c>
      <c r="B8" s="169" t="s">
        <v>2377</v>
      </c>
      <c r="C8" s="170" t="str">
        <f>CONCATENATE("https://dl.acm.org/doi/",'Sheridan Comp'!A8)</f>
        <v>https://dl.acm.org/doi/10.1145/3774905.3793109</v>
      </c>
    </row>
    <row r="9">
      <c r="A9" s="169" t="s">
        <v>2378</v>
      </c>
      <c r="B9" s="169" t="s">
        <v>2379</v>
      </c>
      <c r="C9" s="170" t="str">
        <f>CONCATENATE("https://dl.acm.org/doi/",'Sheridan Comp'!A9)</f>
        <v>https://dl.acm.org/doi/10.1145/3774905.3793110</v>
      </c>
    </row>
    <row r="10">
      <c r="A10" s="169" t="s">
        <v>2380</v>
      </c>
      <c r="B10" s="169" t="s">
        <v>2381</v>
      </c>
      <c r="C10" s="170" t="str">
        <f>CONCATENATE("https://dl.acm.org/doi/",'Sheridan Comp'!A10)</f>
        <v>https://dl.acm.org/doi/10.1145/3774905.3793111</v>
      </c>
    </row>
    <row r="11">
      <c r="A11" s="169" t="s">
        <v>2382</v>
      </c>
      <c r="B11" s="169" t="s">
        <v>2383</v>
      </c>
      <c r="C11" s="170" t="str">
        <f>CONCATENATE("https://dl.acm.org/doi/",'Sheridan Comp'!A11)</f>
        <v>https://dl.acm.org/doi/10.1145/3774905.3793112</v>
      </c>
    </row>
    <row r="12">
      <c r="A12" s="169" t="s">
        <v>2384</v>
      </c>
      <c r="B12" s="169" t="s">
        <v>2385</v>
      </c>
      <c r="C12" s="170" t="str">
        <f>CONCATENATE("https://dl.acm.org/doi/",'Sheridan Comp'!A12)</f>
        <v>https://dl.acm.org/doi/10.1145/3774905.3793113</v>
      </c>
    </row>
    <row r="13">
      <c r="A13" s="169" t="s">
        <v>2386</v>
      </c>
      <c r="B13" s="169" t="s">
        <v>2387</v>
      </c>
      <c r="C13" s="170" t="str">
        <f>CONCATENATE("https://dl.acm.org/doi/",'Sheridan Comp'!A13)</f>
        <v>https://dl.acm.org/doi/10.1145/3774905.3793114</v>
      </c>
    </row>
    <row r="14">
      <c r="A14" s="169" t="s">
        <v>2388</v>
      </c>
      <c r="B14" s="169" t="s">
        <v>2389</v>
      </c>
      <c r="C14" s="170" t="str">
        <f>CONCATENATE("https://dl.acm.org/doi/",'Sheridan Comp'!A14)</f>
        <v>https://dl.acm.org/doi/10.1145/3774905.3793115</v>
      </c>
    </row>
    <row r="15">
      <c r="A15" s="169" t="s">
        <v>2390</v>
      </c>
      <c r="B15" s="169" t="s">
        <v>2391</v>
      </c>
      <c r="C15" s="170" t="str">
        <f>CONCATENATE("https://dl.acm.org/doi/",'Sheridan Comp'!A15)</f>
        <v>https://dl.acm.org/doi/10.1145/3774905.3793116</v>
      </c>
    </row>
    <row r="16">
      <c r="A16" s="169" t="s">
        <v>2392</v>
      </c>
      <c r="B16" s="169" t="s">
        <v>2393</v>
      </c>
      <c r="C16" s="170" t="str">
        <f>CONCATENATE("https://dl.acm.org/doi/",'Sheridan Comp'!A16)</f>
        <v>https://dl.acm.org/doi/10.1145/3774905.3793117</v>
      </c>
    </row>
    <row r="17">
      <c r="A17" s="169" t="s">
        <v>2394</v>
      </c>
      <c r="B17" s="169" t="s">
        <v>2395</v>
      </c>
      <c r="C17" s="170" t="str">
        <f>CONCATENATE("https://dl.acm.org/doi/",'Sheridan Comp'!A17)</f>
        <v>https://dl.acm.org/doi/10.1145/3774905.3793118</v>
      </c>
    </row>
    <row r="18">
      <c r="A18" s="169" t="s">
        <v>2396</v>
      </c>
      <c r="B18" s="169" t="s">
        <v>2397</v>
      </c>
      <c r="C18" s="170" t="str">
        <f>CONCATENATE("https://dl.acm.org/doi/",'Sheridan Comp'!A18)</f>
        <v>https://dl.acm.org/doi/10.1145/3774905.3793119</v>
      </c>
    </row>
    <row r="19">
      <c r="A19" s="169" t="s">
        <v>2398</v>
      </c>
      <c r="B19" s="169" t="s">
        <v>2399</v>
      </c>
      <c r="C19" s="170" t="str">
        <f>CONCATENATE("https://dl.acm.org/doi/",'Sheridan Comp'!A19)</f>
        <v>https://dl.acm.org/doi/10.1145/3774905.3793120</v>
      </c>
    </row>
    <row r="20">
      <c r="A20" s="169" t="s">
        <v>2400</v>
      </c>
      <c r="B20" s="169" t="s">
        <v>2401</v>
      </c>
      <c r="C20" s="170" t="str">
        <f>CONCATENATE("https://dl.acm.org/doi/",'Sheridan Comp'!A20)</f>
        <v>https://dl.acm.org/doi/10.1145/3774905.3793121</v>
      </c>
    </row>
    <row r="21">
      <c r="A21" s="169" t="s">
        <v>2402</v>
      </c>
      <c r="B21" s="169" t="s">
        <v>2403</v>
      </c>
      <c r="C21" s="170" t="str">
        <f>CONCATENATE("https://dl.acm.org/doi/",'Sheridan Comp'!A21)</f>
        <v>https://dl.acm.org/doi/10.1145/3774905.3793122</v>
      </c>
    </row>
    <row r="22">
      <c r="A22" s="169" t="s">
        <v>2404</v>
      </c>
      <c r="B22" s="169" t="s">
        <v>2405</v>
      </c>
      <c r="C22" s="170" t="str">
        <f>CONCATENATE("https://dl.acm.org/doi/",'Sheridan Comp'!A22)</f>
        <v>https://dl.acm.org/doi/10.1145/3774905.3793123</v>
      </c>
    </row>
    <row r="23">
      <c r="A23" s="169" t="s">
        <v>2406</v>
      </c>
      <c r="B23" s="169" t="s">
        <v>2407</v>
      </c>
      <c r="C23" s="170" t="str">
        <f>CONCATENATE("https://dl.acm.org/doi/",'Sheridan Comp'!A23)</f>
        <v>https://dl.acm.org/doi/10.1145/3774905.3793124</v>
      </c>
    </row>
    <row r="24">
      <c r="A24" s="169" t="s">
        <v>2408</v>
      </c>
      <c r="B24" s="169" t="s">
        <v>2409</v>
      </c>
      <c r="C24" s="170" t="str">
        <f>CONCATENATE("https://dl.acm.org/doi/",'Sheridan Comp'!A24)</f>
        <v>https://dl.acm.org/doi/10.1145/3774905.3793125</v>
      </c>
    </row>
    <row r="25">
      <c r="A25" s="169" t="s">
        <v>2410</v>
      </c>
      <c r="B25" s="169" t="s">
        <v>2411</v>
      </c>
      <c r="C25" s="170" t="str">
        <f>CONCATENATE("https://dl.acm.org/doi/",'Sheridan Comp'!A25)</f>
        <v>https://dl.acm.org/doi/10.1145/3774905.3793126</v>
      </c>
    </row>
    <row r="26">
      <c r="A26" s="169" t="s">
        <v>2412</v>
      </c>
      <c r="B26" s="169" t="s">
        <v>2413</v>
      </c>
      <c r="C26" s="170" t="str">
        <f>CONCATENATE("https://dl.acm.org/doi/",'Sheridan Comp'!A26)</f>
        <v>https://dl.acm.org/doi/10.1145/3774905.3793127</v>
      </c>
    </row>
    <row r="27">
      <c r="A27" s="169" t="s">
        <v>2414</v>
      </c>
      <c r="B27" s="169" t="s">
        <v>2415</v>
      </c>
      <c r="C27" s="170" t="str">
        <f>CONCATENATE("https://dl.acm.org/doi/",'Sheridan Comp'!A27)</f>
        <v>https://dl.acm.org/doi/10.1145/3774905.3793128</v>
      </c>
    </row>
    <row r="28">
      <c r="A28" s="169" t="s">
        <v>2416</v>
      </c>
      <c r="B28" s="169" t="s">
        <v>2417</v>
      </c>
      <c r="C28" s="170" t="str">
        <f>CONCATENATE("https://dl.acm.org/doi/",'Sheridan Comp'!A28)</f>
        <v>https://dl.acm.org/doi/10.1145/3774905.3793129</v>
      </c>
    </row>
    <row r="29">
      <c r="A29" s="169" t="s">
        <v>2418</v>
      </c>
      <c r="B29" s="169" t="s">
        <v>2419</v>
      </c>
      <c r="C29" s="170" t="str">
        <f>CONCATENATE("https://dl.acm.org/doi/",'Sheridan Comp'!A29)</f>
        <v>https://dl.acm.org/doi/10.1145/3774905.3793130</v>
      </c>
    </row>
    <row r="30">
      <c r="A30" s="169" t="s">
        <v>2420</v>
      </c>
      <c r="B30" s="169" t="s">
        <v>2421</v>
      </c>
      <c r="C30" s="170" t="str">
        <f>CONCATENATE("https://dl.acm.org/doi/",'Sheridan Comp'!A30)</f>
        <v>https://dl.acm.org/doi/10.1145/3774905.3793131</v>
      </c>
    </row>
    <row r="31">
      <c r="A31" s="169" t="s">
        <v>2422</v>
      </c>
      <c r="B31" s="169" t="s">
        <v>2423</v>
      </c>
      <c r="C31" s="170" t="str">
        <f>CONCATENATE("https://dl.acm.org/doi/",'Sheridan Comp'!A31)</f>
        <v>https://dl.acm.org/doi/10.1145/3774905.3793132</v>
      </c>
    </row>
    <row r="32">
      <c r="A32" s="169" t="s">
        <v>2424</v>
      </c>
      <c r="B32" s="169" t="s">
        <v>2425</v>
      </c>
      <c r="C32" s="170" t="str">
        <f>CONCATENATE("https://dl.acm.org/doi/",'Sheridan Comp'!A32)</f>
        <v>https://dl.acm.org/doi/10.1145/3774905.3793133</v>
      </c>
    </row>
    <row r="33">
      <c r="A33" s="169" t="s">
        <v>2426</v>
      </c>
      <c r="B33" s="169" t="s">
        <v>2427</v>
      </c>
      <c r="C33" s="170" t="str">
        <f>CONCATENATE("https://dl.acm.org/doi/",'Sheridan Comp'!A33)</f>
        <v>https://dl.acm.org/doi/10.1145/3774905.3793134</v>
      </c>
    </row>
    <row r="34">
      <c r="A34" s="169" t="s">
        <v>2428</v>
      </c>
      <c r="B34" s="169" t="s">
        <v>2429</v>
      </c>
      <c r="C34" s="170" t="str">
        <f>CONCATENATE("https://dl.acm.org/doi/",'Sheridan Comp'!A34)</f>
        <v>https://dl.acm.org/doi/10.1145/3774905.3793135</v>
      </c>
    </row>
    <row r="35">
      <c r="A35" s="169" t="s">
        <v>2430</v>
      </c>
      <c r="B35" s="169" t="s">
        <v>2431</v>
      </c>
      <c r="C35" s="170" t="str">
        <f>CONCATENATE("https://dl.acm.org/doi/",'Sheridan Comp'!A35)</f>
        <v>https://dl.acm.org/doi/10.1145/3774905.3793136</v>
      </c>
    </row>
    <row r="36">
      <c r="A36" s="169" t="s">
        <v>2432</v>
      </c>
      <c r="B36" s="169" t="s">
        <v>2433</v>
      </c>
      <c r="C36" s="170" t="str">
        <f>CONCATENATE("https://dl.acm.org/doi/",'Sheridan Comp'!A36)</f>
        <v>https://dl.acm.org/doi/10.1145/3774905.3793137</v>
      </c>
    </row>
    <row r="37">
      <c r="A37" s="169" t="s">
        <v>2434</v>
      </c>
      <c r="B37" s="169" t="s">
        <v>2435</v>
      </c>
      <c r="C37" s="170" t="str">
        <f>CONCATENATE("https://dl.acm.org/doi/",'Sheridan Comp'!A37)</f>
        <v>https://dl.acm.org/doi/10.1145/3774905.3793138</v>
      </c>
    </row>
    <row r="38">
      <c r="A38" s="169" t="s">
        <v>2436</v>
      </c>
      <c r="B38" s="169" t="s">
        <v>2437</v>
      </c>
      <c r="C38" s="170" t="str">
        <f>CONCATENATE("https://dl.acm.org/doi/",'Sheridan Comp'!A38)</f>
        <v>https://dl.acm.org/doi/10.1145/3774905.3793139</v>
      </c>
    </row>
    <row r="39">
      <c r="A39" s="169" t="s">
        <v>2438</v>
      </c>
      <c r="B39" s="169" t="s">
        <v>2439</v>
      </c>
      <c r="C39" s="170" t="str">
        <f>CONCATENATE("https://dl.acm.org/doi/",'Sheridan Comp'!A39)</f>
        <v>https://dl.acm.org/doi/10.1145/3774905.3793140</v>
      </c>
    </row>
    <row r="40">
      <c r="A40" s="169" t="s">
        <v>2440</v>
      </c>
      <c r="B40" s="169" t="s">
        <v>2441</v>
      </c>
      <c r="C40" s="170" t="str">
        <f>CONCATENATE("https://dl.acm.org/doi/",'Sheridan Comp'!A40)</f>
        <v>https://dl.acm.org/doi/10.1145/3774905.3793141</v>
      </c>
    </row>
    <row r="41">
      <c r="A41" s="169" t="s">
        <v>2442</v>
      </c>
      <c r="B41" s="169" t="s">
        <v>2443</v>
      </c>
      <c r="C41" s="170" t="str">
        <f>CONCATENATE("https://dl.acm.org/doi/",'Sheridan Comp'!A41)</f>
        <v>https://dl.acm.org/doi/10.1145/3774905.3793142</v>
      </c>
    </row>
    <row r="42">
      <c r="A42" s="169" t="s">
        <v>2444</v>
      </c>
      <c r="B42" s="169" t="s">
        <v>2445</v>
      </c>
      <c r="C42" s="170" t="str">
        <f>'Tutorials assignment'!G7</f>
        <v>https://dl.acm.org/doi/10.1145/3774905.3793911</v>
      </c>
    </row>
    <row r="43">
      <c r="A43" s="169" t="s">
        <v>2446</v>
      </c>
      <c r="B43" s="169" t="s">
        <v>2447</v>
      </c>
      <c r="C43" s="170" t="str">
        <f>'Tutorials assignment'!G8</f>
        <v>https://dl.acm.org/doi/10.1145/3774905.3793912</v>
      </c>
    </row>
    <row r="44">
      <c r="A44" s="169" t="s">
        <v>2448</v>
      </c>
      <c r="B44" s="169" t="s">
        <v>2449</v>
      </c>
      <c r="C44" s="170" t="str">
        <f>'Tutorials assignment'!G9</f>
        <v>https://dl.acm.org/doi/10.1145/3774905.3793913</v>
      </c>
    </row>
    <row r="45">
      <c r="A45" s="169" t="s">
        <v>2450</v>
      </c>
      <c r="B45" s="169" t="s">
        <v>2451</v>
      </c>
      <c r="C45" s="170" t="str">
        <f>'Tutorials assignment'!G10</f>
        <v>https://dl.acm.org/doi/10.1145/3774905.3793914</v>
      </c>
    </row>
    <row r="46">
      <c r="A46" s="169" t="s">
        <v>2452</v>
      </c>
      <c r="B46" s="169" t="s">
        <v>2453</v>
      </c>
      <c r="C46" s="170" t="str">
        <f>'Tutorials assignment'!G11</f>
        <v>https://dl.acm.org/doi/10.1145/3774905.3793915</v>
      </c>
    </row>
    <row r="47">
      <c r="A47" s="169" t="s">
        <v>2454</v>
      </c>
      <c r="B47" s="169" t="s">
        <v>2455</v>
      </c>
      <c r="C47" s="170" t="str">
        <f>'Tutorials assignment'!G12</f>
        <v>https://dl.acm.org/doi/10.1145/3774905.3793916</v>
      </c>
    </row>
    <row r="48">
      <c r="A48" s="169" t="s">
        <v>2456</v>
      </c>
      <c r="B48" s="169" t="s">
        <v>2457</v>
      </c>
      <c r="C48" s="170" t="str">
        <f>'Tutorials assignment'!G13</f>
        <v>https://dl.acm.org/doi/10.1145/3774905.3793917</v>
      </c>
    </row>
    <row r="49">
      <c r="A49" s="169" t="s">
        <v>2458</v>
      </c>
      <c r="B49" s="169" t="s">
        <v>2459</v>
      </c>
      <c r="C49" s="170" t="str">
        <f>'Tutorials assignment'!G14</f>
        <v>https://dl.acm.org/doi/10.1145/3774905.3793919</v>
      </c>
    </row>
    <row r="50">
      <c r="A50" s="169" t="s">
        <v>2460</v>
      </c>
      <c r="B50" s="169" t="s">
        <v>2461</v>
      </c>
      <c r="C50" s="170" t="str">
        <f>'Tutorials assignment'!G15</f>
        <v>https://dl.acm.org/doi/10.1145/3774905.3793920</v>
      </c>
    </row>
    <row r="51">
      <c r="A51" s="169" t="s">
        <v>2462</v>
      </c>
      <c r="B51" s="169" t="s">
        <v>2463</v>
      </c>
      <c r="C51" s="170" t="str">
        <f>'Tutorials assignment'!G16</f>
        <v>https://dl.acm.org/doi/10.1145/3774905.3793921</v>
      </c>
    </row>
    <row r="52">
      <c r="A52" s="169" t="s">
        <v>2464</v>
      </c>
      <c r="B52" s="169" t="s">
        <v>2465</v>
      </c>
      <c r="C52" s="170" t="str">
        <f>'Tutorials assignment'!G17</f>
        <v>https://dl.acm.org/doi/10.1145/3774905.3793922</v>
      </c>
    </row>
    <row r="53">
      <c r="A53" s="169" t="s">
        <v>2466</v>
      </c>
      <c r="B53" s="169" t="s">
        <v>2467</v>
      </c>
      <c r="C53" s="170" t="str">
        <f>'Tutorials assignment'!G18</f>
        <v>https://dl.acm.org/doi/10.1145/3774905.3793923</v>
      </c>
    </row>
    <row r="54">
      <c r="A54" s="169" t="s">
        <v>2468</v>
      </c>
      <c r="B54" s="169" t="s">
        <v>2469</v>
      </c>
      <c r="C54" s="170" t="str">
        <f>'Tutorials assignment'!G19</f>
        <v>https://dl.acm.org/doi/10.1145/3774905.3793924</v>
      </c>
    </row>
    <row r="55">
      <c r="A55" s="169" t="s">
        <v>2470</v>
      </c>
      <c r="B55" s="169" t="s">
        <v>2471</v>
      </c>
      <c r="C55" s="170" t="str">
        <f>CONCATENATE("https://dl.acm.org/doi/",'Sheridan Comp'!A55)</f>
        <v>https://dl.acm.org/doi/10.1145/3774905.3794642</v>
      </c>
    </row>
    <row r="56">
      <c r="A56" s="169" t="s">
        <v>2472</v>
      </c>
      <c r="B56" s="169" t="s">
        <v>2473</v>
      </c>
      <c r="C56" s="170" t="str">
        <f>CONCATENATE("https://dl.acm.org/doi/",'Sheridan Comp'!A56)</f>
        <v>https://dl.acm.org/doi/10.1145/3774905.3794644</v>
      </c>
    </row>
    <row r="57">
      <c r="A57" s="169" t="s">
        <v>2474</v>
      </c>
      <c r="B57" s="169" t="s">
        <v>2475</v>
      </c>
      <c r="C57" s="170" t="str">
        <f>CONCATENATE("https://dl.acm.org/doi/",'Sheridan Comp'!A57)</f>
        <v>https://dl.acm.org/doi/10.1145/3774905.3794645</v>
      </c>
    </row>
    <row r="58">
      <c r="A58" s="169" t="s">
        <v>2476</v>
      </c>
      <c r="B58" s="169" t="s">
        <v>2477</v>
      </c>
      <c r="C58" s="170" t="str">
        <f>CONCATENATE("https://dl.acm.org/doi/",'Sheridan Comp'!A58)</f>
        <v>https://dl.acm.org/doi/10.1145/3774905.3794646</v>
      </c>
    </row>
    <row r="59">
      <c r="A59" s="169" t="s">
        <v>2478</v>
      </c>
      <c r="B59" s="169" t="s">
        <v>2479</v>
      </c>
      <c r="C59" s="170" t="str">
        <f>CONCATENATE("https://dl.acm.org/doi/",'Sheridan Comp'!A59)</f>
        <v>https://dl.acm.org/doi/10.1145/3774905.3794648</v>
      </c>
    </row>
    <row r="60">
      <c r="A60" s="169" t="s">
        <v>2480</v>
      </c>
      <c r="B60" s="169" t="s">
        <v>2481</v>
      </c>
      <c r="C60" s="170" t="str">
        <f>CONCATENATE("https://dl.acm.org/doi/",'Sheridan Comp'!A60)</f>
        <v>https://dl.acm.org/doi/10.1145/3774905.3794651</v>
      </c>
    </row>
    <row r="61">
      <c r="A61" s="169" t="s">
        <v>2482</v>
      </c>
      <c r="B61" s="169" t="s">
        <v>2483</v>
      </c>
      <c r="C61" s="170" t="str">
        <f>CONCATENATE("https://dl.acm.org/doi/",'Sheridan Comp'!A61)</f>
        <v>https://dl.acm.org/doi/10.1145/3774905.3794652</v>
      </c>
    </row>
    <row r="62">
      <c r="A62" s="169" t="s">
        <v>2484</v>
      </c>
      <c r="B62" s="169" t="s">
        <v>2483</v>
      </c>
      <c r="C62" s="170" t="str">
        <f>CONCATENATE("https://dl.acm.org/doi/",'Sheridan Comp'!A62)</f>
        <v>https://dl.acm.org/doi/10.1145/3774905.3794652</v>
      </c>
    </row>
    <row r="63">
      <c r="A63" s="169" t="s">
        <v>2485</v>
      </c>
      <c r="B63" s="169" t="s">
        <v>2486</v>
      </c>
      <c r="C63" s="170" t="str">
        <f>CONCATENATE("https://dl.acm.org/doi/",'Sheridan Comp'!A63)</f>
        <v>https://dl.acm.org/doi/10.1145/3774905.3794653</v>
      </c>
    </row>
    <row r="64">
      <c r="A64" s="169" t="s">
        <v>2487</v>
      </c>
      <c r="B64" s="169" t="s">
        <v>2488</v>
      </c>
      <c r="C64" s="170" t="str">
        <f>CONCATENATE("https://dl.acm.org/doi/",'Sheridan Comp'!A64)</f>
        <v>https://dl.acm.org/doi/10.1145/3774905.3794655</v>
      </c>
    </row>
    <row r="65">
      <c r="A65" s="169" t="s">
        <v>2489</v>
      </c>
      <c r="B65" s="169" t="s">
        <v>2490</v>
      </c>
      <c r="C65" s="170" t="str">
        <f>CONCATENATE("https://dl.acm.org/doi/",'Sheridan Comp'!A65)</f>
        <v>https://dl.acm.org/doi/10.1145/3774905.3794656</v>
      </c>
    </row>
    <row r="66">
      <c r="A66" s="169" t="s">
        <v>2491</v>
      </c>
      <c r="B66" s="169" t="s">
        <v>2492</v>
      </c>
      <c r="C66" s="170" t="str">
        <f>CONCATENATE("https://dl.acm.org/doi/",'Sheridan Comp'!A66)</f>
        <v>https://dl.acm.org/doi/10.1145/3774905.3794657</v>
      </c>
    </row>
    <row r="67">
      <c r="A67" s="169" t="s">
        <v>2493</v>
      </c>
      <c r="B67" s="169" t="s">
        <v>2494</v>
      </c>
      <c r="C67" s="170" t="str">
        <f>CONCATENATE("https://dl.acm.org/doi/",'Sheridan Comp'!A67)</f>
        <v>https://dl.acm.org/doi/10.1145/3774905.3794658</v>
      </c>
    </row>
    <row r="68">
      <c r="A68" s="169" t="s">
        <v>2495</v>
      </c>
      <c r="B68" s="169" t="s">
        <v>2496</v>
      </c>
      <c r="C68" s="170" t="str">
        <f>CONCATENATE("https://dl.acm.org/doi/",'Sheridan Comp'!A68)</f>
        <v>https://dl.acm.org/doi/10.1145/3774905.3794659</v>
      </c>
    </row>
    <row r="69">
      <c r="A69" s="169" t="s">
        <v>2497</v>
      </c>
      <c r="B69" s="169" t="s">
        <v>2498</v>
      </c>
      <c r="C69" s="170" t="str">
        <f>CONCATENATE("https://dl.acm.org/doi/",'Sheridan Comp'!A69)</f>
        <v>https://dl.acm.org/doi/10.1145/3774905.3794660</v>
      </c>
    </row>
    <row r="70">
      <c r="A70" s="169" t="s">
        <v>2499</v>
      </c>
      <c r="B70" s="169" t="s">
        <v>2500</v>
      </c>
      <c r="C70" s="170" t="str">
        <f>CONCATENATE("https://dl.acm.org/doi/",'Sheridan Comp'!A70)</f>
        <v>https://dl.acm.org/doi/10.1145/3774905.3794661</v>
      </c>
    </row>
    <row r="71">
      <c r="A71" s="169" t="s">
        <v>2501</v>
      </c>
      <c r="B71" s="169" t="s">
        <v>2502</v>
      </c>
      <c r="C71" s="170" t="str">
        <f>CONCATENATE("https://dl.acm.org/doi/",'Sheridan Comp'!A71)</f>
        <v>https://dl.acm.org/doi/10.1145/3774905.3794662</v>
      </c>
    </row>
    <row r="72">
      <c r="A72" s="169" t="s">
        <v>2503</v>
      </c>
      <c r="B72" s="169" t="s">
        <v>2504</v>
      </c>
      <c r="C72" s="170" t="str">
        <f>CONCATENATE("https://dl.acm.org/doi/",'Sheridan Comp'!A72)</f>
        <v>https://dl.acm.org/doi/10.1145/3774905.3794664</v>
      </c>
    </row>
    <row r="73">
      <c r="A73" s="169" t="s">
        <v>2505</v>
      </c>
      <c r="B73" s="169" t="s">
        <v>2506</v>
      </c>
      <c r="C73" s="170" t="str">
        <f>CONCATENATE("https://dl.acm.org/doi/",'Sheridan Comp'!A73)</f>
        <v>https://dl.acm.org/doi/10.1145/3774905.3794665</v>
      </c>
    </row>
    <row r="74">
      <c r="A74" s="169" t="s">
        <v>2507</v>
      </c>
      <c r="B74" s="169" t="s">
        <v>2508</v>
      </c>
      <c r="C74" s="170" t="str">
        <f>CONCATENATE("https://dl.acm.org/doi/",'Sheridan Comp'!A74)</f>
        <v>https://dl.acm.org/doi/10.1145/3774905.3794666</v>
      </c>
    </row>
    <row r="75">
      <c r="A75" s="169" t="s">
        <v>2509</v>
      </c>
      <c r="B75" s="169" t="s">
        <v>2510</v>
      </c>
      <c r="C75" s="170" t="str">
        <f>CONCATENATE("https://dl.acm.org/doi/",'Sheridan Comp'!A75)</f>
        <v>https://dl.acm.org/doi/10.1145/3774905.3794667</v>
      </c>
    </row>
    <row r="76">
      <c r="A76" s="169" t="s">
        <v>2511</v>
      </c>
      <c r="B76" s="169" t="s">
        <v>2512</v>
      </c>
      <c r="C76" s="170" t="str">
        <f>CONCATENATE("https://dl.acm.org/doi/",'Sheridan Comp'!A76)</f>
        <v>https://dl.acm.org/doi/10.1145/3774905.3794668</v>
      </c>
    </row>
    <row r="77">
      <c r="A77" s="169" t="s">
        <v>2513</v>
      </c>
      <c r="B77" s="169" t="s">
        <v>2514</v>
      </c>
      <c r="C77" s="170" t="str">
        <f>CONCATENATE("https://dl.acm.org/doi/",'Sheridan Comp'!A77)</f>
        <v>https://dl.acm.org/doi/10.1145/3774905.3794669</v>
      </c>
    </row>
    <row r="78">
      <c r="A78" s="169" t="s">
        <v>2515</v>
      </c>
      <c r="B78" s="169" t="s">
        <v>2516</v>
      </c>
      <c r="C78" s="170" t="str">
        <f>CONCATENATE("https://dl.acm.org/doi/",'Sheridan Comp'!A78)</f>
        <v>https://dl.acm.org/doi/10.1145/3774905.3794670</v>
      </c>
    </row>
    <row r="79">
      <c r="A79" s="169" t="s">
        <v>2517</v>
      </c>
      <c r="B79" s="169" t="s">
        <v>2518</v>
      </c>
      <c r="C79" s="170" t="str">
        <f>CONCATENATE("https://dl.acm.org/doi/",'Sheridan Comp'!A79)</f>
        <v>https://dl.acm.org/doi/10.1145/3774905.3794671</v>
      </c>
    </row>
    <row r="80">
      <c r="A80" s="169" t="s">
        <v>2519</v>
      </c>
      <c r="B80" s="169" t="s">
        <v>2520</v>
      </c>
      <c r="C80" s="170" t="str">
        <f>CONCATENATE("https://dl.acm.org/doi/",'Sheridan Comp'!A80)</f>
        <v>https://dl.acm.org/doi/10.1145/3774905.3794672</v>
      </c>
    </row>
    <row r="81">
      <c r="A81" s="169" t="s">
        <v>2521</v>
      </c>
      <c r="B81" s="169" t="s">
        <v>2522</v>
      </c>
      <c r="C81" s="170" t="str">
        <f>CONCATENATE("https://dl.acm.org/doi/",'Sheridan Comp'!A81)</f>
        <v>https://dl.acm.org/doi/10.1145/3774905.3794673</v>
      </c>
    </row>
    <row r="82">
      <c r="A82" s="169" t="s">
        <v>2523</v>
      </c>
      <c r="B82" s="169" t="s">
        <v>2524</v>
      </c>
      <c r="C82" s="170" t="str">
        <f>CONCATENATE("https://dl.acm.org/doi/",'Sheridan Comp'!A82)</f>
        <v>https://dl.acm.org/doi/10.1145/3774905.3794674</v>
      </c>
    </row>
    <row r="83">
      <c r="A83" s="169" t="s">
        <v>2525</v>
      </c>
      <c r="B83" s="169" t="s">
        <v>2526</v>
      </c>
      <c r="C83" s="170" t="str">
        <f>CONCATENATE("https://dl.acm.org/doi/",'Sheridan Comp'!A83)</f>
        <v>https://dl.acm.org/doi/10.1145/3774905.3794675</v>
      </c>
    </row>
    <row r="84">
      <c r="A84" s="169" t="s">
        <v>2527</v>
      </c>
      <c r="B84" s="169" t="s">
        <v>2528</v>
      </c>
      <c r="C84" s="170" t="str">
        <f>CONCATENATE("https://dl.acm.org/doi/",'Sheridan Comp'!A84)</f>
        <v>https://dl.acm.org/doi/10.1145/3774905.3794677</v>
      </c>
    </row>
    <row r="85">
      <c r="A85" s="169" t="s">
        <v>2529</v>
      </c>
      <c r="B85" s="169" t="s">
        <v>2530</v>
      </c>
      <c r="C85" s="170" t="str">
        <f>CONCATENATE("https://dl.acm.org/doi/",'Sheridan Comp'!A85)</f>
        <v>https://dl.acm.org/doi/10.1145/3774905.3794678</v>
      </c>
    </row>
    <row r="86">
      <c r="A86" s="169" t="s">
        <v>2531</v>
      </c>
      <c r="B86" s="169" t="s">
        <v>2532</v>
      </c>
      <c r="C86" s="170" t="str">
        <f>CONCATENATE("https://dl.acm.org/doi/",'Sheridan Comp'!A86)</f>
        <v>https://dl.acm.org/doi/10.1145/3774905.3794679</v>
      </c>
    </row>
    <row r="87">
      <c r="A87" s="169" t="s">
        <v>2533</v>
      </c>
      <c r="B87" s="169" t="s">
        <v>2534</v>
      </c>
      <c r="C87" s="170" t="str">
        <f>CONCATENATE("https://dl.acm.org/doi/",'Sheridan Comp'!A87)</f>
        <v>https://dl.acm.org/doi/10.1145/3774905.3794680</v>
      </c>
    </row>
    <row r="88">
      <c r="A88" s="169" t="s">
        <v>2535</v>
      </c>
      <c r="B88" s="169" t="s">
        <v>2536</v>
      </c>
      <c r="C88" s="170" t="str">
        <f>CONCATENATE("https://dl.acm.org/doi/",'Sheridan Comp'!A88)</f>
        <v>https://dl.acm.org/doi/10.1145/3774905.3794681</v>
      </c>
    </row>
    <row r="89">
      <c r="A89" s="169" t="s">
        <v>2537</v>
      </c>
      <c r="B89" s="169" t="s">
        <v>2538</v>
      </c>
      <c r="C89" s="170" t="str">
        <f>CONCATENATE("https://dl.acm.org/doi/",'Sheridan Comp'!A89)</f>
        <v>https://dl.acm.org/doi/10.1145/3774905.3794682</v>
      </c>
    </row>
    <row r="90">
      <c r="A90" s="169" t="s">
        <v>2539</v>
      </c>
      <c r="B90" s="169" t="s">
        <v>2540</v>
      </c>
      <c r="C90" s="170" t="str">
        <f>CONCATENATE("https://dl.acm.org/doi/",'Sheridan Comp'!A90)</f>
        <v>https://dl.acm.org/doi/10.1145/3774905.3794683</v>
      </c>
    </row>
    <row r="91">
      <c r="A91" s="169" t="s">
        <v>2541</v>
      </c>
      <c r="B91" s="169" t="s">
        <v>2542</v>
      </c>
      <c r="C91" s="170" t="str">
        <f>CONCATENATE("https://dl.acm.org/doi/",'Sheridan Comp'!A91)</f>
        <v>https://dl.acm.org/doi/10.1145/3774905.3794684</v>
      </c>
    </row>
    <row r="92">
      <c r="A92" s="169" t="s">
        <v>2543</v>
      </c>
      <c r="B92" s="169" t="s">
        <v>2544</v>
      </c>
      <c r="C92" s="170" t="str">
        <f>CONCATENATE("https://dl.acm.org/doi/",'Sheridan Comp'!A92)</f>
        <v>https://dl.acm.org/doi/10.1145/3774905.3794685</v>
      </c>
    </row>
    <row r="93">
      <c r="A93" s="169" t="s">
        <v>2545</v>
      </c>
      <c r="B93" s="169" t="s">
        <v>2546</v>
      </c>
      <c r="C93" s="170" t="str">
        <f>CONCATENATE("https://dl.acm.org/doi/",'Sheridan Comp'!A93)</f>
        <v>https://dl.acm.org/doi/10.1145/3774905.3794686</v>
      </c>
    </row>
    <row r="94">
      <c r="A94" s="169" t="s">
        <v>2547</v>
      </c>
      <c r="B94" s="169" t="s">
        <v>2548</v>
      </c>
      <c r="C94" s="170" t="str">
        <f>CONCATENATE("https://dl.acm.org/doi/",'Sheridan Comp'!A94)</f>
        <v>https://dl.acm.org/doi/10.1145/3774905.3794687</v>
      </c>
    </row>
    <row r="95">
      <c r="A95" s="169" t="s">
        <v>2549</v>
      </c>
      <c r="B95" s="169" t="s">
        <v>2550</v>
      </c>
      <c r="C95" s="170" t="str">
        <f>CONCATENATE("https://dl.acm.org/doi/",'Sheridan Comp'!A95)</f>
        <v>https://dl.acm.org/doi/10.1145/3774905.3794688</v>
      </c>
    </row>
    <row r="96">
      <c r="A96" s="169" t="s">
        <v>2551</v>
      </c>
      <c r="B96" s="169" t="s">
        <v>2552</v>
      </c>
      <c r="C96" s="170" t="str">
        <f>CONCATENATE("https://dl.acm.org/doi/",'Sheridan Comp'!A96)</f>
        <v>https://dl.acm.org/doi/10.1145/3774905.3794689</v>
      </c>
    </row>
    <row r="97">
      <c r="A97" s="169" t="s">
        <v>2553</v>
      </c>
      <c r="B97" s="169" t="s">
        <v>2554</v>
      </c>
      <c r="C97" s="170" t="str">
        <f>CONCATENATE("https://dl.acm.org/doi/",'Sheridan Comp'!A97)</f>
        <v>https://dl.acm.org/doi/10.1145/3774905.3794690</v>
      </c>
    </row>
    <row r="98">
      <c r="A98" s="169" t="s">
        <v>2555</v>
      </c>
      <c r="B98" s="169" t="s">
        <v>2556</v>
      </c>
      <c r="C98" s="170" t="str">
        <f>CONCATENATE("https://dl.acm.org/doi/",'Sheridan Comp'!A98)</f>
        <v>https://dl.acm.org/doi/10.1145/3774905.3794691</v>
      </c>
    </row>
    <row r="99">
      <c r="A99" s="169" t="s">
        <v>2557</v>
      </c>
      <c r="B99" s="169" t="s">
        <v>2558</v>
      </c>
      <c r="C99" s="170" t="str">
        <f>CONCATENATE("https://dl.acm.org/doi/",'Sheridan Comp'!A99)</f>
        <v>https://dl.acm.org/doi/10.1145/3774905.3794693</v>
      </c>
    </row>
    <row r="100">
      <c r="A100" s="169" t="s">
        <v>22</v>
      </c>
      <c r="B100" s="169" t="s">
        <v>2559</v>
      </c>
      <c r="C100" s="170" t="str">
        <f>CONCATENATE("https://dl.acm.org/doi/",'Sheridan Comp'!A100)</f>
        <v>https://dl.acm.org/doi/10.1145/3774905.3794694</v>
      </c>
    </row>
    <row r="101">
      <c r="A101" s="169" t="s">
        <v>2560</v>
      </c>
      <c r="B101" s="169" t="s">
        <v>2561</v>
      </c>
      <c r="C101" s="170" t="str">
        <f>CONCATENATE("https://dl.acm.org/doi/",'Sheridan Comp'!A101)</f>
        <v>https://dl.acm.org/doi/10.1145/3774905.3794695</v>
      </c>
    </row>
    <row r="102">
      <c r="A102" s="169" t="s">
        <v>2562</v>
      </c>
      <c r="B102" s="169" t="s">
        <v>2563</v>
      </c>
      <c r="C102" s="170" t="str">
        <f>CONCATENATE("https://dl.acm.org/doi/",'Sheridan Comp'!A102)</f>
        <v>https://dl.acm.org/doi/10.1145/3774905.3794696</v>
      </c>
    </row>
    <row r="103">
      <c r="A103" s="169" t="s">
        <v>2564</v>
      </c>
      <c r="B103" s="169" t="s">
        <v>2565</v>
      </c>
      <c r="C103" s="170" t="str">
        <f>CONCATENATE("https://dl.acm.org/doi/",'Sheridan Comp'!A103)</f>
        <v>https://dl.acm.org/doi/10.1145/3774905.3794697</v>
      </c>
    </row>
    <row r="104">
      <c r="A104" s="169" t="s">
        <v>2566</v>
      </c>
      <c r="B104" s="169" t="s">
        <v>2567</v>
      </c>
      <c r="C104" s="170" t="str">
        <f>CONCATENATE("https://dl.acm.org/doi/",'Sheridan Comp'!A104)</f>
        <v>https://dl.acm.org/doi/10.1145/3774905.3794698</v>
      </c>
    </row>
    <row r="105">
      <c r="A105" s="169" t="s">
        <v>2568</v>
      </c>
      <c r="B105" s="169" t="s">
        <v>2569</v>
      </c>
      <c r="C105" s="170" t="str">
        <f>CONCATENATE("https://dl.acm.org/doi/",'Sheridan Comp'!A105)</f>
        <v>https://dl.acm.org/doi/10.1145/3774905.3794699</v>
      </c>
    </row>
    <row r="106">
      <c r="A106" s="169" t="s">
        <v>2570</v>
      </c>
      <c r="B106" s="169" t="s">
        <v>2571</v>
      </c>
      <c r="C106" s="170" t="str">
        <f>CONCATENATE("https://dl.acm.org/doi/",'Sheridan Comp'!A106)</f>
        <v>https://dl.acm.org/doi/10.1145/3774905.3794700</v>
      </c>
    </row>
    <row r="107">
      <c r="A107" s="169" t="s">
        <v>2572</v>
      </c>
      <c r="B107" s="169" t="s">
        <v>2573</v>
      </c>
      <c r="C107" s="170" t="str">
        <f>CONCATENATE("https://dl.acm.org/doi/",'Sheridan Comp'!A107)</f>
        <v>https://dl.acm.org/doi/10.1145/3774905.3794701</v>
      </c>
    </row>
    <row r="108">
      <c r="A108" s="169" t="s">
        <v>2574</v>
      </c>
      <c r="B108" s="169" t="s">
        <v>2575</v>
      </c>
      <c r="C108" s="170" t="str">
        <f>CONCATENATE("https://dl.acm.org/doi/",'Sheridan Comp'!A108)</f>
        <v>https://dl.acm.org/doi/10.1145/3774905.3794702</v>
      </c>
    </row>
    <row r="109">
      <c r="A109" s="169" t="s">
        <v>2576</v>
      </c>
      <c r="B109" s="169" t="s">
        <v>2577</v>
      </c>
      <c r="C109" s="170" t="str">
        <f>CONCATENATE("https://dl.acm.org/doi/",'Sheridan Comp'!A109)</f>
        <v>https://dl.acm.org/doi/10.1145/3774905.3794703</v>
      </c>
    </row>
    <row r="110">
      <c r="A110" s="169" t="s">
        <v>2578</v>
      </c>
      <c r="B110" s="169" t="s">
        <v>2579</v>
      </c>
      <c r="C110" s="170" t="str">
        <f>CONCATENATE("https://dl.acm.org/doi/",'Sheridan Comp'!A110)</f>
        <v>https://dl.acm.org/doi/10.1145/3774905.3794704</v>
      </c>
    </row>
    <row r="111">
      <c r="A111" s="169" t="s">
        <v>2580</v>
      </c>
      <c r="B111" s="169" t="s">
        <v>2581</v>
      </c>
      <c r="C111" s="170" t="str">
        <f>CONCATENATE("https://dl.acm.org/doi/",'Sheridan Comp'!A111)</f>
        <v>https://dl.acm.org/doi/10.1145/3774905.3794705</v>
      </c>
    </row>
    <row r="112">
      <c r="A112" s="169" t="s">
        <v>2582</v>
      </c>
      <c r="B112" s="169" t="s">
        <v>2583</v>
      </c>
      <c r="C112" s="170" t="str">
        <f>CONCATENATE("https://dl.acm.org/doi/",'Sheridan Comp'!A112)</f>
        <v>https://dl.acm.org/doi/10.1145/3774905.3794706</v>
      </c>
    </row>
    <row r="113">
      <c r="A113" s="169" t="s">
        <v>2584</v>
      </c>
      <c r="B113" s="169" t="s">
        <v>2585</v>
      </c>
      <c r="C113" s="170" t="str">
        <f>CONCATENATE("https://dl.acm.org/doi/",'Sheridan Comp'!A113)</f>
        <v>https://dl.acm.org/doi/10.1145/3774905.3794707</v>
      </c>
    </row>
    <row r="114">
      <c r="A114" s="169" t="s">
        <v>2586</v>
      </c>
      <c r="B114" s="169" t="s">
        <v>2587</v>
      </c>
      <c r="C114" s="170" t="str">
        <f>CONCATENATE("https://dl.acm.org/doi/",'Sheridan Comp'!A114)</f>
        <v>https://dl.acm.org/doi/10.1145/3774905.3794708</v>
      </c>
    </row>
    <row r="115">
      <c r="A115" s="169" t="s">
        <v>2588</v>
      </c>
      <c r="B115" s="169" t="s">
        <v>2589</v>
      </c>
      <c r="C115" s="170" t="str">
        <f>CONCATENATE("https://dl.acm.org/doi/",'Sheridan Comp'!A115)</f>
        <v>https://dl.acm.org/doi/10.1145/3774905.3794709</v>
      </c>
    </row>
    <row r="116">
      <c r="A116" s="169" t="s">
        <v>2590</v>
      </c>
      <c r="B116" s="169" t="s">
        <v>2591</v>
      </c>
      <c r="C116" s="170" t="str">
        <f>CONCATENATE("https://dl.acm.org/doi/",'Sheridan Comp'!A116)</f>
        <v>https://dl.acm.org/doi/10.1145/3774905.3795072</v>
      </c>
    </row>
    <row r="117">
      <c r="A117" s="169" t="s">
        <v>2592</v>
      </c>
      <c r="B117" s="169" t="s">
        <v>2593</v>
      </c>
      <c r="C117" s="170" t="str">
        <f>CONCATENATE("https://dl.acm.org/doi/",'Sheridan Comp'!A117)</f>
        <v>https://dl.acm.org/doi/10.1145/3774905.3795074</v>
      </c>
    </row>
    <row r="118">
      <c r="A118" s="169" t="s">
        <v>2594</v>
      </c>
      <c r="B118" s="169" t="s">
        <v>2595</v>
      </c>
      <c r="C118" s="170" t="str">
        <f>CONCATENATE("https://dl.acm.org/doi/",'Sheridan Comp'!A118)</f>
        <v>https://dl.acm.org/doi/10.1145/3774905.3795075</v>
      </c>
    </row>
    <row r="119">
      <c r="A119" s="169" t="s">
        <v>2596</v>
      </c>
      <c r="B119" s="169" t="s">
        <v>2597</v>
      </c>
      <c r="C119" s="170" t="str">
        <f>CONCATENATE("https://dl.acm.org/doi/",'Sheridan Comp'!A119)</f>
        <v>https://dl.acm.org/doi/10.1145/3774905.3795076</v>
      </c>
    </row>
    <row r="120">
      <c r="A120" s="169" t="s">
        <v>2598</v>
      </c>
      <c r="B120" s="169" t="s">
        <v>2599</v>
      </c>
      <c r="C120" s="170" t="str">
        <f>CONCATENATE("https://dl.acm.org/doi/",'Sheridan Comp'!A120)</f>
        <v>https://dl.acm.org/doi/10.1145/3774905.3795078</v>
      </c>
    </row>
    <row r="121">
      <c r="A121" s="169" t="s">
        <v>2600</v>
      </c>
      <c r="B121" s="169" t="s">
        <v>2601</v>
      </c>
      <c r="C121" s="170" t="str">
        <f>CONCATENATE("https://dl.acm.org/doi/",'Sheridan Comp'!A121)</f>
        <v>https://dl.acm.org/doi/10.1145/3774905.3795079</v>
      </c>
    </row>
    <row r="122">
      <c r="A122" s="169" t="s">
        <v>2602</v>
      </c>
      <c r="B122" s="169" t="s">
        <v>2603</v>
      </c>
      <c r="C122" s="170" t="str">
        <f>CONCATENATE("https://dl.acm.org/doi/",'Sheridan Comp'!A122)</f>
        <v>https://dl.acm.org/doi/10.1145/3774905.3795080</v>
      </c>
    </row>
    <row r="123">
      <c r="A123" s="169" t="s">
        <v>2604</v>
      </c>
      <c r="B123" s="169" t="s">
        <v>2605</v>
      </c>
      <c r="C123" s="170" t="str">
        <f>CONCATENATE("https://dl.acm.org/doi/",'Sheridan Comp'!A123)</f>
        <v>https://dl.acm.org/doi/10.1145/3774905.3795082</v>
      </c>
    </row>
    <row r="124">
      <c r="A124" s="169" t="s">
        <v>2606</v>
      </c>
      <c r="B124" s="169" t="s">
        <v>2607</v>
      </c>
      <c r="C124" s="170" t="str">
        <f>CONCATENATE("https://dl.acm.org/doi/",'Sheridan Comp'!A124)</f>
        <v>https://dl.acm.org/doi/10.1145/3774905.3795084</v>
      </c>
    </row>
    <row r="125">
      <c r="A125" s="169" t="s">
        <v>2608</v>
      </c>
      <c r="B125" s="169" t="s">
        <v>2609</v>
      </c>
      <c r="C125" s="170" t="str">
        <f>CONCATENATE("https://dl.acm.org/doi/",'Sheridan Comp'!A125)</f>
        <v>https://dl.acm.org/doi/10.1145/3774905.3795085</v>
      </c>
    </row>
    <row r="126">
      <c r="A126" s="169" t="s">
        <v>2610</v>
      </c>
      <c r="B126" s="169" t="s">
        <v>2611</v>
      </c>
      <c r="C126" s="170" t="str">
        <f>CONCATENATE("https://dl.acm.org/doi/",'Sheridan Comp'!A126)</f>
        <v>https://dl.acm.org/doi/10.1145/3774905.3795086</v>
      </c>
    </row>
    <row r="127">
      <c r="A127" s="169" t="s">
        <v>2612</v>
      </c>
      <c r="B127" s="169" t="s">
        <v>2613</v>
      </c>
      <c r="C127" s="170" t="str">
        <f>CONCATENATE("https://dl.acm.org/doi/",'Sheridan Comp'!A127)</f>
        <v>https://dl.acm.org/doi/10.1145/3774905.3795087</v>
      </c>
    </row>
    <row r="128">
      <c r="A128" s="169" t="s">
        <v>2614</v>
      </c>
      <c r="B128" s="169" t="s">
        <v>2615</v>
      </c>
      <c r="C128" s="170" t="str">
        <f>CONCATENATE("https://dl.acm.org/doi/",'Sheridan Comp'!A128)</f>
        <v>https://dl.acm.org/doi/10.1145/3774905.3795088</v>
      </c>
    </row>
    <row r="129">
      <c r="A129" s="169" t="s">
        <v>2616</v>
      </c>
      <c r="B129" s="169" t="s">
        <v>2617</v>
      </c>
      <c r="C129" s="170" t="str">
        <f>CONCATENATE("https://dl.acm.org/doi/",'Sheridan Comp'!A129)</f>
        <v>https://dl.acm.org/doi/10.1145/3774905.3795089</v>
      </c>
    </row>
    <row r="130">
      <c r="A130" s="169" t="s">
        <v>2618</v>
      </c>
      <c r="B130" s="169" t="s">
        <v>2619</v>
      </c>
      <c r="C130" s="170" t="str">
        <f>CONCATENATE("https://dl.acm.org/doi/",'Sheridan Comp'!A130)</f>
        <v>https://dl.acm.org/doi/10.1145/3774905.3795090</v>
      </c>
    </row>
    <row r="131">
      <c r="A131" s="169" t="s">
        <v>2620</v>
      </c>
      <c r="B131" s="169" t="s">
        <v>2619</v>
      </c>
      <c r="C131" s="170" t="str">
        <f>CONCATENATE("https://dl.acm.org/doi/",'Sheridan Comp'!A131)</f>
        <v>https://dl.acm.org/doi/10.1145/3774905.3795090</v>
      </c>
    </row>
    <row r="132">
      <c r="A132" s="169" t="s">
        <v>2621</v>
      </c>
      <c r="B132" s="169" t="s">
        <v>2622</v>
      </c>
      <c r="C132" s="170" t="str">
        <f>CONCATENATE("https://dl.acm.org/doi/",'Sheridan Comp'!A132)</f>
        <v>https://dl.acm.org/doi/10.1145/3774905.3795091</v>
      </c>
    </row>
    <row r="133">
      <c r="A133" s="169" t="s">
        <v>2623</v>
      </c>
      <c r="B133" s="169" t="s">
        <v>2624</v>
      </c>
      <c r="C133" s="170" t="str">
        <f>CONCATENATE("https://dl.acm.org/doi/",'Sheridan Comp'!A133)</f>
        <v>https://dl.acm.org/doi/10.1145/3774905.3795092</v>
      </c>
    </row>
    <row r="134">
      <c r="A134" s="169" t="s">
        <v>2625</v>
      </c>
      <c r="B134" s="169" t="s">
        <v>2626</v>
      </c>
      <c r="C134" s="170" t="str">
        <f>CONCATENATE("https://dl.acm.org/doi/",'Sheridan Comp'!A134)</f>
        <v>https://dl.acm.org/doi/10.1145/3774905.3795093</v>
      </c>
    </row>
    <row r="135">
      <c r="A135" s="169" t="s">
        <v>2627</v>
      </c>
      <c r="B135" s="169" t="s">
        <v>2628</v>
      </c>
      <c r="C135" s="170" t="str">
        <f>CONCATENATE("https://dl.acm.org/doi/",'Sheridan Comp'!A135)</f>
        <v>https://dl.acm.org/doi/10.1145/3774905.3795094</v>
      </c>
    </row>
    <row r="136">
      <c r="A136" s="169" t="s">
        <v>2629</v>
      </c>
      <c r="B136" s="169" t="s">
        <v>2630</v>
      </c>
      <c r="C136" s="170" t="str">
        <f>CONCATENATE("https://dl.acm.org/doi/",'Sheridan Comp'!A136)</f>
        <v>https://dl.acm.org/doi/10.1145/3774905.3795439</v>
      </c>
    </row>
    <row r="137">
      <c r="A137" s="169" t="s">
        <v>2631</v>
      </c>
      <c r="B137" s="169" t="s">
        <v>2632</v>
      </c>
      <c r="C137" s="170" t="str">
        <f>CONCATENATE("https://dl.acm.org/doi/",'Sheridan Comp'!A137)</f>
        <v>https://dl.acm.org/doi/10.1145/3774905.3795440</v>
      </c>
    </row>
    <row r="138">
      <c r="A138" s="169" t="s">
        <v>2633</v>
      </c>
      <c r="B138" s="169" t="s">
        <v>2634</v>
      </c>
      <c r="C138" s="170" t="str">
        <f>CONCATENATE("https://dl.acm.org/doi/",'Sheridan Comp'!A138)</f>
        <v>https://dl.acm.org/doi/10.1145/3774905.3795441</v>
      </c>
    </row>
    <row r="139">
      <c r="A139" s="169" t="s">
        <v>2635</v>
      </c>
      <c r="B139" s="169" t="s">
        <v>2636</v>
      </c>
      <c r="C139" s="170" t="str">
        <f>CONCATENATE("https://dl.acm.org/doi/",'Sheridan Comp'!A139)</f>
        <v>https://dl.acm.org/doi/10.1145/3774905.3795442</v>
      </c>
    </row>
    <row r="140">
      <c r="A140" s="169" t="s">
        <v>2637</v>
      </c>
      <c r="B140" s="169" t="s">
        <v>2638</v>
      </c>
      <c r="C140" s="170" t="str">
        <f>CONCATENATE("https://dl.acm.org/doi/",'Sheridan Comp'!A140)</f>
        <v>https://dl.acm.org/doi/10.1145/3774905.3795443</v>
      </c>
    </row>
    <row r="141">
      <c r="A141" s="169" t="s">
        <v>2639</v>
      </c>
      <c r="B141" s="169" t="s">
        <v>2640</v>
      </c>
      <c r="C141" s="170" t="str">
        <f>CONCATENATE("https://dl.acm.org/doi/",'Sheridan Comp'!A141)</f>
        <v>https://dl.acm.org/doi/10.1145/3774905.3795444</v>
      </c>
    </row>
    <row r="142">
      <c r="A142" s="169" t="s">
        <v>2641</v>
      </c>
      <c r="B142" s="169" t="s">
        <v>2642</v>
      </c>
      <c r="C142" s="170" t="str">
        <f>CONCATENATE("https://dl.acm.org/doi/",'Sheridan Comp'!A142)</f>
        <v>https://dl.acm.org/doi/10.1145/3774905.3795446</v>
      </c>
    </row>
    <row r="143">
      <c r="A143" s="169" t="s">
        <v>2643</v>
      </c>
      <c r="B143" s="169" t="s">
        <v>2644</v>
      </c>
      <c r="C143" s="170" t="str">
        <f>CONCATENATE("https://dl.acm.org/doi/",'Sheridan Comp'!A143)</f>
        <v>https://dl.acm.org/doi/10.1145/3774905.3795447</v>
      </c>
    </row>
    <row r="144">
      <c r="A144" s="169" t="s">
        <v>2645</v>
      </c>
      <c r="B144" s="169" t="s">
        <v>2646</v>
      </c>
      <c r="C144" s="170" t="str">
        <f>CONCATENATE("https://dl.acm.org/doi/",'Sheridan Comp'!A144)</f>
        <v>https://dl.acm.org/doi/10.1145/3774905.3795448</v>
      </c>
    </row>
    <row r="145">
      <c r="A145" s="169" t="s">
        <v>2647</v>
      </c>
      <c r="B145" s="169" t="s">
        <v>2648</v>
      </c>
      <c r="C145" s="170" t="str">
        <f>CONCATENATE("https://dl.acm.org/doi/",'Sheridan Comp'!A145)</f>
        <v>https://dl.acm.org/doi/10.1145/3774905.3795449</v>
      </c>
    </row>
    <row r="146">
      <c r="A146" s="169" t="s">
        <v>2649</v>
      </c>
      <c r="B146" s="169" t="s">
        <v>2650</v>
      </c>
      <c r="C146" s="170" t="str">
        <f>CONCATENATE("https://dl.acm.org/doi/",'Sheridan Comp'!A146)</f>
        <v>https://dl.acm.org/doi/10.1145/3774905.3795450</v>
      </c>
    </row>
    <row r="147">
      <c r="A147" s="169" t="s">
        <v>2651</v>
      </c>
      <c r="B147" s="169" t="s">
        <v>2652</v>
      </c>
      <c r="C147" s="170" t="str">
        <f>CONCATENATE("https://dl.acm.org/doi/",'Sheridan Comp'!A147)</f>
        <v>https://dl.acm.org/doi/10.1145/3774905.3795451</v>
      </c>
    </row>
    <row r="148">
      <c r="A148" s="169" t="s">
        <v>2653</v>
      </c>
      <c r="B148" s="169" t="s">
        <v>2654</v>
      </c>
      <c r="C148" s="170" t="str">
        <f>CONCATENATE("https://dl.acm.org/doi/",'Sheridan Comp'!A148)</f>
        <v>https://dl.acm.org/doi/10.1145/3774905.3795452</v>
      </c>
    </row>
    <row r="149">
      <c r="A149" s="169" t="s">
        <v>2655</v>
      </c>
      <c r="B149" s="169" t="s">
        <v>2656</v>
      </c>
      <c r="C149" s="170" t="str">
        <f>CONCATENATE("https://dl.acm.org/doi/",'Sheridan Comp'!A149)</f>
        <v>https://dl.acm.org/doi/10.1145/3774905.3795453</v>
      </c>
    </row>
    <row r="150">
      <c r="A150" s="169" t="s">
        <v>2657</v>
      </c>
      <c r="B150" s="169" t="s">
        <v>2658</v>
      </c>
      <c r="C150" s="170" t="str">
        <f>CONCATENATE("https://dl.acm.org/doi/",'Sheridan Comp'!A150)</f>
        <v>https://dl.acm.org/doi/10.1145/3774905.3795455</v>
      </c>
    </row>
    <row r="151">
      <c r="A151" s="169" t="s">
        <v>2659</v>
      </c>
      <c r="B151" s="169" t="s">
        <v>2660</v>
      </c>
      <c r="C151" s="170" t="str">
        <f>CONCATENATE("https://dl.acm.org/doi/",'Sheridan Comp'!A151)</f>
        <v>https://dl.acm.org/doi/10.1145/3774905.3795456</v>
      </c>
    </row>
    <row r="152">
      <c r="A152" s="169" t="s">
        <v>2661</v>
      </c>
      <c r="B152" s="169" t="s">
        <v>2662</v>
      </c>
      <c r="C152" s="170" t="str">
        <f>CONCATENATE("https://dl.acm.org/doi/",'Sheridan Comp'!A152)</f>
        <v>https://dl.acm.org/doi/10.1145/3774905.3795457</v>
      </c>
    </row>
    <row r="153">
      <c r="A153" s="169" t="s">
        <v>2663</v>
      </c>
      <c r="B153" s="169" t="s">
        <v>2664</v>
      </c>
      <c r="C153" s="170" t="str">
        <f>CONCATENATE("https://dl.acm.org/doi/",'Sheridan Comp'!A153)</f>
        <v>https://dl.acm.org/doi/10.1145/3774905.3795458</v>
      </c>
    </row>
    <row r="154">
      <c r="A154" s="169" t="s">
        <v>2665</v>
      </c>
      <c r="B154" s="169" t="s">
        <v>2666</v>
      </c>
      <c r="C154" s="170" t="str">
        <f>CONCATENATE("https://dl.acm.org/doi/",'Sheridan Comp'!A154)</f>
        <v>https://dl.acm.org/doi/10.1145/3774905.3795459</v>
      </c>
    </row>
    <row r="155">
      <c r="A155" s="169" t="s">
        <v>2667</v>
      </c>
      <c r="B155" s="169" t="s">
        <v>2668</v>
      </c>
      <c r="C155" s="170" t="str">
        <f>CONCATENATE("https://dl.acm.org/doi/",'Sheridan Comp'!A155)</f>
        <v>https://dl.acm.org/doi/10.1145/3774905.3795460</v>
      </c>
    </row>
    <row r="156">
      <c r="A156" s="169" t="s">
        <v>2669</v>
      </c>
      <c r="B156" s="169" t="s">
        <v>2670</v>
      </c>
      <c r="C156" s="170" t="str">
        <f>CONCATENATE("https://dl.acm.org/doi/",'Sheridan Comp'!A156)</f>
        <v>https://dl.acm.org/doi/10.1145/3774905.3795461</v>
      </c>
    </row>
    <row r="157">
      <c r="A157" s="169" t="s">
        <v>2671</v>
      </c>
      <c r="B157" s="169" t="s">
        <v>2672</v>
      </c>
      <c r="C157" s="170" t="str">
        <f>CONCATENATE("https://dl.acm.org/doi/",'Sheridan Comp'!A157)</f>
        <v>https://dl.acm.org/doi/10.1145/3774905.3795462</v>
      </c>
    </row>
    <row r="158">
      <c r="A158" s="169" t="s">
        <v>2673</v>
      </c>
      <c r="B158" s="169" t="s">
        <v>2674</v>
      </c>
      <c r="C158" s="170" t="str">
        <f>CONCATENATE("https://dl.acm.org/doi/",'Sheridan Comp'!A158)</f>
        <v>https://dl.acm.org/doi/10.1145/3774905.3795463</v>
      </c>
    </row>
    <row r="159">
      <c r="A159" s="169" t="s">
        <v>2675</v>
      </c>
      <c r="B159" s="169" t="s">
        <v>2676</v>
      </c>
      <c r="C159" s="170" t="str">
        <f>CONCATENATE("https://dl.acm.org/doi/",'Sheridan Comp'!A159)</f>
        <v>https://dl.acm.org/doi/10.1145/3774905.3795464</v>
      </c>
    </row>
    <row r="160">
      <c r="A160" s="169" t="s">
        <v>2677</v>
      </c>
      <c r="B160" s="169" t="s">
        <v>2678</v>
      </c>
      <c r="C160" s="170" t="str">
        <f>CONCATENATE("https://dl.acm.org/doi/",'Sheridan Comp'!A160)</f>
        <v>https://dl.acm.org/doi/10.1145/3774905.3795465</v>
      </c>
    </row>
    <row r="161">
      <c r="A161" s="169" t="s">
        <v>2679</v>
      </c>
      <c r="B161" s="169" t="s">
        <v>2680</v>
      </c>
      <c r="C161" s="170" t="str">
        <f>CONCATENATE("https://dl.acm.org/doi/",'Sheridan Comp'!A161)</f>
        <v>https://dl.acm.org/doi/10.1145/3774905.3795466</v>
      </c>
    </row>
    <row r="162">
      <c r="A162" s="169" t="s">
        <v>2681</v>
      </c>
      <c r="B162" s="169" t="s">
        <v>2682</v>
      </c>
      <c r="C162" s="170" t="str">
        <f>CONCATENATE("https://dl.acm.org/doi/",'Sheridan Comp'!A162)</f>
        <v>https://dl.acm.org/doi/10.1145/3774905.3795467</v>
      </c>
    </row>
    <row r="163">
      <c r="A163" s="169" t="s">
        <v>2683</v>
      </c>
      <c r="B163" s="169" t="s">
        <v>2684</v>
      </c>
      <c r="C163" s="170" t="str">
        <f>CONCATENATE("https://dl.acm.org/doi/",'Sheridan Comp'!A163)</f>
        <v>https://dl.acm.org/doi/10.1145/3774905.3795468</v>
      </c>
    </row>
    <row r="164">
      <c r="A164" s="169" t="s">
        <v>2685</v>
      </c>
      <c r="B164" s="169" t="s">
        <v>2686</v>
      </c>
      <c r="C164" s="170" t="str">
        <f>CONCATENATE("https://dl.acm.org/doi/",'Sheridan Comp'!A164)</f>
        <v>https://dl.acm.org/doi/10.1145/3774905.3795469</v>
      </c>
    </row>
    <row r="165">
      <c r="A165" s="169" t="s">
        <v>2687</v>
      </c>
      <c r="B165" s="169" t="s">
        <v>2688</v>
      </c>
      <c r="C165" s="170" t="str">
        <f>CONCATENATE("https://dl.acm.org/doi/",'Sheridan Comp'!A165)</f>
        <v>https://dl.acm.org/doi/10.1145/3774905.3795470</v>
      </c>
    </row>
    <row r="166">
      <c r="A166" s="169" t="s">
        <v>2689</v>
      </c>
      <c r="B166" s="169" t="s">
        <v>2690</v>
      </c>
      <c r="C166" s="170" t="str">
        <f>CONCATENATE("https://dl.acm.org/doi/",'Sheridan Comp'!A166)</f>
        <v>https://dl.acm.org/doi/10.1145/3774905.3795471</v>
      </c>
    </row>
    <row r="167">
      <c r="A167" s="169" t="s">
        <v>2691</v>
      </c>
      <c r="B167" s="169" t="s">
        <v>2692</v>
      </c>
      <c r="C167" s="170" t="str">
        <f>CONCATENATE("https://dl.acm.org/doi/",'Sheridan Comp'!A167)</f>
        <v>https://dl.acm.org/doi/10.1145/3774905.3795474</v>
      </c>
    </row>
    <row r="168">
      <c r="A168" s="169" t="s">
        <v>2693</v>
      </c>
      <c r="B168" s="169" t="s">
        <v>2694</v>
      </c>
      <c r="C168" s="170" t="str">
        <f>CONCATENATE("https://dl.acm.org/doi/",'Sheridan Comp'!A168)</f>
        <v>https://dl.acm.org/doi/10.1145/3774905.3795475</v>
      </c>
    </row>
    <row r="169">
      <c r="A169" s="169" t="s">
        <v>2695</v>
      </c>
      <c r="B169" s="169" t="s">
        <v>2696</v>
      </c>
      <c r="C169" s="170" t="str">
        <f>CONCATENATE("https://dl.acm.org/doi/",'Sheridan Comp'!A169)</f>
        <v>https://dl.acm.org/doi/10.1145/3774905.3795476</v>
      </c>
    </row>
    <row r="170">
      <c r="A170" s="169" t="s">
        <v>2697</v>
      </c>
      <c r="B170" s="169" t="s">
        <v>2698</v>
      </c>
      <c r="C170" s="170" t="str">
        <f>CONCATENATE("https://dl.acm.org/doi/",'Sheridan Comp'!A170)</f>
        <v>https://dl.acm.org/doi/10.1145/3774905.3795477</v>
      </c>
    </row>
    <row r="171">
      <c r="A171" s="169" t="s">
        <v>2699</v>
      </c>
      <c r="B171" s="169" t="s">
        <v>2700</v>
      </c>
      <c r="C171" s="170" t="str">
        <f>CONCATENATE("https://dl.acm.org/doi/",'Sheridan Comp'!A171)</f>
        <v>https://dl.acm.org/doi/10.1145/3774905.3795479</v>
      </c>
    </row>
    <row r="172">
      <c r="A172" s="169" t="s">
        <v>2701</v>
      </c>
      <c r="B172" s="169" t="s">
        <v>2702</v>
      </c>
      <c r="C172" s="170" t="str">
        <f>CONCATENATE("https://dl.acm.org/doi/",'Sheridan Comp'!A172)</f>
        <v>https://dl.acm.org/doi/10.1145/3774905.3795480</v>
      </c>
    </row>
    <row r="173">
      <c r="A173" s="169" t="s">
        <v>2703</v>
      </c>
      <c r="B173" s="169" t="s">
        <v>2704</v>
      </c>
      <c r="C173" s="170" t="str">
        <f>CONCATENATE("https://dl.acm.org/doi/",'Sheridan Comp'!A173)</f>
        <v>https://dl.acm.org/doi/10.1145/3774905.3795481</v>
      </c>
    </row>
    <row r="174">
      <c r="A174" s="169" t="s">
        <v>2705</v>
      </c>
      <c r="B174" s="169" t="s">
        <v>2706</v>
      </c>
      <c r="C174" s="170" t="str">
        <f>CONCATENATE("https://dl.acm.org/doi/",'Sheridan Comp'!A174)</f>
        <v>https://dl.acm.org/doi/10.1145/3774905.3795484</v>
      </c>
    </row>
    <row r="175">
      <c r="A175" s="169" t="s">
        <v>2707</v>
      </c>
      <c r="B175" s="169" t="s">
        <v>2708</v>
      </c>
      <c r="C175" s="170" t="str">
        <f>CONCATENATE("https://dl.acm.org/doi/",'Sheridan Comp'!A175)</f>
        <v>https://dl.acm.org/doi/10.1145/3774905.3795485</v>
      </c>
    </row>
    <row r="176">
      <c r="A176" s="169" t="s">
        <v>2709</v>
      </c>
      <c r="B176" s="169" t="s">
        <v>2710</v>
      </c>
      <c r="C176" s="170" t="str">
        <f>CONCATENATE("https://dl.acm.org/doi/",'Sheridan Comp'!A176)</f>
        <v>https://dl.acm.org/doi/10.1145/3774905.3795597</v>
      </c>
    </row>
    <row r="177">
      <c r="A177" s="169" t="s">
        <v>2711</v>
      </c>
      <c r="B177" s="169" t="s">
        <v>2712</v>
      </c>
      <c r="C177" s="170" t="str">
        <f>CONCATENATE("https://dl.acm.org/doi/",'Sheridan Comp'!A177)</f>
        <v>https://dl.acm.org/doi/10.1145/3774905.3795598</v>
      </c>
    </row>
    <row r="178">
      <c r="A178" s="169" t="s">
        <v>2713</v>
      </c>
      <c r="B178" s="169" t="s">
        <v>2714</v>
      </c>
      <c r="C178" s="170" t="str">
        <f>CONCATENATE("https://dl.acm.org/doi/",'Sheridan Comp'!A178)</f>
        <v>https://dl.acm.org/doi/10.1145/3774905.3795599</v>
      </c>
    </row>
    <row r="179">
      <c r="A179" s="169" t="s">
        <v>2715</v>
      </c>
      <c r="B179" s="169" t="s">
        <v>2716</v>
      </c>
      <c r="C179" s="170" t="str">
        <f>CONCATENATE("https://dl.acm.org/doi/",'Sheridan Comp'!A179)</f>
        <v>https://dl.acm.org/doi/10.1145/3774905.3795600</v>
      </c>
    </row>
    <row r="180">
      <c r="A180" s="169" t="s">
        <v>2717</v>
      </c>
      <c r="B180" s="169" t="s">
        <v>2718</v>
      </c>
      <c r="C180" s="170" t="str">
        <f>CONCATENATE("https://dl.acm.org/doi/",'Sheridan Comp'!A180)</f>
        <v>https://dl.acm.org/doi/10.1145/3774905.3795601</v>
      </c>
    </row>
    <row r="181">
      <c r="A181" s="169" t="s">
        <v>2719</v>
      </c>
      <c r="B181" s="169" t="s">
        <v>2720</v>
      </c>
      <c r="C181" s="170" t="str">
        <f>CONCATENATE("https://dl.acm.org/doi/",'Sheridan Comp'!A181)</f>
        <v>https://dl.acm.org/doi/10.1145/3774905.3795604</v>
      </c>
    </row>
    <row r="182">
      <c r="A182" s="169" t="s">
        <v>2721</v>
      </c>
      <c r="B182" s="169" t="s">
        <v>2722</v>
      </c>
      <c r="C182" s="170" t="str">
        <f>CONCATENATE("https://dl.acm.org/doi/",'Sheridan Comp'!A182)</f>
        <v>https://dl.acm.org/doi/10.1145/3774905.3795605</v>
      </c>
    </row>
    <row r="183">
      <c r="A183" s="169" t="s">
        <v>2723</v>
      </c>
      <c r="B183" s="169" t="s">
        <v>2724</v>
      </c>
      <c r="C183" s="170" t="str">
        <f>CONCATENATE("https://dl.acm.org/doi/",'Sheridan Comp'!A183)</f>
        <v>https://dl.acm.org/doi/10.1145/3774905.3795606</v>
      </c>
    </row>
    <row r="184">
      <c r="A184" s="169" t="s">
        <v>2725</v>
      </c>
      <c r="B184" s="169" t="s">
        <v>2726</v>
      </c>
      <c r="C184" s="170" t="str">
        <f>CONCATENATE("https://dl.acm.org/doi/",'Sheridan Comp'!A184)</f>
        <v>https://dl.acm.org/doi/10.1145/3774905.3795607</v>
      </c>
    </row>
    <row r="185">
      <c r="A185" s="169" t="s">
        <v>2727</v>
      </c>
      <c r="B185" s="169" t="s">
        <v>2728</v>
      </c>
      <c r="C185" s="170" t="str">
        <f>CONCATENATE("https://dl.acm.org/doi/",'Sheridan Comp'!A185)</f>
        <v>https://dl.acm.org/doi/10.1145/3774905.3795608</v>
      </c>
    </row>
    <row r="186">
      <c r="A186" s="169" t="s">
        <v>2729</v>
      </c>
      <c r="B186" s="169" t="s">
        <v>2730</v>
      </c>
      <c r="C186" s="170" t="str">
        <f>CONCATENATE("https://dl.acm.org/doi/",'Sheridan Comp'!A186)</f>
        <v>https://dl.acm.org/doi/10.1145/3774905.3795610</v>
      </c>
    </row>
    <row r="187">
      <c r="A187" s="169" t="s">
        <v>2731</v>
      </c>
      <c r="B187" s="169" t="s">
        <v>2732</v>
      </c>
      <c r="C187" s="170" t="str">
        <f>CONCATENATE("https://dl.acm.org/doi/",'Sheridan Comp'!A187)</f>
        <v>https://dl.acm.org/doi/10.1145/3774905.3795718</v>
      </c>
    </row>
    <row r="188">
      <c r="A188" s="169" t="s">
        <v>2733</v>
      </c>
      <c r="B188" s="169" t="s">
        <v>2734</v>
      </c>
      <c r="C188" s="170" t="str">
        <f>CONCATENATE("https://dl.acm.org/doi/",'Sheridan Comp'!A188)</f>
        <v>https://dl.acm.org/doi/10.1145/3774905.3795719</v>
      </c>
    </row>
    <row r="189">
      <c r="A189" s="169" t="s">
        <v>2735</v>
      </c>
      <c r="B189" s="169" t="s">
        <v>2736</v>
      </c>
      <c r="C189" s="170" t="str">
        <f>CONCATENATE("https://dl.acm.org/doi/",'Sheridan Comp'!A189)</f>
        <v>https://dl.acm.org/doi/10.1145/3774905.3795722</v>
      </c>
    </row>
    <row r="190">
      <c r="A190" s="169" t="s">
        <v>2737</v>
      </c>
      <c r="B190" s="169" t="s">
        <v>2738</v>
      </c>
      <c r="C190" s="170" t="str">
        <f>CONCATENATE("https://dl.acm.org/doi/",'Sheridan Comp'!A190)</f>
        <v>https://dl.acm.org/doi/10.1145/3774905.3795723</v>
      </c>
    </row>
    <row r="191">
      <c r="A191" s="169" t="s">
        <v>2739</v>
      </c>
      <c r="B191" s="169" t="s">
        <v>2740</v>
      </c>
      <c r="C191" s="170" t="str">
        <f>CONCATENATE("https://dl.acm.org/doi/",'Sheridan Comp'!A191)</f>
        <v>https://dl.acm.org/doi/10.1145/3774905.3795724</v>
      </c>
    </row>
    <row r="192">
      <c r="A192" s="169" t="s">
        <v>2741</v>
      </c>
      <c r="B192" s="169" t="s">
        <v>2742</v>
      </c>
      <c r="C192" s="170" t="str">
        <f>CONCATENATE("https://dl.acm.org/doi/",'Sheridan Comp'!A192)</f>
        <v>https://dl.acm.org/doi/10.1145/3774905.3795725</v>
      </c>
    </row>
    <row r="193">
      <c r="A193" s="169" t="s">
        <v>2743</v>
      </c>
      <c r="B193" s="169" t="s">
        <v>2744</v>
      </c>
      <c r="C193" s="170" t="str">
        <f>CONCATENATE("https://dl.acm.org/doi/",'Sheridan Comp'!A193)</f>
        <v>https://dl.acm.org/doi/10.1145/3774905.3795726</v>
      </c>
    </row>
    <row r="194">
      <c r="A194" s="169" t="s">
        <v>2745</v>
      </c>
      <c r="B194" s="169" t="s">
        <v>2746</v>
      </c>
      <c r="C194" s="170" t="str">
        <f>CONCATENATE("https://dl.acm.org/doi/",'Sheridan Comp'!A194)</f>
        <v>https://dl.acm.org/doi/10.1145/3774905.3795728</v>
      </c>
    </row>
    <row r="195">
      <c r="A195" s="169" t="s">
        <v>2747</v>
      </c>
      <c r="B195" s="169" t="s">
        <v>2748</v>
      </c>
      <c r="C195" s="170" t="str">
        <f>CONCATENATE("https://dl.acm.org/doi/",'Sheridan Comp'!A195)</f>
        <v>https://dl.acm.org/doi/10.1145/3774905.3795729</v>
      </c>
    </row>
    <row r="196">
      <c r="A196" s="169" t="s">
        <v>2749</v>
      </c>
      <c r="B196" s="169" t="s">
        <v>2750</v>
      </c>
      <c r="C196" s="170" t="str">
        <f>CONCATENATE("https://dl.acm.org/doi/",'Sheridan Comp'!A196)</f>
        <v>https://dl.acm.org/doi/10.1145/3774905.3795730</v>
      </c>
    </row>
    <row r="197">
      <c r="A197" s="169" t="s">
        <v>2751</v>
      </c>
      <c r="B197" s="169" t="s">
        <v>2752</v>
      </c>
      <c r="C197" s="170" t="str">
        <f>CONCATENATE("https://dl.acm.org/doi/",'Sheridan Comp'!A197)</f>
        <v>https://dl.acm.org/doi/10.1145/3774905.3795732</v>
      </c>
    </row>
    <row r="198">
      <c r="A198" s="169" t="s">
        <v>2753</v>
      </c>
      <c r="B198" s="169" t="s">
        <v>2754</v>
      </c>
      <c r="C198" s="170" t="str">
        <f>CONCATENATE("https://dl.acm.org/doi/",'Sheridan Comp'!A198)</f>
        <v>https://dl.acm.org/doi/10.1145/3774905.3795734</v>
      </c>
    </row>
    <row r="199">
      <c r="A199" s="169" t="s">
        <v>53</v>
      </c>
      <c r="B199" s="169" t="s">
        <v>2755</v>
      </c>
      <c r="C199" s="170" t="str">
        <f>CONCATENATE("https://dl.acm.org/doi/",'Sheridan Comp'!A199)</f>
        <v>https://dl.acm.org/doi/10.1145/3774905.3795831</v>
      </c>
    </row>
    <row r="200">
      <c r="A200" s="169" t="s">
        <v>2756</v>
      </c>
      <c r="B200" s="169" t="s">
        <v>2757</v>
      </c>
      <c r="C200" s="170" t="str">
        <f>CONCATENATE("https://dl.acm.org/doi/",'Sheridan Comp'!A200)</f>
        <v>https://dl.acm.org/doi/10.1145/3774905.3795832</v>
      </c>
    </row>
    <row r="201">
      <c r="A201" s="169" t="s">
        <v>2758</v>
      </c>
      <c r="B201" s="169" t="s">
        <v>2759</v>
      </c>
      <c r="C201" s="170" t="str">
        <f>CONCATENATE("https://dl.acm.org/doi/",'Sheridan Comp'!A201)</f>
        <v>https://dl.acm.org/doi/10.1145/3774905.3795834</v>
      </c>
    </row>
    <row r="202">
      <c r="A202" s="169" t="s">
        <v>2760</v>
      </c>
      <c r="B202" s="169" t="s">
        <v>2761</v>
      </c>
      <c r="C202" s="170" t="str">
        <f>CONCATENATE("https://dl.acm.org/doi/",'Sheridan Comp'!A202)</f>
        <v>https://dl.acm.org/doi/10.1145/3774905.3795835</v>
      </c>
    </row>
    <row r="203">
      <c r="A203" s="169" t="s">
        <v>2762</v>
      </c>
      <c r="B203" s="169" t="s">
        <v>2763</v>
      </c>
      <c r="C203" s="170" t="str">
        <f>CONCATENATE("https://dl.acm.org/doi/",'Sheridan Comp'!A203)</f>
        <v>https://dl.acm.org/doi/10.1145/3774905.3795838</v>
      </c>
    </row>
    <row r="204">
      <c r="A204" s="169" t="s">
        <v>2764</v>
      </c>
      <c r="B204" s="169" t="s">
        <v>2765</v>
      </c>
      <c r="C204" s="170" t="str">
        <f>CONCATENATE("https://dl.acm.org/doi/",'Sheridan Comp'!A204)</f>
        <v>https://dl.acm.org/doi/10.1145/3774905.3795839</v>
      </c>
    </row>
    <row r="205">
      <c r="A205" s="169" t="s">
        <v>2766</v>
      </c>
      <c r="B205" s="169" t="s">
        <v>2767</v>
      </c>
      <c r="C205" s="170" t="str">
        <f>CONCATENATE("https://dl.acm.org/doi/",'Sheridan Comp'!A205)</f>
        <v>https://dl.acm.org/doi/10.1145/3774905.3795840</v>
      </c>
    </row>
    <row r="206">
      <c r="A206" s="169" t="s">
        <v>24</v>
      </c>
      <c r="B206" s="169" t="s">
        <v>2768</v>
      </c>
      <c r="C206" s="170" t="str">
        <f>CONCATENATE("https://dl.acm.org/doi/",'Sheridan Comp'!A206)</f>
        <v>https://dl.acm.org/doi/10.1145/3774905.3795841</v>
      </c>
    </row>
    <row r="207">
      <c r="A207" s="169" t="s">
        <v>2769</v>
      </c>
      <c r="B207" s="169" t="s">
        <v>2770</v>
      </c>
      <c r="C207" s="170" t="str">
        <f>CONCATENATE("https://dl.acm.org/doi/",'Sheridan Comp'!A207)</f>
        <v>https://dl.acm.org/doi/10.1145/3774905.3795842</v>
      </c>
    </row>
    <row r="208">
      <c r="A208" s="169" t="s">
        <v>2771</v>
      </c>
      <c r="B208" s="169" t="s">
        <v>2772</v>
      </c>
      <c r="C208" s="170" t="str">
        <f>CONCATENATE("https://dl.acm.org/doi/",'Sheridan Comp'!A208)</f>
        <v>https://dl.acm.org/doi/10.1145/3774905.3795843</v>
      </c>
    </row>
    <row r="209">
      <c r="A209" s="169" t="s">
        <v>2773</v>
      </c>
      <c r="B209" s="169" t="s">
        <v>2774</v>
      </c>
      <c r="C209" s="170" t="str">
        <f>CONCATENATE("https://dl.acm.org/doi/",'Sheridan Comp'!A209)</f>
        <v>https://dl.acm.org/doi/10.1145/3774905.3795844</v>
      </c>
    </row>
    <row r="210">
      <c r="A210" s="169" t="s">
        <v>2775</v>
      </c>
      <c r="B210" s="169" t="s">
        <v>2776</v>
      </c>
      <c r="C210" s="170" t="str">
        <f>CONCATENATE("https://dl.acm.org/doi/",'Sheridan Comp'!A210)</f>
        <v>https://dl.acm.org/doi/10.1145/3774905.3795845</v>
      </c>
    </row>
    <row r="211">
      <c r="A211" s="169" t="s">
        <v>2777</v>
      </c>
      <c r="B211" s="169" t="s">
        <v>2778</v>
      </c>
      <c r="C211" s="170" t="str">
        <f>CONCATENATE("https://dl.acm.org/doi/",'Sheridan Comp'!A211)</f>
        <v>https://dl.acm.org/doi/10.1145/3774905.3795847</v>
      </c>
    </row>
    <row r="212">
      <c r="A212" s="169" t="s">
        <v>2779</v>
      </c>
      <c r="B212" s="169" t="s">
        <v>2780</v>
      </c>
      <c r="C212" s="170" t="str">
        <f>CONCATENATE("https://dl.acm.org/doi/",'Sheridan Comp'!A212)</f>
        <v>https://dl.acm.org/doi/10.1145/3774905.3795848</v>
      </c>
    </row>
    <row r="213">
      <c r="A213" s="169" t="s">
        <v>2781</v>
      </c>
      <c r="B213" s="169" t="s">
        <v>2782</v>
      </c>
      <c r="C213" s="170" t="str">
        <f>CONCATENATE("https://dl.acm.org/doi/",'Sheridan Comp'!A213)</f>
        <v>https://dl.acm.org/doi/10.1145/3774905.3795850</v>
      </c>
    </row>
    <row r="214">
      <c r="A214" s="169" t="s">
        <v>2783</v>
      </c>
      <c r="B214" s="169" t="s">
        <v>2784</v>
      </c>
      <c r="C214" s="170" t="str">
        <f>CONCATENATE("https://dl.acm.org/doi/",'Sheridan Comp'!A214)</f>
        <v>https://dl.acm.org/doi/10.1145/3774905.3795851</v>
      </c>
    </row>
    <row r="215">
      <c r="A215" s="169" t="s">
        <v>2785</v>
      </c>
      <c r="B215" s="169" t="s">
        <v>2786</v>
      </c>
      <c r="C215" s="170" t="str">
        <f>CONCATENATE("https://dl.acm.org/doi/",'Sheridan Comp'!A215)</f>
        <v>https://dl.acm.org/doi/10.1145/3774905.3795852</v>
      </c>
    </row>
    <row r="216">
      <c r="A216" s="169" t="s">
        <v>2787</v>
      </c>
      <c r="B216" s="169" t="s">
        <v>2788</v>
      </c>
      <c r="C216" s="170" t="str">
        <f>CONCATENATE("https://dl.acm.org/doi/",'Sheridan Comp'!A216)</f>
        <v>https://dl.acm.org/doi/10.1145/3774905.3795853</v>
      </c>
    </row>
    <row r="217">
      <c r="A217" s="169" t="s">
        <v>2789</v>
      </c>
      <c r="B217" s="169" t="s">
        <v>2790</v>
      </c>
      <c r="C217" s="170" t="str">
        <f>CONCATENATE("https://dl.acm.org/doi/",'Sheridan Comp'!A217)</f>
        <v>https://dl.acm.org/doi/10.1145/3774905.3795854</v>
      </c>
    </row>
    <row r="218">
      <c r="A218" s="169" t="s">
        <v>2791</v>
      </c>
      <c r="B218" s="169" t="s">
        <v>2792</v>
      </c>
      <c r="C218" s="170" t="str">
        <f>CONCATENATE("https://dl.acm.org/doi/",'Sheridan Comp'!A218)</f>
        <v>https://dl.acm.org/doi/10.1145/3774905.3795855</v>
      </c>
    </row>
    <row r="219">
      <c r="A219" s="169" t="s">
        <v>2793</v>
      </c>
      <c r="B219" s="169" t="s">
        <v>2794</v>
      </c>
      <c r="C219" s="170" t="str">
        <f>CONCATENATE("https://dl.acm.org/doi/",'Sheridan Comp'!A219)</f>
        <v>https://dl.acm.org/doi/10.1145/3774905.3795856</v>
      </c>
    </row>
    <row r="220">
      <c r="A220" s="169" t="s">
        <v>2795</v>
      </c>
      <c r="B220" s="169" t="s">
        <v>2796</v>
      </c>
      <c r="C220" s="170" t="str">
        <f>CONCATENATE("https://dl.acm.org/doi/",'Sheridan Comp'!A220)</f>
        <v>https://dl.acm.org/doi/10.1145/3774905.3795857</v>
      </c>
    </row>
    <row r="221">
      <c r="A221" s="169" t="s">
        <v>2797</v>
      </c>
      <c r="B221" s="169" t="s">
        <v>2798</v>
      </c>
      <c r="C221" s="170" t="str">
        <f>CONCATENATE("https://dl.acm.org/doi/",'Sheridan Comp'!A221)</f>
        <v>https://dl.acm.org/doi/10.1145/3774905.3795858</v>
      </c>
    </row>
    <row r="222">
      <c r="A222" s="169" t="s">
        <v>2799</v>
      </c>
      <c r="B222" s="169" t="s">
        <v>2800</v>
      </c>
      <c r="C222" s="170" t="str">
        <f>CONCATENATE("https://dl.acm.org/doi/",'Sheridan Comp'!A222)</f>
        <v>https://dl.acm.org/doi/10.1145/3774905.3795859</v>
      </c>
    </row>
    <row r="223">
      <c r="A223" s="169" t="s">
        <v>2801</v>
      </c>
      <c r="B223" s="169" t="s">
        <v>2802</v>
      </c>
      <c r="C223" s="170" t="str">
        <f>CONCATENATE("https://dl.acm.org/doi/",'Sheridan Comp'!A223)</f>
        <v>https://dl.acm.org/doi/10.1145/3774905.3796129</v>
      </c>
    </row>
    <row r="224">
      <c r="A224" s="169" t="s">
        <v>2803</v>
      </c>
      <c r="B224" s="169" t="s">
        <v>2804</v>
      </c>
      <c r="C224" s="170" t="str">
        <f>CONCATENATE("https://dl.acm.org/doi/",'Sheridan Comp'!A224)</f>
        <v>https://dl.acm.org/doi/10.1145/3774905.3796193</v>
      </c>
    </row>
    <row r="225">
      <c r="A225" s="169" t="s">
        <v>2805</v>
      </c>
      <c r="B225" s="169" t="s">
        <v>2806</v>
      </c>
      <c r="C225" s="170" t="str">
        <f>CONCATENATE("https://dl.acm.org/doi/",'Sheridan Comp'!A225)</f>
        <v>https://dl.acm.org/doi/10.1145/3774905.3796194</v>
      </c>
    </row>
    <row r="226">
      <c r="A226" s="169" t="s">
        <v>2807</v>
      </c>
      <c r="B226" s="169" t="s">
        <v>2808</v>
      </c>
      <c r="C226" s="170" t="str">
        <f>CONCATENATE("https://dl.acm.org/doi/",'Sheridan Comp'!A226)</f>
        <v>https://dl.acm.org/doi/10.1145/3774905.3796217</v>
      </c>
    </row>
    <row r="227">
      <c r="A227" s="169" t="s">
        <v>2809</v>
      </c>
      <c r="B227" s="169" t="s">
        <v>2810</v>
      </c>
      <c r="C227" s="170" t="str">
        <f>CONCATENATE("https://dl.acm.org/doi/",'Sheridan Comp'!A227)</f>
        <v>https://dl.acm.org/doi/10.1145/3774905.3796481</v>
      </c>
    </row>
    <row r="228">
      <c r="A228" s="169" t="s">
        <v>2811</v>
      </c>
      <c r="B228" s="169" t="s">
        <v>2812</v>
      </c>
      <c r="C228" s="170" t="str">
        <f>CONCATENATE("https://dl.acm.org/doi/",'Sheridan Comp'!A228)</f>
        <v>https://dl.acm.org/doi/10.1145/3774905.3796482</v>
      </c>
    </row>
    <row r="229">
      <c r="A229" s="169" t="s">
        <v>2813</v>
      </c>
      <c r="B229" s="169" t="s">
        <v>2814</v>
      </c>
      <c r="C229" s="170" t="str">
        <f>CONCATENATE("https://dl.acm.org/doi/",'Sheridan Comp'!A229)</f>
        <v>https://dl.acm.org/doi/10.1145/3774905.3796483</v>
      </c>
    </row>
    <row r="230">
      <c r="A230" s="169" t="s">
        <v>2815</v>
      </c>
      <c r="B230" s="169" t="s">
        <v>2816</v>
      </c>
      <c r="C230" s="170" t="str">
        <f>CONCATENATE("https://dl.acm.org/doi/",'Sheridan Comp'!A230)</f>
        <v>https://dl.acm.org/doi/10.1145/3774905.3796484</v>
      </c>
    </row>
    <row r="231">
      <c r="A231" s="169" t="s">
        <v>2817</v>
      </c>
      <c r="B231" s="169" t="s">
        <v>2818</v>
      </c>
      <c r="C231" s="170" t="str">
        <f>CONCATENATE("https://dl.acm.org/doi/",'Sheridan Comp'!A231)</f>
        <v>https://dl.acm.org/doi/10.1145/3774905.3796485</v>
      </c>
    </row>
    <row r="232">
      <c r="A232" s="169" t="s">
        <v>2819</v>
      </c>
      <c r="B232" s="169" t="s">
        <v>2820</v>
      </c>
      <c r="C232" s="170" t="str">
        <f>CONCATENATE("https://dl.acm.org/doi/",'Sheridan Comp'!A232)</f>
        <v>https://dl.acm.org/doi/10.1145/3774905.3796487</v>
      </c>
    </row>
    <row r="233">
      <c r="A233" s="169" t="s">
        <v>2821</v>
      </c>
      <c r="B233" s="169" t="s">
        <v>2822</v>
      </c>
      <c r="C233" s="170" t="str">
        <f>CONCATENATE("https://dl.acm.org/doi/",'Sheridan Comp'!A233)</f>
        <v>https://dl.acm.org/doi/10.1145/3774905.3796488</v>
      </c>
    </row>
    <row r="234">
      <c r="A234" s="169" t="s">
        <v>2823</v>
      </c>
      <c r="B234" s="169" t="s">
        <v>2824</v>
      </c>
      <c r="C234" s="170" t="str">
        <f>CONCATENATE("https://dl.acm.org/doi/",'Sheridan Comp'!A234)</f>
        <v>https://dl.acm.org/doi/10.1145/3774905.3796489</v>
      </c>
    </row>
    <row r="235">
      <c r="A235" s="169" t="s">
        <v>2825</v>
      </c>
      <c r="B235" s="169" t="s">
        <v>2826</v>
      </c>
      <c r="C235" s="170" t="str">
        <f>CONCATENATE("https://dl.acm.org/doi/",'Sheridan Comp'!A235)</f>
        <v>https://dl.acm.org/doi/10.1145/3774905.3796491</v>
      </c>
    </row>
    <row r="236">
      <c r="A236" s="169" t="s">
        <v>52</v>
      </c>
      <c r="B236" s="169" t="s">
        <v>2827</v>
      </c>
      <c r="C236" s="170" t="str">
        <f>CONCATENATE("https://dl.acm.org/doi/",'Sheridan Comp'!A236)</f>
        <v>https://dl.acm.org/doi/10.1145/3774905.3796620</v>
      </c>
    </row>
    <row r="237">
      <c r="A237" s="169" t="s">
        <v>2828</v>
      </c>
      <c r="B237" s="169" t="s">
        <v>2829</v>
      </c>
      <c r="C237" s="170" t="str">
        <f>CONCATENATE("https://dl.acm.org/doi/",'Sheridan Comp'!A237)</f>
        <v>https://dl.acm.org/doi/10.1145/3774905.3796623</v>
      </c>
    </row>
    <row r="238">
      <c r="A238" s="169" t="s">
        <v>2830</v>
      </c>
      <c r="B238" s="169" t="s">
        <v>2831</v>
      </c>
      <c r="C238" s="170" t="str">
        <f>CONCATENATE("https://dl.acm.org/doi/",'Sheridan Comp'!A238)</f>
        <v>https://dl.acm.org/doi/10.1145/3774905.3797243</v>
      </c>
    </row>
    <row r="239">
      <c r="A239" s="169" t="s">
        <v>2832</v>
      </c>
      <c r="B239" s="169" t="s">
        <v>2833</v>
      </c>
      <c r="C239" s="170" t="str">
        <f>CONCATENATE("https://dl.acm.org/doi/",'Sheridan Comp'!A239)</f>
        <v>https://dl.acm.org/doi/10.1145/3774905.3797244</v>
      </c>
    </row>
    <row r="240">
      <c r="A240" s="169" t="s">
        <v>2834</v>
      </c>
      <c r="B240" s="169" t="s">
        <v>2835</v>
      </c>
      <c r="C240" s="170" t="str">
        <f>CONCATENATE("https://dl.acm.org/doi/",'Sheridan Comp'!A240)</f>
        <v>https://dl.acm.org/doi/10.1145/3774905.3797438</v>
      </c>
    </row>
    <row r="241">
      <c r="A241" s="169" t="s">
        <v>2836</v>
      </c>
      <c r="B241" s="169" t="s">
        <v>2826</v>
      </c>
      <c r="C241" s="170" t="str">
        <f>CONCATENATE("https://dl.acm.org/doi/",'Sheridan Comp'!A241)</f>
        <v>https://dl.acm.org/doi/10.1145/3774905.3797440</v>
      </c>
    </row>
    <row r="242">
      <c r="A242" s="169" t="s">
        <v>2837</v>
      </c>
      <c r="B242" s="169" t="s">
        <v>2838</v>
      </c>
      <c r="C242" s="170" t="str">
        <f>CONCATENATE("https://dl.acm.org/doi/",'Sheridan Comp'!A242)</f>
        <v>https://dl.acm.org/doi/10.1145/3774905.3797441</v>
      </c>
    </row>
    <row r="243">
      <c r="A243" s="169" t="s">
        <v>2839</v>
      </c>
      <c r="B243" s="169" t="s">
        <v>2840</v>
      </c>
      <c r="C243" s="170" t="str">
        <f>CONCATENATE("https://dl.acm.org/doi/",'Sheridan Comp'!A243)</f>
        <v>https://dl.acm.org/doi/10.1145/3774905.3797442</v>
      </c>
    </row>
    <row r="244">
      <c r="A244" s="169" t="s">
        <v>2841</v>
      </c>
      <c r="B244" s="169" t="s">
        <v>2842</v>
      </c>
      <c r="C244" s="170" t="str">
        <f>CONCATENATE("https://dl.acm.org/doi/",'Sheridan Comp'!A244)</f>
        <v>https://dl.acm.org/doi/10.1145/3774905.3798091</v>
      </c>
    </row>
    <row r="245">
      <c r="A245" s="169"/>
      <c r="B245" s="169"/>
    </row>
    <row r="246">
      <c r="A246" s="169"/>
      <c r="B246" s="169"/>
    </row>
    <row r="247">
      <c r="A247" s="169"/>
      <c r="B247" s="169"/>
    </row>
    <row r="248">
      <c r="A248" s="169"/>
      <c r="B248" s="169"/>
    </row>
    <row r="249">
      <c r="A249" s="169"/>
      <c r="B249" s="169"/>
    </row>
    <row r="250">
      <c r="A250" s="169"/>
      <c r="B250" s="169"/>
    </row>
    <row r="251">
      <c r="A251" s="169"/>
      <c r="B251" s="169"/>
    </row>
    <row r="252">
      <c r="A252" s="169"/>
      <c r="B252" s="169"/>
    </row>
    <row r="253">
      <c r="A253" s="169"/>
      <c r="B253" s="169"/>
    </row>
    <row r="254">
      <c r="A254" s="169"/>
      <c r="B254" s="169"/>
    </row>
    <row r="255">
      <c r="A255" s="169"/>
      <c r="B255" s="169"/>
    </row>
    <row r="256">
      <c r="A256" s="169"/>
      <c r="B256" s="169"/>
    </row>
    <row r="257">
      <c r="A257" s="169"/>
      <c r="B257" s="169"/>
    </row>
    <row r="258">
      <c r="A258" s="169"/>
      <c r="B258" s="169"/>
    </row>
    <row r="259">
      <c r="A259" s="169"/>
      <c r="B259" s="169"/>
    </row>
    <row r="260">
      <c r="A260" s="169"/>
      <c r="B260" s="169"/>
    </row>
    <row r="261">
      <c r="A261" s="169"/>
      <c r="B261" s="169"/>
    </row>
    <row r="262">
      <c r="A262" s="169"/>
      <c r="B262" s="169"/>
    </row>
    <row r="263">
      <c r="A263" s="169"/>
      <c r="B263" s="169"/>
    </row>
    <row r="264">
      <c r="A264" s="169"/>
      <c r="B264" s="169"/>
    </row>
    <row r="265">
      <c r="A265" s="169"/>
      <c r="B265" s="169"/>
    </row>
    <row r="266">
      <c r="A266" s="169"/>
      <c r="B266" s="169"/>
    </row>
    <row r="267">
      <c r="A267" s="169"/>
      <c r="B267" s="169"/>
    </row>
    <row r="268">
      <c r="A268" s="169"/>
      <c r="B268" s="169"/>
    </row>
    <row r="269">
      <c r="A269" s="169"/>
      <c r="B269" s="169"/>
    </row>
    <row r="270">
      <c r="A270" s="169"/>
      <c r="B270" s="169"/>
    </row>
    <row r="271">
      <c r="A271" s="169"/>
      <c r="B271" s="169"/>
    </row>
    <row r="272">
      <c r="A272" s="169"/>
      <c r="B272" s="169"/>
    </row>
    <row r="273">
      <c r="A273" s="169"/>
      <c r="B273" s="169"/>
    </row>
    <row r="274">
      <c r="A274" s="169"/>
      <c r="B274" s="169"/>
    </row>
    <row r="275">
      <c r="A275" s="169"/>
      <c r="B275" s="169"/>
    </row>
    <row r="276">
      <c r="A276" s="169"/>
      <c r="B276" s="169"/>
    </row>
    <row r="277">
      <c r="A277" s="169"/>
      <c r="B277" s="169"/>
    </row>
    <row r="278">
      <c r="A278" s="169"/>
      <c r="B278" s="169"/>
    </row>
    <row r="279">
      <c r="A279" s="169"/>
      <c r="B279" s="169"/>
    </row>
    <row r="280">
      <c r="A280" s="169"/>
      <c r="B280" s="169"/>
    </row>
    <row r="281">
      <c r="A281" s="169"/>
      <c r="B281" s="169"/>
    </row>
    <row r="282">
      <c r="A282" s="169"/>
      <c r="B282" s="169"/>
    </row>
    <row r="283">
      <c r="A283" s="169"/>
      <c r="B283" s="169"/>
    </row>
    <row r="284">
      <c r="A284" s="169"/>
      <c r="B284" s="169"/>
    </row>
    <row r="285">
      <c r="A285" s="169"/>
      <c r="B285" s="169"/>
    </row>
    <row r="286">
      <c r="A286" s="169"/>
      <c r="B286" s="169"/>
    </row>
    <row r="287">
      <c r="A287" s="169"/>
      <c r="B287" s="169"/>
    </row>
    <row r="288">
      <c r="A288" s="169"/>
      <c r="B288" s="169"/>
    </row>
    <row r="289">
      <c r="A289" s="169"/>
      <c r="B289" s="169"/>
    </row>
    <row r="290">
      <c r="A290" s="169"/>
      <c r="B290" s="169"/>
    </row>
    <row r="291">
      <c r="A291" s="169"/>
      <c r="B291" s="169"/>
    </row>
    <row r="292">
      <c r="A292" s="169"/>
      <c r="B292" s="169"/>
    </row>
    <row r="293">
      <c r="A293" s="169"/>
      <c r="B293" s="169"/>
    </row>
    <row r="294">
      <c r="A294" s="169"/>
      <c r="B294" s="169"/>
    </row>
    <row r="295">
      <c r="A295" s="169"/>
      <c r="B295" s="169"/>
    </row>
    <row r="296">
      <c r="A296" s="169"/>
      <c r="B296" s="169"/>
    </row>
    <row r="297">
      <c r="A297" s="169"/>
      <c r="B297" s="169"/>
    </row>
    <row r="298">
      <c r="A298" s="169"/>
      <c r="B298" s="169"/>
    </row>
    <row r="299">
      <c r="A299" s="169"/>
      <c r="B299" s="169"/>
    </row>
    <row r="300">
      <c r="A300" s="169"/>
      <c r="B300" s="169"/>
    </row>
    <row r="301">
      <c r="A301" s="169"/>
      <c r="B301" s="169"/>
    </row>
    <row r="302">
      <c r="A302" s="169"/>
      <c r="B302" s="169"/>
    </row>
    <row r="303">
      <c r="A303" s="169"/>
      <c r="B303" s="169"/>
    </row>
    <row r="304">
      <c r="A304" s="169"/>
      <c r="B304" s="169"/>
    </row>
    <row r="305">
      <c r="A305" s="169"/>
      <c r="B305" s="169"/>
    </row>
    <row r="306">
      <c r="A306" s="169"/>
      <c r="B306" s="169"/>
    </row>
    <row r="307">
      <c r="A307" s="169"/>
      <c r="B307" s="169"/>
    </row>
    <row r="308">
      <c r="A308" s="169"/>
      <c r="B308" s="169"/>
    </row>
    <row r="309">
      <c r="A309" s="169"/>
      <c r="B309" s="169"/>
    </row>
    <row r="310">
      <c r="A310" s="169"/>
      <c r="B310" s="169"/>
    </row>
    <row r="311">
      <c r="A311" s="169"/>
      <c r="B311" s="169"/>
    </row>
    <row r="312">
      <c r="A312" s="169"/>
      <c r="B312" s="169"/>
    </row>
    <row r="313">
      <c r="A313" s="169"/>
      <c r="B313" s="169"/>
    </row>
    <row r="314">
      <c r="A314" s="169"/>
      <c r="B314" s="169"/>
    </row>
    <row r="315">
      <c r="A315" s="169"/>
      <c r="B315" s="169"/>
    </row>
    <row r="316">
      <c r="A316" s="169"/>
      <c r="B316" s="169"/>
    </row>
    <row r="317">
      <c r="A317" s="169"/>
      <c r="B317" s="169"/>
    </row>
    <row r="318">
      <c r="A318" s="169"/>
      <c r="B318" s="169"/>
    </row>
    <row r="319">
      <c r="A319" s="169"/>
      <c r="B319" s="169"/>
    </row>
    <row r="320">
      <c r="A320" s="169"/>
      <c r="B320" s="169"/>
    </row>
    <row r="321">
      <c r="A321" s="169"/>
      <c r="B321" s="169"/>
    </row>
    <row r="322">
      <c r="A322" s="169"/>
      <c r="B322" s="169"/>
    </row>
    <row r="323">
      <c r="A323" s="169"/>
      <c r="B323" s="169"/>
    </row>
    <row r="324">
      <c r="A324" s="169"/>
      <c r="B324" s="169"/>
    </row>
    <row r="325">
      <c r="A325" s="169"/>
      <c r="B325" s="169"/>
    </row>
    <row r="326">
      <c r="A326" s="169"/>
      <c r="B326" s="169"/>
    </row>
    <row r="327">
      <c r="A327" s="169"/>
      <c r="B327" s="169"/>
    </row>
    <row r="328">
      <c r="A328" s="169"/>
      <c r="B328" s="169"/>
    </row>
    <row r="329">
      <c r="A329" s="169"/>
      <c r="B329" s="169"/>
    </row>
    <row r="330">
      <c r="A330" s="169"/>
      <c r="B330" s="169"/>
    </row>
    <row r="331">
      <c r="A331" s="169"/>
      <c r="B331" s="169"/>
    </row>
    <row r="332">
      <c r="A332" s="169"/>
      <c r="B332" s="169"/>
    </row>
    <row r="333">
      <c r="A333" s="169"/>
      <c r="B333" s="169"/>
    </row>
    <row r="334">
      <c r="A334" s="169"/>
      <c r="B334" s="169"/>
    </row>
    <row r="335">
      <c r="A335" s="169"/>
      <c r="B335" s="169"/>
    </row>
    <row r="336">
      <c r="A336" s="169"/>
      <c r="B336" s="169"/>
    </row>
    <row r="337">
      <c r="A337" s="169"/>
      <c r="B337" s="169"/>
    </row>
    <row r="338">
      <c r="A338" s="169"/>
      <c r="B338" s="169"/>
    </row>
    <row r="339">
      <c r="A339" s="169"/>
      <c r="B339" s="169"/>
    </row>
    <row r="340">
      <c r="A340" s="169"/>
      <c r="B340" s="169"/>
    </row>
    <row r="341">
      <c r="A341" s="169"/>
      <c r="B341" s="169"/>
    </row>
    <row r="342">
      <c r="A342" s="169"/>
      <c r="B342" s="169"/>
    </row>
    <row r="343">
      <c r="A343" s="169"/>
      <c r="B343" s="169"/>
    </row>
    <row r="344">
      <c r="A344" s="169"/>
      <c r="B344" s="169"/>
    </row>
    <row r="345">
      <c r="A345" s="169"/>
      <c r="B345" s="169"/>
    </row>
    <row r="346">
      <c r="A346" s="169"/>
      <c r="B346" s="169"/>
    </row>
    <row r="347">
      <c r="A347" s="169"/>
      <c r="B347" s="169"/>
    </row>
    <row r="348">
      <c r="A348" s="169"/>
      <c r="B348" s="169"/>
    </row>
    <row r="349">
      <c r="A349" s="169"/>
      <c r="B349" s="169"/>
    </row>
    <row r="350">
      <c r="A350" s="169"/>
      <c r="B350" s="169"/>
    </row>
    <row r="351">
      <c r="A351" s="169"/>
      <c r="B351" s="169"/>
    </row>
    <row r="352">
      <c r="A352" s="169"/>
      <c r="B352" s="169"/>
    </row>
    <row r="353">
      <c r="A353" s="169"/>
      <c r="B353" s="169"/>
    </row>
    <row r="354">
      <c r="A354" s="169"/>
      <c r="B354" s="169"/>
    </row>
    <row r="355">
      <c r="A355" s="169"/>
      <c r="B355" s="169"/>
    </row>
    <row r="356">
      <c r="A356" s="169"/>
      <c r="B356" s="169"/>
    </row>
    <row r="357">
      <c r="A357" s="169"/>
      <c r="B357" s="169"/>
    </row>
    <row r="358">
      <c r="A358" s="169"/>
      <c r="B358" s="169"/>
    </row>
    <row r="359">
      <c r="A359" s="169"/>
      <c r="B359" s="169"/>
    </row>
    <row r="360">
      <c r="A360" s="169"/>
      <c r="B360" s="169"/>
    </row>
    <row r="361">
      <c r="A361" s="169"/>
      <c r="B361" s="169"/>
    </row>
    <row r="362">
      <c r="A362" s="169"/>
      <c r="B362" s="169"/>
    </row>
    <row r="363">
      <c r="A363" s="169"/>
      <c r="B363" s="169"/>
    </row>
    <row r="364">
      <c r="A364" s="169"/>
      <c r="B364" s="169"/>
    </row>
    <row r="365">
      <c r="A365" s="169"/>
      <c r="B365" s="169"/>
    </row>
    <row r="366">
      <c r="A366" s="169"/>
      <c r="B366" s="169"/>
    </row>
    <row r="367">
      <c r="A367" s="169"/>
      <c r="B367" s="169"/>
    </row>
    <row r="368">
      <c r="A368" s="169"/>
      <c r="B368" s="169"/>
    </row>
    <row r="369">
      <c r="A369" s="169"/>
      <c r="B369" s="169"/>
    </row>
    <row r="370">
      <c r="A370" s="169"/>
      <c r="B370" s="169"/>
    </row>
    <row r="371">
      <c r="A371" s="169"/>
      <c r="B371" s="169"/>
    </row>
    <row r="372">
      <c r="A372" s="169"/>
      <c r="B372" s="169"/>
    </row>
    <row r="373">
      <c r="A373" s="169"/>
      <c r="B373" s="169"/>
    </row>
    <row r="374">
      <c r="A374" s="169"/>
      <c r="B374" s="169"/>
    </row>
    <row r="375">
      <c r="A375" s="169"/>
      <c r="B375" s="169"/>
    </row>
    <row r="376">
      <c r="A376" s="169"/>
      <c r="B376" s="169"/>
    </row>
    <row r="377">
      <c r="A377" s="169"/>
      <c r="B377" s="169"/>
    </row>
    <row r="378">
      <c r="A378" s="169"/>
      <c r="B378" s="169"/>
    </row>
    <row r="379">
      <c r="A379" s="169"/>
      <c r="B379" s="169"/>
    </row>
    <row r="380">
      <c r="A380" s="169"/>
      <c r="B380" s="169"/>
    </row>
    <row r="381">
      <c r="A381" s="169"/>
      <c r="B381" s="169"/>
    </row>
    <row r="382">
      <c r="A382" s="169"/>
      <c r="B382" s="169"/>
    </row>
    <row r="383">
      <c r="A383" s="169"/>
      <c r="B383" s="169"/>
    </row>
    <row r="384">
      <c r="A384" s="169"/>
      <c r="B384" s="169"/>
    </row>
    <row r="385">
      <c r="A385" s="169"/>
      <c r="B385" s="169"/>
    </row>
    <row r="386">
      <c r="A386" s="169"/>
      <c r="B386" s="169"/>
    </row>
    <row r="387">
      <c r="A387" s="169"/>
      <c r="B387" s="169"/>
    </row>
    <row r="388">
      <c r="A388" s="169"/>
      <c r="B388" s="169"/>
    </row>
    <row r="389">
      <c r="A389" s="169"/>
      <c r="B389" s="169"/>
    </row>
    <row r="390">
      <c r="A390" s="169"/>
      <c r="B390" s="169"/>
    </row>
    <row r="391">
      <c r="A391" s="169"/>
      <c r="B391" s="169"/>
    </row>
    <row r="392">
      <c r="A392" s="169"/>
      <c r="B392" s="169"/>
    </row>
    <row r="393">
      <c r="A393" s="169"/>
      <c r="B393" s="169"/>
    </row>
    <row r="394">
      <c r="A394" s="169"/>
      <c r="B394" s="169"/>
    </row>
    <row r="395">
      <c r="A395" s="169"/>
      <c r="B395" s="169"/>
    </row>
    <row r="396">
      <c r="A396" s="169"/>
      <c r="B396" s="169"/>
    </row>
    <row r="397">
      <c r="A397" s="169"/>
      <c r="B397" s="169"/>
    </row>
    <row r="398">
      <c r="A398" s="169"/>
      <c r="B398" s="169"/>
    </row>
    <row r="399">
      <c r="A399" s="169"/>
      <c r="B399" s="169"/>
    </row>
    <row r="400">
      <c r="A400" s="169"/>
      <c r="B400" s="169"/>
    </row>
    <row r="401">
      <c r="A401" s="169"/>
      <c r="B401" s="169"/>
    </row>
    <row r="402">
      <c r="A402" s="169"/>
      <c r="B402" s="169"/>
    </row>
    <row r="403">
      <c r="A403" s="169"/>
      <c r="B403" s="169"/>
    </row>
    <row r="404">
      <c r="A404" s="169"/>
      <c r="B404" s="169"/>
    </row>
    <row r="405">
      <c r="A405" s="169"/>
      <c r="B405" s="169"/>
    </row>
    <row r="406">
      <c r="A406" s="169"/>
      <c r="B406" s="169"/>
    </row>
    <row r="407">
      <c r="A407" s="169"/>
      <c r="B407" s="169"/>
    </row>
    <row r="408">
      <c r="A408" s="169"/>
      <c r="B408" s="169"/>
    </row>
    <row r="409">
      <c r="A409" s="169"/>
      <c r="B409" s="169"/>
    </row>
    <row r="410">
      <c r="A410" s="169"/>
      <c r="B410" s="169"/>
    </row>
    <row r="411">
      <c r="A411" s="169"/>
      <c r="B411" s="169"/>
    </row>
    <row r="412">
      <c r="A412" s="169"/>
      <c r="B412" s="169"/>
    </row>
    <row r="413">
      <c r="A413" s="169"/>
      <c r="B413" s="169"/>
    </row>
    <row r="414">
      <c r="A414" s="169"/>
      <c r="B414" s="169"/>
    </row>
    <row r="415">
      <c r="A415" s="169"/>
      <c r="B415" s="169"/>
    </row>
    <row r="416">
      <c r="A416" s="169"/>
      <c r="B416" s="169"/>
    </row>
    <row r="417">
      <c r="A417" s="169"/>
      <c r="B417" s="169"/>
    </row>
    <row r="418">
      <c r="A418" s="169"/>
      <c r="B418" s="169"/>
    </row>
    <row r="419">
      <c r="A419" s="169"/>
      <c r="B419" s="169"/>
    </row>
    <row r="420">
      <c r="A420" s="169"/>
      <c r="B420" s="169"/>
    </row>
    <row r="421">
      <c r="A421" s="169"/>
      <c r="B421" s="169"/>
    </row>
    <row r="422">
      <c r="A422" s="169"/>
      <c r="B422" s="169"/>
    </row>
    <row r="423">
      <c r="A423" s="169"/>
      <c r="B423" s="169"/>
    </row>
    <row r="424">
      <c r="A424" s="169"/>
      <c r="B424" s="169"/>
    </row>
    <row r="425">
      <c r="A425" s="169"/>
      <c r="B425" s="169"/>
    </row>
    <row r="426">
      <c r="A426" s="169"/>
      <c r="B426" s="169"/>
    </row>
    <row r="427">
      <c r="A427" s="169"/>
      <c r="B427" s="169"/>
    </row>
    <row r="428">
      <c r="A428" s="169"/>
      <c r="B428" s="169"/>
    </row>
    <row r="429">
      <c r="A429" s="169"/>
      <c r="B429" s="169"/>
    </row>
    <row r="430">
      <c r="A430" s="169"/>
      <c r="B430" s="169"/>
    </row>
    <row r="431">
      <c r="A431" s="169"/>
      <c r="B431" s="169"/>
    </row>
    <row r="432">
      <c r="A432" s="169"/>
      <c r="B432" s="169"/>
    </row>
    <row r="433">
      <c r="A433" s="169"/>
      <c r="B433" s="169"/>
    </row>
    <row r="434">
      <c r="A434" s="169"/>
      <c r="B434" s="169"/>
    </row>
    <row r="435">
      <c r="A435" s="169"/>
      <c r="B435" s="169"/>
    </row>
    <row r="436">
      <c r="A436" s="169"/>
      <c r="B436" s="169"/>
    </row>
    <row r="437">
      <c r="A437" s="169"/>
      <c r="B437" s="169"/>
    </row>
    <row r="438">
      <c r="A438" s="169"/>
      <c r="B438" s="169"/>
    </row>
    <row r="439">
      <c r="A439" s="169"/>
      <c r="B439" s="169"/>
    </row>
    <row r="440">
      <c r="A440" s="169"/>
      <c r="B440" s="169"/>
    </row>
    <row r="441">
      <c r="A441" s="169"/>
      <c r="B441" s="169"/>
    </row>
    <row r="442">
      <c r="A442" s="169"/>
      <c r="B442" s="169"/>
    </row>
    <row r="443">
      <c r="A443" s="169"/>
      <c r="B443" s="169"/>
    </row>
    <row r="444">
      <c r="A444" s="169"/>
      <c r="B444" s="169"/>
    </row>
    <row r="445">
      <c r="A445" s="169"/>
      <c r="B445" s="169"/>
    </row>
    <row r="446">
      <c r="A446" s="169"/>
      <c r="B446" s="169"/>
    </row>
    <row r="447">
      <c r="A447" s="169"/>
      <c r="B447" s="169"/>
    </row>
    <row r="448">
      <c r="A448" s="169"/>
      <c r="B448" s="169"/>
    </row>
    <row r="449">
      <c r="A449" s="169"/>
      <c r="B449" s="169"/>
    </row>
    <row r="450">
      <c r="A450" s="169"/>
      <c r="B450" s="169"/>
    </row>
    <row r="451">
      <c r="A451" s="169"/>
      <c r="B451" s="169"/>
    </row>
    <row r="452">
      <c r="A452" s="169"/>
      <c r="B452" s="169"/>
    </row>
    <row r="453">
      <c r="A453" s="169"/>
      <c r="B453" s="169"/>
    </row>
    <row r="454">
      <c r="A454" s="169"/>
      <c r="B454" s="169"/>
    </row>
    <row r="455">
      <c r="A455" s="169"/>
      <c r="B455" s="169"/>
    </row>
    <row r="456">
      <c r="A456" s="169"/>
      <c r="B456" s="169"/>
    </row>
    <row r="457">
      <c r="A457" s="169"/>
      <c r="B457" s="169"/>
    </row>
    <row r="458">
      <c r="A458" s="169"/>
      <c r="B458" s="169"/>
    </row>
    <row r="459">
      <c r="A459" s="169"/>
      <c r="B459" s="169"/>
    </row>
    <row r="460">
      <c r="A460" s="169"/>
      <c r="B460" s="169"/>
    </row>
    <row r="461">
      <c r="A461" s="169"/>
      <c r="B461" s="169"/>
    </row>
    <row r="462">
      <c r="A462" s="169"/>
      <c r="B462" s="169"/>
    </row>
    <row r="463">
      <c r="A463" s="169"/>
      <c r="B463" s="169"/>
    </row>
    <row r="464">
      <c r="A464" s="169"/>
      <c r="B464" s="169"/>
    </row>
    <row r="465">
      <c r="A465" s="169"/>
      <c r="B465" s="169"/>
    </row>
    <row r="466">
      <c r="A466" s="169"/>
      <c r="B466" s="169"/>
    </row>
    <row r="467">
      <c r="A467" s="169"/>
      <c r="B467" s="169"/>
    </row>
    <row r="468">
      <c r="A468" s="169"/>
      <c r="B468" s="169"/>
    </row>
    <row r="469">
      <c r="A469" s="169"/>
      <c r="B469" s="169"/>
    </row>
    <row r="470">
      <c r="A470" s="169"/>
      <c r="B470" s="169"/>
    </row>
    <row r="471">
      <c r="A471" s="169"/>
      <c r="B471" s="169"/>
    </row>
    <row r="472">
      <c r="A472" s="169"/>
      <c r="B472" s="169"/>
    </row>
    <row r="473">
      <c r="A473" s="169"/>
      <c r="B473" s="169"/>
    </row>
    <row r="474">
      <c r="A474" s="169"/>
      <c r="B474" s="169"/>
    </row>
    <row r="475">
      <c r="A475" s="169"/>
      <c r="B475" s="169"/>
    </row>
    <row r="476">
      <c r="A476" s="169"/>
      <c r="B476" s="169"/>
    </row>
    <row r="477">
      <c r="A477" s="169"/>
      <c r="B477" s="169"/>
    </row>
    <row r="478">
      <c r="A478" s="169"/>
      <c r="B478" s="169"/>
    </row>
    <row r="479">
      <c r="A479" s="169"/>
      <c r="B479" s="169"/>
    </row>
    <row r="480">
      <c r="A480" s="169"/>
      <c r="B480" s="169"/>
    </row>
    <row r="481">
      <c r="A481" s="169"/>
      <c r="B481" s="169"/>
    </row>
    <row r="482">
      <c r="A482" s="169"/>
      <c r="B482" s="169"/>
    </row>
    <row r="483">
      <c r="A483" s="169"/>
      <c r="B483" s="169"/>
    </row>
    <row r="484">
      <c r="A484" s="169"/>
      <c r="B484" s="169"/>
    </row>
    <row r="485">
      <c r="A485" s="169"/>
      <c r="B485" s="169"/>
    </row>
    <row r="486">
      <c r="A486" s="169"/>
      <c r="B486" s="169"/>
    </row>
    <row r="487">
      <c r="A487" s="169"/>
      <c r="B487" s="169"/>
    </row>
    <row r="488">
      <c r="A488" s="169"/>
      <c r="B488" s="169"/>
    </row>
    <row r="489">
      <c r="A489" s="169"/>
      <c r="B489" s="169"/>
    </row>
    <row r="490">
      <c r="A490" s="169"/>
      <c r="B490" s="169"/>
    </row>
    <row r="491">
      <c r="A491" s="169"/>
      <c r="B491" s="169"/>
    </row>
    <row r="492">
      <c r="A492" s="169"/>
      <c r="B492" s="169"/>
    </row>
    <row r="493">
      <c r="A493" s="169"/>
      <c r="B493" s="169"/>
    </row>
    <row r="494">
      <c r="A494" s="169"/>
      <c r="B494" s="169"/>
    </row>
    <row r="495">
      <c r="A495" s="169"/>
      <c r="B495" s="169"/>
    </row>
    <row r="496">
      <c r="A496" s="169"/>
      <c r="B496" s="169"/>
    </row>
    <row r="497">
      <c r="A497" s="169"/>
      <c r="B497" s="169"/>
    </row>
    <row r="498">
      <c r="A498" s="169"/>
      <c r="B498" s="169"/>
    </row>
    <row r="499">
      <c r="A499" s="169"/>
      <c r="B499" s="169"/>
    </row>
    <row r="500">
      <c r="A500" s="169"/>
      <c r="B500" s="169"/>
    </row>
    <row r="501">
      <c r="A501" s="169"/>
      <c r="B501" s="169"/>
    </row>
    <row r="502">
      <c r="A502" s="169"/>
      <c r="B502" s="169"/>
    </row>
    <row r="503">
      <c r="A503" s="169"/>
      <c r="B503" s="169"/>
    </row>
    <row r="504">
      <c r="A504" s="169"/>
      <c r="B504" s="169"/>
    </row>
    <row r="505">
      <c r="A505" s="169"/>
      <c r="B505" s="169"/>
    </row>
    <row r="506">
      <c r="A506" s="169"/>
      <c r="B506" s="169"/>
    </row>
    <row r="507">
      <c r="A507" s="169"/>
      <c r="B507" s="169"/>
    </row>
    <row r="508">
      <c r="A508" s="169"/>
      <c r="B508" s="169"/>
    </row>
    <row r="509">
      <c r="A509" s="169"/>
      <c r="B509" s="169"/>
    </row>
    <row r="510">
      <c r="A510" s="169"/>
      <c r="B510" s="169"/>
    </row>
    <row r="511">
      <c r="A511" s="169"/>
      <c r="B511" s="169"/>
    </row>
    <row r="512">
      <c r="A512" s="169"/>
      <c r="B512" s="169"/>
    </row>
    <row r="513">
      <c r="A513" s="169"/>
      <c r="B513" s="169"/>
    </row>
    <row r="514">
      <c r="A514" s="169"/>
      <c r="B514" s="169"/>
    </row>
    <row r="515">
      <c r="A515" s="169"/>
      <c r="B515" s="169"/>
    </row>
    <row r="516">
      <c r="A516" s="169"/>
      <c r="B516" s="169"/>
    </row>
    <row r="517">
      <c r="A517" s="169"/>
      <c r="B517" s="169"/>
    </row>
    <row r="518">
      <c r="A518" s="169"/>
      <c r="B518" s="169"/>
    </row>
    <row r="519">
      <c r="A519" s="169"/>
      <c r="B519" s="169"/>
    </row>
    <row r="520">
      <c r="A520" s="169"/>
      <c r="B520" s="169"/>
    </row>
    <row r="521">
      <c r="A521" s="169"/>
      <c r="B521" s="169"/>
    </row>
    <row r="522">
      <c r="A522" s="169"/>
      <c r="B522" s="169"/>
    </row>
    <row r="523">
      <c r="A523" s="169"/>
      <c r="B523" s="169"/>
    </row>
    <row r="524">
      <c r="A524" s="169"/>
      <c r="B524" s="169"/>
    </row>
    <row r="525">
      <c r="A525" s="169"/>
      <c r="B525" s="169"/>
    </row>
    <row r="526">
      <c r="A526" s="169"/>
      <c r="B526" s="169"/>
    </row>
    <row r="527">
      <c r="A527" s="169"/>
      <c r="B527" s="169"/>
    </row>
    <row r="528">
      <c r="A528" s="169"/>
      <c r="B528" s="169"/>
    </row>
    <row r="529">
      <c r="A529" s="169"/>
      <c r="B529" s="169"/>
    </row>
    <row r="530">
      <c r="A530" s="169"/>
      <c r="B530" s="169"/>
    </row>
    <row r="531">
      <c r="A531" s="169"/>
      <c r="B531" s="169"/>
    </row>
    <row r="532">
      <c r="A532" s="169"/>
      <c r="B532" s="169"/>
    </row>
    <row r="533">
      <c r="A533" s="169"/>
      <c r="B533" s="169"/>
    </row>
    <row r="534">
      <c r="A534" s="169"/>
      <c r="B534" s="169"/>
    </row>
    <row r="535">
      <c r="A535" s="169"/>
      <c r="B535" s="169"/>
    </row>
    <row r="536">
      <c r="A536" s="169"/>
      <c r="B536" s="169"/>
    </row>
    <row r="537">
      <c r="A537" s="169"/>
      <c r="B537" s="169"/>
    </row>
    <row r="538">
      <c r="A538" s="169"/>
      <c r="B538" s="169"/>
    </row>
    <row r="539">
      <c r="A539" s="169"/>
      <c r="B539" s="169"/>
    </row>
    <row r="540">
      <c r="A540" s="169"/>
      <c r="B540" s="169"/>
    </row>
    <row r="541">
      <c r="A541" s="169"/>
      <c r="B541" s="169"/>
    </row>
    <row r="542">
      <c r="A542" s="169"/>
      <c r="B542" s="169"/>
    </row>
    <row r="543">
      <c r="A543" s="169"/>
      <c r="B543" s="169"/>
    </row>
    <row r="544">
      <c r="A544" s="169"/>
      <c r="B544" s="169"/>
    </row>
    <row r="545">
      <c r="A545" s="169"/>
      <c r="B545" s="169"/>
    </row>
    <row r="546">
      <c r="A546" s="169"/>
      <c r="B546" s="169"/>
    </row>
    <row r="547">
      <c r="A547" s="169"/>
      <c r="B547" s="169"/>
    </row>
    <row r="548">
      <c r="A548" s="169"/>
      <c r="B548" s="169"/>
    </row>
    <row r="549">
      <c r="A549" s="169"/>
      <c r="B549" s="169"/>
    </row>
    <row r="550">
      <c r="A550" s="169"/>
      <c r="B550" s="169"/>
    </row>
    <row r="551">
      <c r="A551" s="169"/>
      <c r="B551" s="169"/>
    </row>
    <row r="552">
      <c r="A552" s="169"/>
      <c r="B552" s="169"/>
    </row>
    <row r="553">
      <c r="A553" s="169"/>
      <c r="B553" s="169"/>
    </row>
    <row r="554">
      <c r="A554" s="169"/>
      <c r="B554" s="169"/>
    </row>
    <row r="555">
      <c r="A555" s="169"/>
      <c r="B555" s="169"/>
    </row>
    <row r="556">
      <c r="A556" s="169"/>
      <c r="B556" s="169"/>
    </row>
    <row r="557">
      <c r="A557" s="169"/>
      <c r="B557" s="169"/>
    </row>
    <row r="558">
      <c r="A558" s="169"/>
      <c r="B558" s="169"/>
    </row>
    <row r="559">
      <c r="A559" s="169"/>
      <c r="B559" s="169"/>
    </row>
    <row r="560">
      <c r="A560" s="169"/>
      <c r="B560" s="169"/>
    </row>
    <row r="561">
      <c r="A561" s="169"/>
      <c r="B561" s="169"/>
    </row>
    <row r="562">
      <c r="A562" s="169"/>
      <c r="B562" s="169"/>
    </row>
    <row r="563">
      <c r="A563" s="169"/>
      <c r="B563" s="169"/>
    </row>
    <row r="564">
      <c r="A564" s="169"/>
      <c r="B564" s="169"/>
    </row>
    <row r="565">
      <c r="A565" s="169"/>
      <c r="B565" s="169"/>
    </row>
    <row r="566">
      <c r="A566" s="169"/>
      <c r="B566" s="169"/>
    </row>
    <row r="567">
      <c r="A567" s="169"/>
      <c r="B567" s="169"/>
    </row>
    <row r="568">
      <c r="A568" s="169"/>
      <c r="B568" s="169"/>
    </row>
    <row r="569">
      <c r="A569" s="169"/>
      <c r="B569" s="169"/>
    </row>
    <row r="570">
      <c r="A570" s="169"/>
      <c r="B570" s="169"/>
    </row>
    <row r="571">
      <c r="A571" s="169"/>
      <c r="B571" s="169"/>
    </row>
    <row r="572">
      <c r="A572" s="169"/>
      <c r="B572" s="169"/>
    </row>
    <row r="573">
      <c r="A573" s="169"/>
      <c r="B573" s="169"/>
    </row>
    <row r="574">
      <c r="A574" s="169"/>
      <c r="B574" s="169"/>
    </row>
    <row r="575">
      <c r="A575" s="169"/>
      <c r="B575" s="169"/>
    </row>
    <row r="576">
      <c r="A576" s="169"/>
      <c r="B576" s="169"/>
    </row>
    <row r="577">
      <c r="A577" s="169"/>
      <c r="B577" s="169"/>
    </row>
    <row r="578">
      <c r="A578" s="169"/>
      <c r="B578" s="169"/>
    </row>
    <row r="579">
      <c r="A579" s="169"/>
      <c r="B579" s="169"/>
    </row>
    <row r="580">
      <c r="A580" s="169"/>
      <c r="B580" s="169"/>
    </row>
    <row r="581">
      <c r="A581" s="169"/>
      <c r="B581" s="169"/>
    </row>
    <row r="582">
      <c r="A582" s="169"/>
      <c r="B582" s="169"/>
    </row>
    <row r="583">
      <c r="A583" s="169"/>
      <c r="B583" s="169"/>
    </row>
    <row r="584">
      <c r="A584" s="169"/>
      <c r="B584" s="169"/>
    </row>
    <row r="585">
      <c r="A585" s="169"/>
      <c r="B585" s="169"/>
    </row>
    <row r="586">
      <c r="A586" s="169"/>
      <c r="B586" s="169"/>
    </row>
    <row r="587">
      <c r="A587" s="169"/>
      <c r="B587" s="169"/>
    </row>
    <row r="588">
      <c r="A588" s="169"/>
      <c r="B588" s="169"/>
    </row>
    <row r="589">
      <c r="A589" s="169"/>
      <c r="B589" s="169"/>
    </row>
    <row r="590">
      <c r="A590" s="169"/>
      <c r="B590" s="169"/>
    </row>
    <row r="591">
      <c r="A591" s="169"/>
      <c r="B591" s="169"/>
    </row>
    <row r="592">
      <c r="A592" s="169"/>
      <c r="B592" s="169"/>
    </row>
    <row r="593">
      <c r="A593" s="169"/>
      <c r="B593" s="169"/>
    </row>
    <row r="594">
      <c r="A594" s="169"/>
      <c r="B594" s="169"/>
    </row>
    <row r="595">
      <c r="A595" s="169"/>
      <c r="B595" s="169"/>
    </row>
    <row r="596">
      <c r="A596" s="169"/>
      <c r="B596" s="169"/>
    </row>
    <row r="597">
      <c r="A597" s="169"/>
      <c r="B597" s="169"/>
    </row>
    <row r="598">
      <c r="A598" s="169"/>
      <c r="B598" s="169"/>
    </row>
    <row r="599">
      <c r="A599" s="169"/>
      <c r="B599" s="169"/>
    </row>
    <row r="600">
      <c r="A600" s="169"/>
      <c r="B600" s="169"/>
    </row>
    <row r="601">
      <c r="A601" s="169"/>
      <c r="B601" s="169"/>
    </row>
    <row r="602">
      <c r="A602" s="169"/>
      <c r="B602" s="169"/>
    </row>
    <row r="603">
      <c r="A603" s="169"/>
      <c r="B603" s="169"/>
    </row>
    <row r="604">
      <c r="A604" s="169"/>
      <c r="B604" s="169"/>
    </row>
    <row r="605">
      <c r="A605" s="169"/>
      <c r="B605" s="169"/>
    </row>
    <row r="606">
      <c r="A606" s="169"/>
      <c r="B606" s="169"/>
    </row>
    <row r="607">
      <c r="A607" s="169"/>
      <c r="B607" s="169"/>
    </row>
    <row r="608">
      <c r="A608" s="169"/>
      <c r="B608" s="169"/>
    </row>
    <row r="609">
      <c r="A609" s="169"/>
      <c r="B609" s="169"/>
    </row>
    <row r="610">
      <c r="A610" s="169"/>
      <c r="B610" s="169"/>
    </row>
    <row r="611">
      <c r="A611" s="169"/>
      <c r="B611" s="169"/>
    </row>
    <row r="612">
      <c r="A612" s="169"/>
      <c r="B612" s="169"/>
    </row>
    <row r="613">
      <c r="A613" s="169"/>
      <c r="B613" s="169"/>
    </row>
    <row r="614">
      <c r="A614" s="169"/>
      <c r="B614" s="169"/>
    </row>
    <row r="615">
      <c r="A615" s="169"/>
      <c r="B615" s="169"/>
    </row>
    <row r="616">
      <c r="A616" s="169"/>
      <c r="B616" s="169"/>
    </row>
    <row r="617">
      <c r="A617" s="169"/>
      <c r="B617" s="169"/>
    </row>
    <row r="618">
      <c r="A618" s="169"/>
      <c r="B618" s="169"/>
    </row>
    <row r="619">
      <c r="A619" s="169"/>
      <c r="B619" s="169"/>
    </row>
    <row r="620">
      <c r="A620" s="169"/>
      <c r="B620" s="169"/>
    </row>
    <row r="621">
      <c r="A621" s="169"/>
      <c r="B621" s="169"/>
    </row>
    <row r="622">
      <c r="A622" s="169"/>
      <c r="B622" s="169"/>
    </row>
    <row r="623">
      <c r="A623" s="169"/>
      <c r="B623" s="169"/>
    </row>
    <row r="624">
      <c r="A624" s="169"/>
      <c r="B624" s="169"/>
    </row>
    <row r="625">
      <c r="A625" s="169"/>
      <c r="B625" s="169"/>
    </row>
    <row r="626">
      <c r="A626" s="169"/>
      <c r="B626" s="169"/>
    </row>
    <row r="627">
      <c r="A627" s="169"/>
      <c r="B627" s="169"/>
    </row>
    <row r="628">
      <c r="A628" s="169"/>
      <c r="B628" s="169"/>
    </row>
    <row r="629">
      <c r="A629" s="169"/>
      <c r="B629" s="169"/>
    </row>
    <row r="630">
      <c r="A630" s="169"/>
      <c r="B630" s="169"/>
    </row>
    <row r="631">
      <c r="A631" s="169"/>
      <c r="B631" s="169"/>
    </row>
    <row r="632">
      <c r="A632" s="169"/>
      <c r="B632" s="169"/>
    </row>
    <row r="633">
      <c r="A633" s="169"/>
      <c r="B633" s="169"/>
    </row>
    <row r="634">
      <c r="A634" s="169"/>
      <c r="B634" s="169"/>
    </row>
    <row r="635">
      <c r="A635" s="169"/>
      <c r="B635" s="169"/>
    </row>
    <row r="636">
      <c r="A636" s="169"/>
      <c r="B636" s="169"/>
    </row>
    <row r="637">
      <c r="A637" s="169"/>
      <c r="B637" s="169"/>
    </row>
    <row r="638">
      <c r="A638" s="169"/>
      <c r="B638" s="169"/>
    </row>
    <row r="639">
      <c r="A639" s="169"/>
      <c r="B639" s="169"/>
    </row>
    <row r="640">
      <c r="A640" s="169"/>
      <c r="B640" s="169"/>
    </row>
    <row r="641">
      <c r="A641" s="169"/>
      <c r="B641" s="169"/>
    </row>
    <row r="642">
      <c r="A642" s="169"/>
      <c r="B642" s="169"/>
    </row>
    <row r="643">
      <c r="A643" s="169"/>
      <c r="B643" s="169"/>
    </row>
    <row r="644">
      <c r="A644" s="169"/>
      <c r="B644" s="169"/>
    </row>
    <row r="645">
      <c r="A645" s="169"/>
      <c r="B645" s="169"/>
    </row>
    <row r="646">
      <c r="A646" s="169"/>
      <c r="B646" s="169"/>
    </row>
    <row r="647">
      <c r="A647" s="169"/>
      <c r="B647" s="169"/>
    </row>
    <row r="648">
      <c r="A648" s="169"/>
      <c r="B648" s="169"/>
    </row>
    <row r="649">
      <c r="A649" s="169"/>
      <c r="B649" s="169"/>
    </row>
    <row r="650">
      <c r="A650" s="169"/>
      <c r="B650" s="169"/>
    </row>
    <row r="651">
      <c r="A651" s="169"/>
      <c r="B651" s="169"/>
    </row>
    <row r="652">
      <c r="A652" s="169"/>
      <c r="B652" s="169"/>
    </row>
    <row r="653">
      <c r="A653" s="169"/>
      <c r="B653" s="169"/>
    </row>
    <row r="654">
      <c r="A654" s="169"/>
      <c r="B654" s="169"/>
    </row>
    <row r="655">
      <c r="A655" s="169"/>
      <c r="B655" s="169"/>
    </row>
    <row r="656">
      <c r="A656" s="169"/>
      <c r="B656" s="169"/>
    </row>
    <row r="657">
      <c r="A657" s="169"/>
      <c r="B657" s="169"/>
    </row>
    <row r="658">
      <c r="A658" s="169"/>
      <c r="B658" s="169"/>
    </row>
    <row r="659">
      <c r="A659" s="169"/>
      <c r="B659" s="169"/>
    </row>
    <row r="660">
      <c r="A660" s="169"/>
      <c r="B660" s="169"/>
    </row>
    <row r="661">
      <c r="A661" s="169"/>
      <c r="B661" s="169"/>
    </row>
    <row r="662">
      <c r="A662" s="169"/>
      <c r="B662" s="169"/>
    </row>
    <row r="663">
      <c r="A663" s="169"/>
      <c r="B663" s="169"/>
    </row>
    <row r="664">
      <c r="A664" s="169"/>
      <c r="B664" s="169"/>
    </row>
    <row r="665">
      <c r="A665" s="169"/>
      <c r="B665" s="169"/>
    </row>
    <row r="666">
      <c r="A666" s="169"/>
      <c r="B666" s="169"/>
    </row>
    <row r="667">
      <c r="A667" s="169"/>
      <c r="B667" s="169"/>
    </row>
    <row r="668">
      <c r="A668" s="169"/>
      <c r="B668" s="169"/>
    </row>
    <row r="669">
      <c r="A669" s="169"/>
      <c r="B669" s="169"/>
    </row>
    <row r="670">
      <c r="A670" s="169"/>
      <c r="B670" s="169"/>
    </row>
    <row r="671">
      <c r="A671" s="169"/>
      <c r="B671" s="169"/>
    </row>
    <row r="672">
      <c r="A672" s="169"/>
      <c r="B672" s="169"/>
    </row>
    <row r="673">
      <c r="A673" s="169"/>
      <c r="B673" s="169"/>
    </row>
    <row r="674">
      <c r="A674" s="169"/>
      <c r="B674" s="169"/>
    </row>
    <row r="675">
      <c r="A675" s="169"/>
      <c r="B675" s="169"/>
    </row>
    <row r="676">
      <c r="A676" s="169"/>
      <c r="B676" s="169"/>
    </row>
    <row r="677">
      <c r="A677" s="169"/>
      <c r="B677" s="169"/>
    </row>
    <row r="678">
      <c r="A678" s="169"/>
      <c r="B678" s="169"/>
    </row>
    <row r="679">
      <c r="A679" s="169"/>
      <c r="B679" s="169"/>
    </row>
    <row r="680">
      <c r="A680" s="169"/>
      <c r="B680" s="169"/>
    </row>
    <row r="681">
      <c r="A681" s="169"/>
      <c r="B681" s="169"/>
    </row>
    <row r="682">
      <c r="A682" s="169"/>
      <c r="B682" s="169"/>
    </row>
    <row r="683">
      <c r="A683" s="169"/>
      <c r="B683" s="169"/>
    </row>
    <row r="684">
      <c r="A684" s="169"/>
      <c r="B684" s="169"/>
    </row>
    <row r="685">
      <c r="A685" s="169"/>
      <c r="B685" s="169"/>
    </row>
    <row r="686">
      <c r="A686" s="169"/>
      <c r="B686" s="169"/>
    </row>
    <row r="687">
      <c r="A687" s="169"/>
      <c r="B687" s="169"/>
    </row>
    <row r="688">
      <c r="A688" s="169"/>
      <c r="B688" s="169"/>
    </row>
    <row r="689">
      <c r="A689" s="169"/>
      <c r="B689" s="169"/>
    </row>
    <row r="690">
      <c r="A690" s="169"/>
      <c r="B690" s="169"/>
    </row>
    <row r="691">
      <c r="A691" s="169"/>
      <c r="B691" s="169"/>
    </row>
    <row r="692">
      <c r="A692" s="169"/>
      <c r="B692" s="169"/>
    </row>
    <row r="693">
      <c r="A693" s="169"/>
      <c r="B693" s="169"/>
    </row>
    <row r="694">
      <c r="A694" s="169"/>
      <c r="B694" s="169"/>
    </row>
    <row r="695">
      <c r="A695" s="169"/>
      <c r="B695" s="169"/>
    </row>
    <row r="696">
      <c r="A696" s="169"/>
      <c r="B696" s="169"/>
    </row>
    <row r="697">
      <c r="A697" s="169"/>
      <c r="B697" s="169"/>
    </row>
    <row r="698">
      <c r="A698" s="169"/>
      <c r="B698" s="169"/>
    </row>
    <row r="699">
      <c r="A699" s="169"/>
      <c r="B699" s="169"/>
    </row>
    <row r="700">
      <c r="A700" s="169"/>
      <c r="B700" s="169"/>
    </row>
    <row r="701">
      <c r="A701" s="169"/>
      <c r="B701" s="169"/>
    </row>
    <row r="702">
      <c r="A702" s="169"/>
      <c r="B702" s="169"/>
    </row>
    <row r="703">
      <c r="A703" s="169"/>
      <c r="B703" s="169"/>
    </row>
    <row r="704">
      <c r="A704" s="169"/>
      <c r="B704" s="169"/>
    </row>
    <row r="705">
      <c r="A705" s="169"/>
      <c r="B705" s="169"/>
    </row>
    <row r="706">
      <c r="A706" s="169"/>
      <c r="B706" s="169"/>
    </row>
    <row r="707">
      <c r="A707" s="169"/>
      <c r="B707" s="169"/>
    </row>
    <row r="708">
      <c r="A708" s="169"/>
      <c r="B708" s="169"/>
    </row>
    <row r="709">
      <c r="A709" s="169"/>
      <c r="B709" s="169"/>
    </row>
    <row r="710">
      <c r="A710" s="169"/>
      <c r="B710" s="169"/>
    </row>
    <row r="711">
      <c r="A711" s="169"/>
      <c r="B711" s="169"/>
    </row>
    <row r="712">
      <c r="A712" s="169"/>
      <c r="B712" s="169"/>
    </row>
    <row r="713">
      <c r="A713" s="169"/>
      <c r="B713" s="169"/>
    </row>
    <row r="714">
      <c r="A714" s="169"/>
      <c r="B714" s="169"/>
    </row>
    <row r="715">
      <c r="A715" s="169"/>
      <c r="B715" s="169"/>
    </row>
    <row r="716">
      <c r="A716" s="169"/>
      <c r="B716" s="169"/>
    </row>
    <row r="717">
      <c r="A717" s="169"/>
      <c r="B717" s="169"/>
    </row>
    <row r="718">
      <c r="A718" s="169"/>
      <c r="B718" s="169"/>
    </row>
    <row r="719">
      <c r="A719" s="169"/>
      <c r="B719" s="169"/>
    </row>
    <row r="720">
      <c r="A720" s="169"/>
      <c r="B720" s="169"/>
    </row>
    <row r="721">
      <c r="A721" s="169"/>
      <c r="B721" s="169"/>
    </row>
    <row r="722">
      <c r="A722" s="169"/>
      <c r="B722" s="169"/>
    </row>
    <row r="723">
      <c r="A723" s="169"/>
      <c r="B723" s="169"/>
    </row>
    <row r="724">
      <c r="A724" s="169"/>
      <c r="B724" s="169"/>
    </row>
    <row r="725">
      <c r="A725" s="169"/>
      <c r="B725" s="169"/>
    </row>
    <row r="726">
      <c r="A726" s="169"/>
      <c r="B726" s="169"/>
    </row>
    <row r="727">
      <c r="A727" s="169"/>
      <c r="B727" s="169"/>
    </row>
    <row r="728">
      <c r="A728" s="169"/>
      <c r="B728" s="169"/>
    </row>
    <row r="729">
      <c r="A729" s="169"/>
      <c r="B729" s="169"/>
    </row>
    <row r="730">
      <c r="A730" s="169"/>
      <c r="B730" s="169"/>
    </row>
    <row r="731">
      <c r="A731" s="169"/>
      <c r="B731" s="169"/>
    </row>
    <row r="732">
      <c r="A732" s="169"/>
      <c r="B732" s="169"/>
    </row>
    <row r="733">
      <c r="A733" s="169"/>
      <c r="B733" s="169"/>
    </row>
    <row r="734">
      <c r="A734" s="169"/>
      <c r="B734" s="169"/>
    </row>
    <row r="735">
      <c r="A735" s="169"/>
      <c r="B735" s="169"/>
    </row>
    <row r="736">
      <c r="A736" s="169"/>
      <c r="B736" s="169"/>
    </row>
    <row r="737">
      <c r="A737" s="169"/>
      <c r="B737" s="169"/>
    </row>
    <row r="738">
      <c r="A738" s="169"/>
      <c r="B738" s="169"/>
    </row>
    <row r="739">
      <c r="A739" s="169"/>
      <c r="B739" s="169"/>
    </row>
    <row r="740">
      <c r="A740" s="169"/>
      <c r="B740" s="169"/>
    </row>
    <row r="741">
      <c r="A741" s="169"/>
      <c r="B741" s="169"/>
    </row>
    <row r="742">
      <c r="A742" s="169"/>
      <c r="B742" s="169"/>
    </row>
    <row r="743">
      <c r="A743" s="169"/>
      <c r="B743" s="169"/>
    </row>
    <row r="744">
      <c r="A744" s="169"/>
      <c r="B744" s="169"/>
    </row>
    <row r="745">
      <c r="A745" s="169"/>
      <c r="B745" s="169"/>
    </row>
    <row r="746">
      <c r="A746" s="169"/>
      <c r="B746" s="169"/>
    </row>
    <row r="747">
      <c r="A747" s="169"/>
      <c r="B747" s="169"/>
    </row>
    <row r="748">
      <c r="A748" s="169"/>
      <c r="B748" s="169"/>
    </row>
    <row r="749">
      <c r="A749" s="169"/>
      <c r="B749" s="169"/>
    </row>
    <row r="750">
      <c r="A750" s="169"/>
      <c r="B750" s="169"/>
    </row>
    <row r="751">
      <c r="A751" s="169"/>
      <c r="B751" s="169"/>
    </row>
    <row r="752">
      <c r="A752" s="169"/>
      <c r="B752" s="169"/>
    </row>
    <row r="753">
      <c r="A753" s="169"/>
      <c r="B753" s="169"/>
    </row>
    <row r="754">
      <c r="A754" s="169"/>
      <c r="B754" s="169"/>
    </row>
    <row r="755">
      <c r="A755" s="169"/>
      <c r="B755" s="169"/>
    </row>
    <row r="756">
      <c r="A756" s="169"/>
      <c r="B756" s="169"/>
    </row>
    <row r="757">
      <c r="A757" s="169"/>
      <c r="B757" s="169"/>
    </row>
    <row r="758">
      <c r="A758" s="169"/>
      <c r="B758" s="169"/>
    </row>
    <row r="759">
      <c r="A759" s="169"/>
      <c r="B759" s="169"/>
    </row>
    <row r="760">
      <c r="A760" s="169"/>
      <c r="B760" s="169"/>
    </row>
    <row r="761">
      <c r="A761" s="169"/>
      <c r="B761" s="169"/>
    </row>
    <row r="762">
      <c r="A762" s="169"/>
      <c r="B762" s="169"/>
    </row>
    <row r="763">
      <c r="A763" s="169"/>
      <c r="B763" s="169"/>
    </row>
    <row r="764">
      <c r="A764" s="169"/>
      <c r="B764" s="169"/>
    </row>
    <row r="765">
      <c r="A765" s="169"/>
      <c r="B765" s="169"/>
    </row>
    <row r="766">
      <c r="A766" s="169"/>
      <c r="B766" s="169"/>
    </row>
    <row r="767">
      <c r="A767" s="169"/>
      <c r="B767" s="169"/>
    </row>
    <row r="768">
      <c r="A768" s="169"/>
      <c r="B768" s="169"/>
    </row>
    <row r="769">
      <c r="A769" s="169"/>
      <c r="B769" s="169"/>
    </row>
    <row r="770">
      <c r="A770" s="169"/>
      <c r="B770" s="169"/>
    </row>
    <row r="771">
      <c r="A771" s="169"/>
      <c r="B771" s="169"/>
    </row>
    <row r="772">
      <c r="A772" s="169"/>
      <c r="B772" s="169"/>
    </row>
    <row r="773">
      <c r="A773" s="169"/>
      <c r="B773" s="169"/>
    </row>
    <row r="774">
      <c r="A774" s="169"/>
      <c r="B774" s="169"/>
    </row>
    <row r="775">
      <c r="A775" s="169"/>
      <c r="B775" s="169"/>
    </row>
    <row r="776">
      <c r="A776" s="169"/>
      <c r="B776" s="169"/>
    </row>
    <row r="777">
      <c r="A777" s="169"/>
      <c r="B777" s="169"/>
    </row>
    <row r="778">
      <c r="A778" s="169"/>
      <c r="B778" s="169"/>
    </row>
    <row r="779">
      <c r="A779" s="169"/>
      <c r="B779" s="169"/>
    </row>
    <row r="780">
      <c r="A780" s="169"/>
      <c r="B780" s="169"/>
    </row>
    <row r="781">
      <c r="A781" s="169"/>
      <c r="B781" s="169"/>
    </row>
    <row r="782">
      <c r="A782" s="169"/>
      <c r="B782" s="169"/>
    </row>
    <row r="783">
      <c r="A783" s="169"/>
      <c r="B783" s="169"/>
    </row>
    <row r="784">
      <c r="A784" s="169"/>
      <c r="B784" s="169"/>
    </row>
    <row r="785">
      <c r="A785" s="169"/>
      <c r="B785" s="169"/>
    </row>
    <row r="786">
      <c r="A786" s="169"/>
      <c r="B786" s="169"/>
    </row>
    <row r="787">
      <c r="A787" s="169"/>
      <c r="B787" s="169"/>
    </row>
    <row r="788">
      <c r="A788" s="169"/>
      <c r="B788" s="169"/>
    </row>
    <row r="789">
      <c r="A789" s="169"/>
      <c r="B789" s="169"/>
    </row>
    <row r="790">
      <c r="A790" s="169"/>
      <c r="B790" s="169"/>
    </row>
    <row r="791">
      <c r="A791" s="169"/>
      <c r="B791" s="169"/>
    </row>
    <row r="792">
      <c r="A792" s="169"/>
      <c r="B792" s="169"/>
    </row>
    <row r="793">
      <c r="A793" s="169"/>
      <c r="B793" s="169"/>
    </row>
    <row r="794">
      <c r="A794" s="169"/>
      <c r="B794" s="169"/>
    </row>
    <row r="795">
      <c r="A795" s="169"/>
      <c r="B795" s="169"/>
    </row>
    <row r="796">
      <c r="A796" s="169"/>
      <c r="B796" s="169"/>
    </row>
    <row r="797">
      <c r="A797" s="169"/>
      <c r="B797" s="169"/>
    </row>
    <row r="798">
      <c r="A798" s="169"/>
      <c r="B798" s="169"/>
    </row>
    <row r="799">
      <c r="A799" s="169"/>
      <c r="B799" s="169"/>
    </row>
    <row r="800">
      <c r="A800" s="169"/>
      <c r="B800" s="169"/>
    </row>
    <row r="801">
      <c r="A801" s="169"/>
      <c r="B801" s="169"/>
    </row>
    <row r="802">
      <c r="A802" s="169"/>
      <c r="B802" s="169"/>
    </row>
    <row r="803">
      <c r="A803" s="169"/>
      <c r="B803" s="169"/>
    </row>
    <row r="804">
      <c r="A804" s="169"/>
      <c r="B804" s="169"/>
    </row>
    <row r="805">
      <c r="A805" s="169"/>
      <c r="B805" s="169"/>
    </row>
    <row r="806">
      <c r="A806" s="169"/>
      <c r="B806" s="169"/>
    </row>
    <row r="807">
      <c r="A807" s="169"/>
      <c r="B807" s="169"/>
    </row>
    <row r="808">
      <c r="A808" s="169"/>
      <c r="B808" s="169"/>
    </row>
    <row r="809">
      <c r="A809" s="169"/>
      <c r="B809" s="169"/>
    </row>
    <row r="810">
      <c r="A810" s="169"/>
      <c r="B810" s="169"/>
    </row>
    <row r="811">
      <c r="A811" s="169"/>
      <c r="B811" s="169"/>
    </row>
    <row r="812">
      <c r="A812" s="169"/>
      <c r="B812" s="169"/>
    </row>
    <row r="813">
      <c r="A813" s="169"/>
      <c r="B813" s="169"/>
    </row>
    <row r="814">
      <c r="A814" s="169"/>
      <c r="B814" s="169"/>
    </row>
    <row r="815">
      <c r="A815" s="169"/>
      <c r="B815" s="169"/>
    </row>
    <row r="816">
      <c r="A816" s="169"/>
      <c r="B816" s="169"/>
    </row>
    <row r="817">
      <c r="A817" s="169"/>
      <c r="B817" s="169"/>
    </row>
    <row r="818">
      <c r="A818" s="169"/>
      <c r="B818" s="169"/>
    </row>
    <row r="819">
      <c r="A819" s="169"/>
      <c r="B819" s="169"/>
    </row>
    <row r="820">
      <c r="A820" s="169"/>
      <c r="B820" s="169"/>
    </row>
    <row r="821">
      <c r="A821" s="169"/>
      <c r="B821" s="169"/>
    </row>
    <row r="822">
      <c r="A822" s="169"/>
      <c r="B822" s="169"/>
    </row>
    <row r="823">
      <c r="A823" s="169"/>
      <c r="B823" s="169"/>
    </row>
    <row r="824">
      <c r="A824" s="169"/>
      <c r="B824" s="169"/>
    </row>
    <row r="825">
      <c r="A825" s="169"/>
      <c r="B825" s="169"/>
    </row>
    <row r="826">
      <c r="A826" s="169"/>
      <c r="B826" s="169"/>
    </row>
    <row r="827">
      <c r="A827" s="169"/>
      <c r="B827" s="169"/>
    </row>
    <row r="828">
      <c r="A828" s="169"/>
      <c r="B828" s="169"/>
    </row>
    <row r="829">
      <c r="A829" s="169"/>
      <c r="B829" s="169"/>
    </row>
    <row r="830">
      <c r="A830" s="169"/>
      <c r="B830" s="169"/>
    </row>
    <row r="831">
      <c r="A831" s="169"/>
      <c r="B831" s="169"/>
    </row>
    <row r="832">
      <c r="A832" s="169"/>
      <c r="B832" s="169"/>
    </row>
    <row r="833">
      <c r="A833" s="169"/>
      <c r="B833" s="169"/>
    </row>
    <row r="834">
      <c r="A834" s="169"/>
      <c r="B834" s="169"/>
    </row>
    <row r="835">
      <c r="A835" s="169"/>
      <c r="B835" s="169"/>
    </row>
    <row r="836">
      <c r="A836" s="169"/>
      <c r="B836" s="169"/>
    </row>
    <row r="837">
      <c r="A837" s="169"/>
      <c r="B837" s="169"/>
    </row>
    <row r="838">
      <c r="A838" s="169"/>
      <c r="B838" s="169"/>
    </row>
    <row r="839">
      <c r="A839" s="169"/>
      <c r="B839" s="169"/>
    </row>
    <row r="840">
      <c r="A840" s="169"/>
      <c r="B840" s="169"/>
    </row>
    <row r="841">
      <c r="A841" s="169"/>
      <c r="B841" s="169"/>
    </row>
    <row r="842">
      <c r="A842" s="169"/>
      <c r="B842" s="169"/>
    </row>
    <row r="843">
      <c r="A843" s="169"/>
      <c r="B843" s="169"/>
    </row>
    <row r="844">
      <c r="A844" s="169"/>
      <c r="B844" s="169"/>
    </row>
    <row r="845">
      <c r="A845" s="169"/>
      <c r="B845" s="169"/>
    </row>
    <row r="846">
      <c r="A846" s="169"/>
      <c r="B846" s="169"/>
    </row>
    <row r="847">
      <c r="A847" s="169"/>
      <c r="B847" s="169"/>
    </row>
    <row r="848">
      <c r="A848" s="169"/>
      <c r="B848" s="169"/>
    </row>
    <row r="849">
      <c r="A849" s="169"/>
      <c r="B849" s="169"/>
    </row>
    <row r="850">
      <c r="A850" s="169"/>
      <c r="B850" s="169"/>
    </row>
    <row r="851">
      <c r="A851" s="169"/>
      <c r="B851" s="169"/>
    </row>
    <row r="852">
      <c r="A852" s="169"/>
      <c r="B852" s="169"/>
    </row>
    <row r="853">
      <c r="A853" s="169"/>
      <c r="B853" s="169"/>
    </row>
    <row r="854">
      <c r="A854" s="169"/>
      <c r="B854" s="169"/>
    </row>
    <row r="855">
      <c r="A855" s="169"/>
      <c r="B855" s="169"/>
    </row>
    <row r="856">
      <c r="A856" s="169"/>
      <c r="B856" s="169"/>
    </row>
    <row r="857">
      <c r="A857" s="169"/>
      <c r="B857" s="169"/>
    </row>
    <row r="858">
      <c r="A858" s="169"/>
      <c r="B858" s="169"/>
    </row>
    <row r="859">
      <c r="A859" s="169"/>
      <c r="B859" s="169"/>
    </row>
    <row r="860">
      <c r="A860" s="169"/>
      <c r="B860" s="169"/>
    </row>
    <row r="861">
      <c r="A861" s="169"/>
      <c r="B861" s="169"/>
    </row>
    <row r="862">
      <c r="A862" s="169"/>
      <c r="B862" s="169"/>
    </row>
    <row r="863">
      <c r="A863" s="169"/>
      <c r="B863" s="169"/>
    </row>
    <row r="864">
      <c r="A864" s="169"/>
      <c r="B864" s="169"/>
    </row>
    <row r="865">
      <c r="A865" s="169"/>
      <c r="B865" s="169"/>
    </row>
    <row r="866">
      <c r="A866" s="169"/>
      <c r="B866" s="169"/>
    </row>
    <row r="867">
      <c r="A867" s="169"/>
      <c r="B867" s="169"/>
    </row>
    <row r="868">
      <c r="A868" s="169"/>
      <c r="B868" s="169"/>
    </row>
    <row r="869">
      <c r="A869" s="169"/>
      <c r="B869" s="169"/>
    </row>
    <row r="870">
      <c r="A870" s="169"/>
      <c r="B870" s="169"/>
    </row>
    <row r="871">
      <c r="A871" s="169"/>
      <c r="B871" s="169"/>
    </row>
    <row r="872">
      <c r="A872" s="169"/>
      <c r="B872" s="169"/>
    </row>
    <row r="873">
      <c r="A873" s="169"/>
      <c r="B873" s="169"/>
    </row>
    <row r="874">
      <c r="A874" s="169"/>
      <c r="B874" s="169"/>
    </row>
    <row r="875">
      <c r="A875" s="169"/>
      <c r="B875" s="169"/>
    </row>
    <row r="876">
      <c r="A876" s="169"/>
      <c r="B876" s="169"/>
    </row>
    <row r="877">
      <c r="A877" s="169"/>
      <c r="B877" s="169"/>
    </row>
    <row r="878">
      <c r="A878" s="169"/>
      <c r="B878" s="169"/>
    </row>
    <row r="879">
      <c r="A879" s="169"/>
      <c r="B879" s="169"/>
    </row>
    <row r="880">
      <c r="A880" s="169"/>
      <c r="B880" s="169"/>
    </row>
    <row r="881">
      <c r="A881" s="169"/>
      <c r="B881" s="169"/>
    </row>
    <row r="882">
      <c r="A882" s="169"/>
      <c r="B882" s="169"/>
    </row>
    <row r="883">
      <c r="A883" s="169"/>
      <c r="B883" s="169"/>
    </row>
    <row r="884">
      <c r="A884" s="169"/>
      <c r="B884" s="169"/>
    </row>
    <row r="885">
      <c r="A885" s="169"/>
      <c r="B885" s="169"/>
    </row>
    <row r="886">
      <c r="A886" s="169"/>
      <c r="B886" s="169"/>
    </row>
    <row r="887">
      <c r="A887" s="169"/>
      <c r="B887" s="169"/>
    </row>
    <row r="888">
      <c r="A888" s="169"/>
      <c r="B888" s="169"/>
    </row>
    <row r="889">
      <c r="A889" s="169"/>
      <c r="B889" s="169"/>
    </row>
    <row r="890">
      <c r="A890" s="169"/>
      <c r="B890" s="169"/>
    </row>
    <row r="891">
      <c r="A891" s="169"/>
      <c r="B891" s="169"/>
    </row>
    <row r="892">
      <c r="A892" s="169"/>
      <c r="B892" s="169"/>
    </row>
    <row r="893">
      <c r="A893" s="169"/>
      <c r="B893" s="169"/>
    </row>
    <row r="894">
      <c r="A894" s="169"/>
      <c r="B894" s="169"/>
    </row>
    <row r="895">
      <c r="A895" s="169"/>
      <c r="B895" s="169"/>
    </row>
    <row r="896">
      <c r="A896" s="169"/>
      <c r="B896" s="169"/>
    </row>
    <row r="897">
      <c r="A897" s="169"/>
      <c r="B897" s="169"/>
    </row>
    <row r="898">
      <c r="A898" s="169"/>
      <c r="B898" s="169"/>
    </row>
    <row r="899">
      <c r="A899" s="169"/>
      <c r="B899" s="169"/>
    </row>
    <row r="900">
      <c r="A900" s="169"/>
      <c r="B900" s="169"/>
    </row>
    <row r="901">
      <c r="A901" s="169"/>
      <c r="B901" s="169"/>
    </row>
    <row r="902">
      <c r="A902" s="169"/>
      <c r="B902" s="169"/>
    </row>
    <row r="903">
      <c r="A903" s="169"/>
      <c r="B903" s="169"/>
    </row>
    <row r="904">
      <c r="A904" s="169"/>
      <c r="B904" s="169"/>
    </row>
    <row r="905">
      <c r="A905" s="169"/>
      <c r="B905" s="169"/>
    </row>
    <row r="906">
      <c r="A906" s="169"/>
      <c r="B906" s="169"/>
    </row>
    <row r="907">
      <c r="A907" s="169"/>
      <c r="B907" s="169"/>
    </row>
    <row r="908">
      <c r="A908" s="169"/>
      <c r="B908" s="169"/>
    </row>
    <row r="909">
      <c r="A909" s="169"/>
      <c r="B909" s="169"/>
    </row>
    <row r="910">
      <c r="A910" s="169"/>
      <c r="B910" s="169"/>
    </row>
    <row r="911">
      <c r="A911" s="169"/>
      <c r="B911" s="169"/>
    </row>
    <row r="912">
      <c r="A912" s="169"/>
      <c r="B912" s="169"/>
    </row>
    <row r="913">
      <c r="A913" s="169"/>
      <c r="B913" s="169"/>
    </row>
    <row r="914">
      <c r="A914" s="169"/>
      <c r="B914" s="169"/>
    </row>
    <row r="915">
      <c r="A915" s="169"/>
      <c r="B915" s="169"/>
    </row>
    <row r="916">
      <c r="A916" s="169"/>
      <c r="B916" s="169"/>
    </row>
    <row r="917">
      <c r="A917" s="169"/>
      <c r="B917" s="169"/>
    </row>
    <row r="918">
      <c r="A918" s="169"/>
      <c r="B918" s="169"/>
    </row>
    <row r="919">
      <c r="A919" s="169"/>
      <c r="B919" s="169"/>
    </row>
    <row r="920">
      <c r="A920" s="169"/>
      <c r="B920" s="169"/>
    </row>
    <row r="921">
      <c r="A921" s="169"/>
      <c r="B921" s="169"/>
    </row>
    <row r="922">
      <c r="A922" s="169"/>
      <c r="B922" s="169"/>
    </row>
    <row r="923">
      <c r="A923" s="169"/>
      <c r="B923" s="169"/>
    </row>
    <row r="924">
      <c r="A924" s="169"/>
      <c r="B924" s="169"/>
    </row>
    <row r="925">
      <c r="A925" s="169"/>
      <c r="B925" s="169"/>
    </row>
    <row r="926">
      <c r="A926" s="169"/>
      <c r="B926" s="169"/>
    </row>
    <row r="927">
      <c r="A927" s="169"/>
      <c r="B927" s="169"/>
    </row>
    <row r="928">
      <c r="A928" s="169"/>
      <c r="B928" s="169"/>
    </row>
    <row r="929">
      <c r="A929" s="169"/>
      <c r="B929" s="169"/>
    </row>
    <row r="930">
      <c r="A930" s="169"/>
      <c r="B930" s="169"/>
    </row>
    <row r="931">
      <c r="A931" s="169"/>
      <c r="B931" s="169"/>
    </row>
    <row r="932">
      <c r="A932" s="169"/>
      <c r="B932" s="169"/>
    </row>
    <row r="933">
      <c r="A933" s="169"/>
      <c r="B933" s="169"/>
    </row>
    <row r="934">
      <c r="A934" s="169"/>
      <c r="B934" s="169"/>
    </row>
    <row r="935">
      <c r="A935" s="169"/>
      <c r="B935" s="169"/>
    </row>
    <row r="936">
      <c r="A936" s="169"/>
      <c r="B936" s="169"/>
    </row>
    <row r="937">
      <c r="A937" s="169"/>
      <c r="B937" s="169"/>
    </row>
    <row r="938">
      <c r="A938" s="169"/>
      <c r="B938" s="169"/>
    </row>
    <row r="939">
      <c r="A939" s="169"/>
      <c r="B939" s="169"/>
    </row>
    <row r="940">
      <c r="A940" s="169"/>
      <c r="B940" s="169"/>
    </row>
    <row r="941">
      <c r="A941" s="169"/>
      <c r="B941" s="169"/>
    </row>
    <row r="942">
      <c r="A942" s="169"/>
      <c r="B942" s="169"/>
    </row>
    <row r="943">
      <c r="A943" s="169"/>
      <c r="B943" s="169"/>
    </row>
    <row r="944">
      <c r="A944" s="169"/>
      <c r="B944" s="169"/>
    </row>
    <row r="945">
      <c r="A945" s="169"/>
      <c r="B945" s="169"/>
    </row>
    <row r="946">
      <c r="A946" s="169"/>
      <c r="B946" s="169"/>
    </row>
    <row r="947">
      <c r="A947" s="169"/>
      <c r="B947" s="169"/>
    </row>
    <row r="948">
      <c r="A948" s="169"/>
      <c r="B948" s="169"/>
    </row>
    <row r="949">
      <c r="A949" s="169"/>
      <c r="B949" s="169"/>
    </row>
    <row r="950">
      <c r="A950" s="169"/>
      <c r="B950" s="169"/>
    </row>
    <row r="951">
      <c r="A951" s="169"/>
      <c r="B951" s="169"/>
    </row>
    <row r="952">
      <c r="A952" s="169"/>
      <c r="B952" s="169"/>
    </row>
    <row r="953">
      <c r="A953" s="169"/>
      <c r="B953" s="169"/>
    </row>
    <row r="954">
      <c r="A954" s="169"/>
      <c r="B954" s="169"/>
    </row>
    <row r="955">
      <c r="A955" s="169"/>
      <c r="B955" s="169"/>
    </row>
    <row r="956">
      <c r="A956" s="169"/>
      <c r="B956" s="169"/>
    </row>
    <row r="957">
      <c r="A957" s="169"/>
      <c r="B957" s="169"/>
    </row>
    <row r="958">
      <c r="A958" s="169"/>
      <c r="B958" s="169"/>
    </row>
    <row r="959">
      <c r="A959" s="169"/>
      <c r="B959" s="169"/>
    </row>
    <row r="960">
      <c r="A960" s="169"/>
      <c r="B960" s="169"/>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44.88"/>
    <col customWidth="1" min="4" max="4" width="31.0"/>
  </cols>
  <sheetData>
    <row r="1">
      <c r="A1" s="171" t="s">
        <v>2843</v>
      </c>
      <c r="B1" s="171" t="s">
        <v>2844</v>
      </c>
      <c r="C1" s="171" t="s">
        <v>2845</v>
      </c>
      <c r="D1" s="171" t="s">
        <v>2846</v>
      </c>
      <c r="E1" s="172"/>
      <c r="F1" s="172"/>
      <c r="G1" s="173" t="s">
        <v>2847</v>
      </c>
      <c r="H1" s="174">
        <v>20.0</v>
      </c>
      <c r="I1" s="172"/>
      <c r="J1" s="172"/>
      <c r="K1" s="172"/>
      <c r="L1" s="172"/>
      <c r="M1" s="172"/>
      <c r="N1" s="172"/>
      <c r="O1" s="172"/>
      <c r="P1" s="172"/>
      <c r="Q1" s="172"/>
      <c r="R1" s="172"/>
      <c r="S1" s="172"/>
      <c r="T1" s="172"/>
      <c r="U1" s="172"/>
      <c r="V1" s="172"/>
      <c r="W1" s="172"/>
      <c r="X1" s="172"/>
      <c r="Y1" s="172"/>
      <c r="Z1" s="172"/>
    </row>
    <row r="2">
      <c r="A2" s="143" t="s">
        <v>74</v>
      </c>
      <c r="B2" s="143" t="s">
        <v>279</v>
      </c>
      <c r="C2" s="143">
        <v>5.0</v>
      </c>
      <c r="G2" s="143" t="s">
        <v>2848</v>
      </c>
      <c r="H2" s="174">
        <v>49.0</v>
      </c>
    </row>
    <row r="3">
      <c r="A3" s="143" t="s">
        <v>97</v>
      </c>
      <c r="B3" s="143" t="s">
        <v>282</v>
      </c>
      <c r="C3" s="143">
        <v>5.0</v>
      </c>
      <c r="G3" s="143" t="s">
        <v>2849</v>
      </c>
      <c r="H3" s="174">
        <v>13.0</v>
      </c>
    </row>
    <row r="4">
      <c r="A4" s="143" t="s">
        <v>131</v>
      </c>
      <c r="B4" s="143" t="s">
        <v>283</v>
      </c>
      <c r="C4" s="143">
        <v>5.0</v>
      </c>
      <c r="G4" s="143" t="s">
        <v>2850</v>
      </c>
      <c r="H4" s="174">
        <v>30.0</v>
      </c>
    </row>
    <row r="5">
      <c r="A5" s="143" t="s">
        <v>2847</v>
      </c>
      <c r="C5" s="143">
        <v>20.0</v>
      </c>
      <c r="G5" s="143" t="s">
        <v>2851</v>
      </c>
      <c r="H5" s="174">
        <v>40.0</v>
      </c>
    </row>
    <row r="6">
      <c r="A6" s="143"/>
      <c r="B6" s="143"/>
      <c r="C6" s="143"/>
      <c r="G6" s="143" t="s">
        <v>2852</v>
      </c>
      <c r="H6" s="174">
        <v>48.0</v>
      </c>
    </row>
    <row r="7">
      <c r="A7" s="143" t="s">
        <v>75</v>
      </c>
      <c r="B7" s="143" t="s">
        <v>286</v>
      </c>
      <c r="C7" s="143">
        <v>5.0</v>
      </c>
      <c r="G7" s="143" t="s">
        <v>2853</v>
      </c>
      <c r="H7" s="174">
        <v>22.0</v>
      </c>
    </row>
    <row r="8">
      <c r="A8" s="143" t="s">
        <v>98</v>
      </c>
      <c r="B8" s="143" t="s">
        <v>288</v>
      </c>
      <c r="C8" s="143">
        <v>5.0</v>
      </c>
      <c r="G8" s="143" t="s">
        <v>2854</v>
      </c>
      <c r="H8" s="174">
        <v>37.0</v>
      </c>
    </row>
    <row r="9">
      <c r="A9" s="143" t="s">
        <v>132</v>
      </c>
      <c r="B9" s="143" t="s">
        <v>291</v>
      </c>
      <c r="C9" s="143">
        <v>5.0</v>
      </c>
      <c r="G9" s="143" t="s">
        <v>2855</v>
      </c>
      <c r="H9" s="174">
        <v>60.0</v>
      </c>
    </row>
    <row r="10">
      <c r="A10" s="143" t="s">
        <v>154</v>
      </c>
      <c r="B10" s="143" t="s">
        <v>294</v>
      </c>
      <c r="C10" s="143">
        <v>5.0</v>
      </c>
      <c r="G10" s="143" t="s">
        <v>2856</v>
      </c>
      <c r="H10" s="174">
        <v>38.0</v>
      </c>
    </row>
    <row r="11">
      <c r="A11" s="143" t="s">
        <v>174</v>
      </c>
      <c r="B11" s="143" t="s">
        <v>297</v>
      </c>
      <c r="C11" s="143">
        <v>5.0</v>
      </c>
      <c r="H11" s="169">
        <f>sum(H1:H10)</f>
        <v>357</v>
      </c>
    </row>
    <row r="12">
      <c r="A12" s="143" t="s">
        <v>200</v>
      </c>
      <c r="B12" s="143" t="s">
        <v>300</v>
      </c>
      <c r="C12" s="143">
        <v>5.0</v>
      </c>
    </row>
    <row r="13">
      <c r="A13" s="143" t="s">
        <v>76</v>
      </c>
      <c r="B13" s="143" t="s">
        <v>303</v>
      </c>
      <c r="C13" s="143">
        <v>5.0</v>
      </c>
    </row>
    <row r="14">
      <c r="A14" s="143" t="s">
        <v>99</v>
      </c>
      <c r="B14" s="143" t="s">
        <v>306</v>
      </c>
      <c r="C14" s="143">
        <v>5.0</v>
      </c>
    </row>
    <row r="15">
      <c r="A15" s="143" t="s">
        <v>133</v>
      </c>
      <c r="B15" s="143" t="s">
        <v>309</v>
      </c>
      <c r="C15" s="143">
        <v>5.0</v>
      </c>
    </row>
    <row r="16">
      <c r="A16" s="143" t="s">
        <v>155</v>
      </c>
      <c r="B16" s="143" t="s">
        <v>312</v>
      </c>
      <c r="C16" s="143">
        <v>5.0</v>
      </c>
    </row>
    <row r="17">
      <c r="A17" s="143" t="s">
        <v>2848</v>
      </c>
      <c r="C17" s="143">
        <v>49.0</v>
      </c>
    </row>
    <row r="18">
      <c r="A18" s="143"/>
      <c r="B18" s="143"/>
      <c r="C18" s="143"/>
    </row>
    <row r="19">
      <c r="A19" s="143" t="s">
        <v>153</v>
      </c>
      <c r="B19" s="143" t="s">
        <v>315</v>
      </c>
      <c r="C19" s="143">
        <v>5.0</v>
      </c>
    </row>
    <row r="20">
      <c r="A20" s="143" t="s">
        <v>173</v>
      </c>
      <c r="B20" s="143" t="s">
        <v>318</v>
      </c>
      <c r="C20" s="143">
        <v>5.0</v>
      </c>
    </row>
    <row r="21">
      <c r="A21" s="143" t="s">
        <v>212</v>
      </c>
      <c r="B21" s="143" t="s">
        <v>321</v>
      </c>
      <c r="C21" s="143">
        <v>5.0</v>
      </c>
    </row>
    <row r="22">
      <c r="A22" s="143" t="s">
        <v>2857</v>
      </c>
      <c r="C22" s="143">
        <v>13.0</v>
      </c>
    </row>
    <row r="24">
      <c r="A24" s="143" t="s">
        <v>77</v>
      </c>
      <c r="B24" s="143" t="s">
        <v>323</v>
      </c>
      <c r="C24" s="143">
        <v>5.0</v>
      </c>
    </row>
    <row r="25">
      <c r="A25" s="143" t="s">
        <v>100</v>
      </c>
      <c r="B25" s="143" t="s">
        <v>324</v>
      </c>
      <c r="C25" s="143">
        <v>5.0</v>
      </c>
    </row>
    <row r="26">
      <c r="A26" s="143" t="s">
        <v>134</v>
      </c>
      <c r="B26" s="143" t="s">
        <v>326</v>
      </c>
      <c r="C26" s="175">
        <v>4.0</v>
      </c>
    </row>
    <row r="27">
      <c r="A27" s="143" t="s">
        <v>156</v>
      </c>
      <c r="B27" s="143" t="s">
        <v>329</v>
      </c>
      <c r="C27" s="143">
        <v>5.0</v>
      </c>
    </row>
    <row r="28">
      <c r="A28" s="143" t="s">
        <v>176</v>
      </c>
      <c r="B28" s="143" t="s">
        <v>332</v>
      </c>
      <c r="C28" s="143">
        <v>5.0</v>
      </c>
    </row>
    <row r="29">
      <c r="A29" s="143" t="s">
        <v>202</v>
      </c>
      <c r="B29" s="143" t="s">
        <v>335</v>
      </c>
      <c r="C29" s="143">
        <v>5.0</v>
      </c>
    </row>
    <row r="30">
      <c r="A30" s="143" t="s">
        <v>2850</v>
      </c>
      <c r="C30" s="143">
        <v>30.0</v>
      </c>
    </row>
    <row r="32">
      <c r="A32" s="143" t="s">
        <v>175</v>
      </c>
      <c r="B32" s="143" t="s">
        <v>360</v>
      </c>
      <c r="C32" s="143">
        <v>5.0</v>
      </c>
    </row>
    <row r="33">
      <c r="A33" s="143" t="s">
        <v>201</v>
      </c>
      <c r="B33" s="143" t="s">
        <v>363</v>
      </c>
      <c r="C33" s="143">
        <v>5.0</v>
      </c>
    </row>
    <row r="34">
      <c r="A34" s="143" t="s">
        <v>78</v>
      </c>
      <c r="B34" s="143" t="s">
        <v>366</v>
      </c>
      <c r="C34" s="143">
        <v>5.0</v>
      </c>
    </row>
    <row r="35">
      <c r="A35" s="143" t="s">
        <v>101</v>
      </c>
      <c r="B35" s="143" t="s">
        <v>369</v>
      </c>
      <c r="C35" s="143">
        <v>5.0</v>
      </c>
    </row>
    <row r="36">
      <c r="A36" s="143" t="s">
        <v>177</v>
      </c>
      <c r="B36" s="143" t="s">
        <v>372</v>
      </c>
      <c r="C36" s="143">
        <v>5.0</v>
      </c>
    </row>
    <row r="37">
      <c r="A37" s="143" t="s">
        <v>157</v>
      </c>
      <c r="B37" s="143" t="s">
        <v>375</v>
      </c>
      <c r="C37" s="143">
        <v>5.0</v>
      </c>
    </row>
    <row r="38">
      <c r="A38" s="143" t="s">
        <v>135</v>
      </c>
      <c r="B38" s="143" t="s">
        <v>378</v>
      </c>
      <c r="C38" s="143">
        <v>5.0</v>
      </c>
    </row>
    <row r="39">
      <c r="A39" s="143" t="s">
        <v>203</v>
      </c>
      <c r="B39" s="143" t="s">
        <v>381</v>
      </c>
      <c r="C39" s="143">
        <v>5.0</v>
      </c>
    </row>
    <row r="40">
      <c r="A40" s="143" t="s">
        <v>2851</v>
      </c>
      <c r="C40" s="143">
        <v>40.0</v>
      </c>
    </row>
    <row r="42">
      <c r="A42" s="143" t="s">
        <v>178</v>
      </c>
      <c r="B42" s="143" t="s">
        <v>338</v>
      </c>
      <c r="C42" s="143">
        <v>5.0</v>
      </c>
    </row>
    <row r="43">
      <c r="A43" s="143" t="s">
        <v>204</v>
      </c>
      <c r="B43" s="143" t="s">
        <v>341</v>
      </c>
      <c r="C43" s="143">
        <v>5.0</v>
      </c>
    </row>
    <row r="44">
      <c r="A44" s="143" t="s">
        <v>81</v>
      </c>
      <c r="B44" s="143" t="s">
        <v>344</v>
      </c>
      <c r="C44" s="143">
        <v>5.0</v>
      </c>
    </row>
    <row r="45">
      <c r="A45" s="143" t="s">
        <v>104</v>
      </c>
      <c r="B45" s="143" t="s">
        <v>347</v>
      </c>
      <c r="C45" s="143">
        <v>5.0</v>
      </c>
    </row>
    <row r="46">
      <c r="A46" s="143" t="s">
        <v>138</v>
      </c>
      <c r="B46" s="143" t="s">
        <v>350</v>
      </c>
      <c r="C46" s="143">
        <v>5.0</v>
      </c>
    </row>
    <row r="47">
      <c r="A47" s="143" t="s">
        <v>160</v>
      </c>
      <c r="B47" s="143" t="s">
        <v>353</v>
      </c>
      <c r="C47" s="143">
        <v>5.0</v>
      </c>
    </row>
    <row r="48">
      <c r="A48" s="143" t="s">
        <v>180</v>
      </c>
      <c r="B48" s="143" t="s">
        <v>356</v>
      </c>
      <c r="C48" s="143">
        <v>5.0</v>
      </c>
    </row>
    <row r="49">
      <c r="A49" s="143" t="s">
        <v>206</v>
      </c>
      <c r="B49" s="143" t="s">
        <v>357</v>
      </c>
      <c r="C49" s="143">
        <v>5.0</v>
      </c>
    </row>
    <row r="50">
      <c r="A50" s="143" t="s">
        <v>2852</v>
      </c>
      <c r="C50" s="143">
        <v>48.0</v>
      </c>
    </row>
    <row r="52">
      <c r="A52" s="143" t="s">
        <v>79</v>
      </c>
      <c r="B52" s="143" t="s">
        <v>384</v>
      </c>
      <c r="C52" s="143">
        <v>5.0</v>
      </c>
    </row>
    <row r="53">
      <c r="A53" s="143" t="s">
        <v>102</v>
      </c>
      <c r="B53" s="143" t="s">
        <v>387</v>
      </c>
      <c r="C53" s="143">
        <v>5.0</v>
      </c>
    </row>
    <row r="54">
      <c r="A54" s="143" t="s">
        <v>136</v>
      </c>
      <c r="B54" s="143" t="s">
        <v>390</v>
      </c>
      <c r="C54" s="143">
        <v>5.0</v>
      </c>
    </row>
    <row r="55">
      <c r="A55" s="143" t="s">
        <v>158</v>
      </c>
      <c r="B55" s="143" t="s">
        <v>393</v>
      </c>
      <c r="C55" s="143">
        <v>5.0</v>
      </c>
    </row>
    <row r="56">
      <c r="A56" s="143" t="s">
        <v>2853</v>
      </c>
      <c r="C56" s="143">
        <v>22.0</v>
      </c>
    </row>
    <row r="58">
      <c r="A58" s="143" t="s">
        <v>80</v>
      </c>
      <c r="B58" s="143" t="s">
        <v>396</v>
      </c>
      <c r="C58" s="143">
        <v>5.0</v>
      </c>
    </row>
    <row r="59">
      <c r="A59" s="143" t="s">
        <v>103</v>
      </c>
      <c r="B59" s="143" t="s">
        <v>399</v>
      </c>
      <c r="C59" s="143">
        <v>5.0</v>
      </c>
    </row>
    <row r="60">
      <c r="A60" s="143" t="s">
        <v>137</v>
      </c>
      <c r="B60" s="143" t="s">
        <v>402</v>
      </c>
      <c r="C60" s="143">
        <v>5.0</v>
      </c>
    </row>
    <row r="61">
      <c r="A61" s="143" t="s">
        <v>159</v>
      </c>
      <c r="B61" s="143" t="s">
        <v>405</v>
      </c>
      <c r="C61" s="143">
        <v>5.0</v>
      </c>
    </row>
    <row r="62">
      <c r="A62" s="143" t="s">
        <v>179</v>
      </c>
      <c r="B62" s="143" t="s">
        <v>408</v>
      </c>
      <c r="C62" s="143">
        <v>5.0</v>
      </c>
    </row>
    <row r="63">
      <c r="A63" s="143" t="s">
        <v>205</v>
      </c>
      <c r="B63" s="143" t="s">
        <v>411</v>
      </c>
      <c r="C63" s="143">
        <v>5.0</v>
      </c>
    </row>
    <row r="64">
      <c r="A64" s="143" t="s">
        <v>2854</v>
      </c>
      <c r="C64" s="143">
        <v>37.0</v>
      </c>
      <c r="D64" s="143" t="s">
        <v>2858</v>
      </c>
    </row>
    <row r="66">
      <c r="A66" s="143" t="s">
        <v>83</v>
      </c>
      <c r="B66" s="143" t="s">
        <v>413</v>
      </c>
      <c r="C66" s="143">
        <v>5.0</v>
      </c>
    </row>
    <row r="67">
      <c r="A67" s="143" t="s">
        <v>106</v>
      </c>
      <c r="B67" s="143" t="s">
        <v>416</v>
      </c>
      <c r="C67" s="143">
        <v>5.0</v>
      </c>
    </row>
    <row r="68">
      <c r="A68" s="143" t="s">
        <v>140</v>
      </c>
      <c r="B68" s="143" t="s">
        <v>419</v>
      </c>
      <c r="C68" s="143">
        <v>5.0</v>
      </c>
    </row>
    <row r="69">
      <c r="A69" s="143" t="s">
        <v>162</v>
      </c>
      <c r="B69" s="143" t="s">
        <v>422</v>
      </c>
      <c r="C69" s="143">
        <v>5.0</v>
      </c>
    </row>
    <row r="70">
      <c r="A70" s="143" t="s">
        <v>182</v>
      </c>
      <c r="B70" s="143" t="s">
        <v>425</v>
      </c>
      <c r="C70" s="143">
        <v>5.0</v>
      </c>
    </row>
    <row r="71">
      <c r="A71" s="143" t="s">
        <v>208</v>
      </c>
      <c r="B71" s="143" t="s">
        <v>428</v>
      </c>
      <c r="C71" s="143">
        <v>5.0</v>
      </c>
    </row>
    <row r="72">
      <c r="A72" s="143" t="s">
        <v>107</v>
      </c>
      <c r="B72" s="143" t="s">
        <v>431</v>
      </c>
      <c r="C72" s="143">
        <v>5.0</v>
      </c>
    </row>
    <row r="73">
      <c r="A73" s="143" t="s">
        <v>163</v>
      </c>
      <c r="B73" s="143" t="s">
        <v>432</v>
      </c>
      <c r="C73" s="143">
        <v>5.0</v>
      </c>
    </row>
    <row r="74">
      <c r="A74" s="143" t="s">
        <v>183</v>
      </c>
      <c r="B74" s="143" t="s">
        <v>435</v>
      </c>
      <c r="C74" s="143">
        <v>5.0</v>
      </c>
    </row>
    <row r="75">
      <c r="A75" s="143" t="s">
        <v>209</v>
      </c>
      <c r="B75" s="143" t="s">
        <v>437</v>
      </c>
      <c r="C75" s="143">
        <v>5.0</v>
      </c>
    </row>
    <row r="76">
      <c r="A76" s="143" t="s">
        <v>2855</v>
      </c>
      <c r="C76" s="143">
        <v>60.0</v>
      </c>
    </row>
    <row r="78">
      <c r="A78" s="143" t="s">
        <v>82</v>
      </c>
      <c r="B78" s="143" t="s">
        <v>440</v>
      </c>
      <c r="C78" s="143">
        <v>5.0</v>
      </c>
    </row>
    <row r="79">
      <c r="A79" s="143" t="s">
        <v>105</v>
      </c>
      <c r="B79" s="143" t="s">
        <v>443</v>
      </c>
      <c r="C79" s="143">
        <v>5.0</v>
      </c>
    </row>
    <row r="80">
      <c r="A80" s="143" t="s">
        <v>139</v>
      </c>
      <c r="B80" s="143" t="s">
        <v>446</v>
      </c>
      <c r="C80" s="175">
        <v>4.0</v>
      </c>
    </row>
    <row r="81">
      <c r="A81" s="143" t="s">
        <v>161</v>
      </c>
      <c r="B81" s="143" t="s">
        <v>447</v>
      </c>
      <c r="C81" s="143">
        <v>5.0</v>
      </c>
    </row>
    <row r="82">
      <c r="A82" s="143" t="s">
        <v>181</v>
      </c>
      <c r="B82" s="143" t="s">
        <v>450</v>
      </c>
      <c r="C82" s="143">
        <v>5.0</v>
      </c>
    </row>
    <row r="83">
      <c r="A83" s="143" t="s">
        <v>207</v>
      </c>
      <c r="B83" s="143" t="s">
        <v>453</v>
      </c>
      <c r="C83" s="143">
        <v>5.0</v>
      </c>
    </row>
    <row r="84">
      <c r="A84" s="143" t="s">
        <v>2856</v>
      </c>
      <c r="C84" s="143">
        <v>38.0</v>
      </c>
    </row>
    <row r="86">
      <c r="A86" s="143" t="s">
        <v>2859</v>
      </c>
      <c r="B86" s="143" t="s">
        <v>2860</v>
      </c>
      <c r="C86" s="143">
        <v>3.0</v>
      </c>
    </row>
    <row r="89">
      <c r="A89" s="135" t="s">
        <v>84</v>
      </c>
      <c r="B89" s="135" t="s">
        <v>258</v>
      </c>
      <c r="C89" s="176">
        <v>5.0</v>
      </c>
    </row>
    <row r="90">
      <c r="A90" s="135" t="s">
        <v>85</v>
      </c>
      <c r="B90" s="135" t="s">
        <v>213</v>
      </c>
      <c r="C90" s="176">
        <v>5.0</v>
      </c>
    </row>
    <row r="91">
      <c r="A91" s="135" t="s">
        <v>108</v>
      </c>
      <c r="B91" s="135" t="s">
        <v>261</v>
      </c>
      <c r="C91" s="176">
        <v>5.0</v>
      </c>
    </row>
    <row r="92">
      <c r="A92" s="135" t="s">
        <v>141</v>
      </c>
      <c r="B92" s="135" t="s">
        <v>264</v>
      </c>
      <c r="C92" s="176">
        <v>5.0</v>
      </c>
    </row>
    <row r="93">
      <c r="A93" s="135" t="s">
        <v>142</v>
      </c>
      <c r="B93" s="135" t="s">
        <v>267</v>
      </c>
      <c r="C93" s="176">
        <v>5.0</v>
      </c>
    </row>
    <row r="94">
      <c r="A94" s="135" t="s">
        <v>164</v>
      </c>
      <c r="B94" s="135" t="s">
        <v>270</v>
      </c>
      <c r="C94" s="176">
        <v>5.0</v>
      </c>
    </row>
    <row r="95">
      <c r="A95" s="135" t="s">
        <v>184</v>
      </c>
      <c r="B95" s="135" t="s">
        <v>273</v>
      </c>
      <c r="C95" s="176">
        <v>5.0</v>
      </c>
    </row>
    <row r="96">
      <c r="A96" s="135" t="s">
        <v>210</v>
      </c>
      <c r="B96" s="135" t="s">
        <v>276</v>
      </c>
      <c r="C96" s="176">
        <v>5.0</v>
      </c>
    </row>
    <row r="97">
      <c r="A97" s="135" t="s">
        <v>2861</v>
      </c>
      <c r="B97" s="147"/>
      <c r="C97" s="176">
        <v>17.0</v>
      </c>
    </row>
    <row r="99">
      <c r="A99" s="169" t="s">
        <v>143</v>
      </c>
      <c r="B99" s="169" t="s">
        <v>246</v>
      </c>
      <c r="C99" s="169">
        <v>5.0</v>
      </c>
    </row>
    <row r="100">
      <c r="A100" s="169" t="s">
        <v>165</v>
      </c>
      <c r="B100" s="169" t="s">
        <v>249</v>
      </c>
      <c r="C100" s="169">
        <v>5.0</v>
      </c>
    </row>
    <row r="101">
      <c r="A101" s="169" t="s">
        <v>185</v>
      </c>
      <c r="B101" s="169" t="s">
        <v>252</v>
      </c>
      <c r="C101" s="169">
        <v>5.0</v>
      </c>
    </row>
    <row r="102">
      <c r="A102" s="169" t="s">
        <v>211</v>
      </c>
      <c r="B102" s="169" t="s">
        <v>255</v>
      </c>
      <c r="C102" s="169">
        <v>5.0</v>
      </c>
    </row>
    <row r="103">
      <c r="A103" s="143" t="s">
        <v>2862</v>
      </c>
      <c r="C103" s="169">
        <v>75.0</v>
      </c>
      <c r="D103" s="143" t="s">
        <v>2858</v>
      </c>
    </row>
    <row r="105">
      <c r="A105" s="143" t="s">
        <v>2863</v>
      </c>
      <c r="C105" s="169">
        <f>'ShortPapers assignment'!C7</f>
        <v>124</v>
      </c>
    </row>
  </sheetData>
  <conditionalFormatting sqref="G10">
    <cfRule type="cellIs" dxfId="5" priority="1" operator="equal">
      <formula>"TRUE"</formula>
    </cfRule>
  </conditionalFormatting>
  <conditionalFormatting sqref="G9">
    <cfRule type="cellIs" dxfId="5" priority="2" operator="equal">
      <formula>"TRUE"</formula>
    </cfRule>
  </conditionalFormatting>
  <conditionalFormatting sqref="G8">
    <cfRule type="cellIs" dxfId="5" priority="3" operator="equal">
      <formula>"TRUE"</formula>
    </cfRule>
  </conditionalFormatting>
  <conditionalFormatting sqref="G7">
    <cfRule type="cellIs" dxfId="5" priority="4" operator="equal">
      <formula>"TRUE"</formula>
    </cfRule>
  </conditionalFormatting>
  <conditionalFormatting sqref="G6">
    <cfRule type="cellIs" dxfId="5" priority="5" operator="equal">
      <formula>"TRUE"</formula>
    </cfRule>
  </conditionalFormatting>
  <conditionalFormatting sqref="G5">
    <cfRule type="cellIs" dxfId="5" priority="6" operator="equal">
      <formula>"TRUE"</formula>
    </cfRule>
  </conditionalFormatting>
  <conditionalFormatting sqref="G4">
    <cfRule type="cellIs" dxfId="5" priority="7" operator="equal">
      <formula>"TRUE"</formula>
    </cfRule>
  </conditionalFormatting>
  <conditionalFormatting sqref="G3">
    <cfRule type="cellIs" dxfId="5" priority="8" operator="equal">
      <formula>"TRUE"</formula>
    </cfRule>
  </conditionalFormatting>
  <conditionalFormatting sqref="G2">
    <cfRule type="cellIs" dxfId="5" priority="9" operator="equal">
      <formula>"TRUE"</formula>
    </cfRule>
  </conditionalFormatting>
  <conditionalFormatting sqref="G1">
    <cfRule type="cellIs" dxfId="5" priority="10" operator="equal">
      <formula>"TRUE"</formula>
    </cfRule>
  </conditionalFormatting>
  <conditionalFormatting sqref="G1">
    <cfRule type="cellIs" dxfId="5" priority="11" operator="equal">
      <formula>"TRUE"</formula>
    </cfRule>
  </conditionalFormatting>
  <dataValidations>
    <dataValidation type="list" allowBlank="1" showErrorMessage="1" sqref="G2">
      <formula1>"Graph1,Graph2,Graph3,Graph4,Graph5,GraphPoster,Graph6,Graph7,Graph8,Graph9,Graph10"</formula1>
    </dataValidation>
    <dataValidation type="list" allowBlank="1" showErrorMessage="1" sqref="G6">
      <formula1>"Security1,Security2,Security3,SecurityPoster,Security4,Security5,Security6,Security7,Security8"</formula1>
    </dataValidation>
    <dataValidation type="list" allowBlank="1" showErrorMessage="1" sqref="G9">
      <formula1>"RecSys1,RecSys2,RecSys3,RecSys4,RecSys5,RecSys6,RecSys7,RecSys8,RecSys9,RecSys10,RecSysPoster"</formula1>
    </dataValidation>
    <dataValidation type="list" allowBlank="1" showErrorMessage="1" sqref="G5">
      <formula1>"Semantics1,Semantics2,Semantics3,Semantics4,Semantics5,Semantics6,Semantics7,Semantics8,SemanticsPoster,BPC"</formula1>
    </dataValidation>
    <dataValidation type="list" allowBlank="1" showErrorMessage="1" sqref="G7">
      <formula1>"Social1,Social2,Social3,Social4,SocialPoster"</formula1>
    </dataValidation>
    <dataValidation type="list" allowBlank="1" showErrorMessage="1" sqref="G4">
      <formula1>"Search1,Search2,SearchPoster,Search3,Search4,Search5,Search6,BPC"</formula1>
    </dataValidation>
    <dataValidation type="list" allowBlank="1" showErrorMessage="1" sqref="G3">
      <formula1>"RespWeb1,RespWeb2,RespWebPoster,RespWeb3"</formula1>
    </dataValidation>
    <dataValidation type="list" allowBlank="1" showErrorMessage="1" sqref="G8">
      <formula1>"Systems1,Systems2,Systems3,SystemsPoster,Systems4,Systems5,Systems6"</formula1>
    </dataValidation>
    <dataValidation type="list" allowBlank="1" showErrorMessage="1" sqref="G10">
      <formula1>"Mining1,Mining2,Mining3,Mining4,MiningPoster,Mining5,Mining6,Canceled"</formula1>
    </dataValidation>
    <dataValidation type="list" allowBlank="1" showErrorMessage="1" sqref="G1">
      <formula1>"Econ1,Econ2,Econ3,EconPoster,BPC"</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75"/>
    <col customWidth="1" min="2" max="2" width="21.75"/>
    <col customWidth="1" min="3" max="3" width="23.0"/>
    <col customWidth="1" min="5" max="5" width="17.38"/>
  </cols>
  <sheetData>
    <row r="1">
      <c r="A1" s="177"/>
      <c r="B1" s="178" t="s">
        <v>2864</v>
      </c>
      <c r="C1" s="178" t="s">
        <v>2865</v>
      </c>
      <c r="D1" s="178" t="s">
        <v>2866</v>
      </c>
      <c r="E1" s="179" t="s">
        <v>2867</v>
      </c>
    </row>
    <row r="2">
      <c r="A2" s="180" t="s">
        <v>2868</v>
      </c>
      <c r="B2" s="169">
        <f>sum('Sessions Counts'!C2:C86)</f>
        <v>678</v>
      </c>
      <c r="C2" s="169">
        <f>B2-D2-2</f>
        <v>319</v>
      </c>
      <c r="D2" s="169">
        <f>'Sessions Counts'!H11</f>
        <v>357</v>
      </c>
      <c r="E2" s="181">
        <v>2.0</v>
      </c>
    </row>
    <row r="3">
      <c r="A3" s="180" t="s">
        <v>2869</v>
      </c>
      <c r="B3" s="169">
        <f>sum('Sessions Counts'!C89:C97)</f>
        <v>57</v>
      </c>
      <c r="C3" s="169">
        <f t="shared" ref="C3:C4" si="1">B3-D3</f>
        <v>40</v>
      </c>
      <c r="D3" s="169">
        <f>'Sessions Counts'!C97</f>
        <v>17</v>
      </c>
      <c r="E3" s="182"/>
    </row>
    <row r="4">
      <c r="A4" s="180" t="s">
        <v>2870</v>
      </c>
      <c r="B4" s="169">
        <f>sum('Sessions Counts'!C99:C103)</f>
        <v>95</v>
      </c>
      <c r="C4" s="169">
        <f t="shared" si="1"/>
        <v>20</v>
      </c>
      <c r="D4" s="169">
        <f>'Sessions Counts'!C103</f>
        <v>75</v>
      </c>
      <c r="E4" s="182"/>
    </row>
    <row r="5">
      <c r="A5" s="180" t="s">
        <v>2863</v>
      </c>
      <c r="D5" s="143">
        <f>'Sessions Counts'!C105</f>
        <v>124</v>
      </c>
      <c r="E5" s="182"/>
    </row>
    <row r="6">
      <c r="A6" s="183" t="s">
        <v>2871</v>
      </c>
      <c r="B6" s="184">
        <f t="shared" ref="B6:C6" si="2">sum(B2:B4)</f>
        <v>830</v>
      </c>
      <c r="C6" s="184">
        <f t="shared" si="2"/>
        <v>379</v>
      </c>
      <c r="D6" s="184">
        <f>sum(D2:D5)</f>
        <v>573</v>
      </c>
      <c r="E6" s="185">
        <f>sum('All Counts'!C79:C83)</f>
        <v>356</v>
      </c>
    </row>
    <row r="7">
      <c r="A7" s="172"/>
    </row>
    <row r="8">
      <c r="A8" s="179" t="s">
        <v>2872</v>
      </c>
      <c r="B8" s="179"/>
      <c r="C8" s="179"/>
      <c r="D8" s="186"/>
    </row>
    <row r="9">
      <c r="A9" s="180" t="s">
        <v>2873</v>
      </c>
      <c r="B9" s="143" t="s">
        <v>2847</v>
      </c>
      <c r="C9" s="187">
        <f>countif('Research assignment'!H:H,B9)</f>
        <v>20</v>
      </c>
      <c r="D9" s="188"/>
    </row>
    <row r="10">
      <c r="A10" s="180"/>
      <c r="B10" s="189" t="s">
        <v>2874</v>
      </c>
      <c r="D10" s="190">
        <f>countif('Research assignment'!I:I,B10)</f>
        <v>6</v>
      </c>
      <c r="E10" s="191" t="s">
        <v>2875</v>
      </c>
    </row>
    <row r="11">
      <c r="A11" s="180"/>
      <c r="B11" s="189" t="s">
        <v>114</v>
      </c>
      <c r="D11" s="190">
        <f>countif('Research assignment'!I:I,B11)</f>
        <v>7</v>
      </c>
      <c r="E11" s="191" t="s">
        <v>2876</v>
      </c>
    </row>
    <row r="12">
      <c r="A12" s="180"/>
      <c r="B12" s="189" t="s">
        <v>2877</v>
      </c>
      <c r="D12" s="190">
        <f>countif('Research assignment'!I:I,B12)</f>
        <v>7</v>
      </c>
      <c r="E12" s="191" t="s">
        <v>2878</v>
      </c>
    </row>
    <row r="13">
      <c r="A13" s="180" t="s">
        <v>2879</v>
      </c>
      <c r="B13" s="143" t="s">
        <v>2848</v>
      </c>
      <c r="C13" s="187">
        <f>countif('Research assignment'!H:H,B13)</f>
        <v>49</v>
      </c>
      <c r="D13" s="188"/>
    </row>
    <row r="14">
      <c r="A14" s="180"/>
      <c r="B14" s="189" t="s">
        <v>2880</v>
      </c>
      <c r="C14" s="187"/>
      <c r="D14" s="190">
        <f>countif('Research assignment'!I:I,B14)</f>
        <v>9</v>
      </c>
      <c r="E14" s="191" t="s">
        <v>2875</v>
      </c>
    </row>
    <row r="15">
      <c r="A15" s="180"/>
      <c r="B15" s="189" t="s">
        <v>115</v>
      </c>
      <c r="C15" s="187"/>
      <c r="D15" s="190">
        <f>countif('Research assignment'!I:I,B15)</f>
        <v>10</v>
      </c>
      <c r="E15" s="191" t="s">
        <v>2876</v>
      </c>
    </row>
    <row r="16">
      <c r="A16" s="180"/>
      <c r="B16" s="189" t="s">
        <v>2881</v>
      </c>
      <c r="C16" s="187"/>
      <c r="D16" s="190">
        <f>countif('Research assignment'!I:I,B16)</f>
        <v>10</v>
      </c>
      <c r="E16" s="191" t="s">
        <v>2878</v>
      </c>
    </row>
    <row r="17">
      <c r="A17" s="180"/>
      <c r="B17" s="189" t="s">
        <v>2882</v>
      </c>
      <c r="C17" s="187"/>
      <c r="D17" s="190">
        <f>countif('Research assignment'!I:I,B17)</f>
        <v>10</v>
      </c>
      <c r="E17" s="191" t="s">
        <v>2883</v>
      </c>
    </row>
    <row r="18">
      <c r="A18" s="180"/>
      <c r="B18" s="189" t="s">
        <v>189</v>
      </c>
      <c r="C18" s="187"/>
      <c r="D18" s="190">
        <f>countif('Research assignment'!I:I,B18)</f>
        <v>10</v>
      </c>
      <c r="E18" s="191" t="s">
        <v>2884</v>
      </c>
    </row>
    <row r="19">
      <c r="A19" s="180" t="s">
        <v>2885</v>
      </c>
      <c r="B19" s="143" t="s">
        <v>2849</v>
      </c>
      <c r="C19" s="187">
        <f>countif('Research assignment'!H:H,B19)</f>
        <v>13</v>
      </c>
      <c r="D19" s="188"/>
    </row>
    <row r="20">
      <c r="A20" s="180"/>
      <c r="B20" s="189" t="s">
        <v>2886</v>
      </c>
      <c r="C20" s="187"/>
      <c r="D20" s="190">
        <f>countif('Research assignment'!I:I,B20)</f>
        <v>6</v>
      </c>
      <c r="E20" s="191" t="s">
        <v>2883</v>
      </c>
    </row>
    <row r="21">
      <c r="A21" s="180"/>
      <c r="B21" s="189" t="s">
        <v>190</v>
      </c>
      <c r="C21" s="187"/>
      <c r="D21" s="190">
        <f>countif('Research assignment'!I:I,B21)</f>
        <v>7</v>
      </c>
      <c r="E21" s="191" t="s">
        <v>2884</v>
      </c>
    </row>
    <row r="22">
      <c r="A22" s="180" t="s">
        <v>2887</v>
      </c>
      <c r="B22" s="143" t="s">
        <v>2850</v>
      </c>
      <c r="C22" s="187">
        <f>countif('Research assignment'!H:H,B22)</f>
        <v>30</v>
      </c>
      <c r="D22" s="188"/>
    </row>
    <row r="23">
      <c r="A23" s="180"/>
      <c r="B23" s="189" t="s">
        <v>2888</v>
      </c>
      <c r="C23" s="187"/>
      <c r="D23" s="190">
        <f>countif('Research assignment'!I:I,B23)</f>
        <v>6</v>
      </c>
      <c r="E23" s="191" t="s">
        <v>2875</v>
      </c>
    </row>
    <row r="24">
      <c r="A24" s="180"/>
      <c r="B24" s="189" t="s">
        <v>116</v>
      </c>
      <c r="C24" s="187"/>
      <c r="D24" s="190">
        <f>countif('Research assignment'!I:I,B24)</f>
        <v>6</v>
      </c>
      <c r="E24" s="191" t="s">
        <v>2876</v>
      </c>
    </row>
    <row r="25">
      <c r="A25" s="180"/>
      <c r="B25" s="189" t="s">
        <v>2889</v>
      </c>
      <c r="C25" s="187"/>
      <c r="D25" s="190">
        <f>countif('Research assignment'!I:I,B25)</f>
        <v>6</v>
      </c>
      <c r="E25" s="191" t="s">
        <v>2878</v>
      </c>
    </row>
    <row r="26">
      <c r="A26" s="180"/>
      <c r="B26" s="189" t="s">
        <v>2890</v>
      </c>
      <c r="C26" s="187"/>
      <c r="D26" s="190">
        <f>countif('Research assignment'!I:I,B26)</f>
        <v>6</v>
      </c>
      <c r="E26" s="191" t="s">
        <v>2883</v>
      </c>
    </row>
    <row r="27">
      <c r="A27" s="180"/>
      <c r="B27" s="189" t="s">
        <v>191</v>
      </c>
      <c r="C27" s="187"/>
      <c r="D27" s="190">
        <f>countif('Research assignment'!I:I,B27)</f>
        <v>6</v>
      </c>
      <c r="E27" s="191" t="s">
        <v>2884</v>
      </c>
    </row>
    <row r="28">
      <c r="A28" s="180" t="s">
        <v>2891</v>
      </c>
      <c r="B28" s="143" t="s">
        <v>2851</v>
      </c>
      <c r="C28" s="187">
        <f>countif('Research assignment'!H:H,B28)</f>
        <v>40</v>
      </c>
      <c r="D28" s="188"/>
    </row>
    <row r="29">
      <c r="A29" s="180"/>
      <c r="B29" s="189" t="s">
        <v>2892</v>
      </c>
      <c r="C29" s="187"/>
      <c r="D29" s="190">
        <f>countif('Research assignment'!I:I,B29)</f>
        <v>8</v>
      </c>
      <c r="E29" s="191" t="s">
        <v>2875</v>
      </c>
    </row>
    <row r="30">
      <c r="A30" s="180"/>
      <c r="B30" s="189" t="s">
        <v>117</v>
      </c>
      <c r="C30" s="187"/>
      <c r="D30" s="190">
        <f>countif('Research assignment'!I:I,B30)</f>
        <v>7</v>
      </c>
      <c r="E30" s="191" t="s">
        <v>2876</v>
      </c>
    </row>
    <row r="31">
      <c r="A31" s="180"/>
      <c r="B31" s="189" t="s">
        <v>2893</v>
      </c>
      <c r="C31" s="187"/>
      <c r="D31" s="190">
        <f>countif('Research assignment'!I:I,B31)</f>
        <v>8</v>
      </c>
      <c r="E31" s="191" t="s">
        <v>2878</v>
      </c>
    </row>
    <row r="32">
      <c r="A32" s="180"/>
      <c r="B32" s="189" t="s">
        <v>2894</v>
      </c>
      <c r="C32" s="187"/>
      <c r="D32" s="190">
        <f>countif('Research assignment'!I:I,B32)</f>
        <v>8</v>
      </c>
      <c r="E32" s="191" t="s">
        <v>2883</v>
      </c>
    </row>
    <row r="33">
      <c r="A33" s="180"/>
      <c r="B33" s="189" t="s">
        <v>192</v>
      </c>
      <c r="C33" s="187"/>
      <c r="D33" s="190">
        <f>countif('Research assignment'!I:I,B33)</f>
        <v>9</v>
      </c>
      <c r="E33" s="191" t="s">
        <v>2884</v>
      </c>
    </row>
    <row r="34">
      <c r="A34" s="180" t="s">
        <v>2895</v>
      </c>
      <c r="B34" s="143" t="s">
        <v>2852</v>
      </c>
      <c r="C34" s="187">
        <f>countif('Research assignment'!H:H,B34)</f>
        <v>48</v>
      </c>
      <c r="D34" s="188"/>
    </row>
    <row r="35">
      <c r="A35" s="180"/>
      <c r="B35" s="189" t="s">
        <v>2896</v>
      </c>
      <c r="C35" s="187"/>
      <c r="D35" s="190">
        <f>countif('Research assignment'!I:I,B35)</f>
        <v>9</v>
      </c>
      <c r="E35" s="191" t="s">
        <v>2875</v>
      </c>
    </row>
    <row r="36">
      <c r="A36" s="180"/>
      <c r="B36" s="189" t="s">
        <v>118</v>
      </c>
      <c r="C36" s="187"/>
      <c r="D36" s="190">
        <f>countif('Research assignment'!I:I,B36)</f>
        <v>10</v>
      </c>
      <c r="E36" s="191" t="s">
        <v>2876</v>
      </c>
    </row>
    <row r="37">
      <c r="A37" s="180"/>
      <c r="B37" s="189" t="s">
        <v>2897</v>
      </c>
      <c r="C37" s="187"/>
      <c r="D37" s="190">
        <f>countif('Research assignment'!I:I,B37)</f>
        <v>9</v>
      </c>
      <c r="E37" s="191" t="s">
        <v>2878</v>
      </c>
    </row>
    <row r="38">
      <c r="A38" s="180"/>
      <c r="B38" s="189" t="s">
        <v>2898</v>
      </c>
      <c r="C38" s="187"/>
      <c r="D38" s="190">
        <f>countif('Research assignment'!I:I,B38)</f>
        <v>10</v>
      </c>
      <c r="E38" s="191" t="s">
        <v>2883</v>
      </c>
    </row>
    <row r="39">
      <c r="A39" s="180"/>
      <c r="B39" s="189" t="s">
        <v>193</v>
      </c>
      <c r="C39" s="187"/>
      <c r="D39" s="190">
        <f>countif('Research assignment'!I:I,B39)</f>
        <v>10</v>
      </c>
      <c r="E39" s="191" t="s">
        <v>2884</v>
      </c>
    </row>
    <row r="40">
      <c r="A40" s="180" t="s">
        <v>2899</v>
      </c>
      <c r="B40" s="143" t="s">
        <v>2853</v>
      </c>
      <c r="C40" s="187">
        <f>countif('Research assignment'!H:H,B40)</f>
        <v>22</v>
      </c>
      <c r="D40" s="188"/>
    </row>
    <row r="41">
      <c r="A41" s="180"/>
      <c r="B41" s="189" t="s">
        <v>2900</v>
      </c>
      <c r="C41" s="187"/>
      <c r="D41" s="190">
        <f>countif('Research assignment'!I:I,B41)</f>
        <v>6</v>
      </c>
      <c r="E41" s="191" t="s">
        <v>2875</v>
      </c>
    </row>
    <row r="42">
      <c r="A42" s="180"/>
      <c r="B42" s="189" t="s">
        <v>119</v>
      </c>
      <c r="C42" s="187"/>
      <c r="D42" s="190">
        <f>countif('Research assignment'!I:I,B42)</f>
        <v>6</v>
      </c>
      <c r="E42" s="191" t="s">
        <v>2876</v>
      </c>
    </row>
    <row r="43">
      <c r="A43" s="180"/>
      <c r="B43" s="189" t="s">
        <v>2901</v>
      </c>
      <c r="C43" s="187"/>
      <c r="D43" s="190">
        <f>countif('Research assignment'!I:I,B43)</f>
        <v>5</v>
      </c>
      <c r="E43" s="191" t="s">
        <v>2878</v>
      </c>
    </row>
    <row r="44">
      <c r="A44" s="180"/>
      <c r="B44" s="189" t="s">
        <v>2902</v>
      </c>
      <c r="C44" s="187"/>
      <c r="D44" s="190">
        <f>countif('Research assignment'!I:I,B44)</f>
        <v>5</v>
      </c>
      <c r="E44" s="191" t="s">
        <v>2883</v>
      </c>
    </row>
    <row r="45">
      <c r="A45" s="180" t="s">
        <v>2903</v>
      </c>
      <c r="B45" s="143" t="s">
        <v>2854</v>
      </c>
      <c r="C45" s="187">
        <f>countif('Research assignment'!H:H,B45)</f>
        <v>36</v>
      </c>
      <c r="D45" s="190"/>
    </row>
    <row r="46">
      <c r="A46" s="180"/>
      <c r="B46" s="189" t="s">
        <v>2904</v>
      </c>
      <c r="C46" s="187"/>
      <c r="D46" s="190">
        <f>countif('Research assignment'!I:I,B46)</f>
        <v>8</v>
      </c>
      <c r="E46" s="191" t="s">
        <v>2875</v>
      </c>
    </row>
    <row r="47">
      <c r="A47" s="180"/>
      <c r="B47" s="189" t="s">
        <v>120</v>
      </c>
      <c r="C47" s="187"/>
      <c r="D47" s="190">
        <f>countif('Research assignment'!I:I,B47)</f>
        <v>7</v>
      </c>
      <c r="E47" s="191" t="s">
        <v>2876</v>
      </c>
    </row>
    <row r="48">
      <c r="A48" s="180"/>
      <c r="B48" s="189" t="s">
        <v>2905</v>
      </c>
      <c r="C48" s="187"/>
      <c r="D48" s="190">
        <f>countif('Research assignment'!I:I,B48)</f>
        <v>6</v>
      </c>
      <c r="E48" s="191" t="s">
        <v>2878</v>
      </c>
    </row>
    <row r="49">
      <c r="A49" s="180"/>
      <c r="B49" s="189" t="s">
        <v>2906</v>
      </c>
      <c r="C49" s="187"/>
      <c r="D49" s="190">
        <f>countif('Research assignment'!I:I,B49)</f>
        <v>7</v>
      </c>
      <c r="E49" s="191" t="s">
        <v>2883</v>
      </c>
    </row>
    <row r="50">
      <c r="A50" s="180"/>
      <c r="B50" s="189" t="s">
        <v>194</v>
      </c>
      <c r="C50" s="187"/>
      <c r="D50" s="190">
        <f>countif('Research assignment'!I:I,B50)</f>
        <v>8</v>
      </c>
      <c r="E50" s="191" t="s">
        <v>2884</v>
      </c>
    </row>
    <row r="51">
      <c r="A51" s="180" t="s">
        <v>2907</v>
      </c>
      <c r="B51" s="143" t="s">
        <v>2855</v>
      </c>
      <c r="C51" s="187">
        <f>countif('Research assignment'!H:H,B51)</f>
        <v>60</v>
      </c>
      <c r="D51" s="188"/>
    </row>
    <row r="52">
      <c r="A52" s="180"/>
      <c r="B52" s="189" t="s">
        <v>2908</v>
      </c>
      <c r="C52" s="187"/>
      <c r="D52" s="190">
        <f>countif('Research assignment'!I:I,B52)</f>
        <v>12</v>
      </c>
      <c r="E52" s="191" t="s">
        <v>2875</v>
      </c>
    </row>
    <row r="53">
      <c r="A53" s="180"/>
      <c r="B53" s="189" t="s">
        <v>121</v>
      </c>
      <c r="C53" s="187"/>
      <c r="D53" s="190">
        <f>countif('Research assignment'!I:I,B53)</f>
        <v>11</v>
      </c>
      <c r="E53" s="191" t="s">
        <v>2876</v>
      </c>
    </row>
    <row r="54">
      <c r="A54" s="180"/>
      <c r="B54" s="189" t="s">
        <v>2909</v>
      </c>
      <c r="C54" s="187"/>
      <c r="D54" s="190">
        <f>countif('Research assignment'!I:I,B54)</f>
        <v>12</v>
      </c>
      <c r="E54" s="191" t="s">
        <v>2878</v>
      </c>
    </row>
    <row r="55">
      <c r="A55" s="180"/>
      <c r="B55" s="189" t="s">
        <v>2910</v>
      </c>
      <c r="C55" s="187"/>
      <c r="D55" s="190">
        <f>countif('Research assignment'!I:I,B55)</f>
        <v>12</v>
      </c>
      <c r="E55" s="191" t="s">
        <v>2883</v>
      </c>
    </row>
    <row r="56">
      <c r="A56" s="180"/>
      <c r="B56" s="189" t="s">
        <v>195</v>
      </c>
      <c r="C56" s="187"/>
      <c r="D56" s="190">
        <f>countif('Research assignment'!I:I,B56)</f>
        <v>13</v>
      </c>
      <c r="E56" s="191" t="s">
        <v>2884</v>
      </c>
    </row>
    <row r="57">
      <c r="A57" s="180" t="s">
        <v>2911</v>
      </c>
      <c r="B57" s="143" t="s">
        <v>2856</v>
      </c>
      <c r="C57" s="187">
        <f>countif('Research assignment'!H:H,B57)</f>
        <v>38</v>
      </c>
      <c r="D57" s="188"/>
    </row>
    <row r="58">
      <c r="A58" s="180"/>
      <c r="B58" s="189" t="s">
        <v>2912</v>
      </c>
      <c r="C58" s="187"/>
      <c r="D58" s="190">
        <f>countif('Research assignment'!I:I,B58)</f>
        <v>7</v>
      </c>
      <c r="E58" s="191" t="s">
        <v>2875</v>
      </c>
    </row>
    <row r="59">
      <c r="A59" s="180"/>
      <c r="B59" s="189" t="s">
        <v>122</v>
      </c>
      <c r="C59" s="187"/>
      <c r="D59" s="190">
        <f>countif('Research assignment'!I:I,B59)</f>
        <v>7</v>
      </c>
      <c r="E59" s="191" t="s">
        <v>2876</v>
      </c>
    </row>
    <row r="60">
      <c r="A60" s="180"/>
      <c r="B60" s="189" t="s">
        <v>2913</v>
      </c>
      <c r="C60" s="187"/>
      <c r="D60" s="190">
        <f>countif('Research assignment'!I:I,B60)</f>
        <v>8</v>
      </c>
      <c r="E60" s="191" t="s">
        <v>2878</v>
      </c>
    </row>
    <row r="61">
      <c r="A61" s="180"/>
      <c r="B61" s="189" t="s">
        <v>2914</v>
      </c>
      <c r="C61" s="187"/>
      <c r="D61" s="190">
        <f>countif('Research assignment'!I:I,B61)</f>
        <v>8</v>
      </c>
      <c r="E61" s="191" t="s">
        <v>2883</v>
      </c>
    </row>
    <row r="62">
      <c r="A62" s="180"/>
      <c r="B62" s="189" t="s">
        <v>196</v>
      </c>
      <c r="C62" s="187"/>
      <c r="D62" s="190">
        <f>countif('Research assignment'!I:I,B62)</f>
        <v>8</v>
      </c>
      <c r="E62" s="191" t="s">
        <v>2884</v>
      </c>
    </row>
    <row r="63">
      <c r="A63" s="183" t="s">
        <v>2871</v>
      </c>
      <c r="B63" s="184"/>
      <c r="C63" s="185">
        <f>sum(C9:C57)</f>
        <v>356</v>
      </c>
      <c r="D63" s="192"/>
    </row>
    <row r="64">
      <c r="A64" s="193" t="s">
        <v>2869</v>
      </c>
      <c r="B64" s="135" t="s">
        <v>2861</v>
      </c>
      <c r="C64" s="169">
        <f>countif('Industry assignment'!H12:H68,B64)</f>
        <v>17</v>
      </c>
      <c r="E64" s="194"/>
    </row>
    <row r="65">
      <c r="B65" s="195" t="s">
        <v>2915</v>
      </c>
      <c r="C65" s="196"/>
      <c r="D65" s="169">
        <f>countif('Industry assignment'!I:I,B65)</f>
        <v>4</v>
      </c>
      <c r="E65" s="191" t="s">
        <v>2875</v>
      </c>
    </row>
    <row r="66">
      <c r="B66" s="135" t="s">
        <v>123</v>
      </c>
      <c r="D66" s="169">
        <f>countif('Industry assignment'!I:I,B66)</f>
        <v>4</v>
      </c>
      <c r="E66" s="191" t="s">
        <v>2876</v>
      </c>
    </row>
    <row r="67">
      <c r="A67" s="197"/>
      <c r="B67" s="135" t="s">
        <v>2916</v>
      </c>
      <c r="D67" s="169">
        <f>countif('Industry assignment'!I:I,B67)</f>
        <v>3</v>
      </c>
      <c r="E67" s="191" t="s">
        <v>2878</v>
      </c>
    </row>
    <row r="68">
      <c r="A68" s="197"/>
      <c r="B68" s="135" t="s">
        <v>2917</v>
      </c>
      <c r="D68" s="169">
        <f>countif('Industry assignment'!I:I,B68)</f>
        <v>3</v>
      </c>
      <c r="E68" s="191" t="s">
        <v>2883</v>
      </c>
    </row>
    <row r="69">
      <c r="A69" s="198"/>
      <c r="B69" s="199" t="s">
        <v>197</v>
      </c>
      <c r="C69" s="184"/>
      <c r="D69" s="169">
        <f>countif('Industry assignment'!I:I,B69)</f>
        <v>3</v>
      </c>
      <c r="E69" s="191" t="s">
        <v>2884</v>
      </c>
    </row>
    <row r="70">
      <c r="A70" s="171" t="s">
        <v>2870</v>
      </c>
      <c r="B70" s="135" t="s">
        <v>2862</v>
      </c>
      <c r="C70" s="169">
        <f>countif('Web4Good assignment'!H:H,B70)</f>
        <v>74</v>
      </c>
      <c r="E70" s="191"/>
    </row>
    <row r="71">
      <c r="B71" s="135" t="s">
        <v>2918</v>
      </c>
      <c r="D71" s="169">
        <f>countif('Web4Good assignment'!I:I,B71)</f>
        <v>15</v>
      </c>
      <c r="E71" s="191" t="s">
        <v>2875</v>
      </c>
    </row>
    <row r="72">
      <c r="B72" s="135" t="s">
        <v>124</v>
      </c>
      <c r="D72" s="169">
        <f>countif('Web4Good assignment'!I:I,B72)</f>
        <v>15</v>
      </c>
      <c r="E72" s="191" t="s">
        <v>2876</v>
      </c>
    </row>
    <row r="73">
      <c r="B73" s="135" t="s">
        <v>2919</v>
      </c>
      <c r="D73" s="169">
        <f>countif('Web4Good assignment'!I:I,B73)</f>
        <v>15</v>
      </c>
      <c r="E73" s="191" t="s">
        <v>2878</v>
      </c>
    </row>
    <row r="74">
      <c r="B74" s="135" t="s">
        <v>2920</v>
      </c>
      <c r="D74" s="169">
        <f>countif('Web4Good assignment'!I:I,B74)</f>
        <v>15</v>
      </c>
      <c r="E74" s="191" t="s">
        <v>2883</v>
      </c>
    </row>
    <row r="75">
      <c r="B75" s="135" t="s">
        <v>198</v>
      </c>
      <c r="D75" s="169">
        <f>countif('Web4Good assignment'!I:I,B75)</f>
        <v>14</v>
      </c>
      <c r="E75" s="191" t="s">
        <v>2884</v>
      </c>
    </row>
    <row r="77">
      <c r="A77" s="172"/>
    </row>
    <row r="78">
      <c r="A78" s="179"/>
      <c r="B78" s="179" t="s">
        <v>2921</v>
      </c>
      <c r="C78" s="179" t="s">
        <v>2922</v>
      </c>
      <c r="D78" s="179" t="s">
        <v>2869</v>
      </c>
      <c r="E78" s="179" t="s">
        <v>2870</v>
      </c>
      <c r="F78" s="200" t="s">
        <v>2863</v>
      </c>
      <c r="G78" s="171"/>
      <c r="H78" s="171"/>
      <c r="I78" s="171"/>
    </row>
    <row r="79">
      <c r="A79" s="180" t="s">
        <v>2875</v>
      </c>
      <c r="B79" s="169">
        <f t="shared" ref="B79:B84" si="3">sum(C79:F79)</f>
        <v>115</v>
      </c>
      <c r="C79" s="143">
        <f>SUMIF(E10:E62,A79,D10:D62)</f>
        <v>71</v>
      </c>
      <c r="D79" s="143">
        <f>SUMIF(E65:E69,A79,D65:D69)</f>
        <v>4</v>
      </c>
      <c r="E79" s="181">
        <f t="shared" ref="E79:E83" si="4">D71</f>
        <v>15</v>
      </c>
      <c r="F79" s="201">
        <f>'ShortPapers assignment'!C2</f>
        <v>25</v>
      </c>
    </row>
    <row r="80">
      <c r="A80" s="180" t="s">
        <v>2876</v>
      </c>
      <c r="B80" s="169">
        <f t="shared" si="3"/>
        <v>115</v>
      </c>
      <c r="C80" s="143">
        <f>SUMIF(E10:E62,A80,D10:D62)</f>
        <v>71</v>
      </c>
      <c r="D80" s="143">
        <f>SUMIF(E65:E69,A80,D65:D69)</f>
        <v>4</v>
      </c>
      <c r="E80" s="181">
        <f t="shared" si="4"/>
        <v>15</v>
      </c>
      <c r="F80" s="201">
        <f>'ShortPapers assignment'!C3</f>
        <v>25</v>
      </c>
    </row>
    <row r="81">
      <c r="A81" s="180" t="s">
        <v>2878</v>
      </c>
      <c r="B81" s="169">
        <f t="shared" si="3"/>
        <v>114</v>
      </c>
      <c r="C81" s="143">
        <f>SUMIF(E10:E62,A81,D10:D62)</f>
        <v>71</v>
      </c>
      <c r="D81" s="143">
        <f>SUMIF(E65:E69,A81,D65:D69)</f>
        <v>3</v>
      </c>
      <c r="E81" s="181">
        <f t="shared" si="4"/>
        <v>15</v>
      </c>
      <c r="F81" s="201">
        <f>'ShortPapers assignment'!C4</f>
        <v>25</v>
      </c>
    </row>
    <row r="82">
      <c r="A82" s="180" t="s">
        <v>2883</v>
      </c>
      <c r="B82" s="169">
        <f t="shared" si="3"/>
        <v>114</v>
      </c>
      <c r="C82" s="143">
        <f>SUMIF(E10:E62,A82,D10:D62)</f>
        <v>72</v>
      </c>
      <c r="D82" s="143">
        <f>SUMIF(E65:E69,A82,D65:D69)</f>
        <v>3</v>
      </c>
      <c r="E82" s="181">
        <f t="shared" si="4"/>
        <v>15</v>
      </c>
      <c r="F82" s="201">
        <f>'ShortPapers assignment'!C5</f>
        <v>24</v>
      </c>
    </row>
    <row r="83">
      <c r="A83" s="180" t="s">
        <v>2884</v>
      </c>
      <c r="B83" s="169">
        <f t="shared" si="3"/>
        <v>113</v>
      </c>
      <c r="C83" s="143">
        <f>SUMIF(E10:E62,A83,D10:D62)</f>
        <v>71</v>
      </c>
      <c r="D83" s="143">
        <f>SUMIF(E65:E69,A83,D65:D69)</f>
        <v>3</v>
      </c>
      <c r="E83" s="181">
        <f t="shared" si="4"/>
        <v>14</v>
      </c>
      <c r="F83" s="201">
        <f>'ShortPapers assignment'!C6</f>
        <v>25</v>
      </c>
    </row>
    <row r="84">
      <c r="A84" s="183" t="s">
        <v>2871</v>
      </c>
      <c r="B84" s="184">
        <f t="shared" si="3"/>
        <v>571</v>
      </c>
      <c r="C84" s="184">
        <f t="shared" ref="C84:E84" si="5">sum(C79:C83)</f>
        <v>356</v>
      </c>
      <c r="D84" s="184">
        <f t="shared" si="5"/>
        <v>17</v>
      </c>
      <c r="E84" s="185">
        <f t="shared" si="5"/>
        <v>74</v>
      </c>
      <c r="F84" s="202">
        <f>'ShortPapers assignment'!C7</f>
        <v>124</v>
      </c>
    </row>
  </sheetData>
  <conditionalFormatting sqref="B57:B62">
    <cfRule type="cellIs" dxfId="5" priority="1" operator="equal">
      <formula>"TRUE"</formula>
    </cfRule>
  </conditionalFormatting>
  <conditionalFormatting sqref="B51:B56 B58:B62">
    <cfRule type="cellIs" dxfId="5" priority="2" operator="equal">
      <formula>"TRUE"</formula>
    </cfRule>
  </conditionalFormatting>
  <conditionalFormatting sqref="B45:B50 B52:B56 B58:B62">
    <cfRule type="cellIs" dxfId="5" priority="3" operator="equal">
      <formula>"TRUE"</formula>
    </cfRule>
  </conditionalFormatting>
  <conditionalFormatting sqref="B40:B44 B46:B50 B52:B56 B58:B62">
    <cfRule type="cellIs" dxfId="5" priority="4" operator="equal">
      <formula>"TRUE"</formula>
    </cfRule>
  </conditionalFormatting>
  <conditionalFormatting sqref="B34:B39">
    <cfRule type="cellIs" dxfId="5" priority="5" operator="equal">
      <formula>"TRUE"</formula>
    </cfRule>
  </conditionalFormatting>
  <conditionalFormatting sqref="B28:B33">
    <cfRule type="cellIs" dxfId="5" priority="6" operator="equal">
      <formula>"TRUE"</formula>
    </cfRule>
  </conditionalFormatting>
  <conditionalFormatting sqref="B9 B22:B27">
    <cfRule type="cellIs" dxfId="5" priority="7" operator="equal">
      <formula>"TRUE"</formula>
    </cfRule>
  </conditionalFormatting>
  <conditionalFormatting sqref="B19:B21">
    <cfRule type="cellIs" dxfId="5" priority="8" operator="equal">
      <formula>"TRUE"</formula>
    </cfRule>
  </conditionalFormatting>
  <conditionalFormatting sqref="B10:B18">
    <cfRule type="cellIs" dxfId="5" priority="9" operator="equal">
      <formula>"TRUE"</formula>
    </cfRule>
  </conditionalFormatting>
  <conditionalFormatting sqref="B9">
    <cfRule type="cellIs" dxfId="5" priority="10" operator="equal">
      <formula>"TRUE"</formula>
    </cfRule>
  </conditionalFormatting>
  <conditionalFormatting sqref="B9">
    <cfRule type="cellIs" dxfId="5" priority="11" operator="equal">
      <formula>"TRUE"</formula>
    </cfRule>
  </conditionalFormatting>
  <dataValidations>
    <dataValidation type="list" allowBlank="1" showErrorMessage="1" sqref="B13">
      <formula1>"Graph1,Graph2,Graph3,Graph4,Graph5,GraphPoster,Graph6,Graph7,Graph8,Graph9,Graph10"</formula1>
    </dataValidation>
    <dataValidation type="list" allowBlank="1" showErrorMessage="1" sqref="B29:B33">
      <formula1>"SemanticsPoster1,SemanticsPoster2,SemanticsPoster3,SemanticsPoster4,SemanticsPoster5"</formula1>
    </dataValidation>
    <dataValidation type="list" allowBlank="1" showErrorMessage="1" sqref="B34">
      <formula1>"Security1,Security2,Security3,SecurityPoster,Security4,Security5,Security6,Security7,Security8"</formula1>
    </dataValidation>
    <dataValidation type="list" allowBlank="1" showErrorMessage="1" sqref="B10:B12">
      <formula1>"EconPoster1,EconPoster2,EconPoster3"</formula1>
    </dataValidation>
    <dataValidation type="list" allowBlank="1" showErrorMessage="1" sqref="B65:B69">
      <formula1>"IndustryPoster1,IndustryPoster2,IndustryPoster3,IndustryPoster4,IndustryPoster5"</formula1>
    </dataValidation>
    <dataValidation type="list" allowBlank="1" showErrorMessage="1" sqref="B70:B75">
      <formula1>"Web4GoodPoster1,Web4GoodPoster2,Web4GoodPoster3,Web4GoodPoster4,Web4GoodPoster5,Web4GoodPoster"</formula1>
    </dataValidation>
    <dataValidation type="list" allowBlank="1" showErrorMessage="1" sqref="B46:B50">
      <formula1>"SystemsPoster1,SystemsPoster2,SystemsPoster3,SystemsPoster4,SystemsPoster5"</formula1>
    </dataValidation>
    <dataValidation type="list" allowBlank="1" showErrorMessage="1" sqref="B51">
      <formula1>"RecSys1,RecSys2,RecSys3,RecSys4,RecSys5,RecSys6,RecSys7,RecSys8,RecSys9,RecSys10,RecSysPoster"</formula1>
    </dataValidation>
    <dataValidation type="list" allowBlank="1" showErrorMessage="1" sqref="B28">
      <formula1>"Semantics1,Semantics2,Semantics3,Semantics4,Semantics5,Semantics6,Semantics7,Semantics8,SemanticsPoster,BPC"</formula1>
    </dataValidation>
    <dataValidation type="list" allowBlank="1" showErrorMessage="1" sqref="B20:B21">
      <formula1>"RespWebPoster4,RespWebPoster5"</formula1>
    </dataValidation>
    <dataValidation type="list" allowBlank="1" showErrorMessage="1" sqref="B35:B39">
      <formula1>"SecurityPoster1,SecurityPoster2,SecurityPoster3,SecurityPoster4,SecurityPoster5"</formula1>
    </dataValidation>
    <dataValidation type="list" allowBlank="1" showErrorMessage="1" sqref="B45">
      <formula1>"Systems1,Systems2,Systems3,SystemsPoster,Systems4,Systems5,Systems6"</formula1>
    </dataValidation>
    <dataValidation type="list" allowBlank="1" showErrorMessage="1" sqref="B9">
      <formula1>"Econ1,Econ2,Econ3,EconPoster,BPC"</formula1>
    </dataValidation>
    <dataValidation type="list" allowBlank="1" showErrorMessage="1" sqref="B58:B62">
      <formula1>"MiningPoster1,MiningPoster2,MiningPoster3,MiningPoster4,MiningPoster5"</formula1>
    </dataValidation>
    <dataValidation type="list" allowBlank="1" showErrorMessage="1" sqref="B64">
      <formula1>"IndustryPoster,Industry1,Industry2,Industry3,Industry4,Industry5,Industry6,Industry7,Industry8"</formula1>
    </dataValidation>
    <dataValidation type="list" allowBlank="1" showErrorMessage="1" sqref="B14:B18">
      <formula1>"GraphPoster1,GraphPoster2,GraphPoster3,GraphPoster4,GraphPoster5"</formula1>
    </dataValidation>
    <dataValidation type="list" allowBlank="1" showErrorMessage="1" sqref="B40">
      <formula1>"Social1,Social2,Social3,Social4,SocialPoster"</formula1>
    </dataValidation>
    <dataValidation type="list" allowBlank="1" showErrorMessage="1" sqref="B52:B56">
      <formula1>"RecSysPoster1,RecSysPoster2,RecSysPoster3,RecSysPoster4,RecSysPoster5"</formula1>
    </dataValidation>
    <dataValidation type="list" allowBlank="1" showErrorMessage="1" sqref="B22">
      <formula1>"Search1,Search2,SearchPoster,Search3,Search4,Search5,Search6,BPC"</formula1>
    </dataValidation>
    <dataValidation type="list" allowBlank="1" showErrorMessage="1" sqref="B19">
      <formula1>"RespWeb1,RespWeb2,RespWebPoster,RespWeb3"</formula1>
    </dataValidation>
    <dataValidation type="list" allowBlank="1" showErrorMessage="1" sqref="B23:B27">
      <formula1>"SearchPoster1,SearchPoster2,SearchPoster3,SearchPoster4,SearchPoster5"</formula1>
    </dataValidation>
    <dataValidation type="list" allowBlank="1" showErrorMessage="1" sqref="B41:B44">
      <formula1>"SocialPoster1,SocialPoster2,SocialPoster3,SocialPoster4"</formula1>
    </dataValidation>
    <dataValidation type="list" allowBlank="1" showErrorMessage="1" sqref="B57">
      <formula1>"Mining1,Mining2,Mining3,Mining4,MiningPoster,Mining5,Mining6,Canceled"</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0.88"/>
    <col customWidth="1" min="2" max="2" width="60.5"/>
    <col customWidth="1" min="3" max="3" width="15.75"/>
    <col customWidth="1" min="4" max="4" width="69.38"/>
    <col customWidth="1" min="5" max="5" width="63.5"/>
    <col customWidth="1" min="6" max="6" width="41.0"/>
    <col customWidth="1" min="7" max="7" width="48.0"/>
    <col customWidth="1" min="8" max="8" width="19.5"/>
    <col customWidth="1" min="9" max="9" width="25.0"/>
  </cols>
  <sheetData>
    <row r="1">
      <c r="A1" s="203" t="s">
        <v>2923</v>
      </c>
      <c r="B1" s="203" t="s">
        <v>2924</v>
      </c>
      <c r="C1" s="203" t="s">
        <v>2925</v>
      </c>
      <c r="D1" s="203" t="s">
        <v>2926</v>
      </c>
      <c r="E1" s="203" t="s">
        <v>2927</v>
      </c>
      <c r="F1" s="203" t="s">
        <v>2928</v>
      </c>
      <c r="G1" s="203" t="s">
        <v>2929</v>
      </c>
      <c r="H1" s="203" t="s">
        <v>2844</v>
      </c>
      <c r="I1" s="203"/>
      <c r="J1" s="204"/>
      <c r="K1" s="205" t="s">
        <v>2930</v>
      </c>
      <c r="L1" s="206">
        <f>COUNTIF(H:H,"*Poster*")</f>
        <v>356</v>
      </c>
      <c r="M1" s="207"/>
      <c r="N1" s="207"/>
      <c r="O1" s="207"/>
      <c r="P1" s="207"/>
      <c r="Q1" s="207"/>
      <c r="R1" s="207"/>
      <c r="S1" s="207"/>
      <c r="T1" s="207"/>
      <c r="U1" s="207"/>
      <c r="V1" s="207"/>
      <c r="W1" s="207"/>
      <c r="X1" s="207"/>
      <c r="Y1" s="207"/>
      <c r="Z1" s="207"/>
      <c r="AA1" s="207"/>
      <c r="AB1" s="207"/>
      <c r="AC1" s="207"/>
      <c r="AD1" s="207"/>
      <c r="AE1" s="207"/>
    </row>
    <row r="2">
      <c r="A2" s="208" t="s">
        <v>2873</v>
      </c>
      <c r="B2" s="189" t="str">
        <f>IFERROR(__xludf.DUMMYFUNCTION("FILTER ('Research Papers'!D:D,'Research Papers'!A:A=C2)"),"Opinion Dynamics with Multiple Adversaries")</f>
        <v>Opinion Dynamics with Multiple Adversaries</v>
      </c>
      <c r="C2" s="189" t="s">
        <v>476</v>
      </c>
      <c r="D2" s="209" t="str">
        <f t="shared" ref="D2:D513" si="1">concatenate(B2,char(10),E2,char(10))</f>
        <v>Opinion Dynamics with Multiple Adversaries
Akhil Jalan and Marios Papachristou
</v>
      </c>
      <c r="E2" s="209" t="str">
        <f>IFERROR(__xludf.DUMMYFUNCTION("TEXTJOIN(CHAR(10), TRUE,FILTER('Research Papers'!$C:$C,'Research Papers'!$A:$A=C2))"),"Akhil Jalan and Marios Papachristou")</f>
        <v>Akhil Jalan and Marios Papachristou</v>
      </c>
      <c r="F2" s="209" t="str">
        <f>IFERROR(__xludf.DUMMYFUNCTION("TEXTJOIN(CHAR(10), TRUE,FILTER ('Sheridan Main'!E:E,'Sheridan Main'!B:B=C2))"),"mpapachr@asu.edu")</f>
        <v>mpapachr@asu.edu</v>
      </c>
      <c r="G2" s="210" t="str">
        <f>IFERROR(__xludf.DUMMYFUNCTION("CONCATENATE(""https://dl.acm.org/doi/"",INDEX(FILTER('Sheridan Main'!A:A,'Sheridan Main'!B:B=C2),1))"),"https://dl.acm.org/doi/10.1145/3774904.3792080")</f>
        <v>https://dl.acm.org/doi/10.1145/3774904.3792080</v>
      </c>
      <c r="H2" s="189" t="s">
        <v>74</v>
      </c>
      <c r="I2" s="209"/>
      <c r="J2" s="209"/>
      <c r="K2" s="147"/>
      <c r="L2" s="147"/>
      <c r="M2" s="209"/>
      <c r="N2" s="209"/>
      <c r="O2" s="209"/>
      <c r="P2" s="209"/>
      <c r="Q2" s="209"/>
      <c r="R2" s="209"/>
      <c r="S2" s="209"/>
      <c r="T2" s="209"/>
      <c r="U2" s="209"/>
      <c r="V2" s="209"/>
      <c r="W2" s="209"/>
      <c r="X2" s="209"/>
      <c r="Y2" s="209"/>
      <c r="Z2" s="209"/>
      <c r="AA2" s="209"/>
      <c r="AB2" s="209"/>
      <c r="AC2" s="209"/>
      <c r="AD2" s="209"/>
      <c r="AE2" s="209"/>
    </row>
    <row r="3">
      <c r="A3" s="208" t="s">
        <v>2873</v>
      </c>
      <c r="B3" s="189" t="str">
        <f>IFERROR(__xludf.DUMMYFUNCTION("FILTER ('Research Papers'!D:D,'Research Papers'!A:A=C3)"),"Aggregating Information and Preferences under Different Coordination Ability")</f>
        <v>Aggregating Information and Preferences under Different Coordination Ability</v>
      </c>
      <c r="C3" s="189" t="s">
        <v>856</v>
      </c>
      <c r="D3" s="209" t="str">
        <f t="shared" si="1"/>
        <v>Aggregating Information and Preferences under Different Coordination Ability
Qishen Han, Grant Schoenebeck, Biaoshuai Tao and Lirong Xia
</v>
      </c>
      <c r="E3" s="209" t="str">
        <f>IFERROR(__xludf.DUMMYFUNCTION("TEXTJOIN(CHAR(10), TRUE,FILTER('Research Papers'!$C:$C,'Research Papers'!$A:$A=C3))"),"Qishen Han, Grant Schoenebeck, Biaoshuai Tao and Lirong Xia")</f>
        <v>Qishen Han, Grant Schoenebeck, Biaoshuai Tao and Lirong Xia</v>
      </c>
      <c r="F3" s="209" t="str">
        <f>IFERROR(__xludf.DUMMYFUNCTION("TEXTJOIN(CHAR(10), TRUE,FILTER ('Sheridan Main'!E:E,'Sheridan Main'!B:B=C3))"),"hnickc2017@gmail.com")</f>
        <v>hnickc2017@gmail.com</v>
      </c>
      <c r="G3" s="210" t="str">
        <f>IFERROR(__xludf.DUMMYFUNCTION("CONCATENATE(""https://dl.acm.org/doi/"",INDEX(FILTER('Sheridan Main'!A:A,'Sheridan Main'!B:B=C3),1))"),"https://dl.acm.org/doi/10.1145/3774904.3792270")</f>
        <v>https://dl.acm.org/doi/10.1145/3774904.3792270</v>
      </c>
      <c r="H3" s="189" t="s">
        <v>74</v>
      </c>
      <c r="I3" s="209"/>
      <c r="J3" s="209"/>
      <c r="K3" s="147"/>
      <c r="L3" s="147"/>
      <c r="M3" s="209"/>
      <c r="N3" s="209"/>
      <c r="O3" s="209"/>
      <c r="P3" s="209"/>
      <c r="Q3" s="209"/>
      <c r="R3" s="209"/>
      <c r="S3" s="209"/>
      <c r="T3" s="209"/>
      <c r="U3" s="209"/>
      <c r="V3" s="209"/>
      <c r="W3" s="209"/>
      <c r="X3" s="209"/>
      <c r="Y3" s="209"/>
      <c r="Z3" s="209"/>
      <c r="AA3" s="209"/>
      <c r="AB3" s="209"/>
      <c r="AC3" s="209"/>
      <c r="AD3" s="209"/>
      <c r="AE3" s="209"/>
    </row>
    <row r="4">
      <c r="A4" s="208" t="s">
        <v>2873</v>
      </c>
      <c r="B4" s="189" t="str">
        <f>IFERROR(__xludf.DUMMYFUNCTION("FILTER ('Research Papers'!D:D,'Research Papers'!A:A=C4)"),"The Art of Two-Round Voting")</f>
        <v>The Art of Two-Round Voting</v>
      </c>
      <c r="C4" s="189" t="s">
        <v>866</v>
      </c>
      <c r="D4" s="209" t="str">
        <f t="shared" si="1"/>
        <v>The Art of Two-Round Voting
Qishen Han, Grant Schoenebeck, Biaoshuai Tao and Lirong Xia
</v>
      </c>
      <c r="E4" s="209" t="str">
        <f>IFERROR(__xludf.DUMMYFUNCTION("TEXTJOIN(CHAR(10), TRUE,FILTER('Research Papers'!$C:$C,'Research Papers'!$A:$A=C4))"),"Qishen Han, Grant Schoenebeck, Biaoshuai Tao and Lirong Xia")</f>
        <v>Qishen Han, Grant Schoenebeck, Biaoshuai Tao and Lirong Xia</v>
      </c>
      <c r="F4" s="209" t="str">
        <f>IFERROR(__xludf.DUMMYFUNCTION("TEXTJOIN(CHAR(10), TRUE,FILTER ('Sheridan Main'!E:E,'Sheridan Main'!B:B=C4))"),"hnickc2017@gmail.com")</f>
        <v>hnickc2017@gmail.com</v>
      </c>
      <c r="G4" s="210" t="str">
        <f>IFERROR(__xludf.DUMMYFUNCTION("CONCATENATE(""https://dl.acm.org/doi/"",INDEX(FILTER('Sheridan Main'!A:A,'Sheridan Main'!B:B=C4),1))"),"https://dl.acm.org/doi/10.1145/3774904.3792275")</f>
        <v>https://dl.acm.org/doi/10.1145/3774904.3792275</v>
      </c>
      <c r="H4" s="189" t="s">
        <v>74</v>
      </c>
      <c r="I4" s="209"/>
      <c r="J4" s="209"/>
      <c r="K4" s="147"/>
      <c r="L4" s="147"/>
      <c r="M4" s="209"/>
      <c r="N4" s="209"/>
      <c r="O4" s="209"/>
      <c r="P4" s="209"/>
      <c r="Q4" s="209"/>
      <c r="R4" s="209"/>
      <c r="S4" s="209"/>
      <c r="T4" s="209"/>
      <c r="U4" s="209"/>
      <c r="V4" s="209"/>
      <c r="W4" s="209"/>
      <c r="X4" s="209"/>
      <c r="Y4" s="209"/>
      <c r="Z4" s="209"/>
      <c r="AA4" s="209"/>
      <c r="AB4" s="209"/>
      <c r="AC4" s="209"/>
      <c r="AD4" s="209"/>
      <c r="AE4" s="209"/>
    </row>
    <row r="5">
      <c r="A5" s="208" t="s">
        <v>2873</v>
      </c>
      <c r="B5" s="189" t="str">
        <f>IFERROR(__xludf.DUMMYFUNCTION("FILTER ('Research Papers'!D:D,'Research Papers'!A:A=C5)"),"The Price of Uncertainty for Social Consensus")</f>
        <v>The Price of Uncertainty for Social Consensus</v>
      </c>
      <c r="C5" s="189" t="s">
        <v>1308</v>
      </c>
      <c r="D5" s="209" t="str">
        <f t="shared" si="1"/>
        <v>The Price of Uncertainty for Social Consensus
Yunzhe Bai and Alec Sun
</v>
      </c>
      <c r="E5" s="209" t="str">
        <f>IFERROR(__xludf.DUMMYFUNCTION("TEXTJOIN(CHAR(10), TRUE,FILTER('Research Papers'!$C:$C,'Research Papers'!$A:$A=C5))"),"Yunzhe Bai and Alec Sun")</f>
        <v>Yunzhe Bai and Alec Sun</v>
      </c>
      <c r="F5" s="209" t="str">
        <f>IFERROR(__xludf.DUMMYFUNCTION("TEXTJOIN(CHAR(10), TRUE,FILTER ('Sheridan Main'!E:E,'Sheridan Main'!B:B=C5))"),"sundogx@gmail.com")</f>
        <v>sundogx@gmail.com</v>
      </c>
      <c r="G5" s="210" t="str">
        <f>IFERROR(__xludf.DUMMYFUNCTION("CONCATENATE(""https://dl.acm.org/doi/"",INDEX(FILTER('Sheridan Main'!A:A,'Sheridan Main'!B:B=C5),1))"),"https://dl.acm.org/doi/10.1145/3774904.3792496")</f>
        <v>https://dl.acm.org/doi/10.1145/3774904.3792496</v>
      </c>
      <c r="H5" s="189" t="s">
        <v>74</v>
      </c>
      <c r="I5" s="209"/>
      <c r="J5" s="209"/>
      <c r="K5" s="147"/>
      <c r="L5" s="147"/>
      <c r="M5" s="209"/>
      <c r="N5" s="209"/>
      <c r="O5" s="209"/>
      <c r="P5" s="209"/>
      <c r="Q5" s="209"/>
      <c r="R5" s="209"/>
      <c r="S5" s="209"/>
      <c r="T5" s="209"/>
      <c r="U5" s="209"/>
      <c r="V5" s="209"/>
      <c r="W5" s="209"/>
      <c r="X5" s="209"/>
      <c r="Y5" s="209"/>
      <c r="Z5" s="209"/>
      <c r="AA5" s="209"/>
      <c r="AB5" s="209"/>
      <c r="AC5" s="209"/>
      <c r="AD5" s="209"/>
      <c r="AE5" s="209"/>
    </row>
    <row r="6">
      <c r="A6" s="208" t="s">
        <v>2873</v>
      </c>
      <c r="B6" s="189" t="str">
        <f>IFERROR(__xludf.DUMMYFUNCTION("FILTER ('Research Papers'!D:D,'Research Papers'!A:A=C6)"),"Social Deliberation: Democratic Deliberation Through Unbiased Social Interactions")</f>
        <v>Social Deliberation: Democratic Deliberation Through Unbiased Social Interactions</v>
      </c>
      <c r="C6" s="189" t="s">
        <v>1616</v>
      </c>
      <c r="D6" s="209" t="str">
        <f t="shared" si="1"/>
        <v>Social Deliberation: Democratic Deliberation Through Unbiased Social Interactions
Dana Afazeli, Mohamad Latifian and Masoud Seddighin
</v>
      </c>
      <c r="E6" s="209" t="str">
        <f>IFERROR(__xludf.DUMMYFUNCTION("TEXTJOIN(CHAR(10), TRUE,FILTER('Research Papers'!$C:$C,'Research Papers'!$A:$A=C6))"),"Dana Afazeli, Mohamad Latifian and Masoud Seddighin")</f>
        <v>Dana Afazeli, Mohamad Latifian and Masoud Seddighin</v>
      </c>
      <c r="F6" s="209" t="str">
        <f>IFERROR(__xludf.DUMMYFUNCTION("TEXTJOIN(CHAR(10), TRUE,FILTER ('Sheridan Main'!E:E,'Sheridan Main'!B:B=C6))"),"mohamad.latifian@ed.ac.uk")</f>
        <v>mohamad.latifian@ed.ac.uk</v>
      </c>
      <c r="G6" s="210" t="str">
        <f>IFERROR(__xludf.DUMMYFUNCTION("CONCATENATE(""https://dl.acm.org/doi/"",INDEX(FILTER('Sheridan Main'!A:A,'Sheridan Main'!B:B=C6),1))"),"https://dl.acm.org/doi/10.1145/3774904.3792650")</f>
        <v>https://dl.acm.org/doi/10.1145/3774904.3792650</v>
      </c>
      <c r="H6" s="189" t="s">
        <v>74</v>
      </c>
      <c r="I6" s="209"/>
      <c r="J6" s="209"/>
      <c r="K6" s="147"/>
      <c r="L6" s="147"/>
      <c r="M6" s="209"/>
      <c r="N6" s="209"/>
      <c r="O6" s="209"/>
      <c r="P6" s="209"/>
      <c r="Q6" s="209"/>
      <c r="R6" s="209"/>
      <c r="S6" s="209"/>
      <c r="T6" s="209"/>
      <c r="U6" s="209"/>
      <c r="V6" s="209"/>
      <c r="W6" s="209"/>
      <c r="X6" s="209"/>
      <c r="Y6" s="209"/>
      <c r="Z6" s="209"/>
      <c r="AA6" s="209"/>
      <c r="AB6" s="209"/>
      <c r="AC6" s="209"/>
      <c r="AD6" s="209"/>
      <c r="AE6" s="209"/>
    </row>
    <row r="7">
      <c r="A7" s="208" t="s">
        <v>2873</v>
      </c>
      <c r="B7" s="189" t="str">
        <f>IFERROR(__xludf.DUMMYFUNCTION("FILTER ('Research Papers'!D:D,'Research Papers'!A:A=C7)"),"Auto-bidding under Return-on-Spend Constraints with Uncertainty Quantification")</f>
        <v>Auto-bidding under Return-on-Spend Constraints with Uncertainty Quantification</v>
      </c>
      <c r="C7" s="189" t="s">
        <v>534</v>
      </c>
      <c r="D7" s="209" t="str">
        <f t="shared" si="1"/>
        <v>Auto-bidding under Return-on-Spend Constraints with Uncertainty Quantification
Jiale Han, Chun Gan, Chengcheng Zhang, Jie He, Zhangang
Lin, Ching Law and Xiaowu Dai
</v>
      </c>
      <c r="E7" s="209" t="str">
        <f>IFERROR(__xludf.DUMMYFUNCTION("TEXTJOIN(CHAR(10), TRUE,FILTER('Research Papers'!$C:$C,'Research Papers'!$A:$A=C7))"),"Jiale Han, Chun Gan, Chengcheng Zhang, Jie He, Zhangang
Lin, Ching Law and Xiaowu Dai")</f>
        <v>Jiale Han, Chun Gan, Chengcheng Zhang, Jie He, Zhangang
Lin, Ching Law and Xiaowu Dai</v>
      </c>
      <c r="F7" s="209" t="str">
        <f>IFERROR(__xludf.DUMMYFUNCTION("TEXTJOIN(CHAR(10), TRUE,FILTER ('Sheridan Main'!E:E,'Sheridan Main'!B:B=C7))"),"daix@ucla.edu")</f>
        <v>daix@ucla.edu</v>
      </c>
      <c r="G7" s="210" t="str">
        <f>IFERROR(__xludf.DUMMYFUNCTION("CONCATENATE(""https://dl.acm.org/doi/"",INDEX(FILTER('Sheridan Main'!A:A,'Sheridan Main'!B:B=C7),1))"),"https://dl.acm.org/doi/10.1145/3774904.3792109")</f>
        <v>https://dl.acm.org/doi/10.1145/3774904.3792109</v>
      </c>
      <c r="H7" s="189" t="s">
        <v>97</v>
      </c>
      <c r="I7" s="209"/>
      <c r="J7" s="209"/>
      <c r="K7" s="147"/>
      <c r="L7" s="147"/>
      <c r="M7" s="209"/>
      <c r="N7" s="209"/>
      <c r="O7" s="209"/>
      <c r="P7" s="209"/>
      <c r="Q7" s="209"/>
      <c r="R7" s="209"/>
      <c r="S7" s="209"/>
      <c r="T7" s="209"/>
      <c r="U7" s="209"/>
      <c r="V7" s="209"/>
      <c r="W7" s="209"/>
      <c r="X7" s="209"/>
      <c r="Y7" s="209"/>
      <c r="Z7" s="209"/>
      <c r="AA7" s="209"/>
      <c r="AB7" s="209"/>
      <c r="AC7" s="209"/>
      <c r="AD7" s="209"/>
      <c r="AE7" s="209"/>
    </row>
    <row r="8">
      <c r="A8" s="208" t="s">
        <v>2873</v>
      </c>
      <c r="B8" s="189" t="str">
        <f>IFERROR(__xludf.DUMMYFUNCTION("FILTER ('Research Papers'!D:D,'Research Papers'!A:A=C8)"),"DARA: Few-shot Budget Allocation in Online Advertising via In-Context Decision Making with RL-Finetuned LLMs")</f>
        <v>DARA: Few-shot Budget Allocation in Online Advertising via In-Context Decision Making with RL-Finetuned LLMs</v>
      </c>
      <c r="C8" s="189" t="s">
        <v>574</v>
      </c>
      <c r="D8" s="209" t="str">
        <f t="shared" si="1"/>
        <v>DARA: Few-shot Budget Allocation in Online Advertising via In-Context Decision Making with RL-Finetuned LLMs
Mingxuan Song, Yusen Huo, Bohan Zhou, Shenglin Yin, Zhen
Xiao, Jieyi Long, Zhilin Zhang and Chuan Yu
</v>
      </c>
      <c r="E8" s="209" t="str">
        <f>IFERROR(__xludf.DUMMYFUNCTION("TEXTJOIN(CHAR(10), TRUE,FILTER('Research Papers'!$C:$C,'Research Papers'!$A:$A=C8))"),"Mingxuan Song, Yusen Huo, Bohan Zhou, Shenglin Yin, Zhen
Xiao, Jieyi Long, Zhilin Zhang and Chuan Yu")</f>
        <v>Mingxuan Song, Yusen Huo, Bohan Zhou, Shenglin Yin, Zhen
Xiao, Jieyi Long, Zhilin Zhang and Chuan Yu</v>
      </c>
      <c r="F8" s="209" t="str">
        <f>IFERROR(__xludf.DUMMYFUNCTION("TEXTJOIN(CHAR(10), TRUE,FILTER ('Sheridan Main'!E:E,'Sheridan Main'!B:B=C8))"),"xiaozhen@pku.edu.cn")</f>
        <v>xiaozhen@pku.edu.cn</v>
      </c>
      <c r="G8" s="210" t="str">
        <f>IFERROR(__xludf.DUMMYFUNCTION("CONCATENATE(""https://dl.acm.org/doi/"",INDEX(FILTER('Sheridan Main'!A:A,'Sheridan Main'!B:B=C8),1))"),"https://dl.acm.org/doi/10.1145/3774904.3792129")</f>
        <v>https://dl.acm.org/doi/10.1145/3774904.3792129</v>
      </c>
      <c r="H8" s="189" t="s">
        <v>97</v>
      </c>
      <c r="I8" s="209"/>
      <c r="J8" s="209"/>
      <c r="K8" s="147"/>
      <c r="L8" s="147"/>
      <c r="M8" s="209"/>
      <c r="N8" s="209"/>
      <c r="O8" s="209"/>
      <c r="P8" s="209"/>
      <c r="Q8" s="209"/>
      <c r="R8" s="209"/>
      <c r="S8" s="209"/>
      <c r="T8" s="209"/>
      <c r="U8" s="209"/>
      <c r="V8" s="209"/>
      <c r="W8" s="209"/>
      <c r="X8" s="209"/>
      <c r="Y8" s="209"/>
      <c r="Z8" s="209"/>
      <c r="AA8" s="209"/>
      <c r="AB8" s="209"/>
      <c r="AC8" s="209"/>
      <c r="AD8" s="209"/>
      <c r="AE8" s="209"/>
    </row>
    <row r="9">
      <c r="A9" s="208" t="s">
        <v>2873</v>
      </c>
      <c r="B9" s="189" t="str">
        <f>IFERROR(__xludf.DUMMYFUNCTION("FILTER ('Research Papers'!D:D,'Research Papers'!A:A=C9)"),"LBM: Hierarchical Large Auto-Bidding Model via Reasoning and Acting")</f>
        <v>LBM: Hierarchical Large Auto-Bidding Model via Reasoning and Acting</v>
      </c>
      <c r="C9" s="189" t="s">
        <v>720</v>
      </c>
      <c r="D9" s="209" t="str">
        <f t="shared" si="1"/>
        <v>LBM: Hierarchical Large Auto-Bidding Model via Reasoning and Acting
Yewen Li, Zhiyi Lyu, Peng Jiang, Qingpeng Cai, Fei Pan, Bo
An and Peng Jiang
</v>
      </c>
      <c r="E9" s="209" t="str">
        <f>IFERROR(__xludf.DUMMYFUNCTION("TEXTJOIN(CHAR(10), TRUE,FILTER('Research Papers'!$C:$C,'Research Papers'!$A:$A=C9))"),"Yewen Li, Zhiyi Lyu, Peng Jiang, Qingpeng Cai, Fei Pan, Bo
An and Peng Jiang")</f>
        <v>Yewen Li, Zhiyi Lyu, Peng Jiang, Qingpeng Cai, Fei Pan, Bo
An and Peng Jiang</v>
      </c>
      <c r="F9" s="209" t="str">
        <f>IFERROR(__xludf.DUMMYFUNCTION("TEXTJOIN(CHAR(10), TRUE,FILTER ('Sheridan Main'!E:E,'Sheridan Main'!B:B=C9))"),"caiqingpeng@kuaishou.com")</f>
        <v>caiqingpeng@kuaishou.com</v>
      </c>
      <c r="G9" s="210" t="str">
        <f>IFERROR(__xludf.DUMMYFUNCTION("CONCATENATE(""https://dl.acm.org/doi/"",INDEX(FILTER('Sheridan Main'!A:A,'Sheridan Main'!B:B=C9),1))"),"https://dl.acm.org/doi/10.1145/3774904.3792202")</f>
        <v>https://dl.acm.org/doi/10.1145/3774904.3792202</v>
      </c>
      <c r="H9" s="189" t="s">
        <v>97</v>
      </c>
      <c r="I9" s="209"/>
      <c r="J9" s="209"/>
      <c r="K9" s="147"/>
      <c r="L9" s="147"/>
      <c r="M9" s="209"/>
      <c r="N9" s="209"/>
      <c r="O9" s="209"/>
      <c r="P9" s="209"/>
      <c r="Q9" s="209"/>
      <c r="R9" s="209"/>
      <c r="S9" s="209"/>
      <c r="T9" s="209"/>
      <c r="U9" s="209"/>
      <c r="V9" s="209"/>
      <c r="W9" s="209"/>
      <c r="X9" s="209"/>
      <c r="Y9" s="209"/>
      <c r="Z9" s="209"/>
      <c r="AA9" s="209"/>
      <c r="AB9" s="209"/>
      <c r="AC9" s="209"/>
      <c r="AD9" s="209"/>
      <c r="AE9" s="209"/>
    </row>
    <row r="10">
      <c r="A10" s="208" t="s">
        <v>2873</v>
      </c>
      <c r="B10" s="189" t="str">
        <f>IFERROR(__xludf.DUMMYFUNCTION("FILTER ('Research Papers'!D:D,'Research Papers'!A:A=C10)"),"Platform Competition in the Autobidding World")</f>
        <v>Platform Competition in the Autobidding World</v>
      </c>
      <c r="C10" s="189" t="s">
        <v>766</v>
      </c>
      <c r="D10" s="209" t="str">
        <f t="shared" si="1"/>
        <v>Platform Competition in the Autobidding World
Gagan Aggarwal, Andres Perlroth, Ariel Schvartzman Cohenca
and Mingfei Zhao
</v>
      </c>
      <c r="E10" s="209" t="str">
        <f>IFERROR(__xludf.DUMMYFUNCTION("TEXTJOIN(CHAR(10), TRUE,FILTER('Research Papers'!$C:$C,'Research Papers'!$A:$A=C10))"),"Gagan Aggarwal, Andres Perlroth, Ariel Schvartzman Cohenca
and Mingfei Zhao")</f>
        <v>Gagan Aggarwal, Andres Perlroth, Ariel Schvartzman Cohenca
and Mingfei Zhao</v>
      </c>
      <c r="F10" s="209" t="str">
        <f>IFERROR(__xludf.DUMMYFUNCTION("TEXTJOIN(CHAR(10), TRUE,FILTER ('Sheridan Main'!E:E,'Sheridan Main'!B:B=C10))"),"aschvartzman@google.com")</f>
        <v>aschvartzman@google.com</v>
      </c>
      <c r="G10" s="210" t="str">
        <f>IFERROR(__xludf.DUMMYFUNCTION("CONCATENATE(""https://dl.acm.org/doi/"",INDEX(FILTER('Sheridan Main'!A:A,'Sheridan Main'!B:B=C10),1))"),"https://dl.acm.org/doi/10.1145/3774904.3792225")</f>
        <v>https://dl.acm.org/doi/10.1145/3774904.3792225</v>
      </c>
      <c r="H10" s="189" t="s">
        <v>97</v>
      </c>
      <c r="I10" s="209"/>
      <c r="J10" s="209"/>
      <c r="K10" s="147"/>
      <c r="L10" s="147"/>
      <c r="M10" s="209"/>
      <c r="N10" s="209"/>
      <c r="O10" s="209"/>
      <c r="P10" s="209"/>
      <c r="Q10" s="209"/>
      <c r="R10" s="209"/>
      <c r="S10" s="209"/>
      <c r="T10" s="209"/>
      <c r="U10" s="209"/>
      <c r="V10" s="209"/>
      <c r="W10" s="209"/>
      <c r="X10" s="209"/>
      <c r="Y10" s="209"/>
      <c r="Z10" s="209"/>
      <c r="AA10" s="209"/>
      <c r="AB10" s="209"/>
      <c r="AC10" s="209"/>
      <c r="AD10" s="209"/>
      <c r="AE10" s="209"/>
    </row>
    <row r="11">
      <c r="A11" s="208" t="s">
        <v>2873</v>
      </c>
      <c r="B11" s="189" t="str">
        <f>IFERROR(__xludf.DUMMYFUNCTION("FILTER ('Research Papers'!D:D,'Research Papers'!A:A=C11)"),"AHBid: An Adaptable Hierarchical Bidding Framework for Cross-Channel Advertising")</f>
        <v>AHBid: An Adaptable Hierarchical Bidding Framework for Cross-Channel Advertising</v>
      </c>
      <c r="C11" s="189" t="s">
        <v>960</v>
      </c>
      <c r="D11" s="209" t="str">
        <f t="shared" si="1"/>
        <v>AHBid: An Adaptable Hierarchical Bidding Framework for Cross-Channel Advertising
Xinxin Yang, Yangyang Tang, Yikun Zhou, Yaolei Liu, Yun Li
and Bo Yang
</v>
      </c>
      <c r="E11" s="209" t="str">
        <f>IFERROR(__xludf.DUMMYFUNCTION("TEXTJOIN(CHAR(10), TRUE,FILTER('Research Papers'!$C:$C,'Research Papers'!$A:$A=C11))"),"Xinxin Yang, Yangyang Tang, Yikun Zhou, Yaolei Liu, Yun Li
and Bo Yang")</f>
        <v>Xinxin Yang, Yangyang Tang, Yikun Zhou, Yaolei Liu, Yun Li
and Bo Yang</v>
      </c>
      <c r="F11" s="209" t="str">
        <f>IFERROR(__xludf.DUMMYFUNCTION("TEXTJOIN(CHAR(10), TRUE,FILTER ('Sheridan Main'!E:E,'Sheridan Main'!B:B=C11))"),"yangxinxin@oppo.com")</f>
        <v>yangxinxin@oppo.com</v>
      </c>
      <c r="G11" s="210" t="str">
        <f>IFERROR(__xludf.DUMMYFUNCTION("CONCATENATE(""https://dl.acm.org/doi/"",INDEX(FILTER('Sheridan Main'!A:A,'Sheridan Main'!B:B=C11),1))"),"https://dl.acm.org/doi/10.1145/3774904.3792322")</f>
        <v>https://dl.acm.org/doi/10.1145/3774904.3792322</v>
      </c>
      <c r="H11" s="189" t="s">
        <v>97</v>
      </c>
      <c r="I11" s="209"/>
      <c r="J11" s="209"/>
      <c r="K11" s="147"/>
      <c r="L11" s="147"/>
      <c r="M11" s="209"/>
      <c r="N11" s="209"/>
      <c r="O11" s="209"/>
      <c r="P11" s="209"/>
      <c r="Q11" s="209"/>
      <c r="R11" s="209"/>
      <c r="S11" s="209"/>
      <c r="T11" s="209"/>
      <c r="U11" s="209"/>
      <c r="V11" s="209"/>
      <c r="W11" s="209"/>
      <c r="X11" s="209"/>
      <c r="Y11" s="209"/>
      <c r="Z11" s="209"/>
      <c r="AA11" s="209"/>
      <c r="AB11" s="209"/>
      <c r="AC11" s="209"/>
      <c r="AD11" s="209"/>
      <c r="AE11" s="209"/>
    </row>
    <row r="12">
      <c r="A12" s="208" t="s">
        <v>2873</v>
      </c>
      <c r="B12" s="189" t="str">
        <f>IFERROR(__xludf.DUMMYFUNCTION("FILTER ('Research Papers'!D:D,'Research Papers'!A:A=C12)"),"PMIScore: An Unsupervised Approach to Quantify Dialogue Engagement")</f>
        <v>PMIScore: An Unsupervised Approach to Quantify Dialogue Engagement</v>
      </c>
      <c r="C12" s="189" t="s">
        <v>832</v>
      </c>
      <c r="D12" s="209" t="str">
        <f t="shared" si="1"/>
        <v>PMIScore: An Unsupervised Approach to Quantify Dialogue Engagement
Yongkang Guo, Yuqing Kong and Zhihuan Huang
</v>
      </c>
      <c r="E12" s="209" t="str">
        <f>IFERROR(__xludf.DUMMYFUNCTION("TEXTJOIN(CHAR(10), TRUE,FILTER('Research Papers'!$C:$C,'Research Papers'!$A:$A=C12))"),"Yongkang Guo, Yuqing Kong and Zhihuan Huang")</f>
        <v>Yongkang Guo, Yuqing Kong and Zhihuan Huang</v>
      </c>
      <c r="F12" s="209" t="str">
        <f>IFERROR(__xludf.DUMMYFUNCTION("TEXTJOIN(CHAR(10), TRUE,FILTER ('Sheridan Main'!E:E,'Sheridan Main'!B:B=C12))"),"yuqing.kong@pku.edu.cn")</f>
        <v>yuqing.kong@pku.edu.cn</v>
      </c>
      <c r="G12" s="210" t="str">
        <f>IFERROR(__xludf.DUMMYFUNCTION("CONCATENATE(""https://dl.acm.org/doi/"",INDEX(FILTER('Sheridan Main'!A:A,'Sheridan Main'!B:B=C12),1))"),"https://dl.acm.org/doi/10.1145/3774904.3792258")</f>
        <v>https://dl.acm.org/doi/10.1145/3774904.3792258</v>
      </c>
      <c r="H12" s="189" t="s">
        <v>131</v>
      </c>
      <c r="I12" s="209"/>
      <c r="J12" s="209"/>
      <c r="K12" s="147"/>
      <c r="L12" s="147"/>
      <c r="M12" s="209"/>
      <c r="N12" s="209"/>
      <c r="O12" s="209"/>
      <c r="P12" s="209"/>
      <c r="Q12" s="209"/>
      <c r="R12" s="209"/>
      <c r="S12" s="209"/>
      <c r="T12" s="209"/>
      <c r="U12" s="209"/>
      <c r="V12" s="209"/>
      <c r="W12" s="209"/>
      <c r="X12" s="209"/>
      <c r="Y12" s="209"/>
      <c r="Z12" s="209"/>
      <c r="AA12" s="209"/>
      <c r="AB12" s="209"/>
      <c r="AC12" s="209"/>
      <c r="AD12" s="209"/>
      <c r="AE12" s="209"/>
    </row>
    <row r="13">
      <c r="A13" s="208" t="s">
        <v>2873</v>
      </c>
      <c r="B13" s="189" t="str">
        <f>IFERROR(__xludf.DUMMYFUNCTION("FILTER ('Research Papers'!D:D,'Research Papers'!A:A=C13)"),"Strategic Content Creation with GenAI: To Share or Not to Share?")</f>
        <v>Strategic Content Creation with GenAI: To Share or Not to Share?</v>
      </c>
      <c r="C13" s="189" t="s">
        <v>932</v>
      </c>
      <c r="D13" s="209" t="str">
        <f t="shared" si="1"/>
        <v>Strategic Content Creation with GenAI: To Share or Not to Share?
Gur Keinan and Omer Ben-Porat
</v>
      </c>
      <c r="E13" s="209" t="str">
        <f>IFERROR(__xludf.DUMMYFUNCTION("TEXTJOIN(CHAR(10), TRUE,FILTER('Research Papers'!$C:$C,'Research Papers'!$A:$A=C13))"),"Gur Keinan and Omer Ben-Porat")</f>
        <v>Gur Keinan and Omer Ben-Porat</v>
      </c>
      <c r="F13" s="209" t="str">
        <f>IFERROR(__xludf.DUMMYFUNCTION("TEXTJOIN(CHAR(10), TRUE,FILTER ('Sheridan Main'!E:E,'Sheridan Main'!B:B=C13))"),"gur.keinan@campus.technion.ac.il")</f>
        <v>gur.keinan@campus.technion.ac.il</v>
      </c>
      <c r="G13" s="210" t="str">
        <f>IFERROR(__xludf.DUMMYFUNCTION("CONCATENATE(""https://dl.acm.org/doi/"",INDEX(FILTER('Sheridan Main'!A:A,'Sheridan Main'!B:B=C13),1))"),"https://dl.acm.org/doi/10.1145/3774904.3792308")</f>
        <v>https://dl.acm.org/doi/10.1145/3774904.3792308</v>
      </c>
      <c r="H13" s="189" t="s">
        <v>131</v>
      </c>
      <c r="I13" s="209"/>
      <c r="J13" s="209"/>
      <c r="K13" s="147"/>
      <c r="L13" s="147"/>
      <c r="M13" s="209"/>
      <c r="N13" s="209"/>
      <c r="O13" s="209"/>
      <c r="P13" s="209"/>
      <c r="Q13" s="209"/>
      <c r="R13" s="209"/>
      <c r="S13" s="209"/>
      <c r="T13" s="209"/>
      <c r="U13" s="209"/>
      <c r="V13" s="209"/>
      <c r="W13" s="209"/>
      <c r="X13" s="209"/>
      <c r="Y13" s="209"/>
      <c r="Z13" s="209"/>
      <c r="AA13" s="209"/>
      <c r="AB13" s="209"/>
      <c r="AC13" s="209"/>
      <c r="AD13" s="209"/>
      <c r="AE13" s="209"/>
    </row>
    <row r="14">
      <c r="A14" s="208" t="s">
        <v>2873</v>
      </c>
      <c r="B14" s="189" t="str">
        <f>IFERROR(__xludf.DUMMYFUNCTION("FILTER ('Research Papers'!D:D,'Research Papers'!A:A=C14)"),"Pay for The Second-Best Service: A Game-Theoretic Approach against Dishonest LLM Providers")</f>
        <v>Pay for The Second-Best Service: A Game-Theoretic Approach against Dishonest LLM Providers</v>
      </c>
      <c r="C14" s="189" t="s">
        <v>1208</v>
      </c>
      <c r="D14" s="209" t="str">
        <f t="shared" si="1"/>
        <v>Pay for The Second-Best Service: A Game-Theoretic Approach against Dishonest LLM Providers
Yuhan Cao, Yu Wang, Sitong Liu, Miao Li, Yixin Tao and
Tianxing He
</v>
      </c>
      <c r="E14" s="209" t="str">
        <f>IFERROR(__xludf.DUMMYFUNCTION("TEXTJOIN(CHAR(10), TRUE,FILTER('Research Papers'!$C:$C,'Research Papers'!$A:$A=C14))"),"Yuhan Cao, Yu Wang, Sitong Liu, Miao Li, Yixin Tao and
Tianxing He")</f>
        <v>Yuhan Cao, Yu Wang, Sitong Liu, Miao Li, Yixin Tao and
Tianxing He</v>
      </c>
      <c r="F14" s="209" t="str">
        <f>IFERROR(__xludf.DUMMYFUNCTION("TEXTJOIN(CHAR(10), TRUE,FILTER ('Sheridan Main'!E:E,'Sheridan Main'!B:B=C14))"),"hetianxing@mail.tsinghua.edu.cn")</f>
        <v>hetianxing@mail.tsinghua.edu.cn</v>
      </c>
      <c r="G14" s="210" t="str">
        <f>IFERROR(__xludf.DUMMYFUNCTION("CONCATENATE(""https://dl.acm.org/doi/"",INDEX(FILTER('Sheridan Main'!A:A,'Sheridan Main'!B:B=C14),1))"),"https://dl.acm.org/doi/10.1145/3774904.3792446")</f>
        <v>https://dl.acm.org/doi/10.1145/3774904.3792446</v>
      </c>
      <c r="H14" s="211" t="s">
        <v>131</v>
      </c>
      <c r="I14" s="209"/>
      <c r="J14" s="209"/>
      <c r="K14" s="147"/>
      <c r="L14" s="147"/>
      <c r="M14" s="209"/>
      <c r="N14" s="209"/>
      <c r="O14" s="209"/>
      <c r="P14" s="209"/>
      <c r="Q14" s="209"/>
      <c r="R14" s="209"/>
      <c r="S14" s="209"/>
      <c r="T14" s="209"/>
      <c r="U14" s="209"/>
      <c r="V14" s="209"/>
      <c r="W14" s="209"/>
      <c r="X14" s="209"/>
      <c r="Y14" s="209"/>
      <c r="Z14" s="209"/>
      <c r="AA14" s="209"/>
      <c r="AB14" s="209"/>
      <c r="AC14" s="209"/>
      <c r="AD14" s="209"/>
      <c r="AE14" s="209"/>
    </row>
    <row r="15">
      <c r="A15" s="208" t="s">
        <v>2873</v>
      </c>
      <c r="B15" s="189" t="str">
        <f>IFERROR(__xludf.DUMMYFUNCTION("FILTER ('Research Papers'!D:D,'Research Papers'!A:A=C15)"),"Position Auctions in AI-Generated Content")</f>
        <v>Position Auctions in AI-Generated Content</v>
      </c>
      <c r="C15" s="189" t="s">
        <v>1260</v>
      </c>
      <c r="D15" s="209" t="str">
        <f t="shared" si="1"/>
        <v>Position Auctions in AI-Generated Content
Santiago Balseiro, Kshipra Bhawalkar, Yuan Deng, Zhe Feng,
Jieming Mao, Aranyak Mehta, Vahab Mirrokni, Renato Paes
Leme, Di Wang and Song Zuo
</v>
      </c>
      <c r="E15" s="209" t="str">
        <f>IFERROR(__xludf.DUMMYFUNCTION("TEXTJOIN(CHAR(10), TRUE,FILTER('Research Papers'!$C:$C,'Research Papers'!$A:$A=C15))"),"Santiago Balseiro, Kshipra Bhawalkar, Yuan Deng, Zhe Feng,
Jieming Mao, Aranyak Mehta, Vahab Mirrokni, Renato Paes
Leme, Di Wang and Song Zuo")</f>
        <v>Santiago Balseiro, Kshipra Bhawalkar, Yuan Deng, Zhe Feng,
Jieming Mao, Aranyak Mehta, Vahab Mirrokni, Renato Paes
Leme, Di Wang and Song Zuo</v>
      </c>
      <c r="F15" s="209" t="str">
        <f>IFERROR(__xludf.DUMMYFUNCTION("TEXTJOIN(CHAR(10), TRUE,FILTER ('Sheridan Main'!E:E,'Sheridan Main'!B:B=C15))"),"szuo@google.com")</f>
        <v>szuo@google.com</v>
      </c>
      <c r="G15" s="210" t="str">
        <f>IFERROR(__xludf.DUMMYFUNCTION("CONCATENATE(""https://dl.acm.org/doi/"",INDEX(FILTER('Sheridan Main'!A:A,'Sheridan Main'!B:B=C15),1))"),"https://dl.acm.org/doi/10.1145/3774904.3792472")</f>
        <v>https://dl.acm.org/doi/10.1145/3774904.3792472</v>
      </c>
      <c r="H15" s="211" t="s">
        <v>131</v>
      </c>
      <c r="I15" s="209"/>
      <c r="J15" s="209"/>
      <c r="K15" s="147"/>
      <c r="L15" s="147"/>
      <c r="M15" s="209"/>
      <c r="N15" s="209"/>
      <c r="O15" s="209"/>
      <c r="P15" s="209"/>
      <c r="Q15" s="209"/>
      <c r="R15" s="209"/>
      <c r="S15" s="209"/>
      <c r="T15" s="209"/>
      <c r="U15" s="209"/>
      <c r="V15" s="209"/>
      <c r="W15" s="209"/>
      <c r="X15" s="209"/>
      <c r="Y15" s="209"/>
      <c r="Z15" s="209"/>
      <c r="AA15" s="209"/>
      <c r="AB15" s="209"/>
      <c r="AC15" s="209"/>
      <c r="AD15" s="209"/>
      <c r="AE15" s="209"/>
    </row>
    <row r="16">
      <c r="A16" s="208" t="s">
        <v>2873</v>
      </c>
      <c r="B16" s="189" t="str">
        <f>IFERROR(__xludf.DUMMYFUNCTION("FILTER ('Research Papers'!D:D,'Research Papers'!A:A=C16)"),"How to Strategize Human Content Creation in the Era of GenAI?")</f>
        <v>How to Strategize Human Content Creation in the Era of GenAI?</v>
      </c>
      <c r="C16" s="189" t="s">
        <v>1266</v>
      </c>
      <c r="D16" s="209" t="str">
        <f t="shared" si="1"/>
        <v>How to Strategize Human Content Creation in the Era of GenAI?
Seyed Esmaeili, Kevin Lim, Kshipra Bhawalkar, Zhe Feng, Di
Wang and Haifeng Xu
</v>
      </c>
      <c r="E16" s="209" t="str">
        <f>IFERROR(__xludf.DUMMYFUNCTION("TEXTJOIN(CHAR(10), TRUE,FILTER('Research Papers'!$C:$C,'Research Papers'!$A:$A=C16))"),"Seyed Esmaeili, Kevin Lim, Kshipra Bhawalkar, Zhe Feng, Di
Wang and Haifeng Xu")</f>
        <v>Seyed Esmaeili, Kevin Lim, Kshipra Bhawalkar, Zhe Feng, Di
Wang and Haifeng Xu</v>
      </c>
      <c r="F16" s="209" t="str">
        <f>IFERROR(__xludf.DUMMYFUNCTION("TEXTJOIN(CHAR(10), TRUE,FILTER ('Sheridan Main'!E:E,'Sheridan Main'!B:B=C16))"),"esmaeili@uchicago.edu")</f>
        <v>esmaeili@uchicago.edu</v>
      </c>
      <c r="G16" s="210" t="str">
        <f>IFERROR(__xludf.DUMMYFUNCTION("CONCATENATE(""https://dl.acm.org/doi/"",INDEX(FILTER('Sheridan Main'!A:A,'Sheridan Main'!B:B=C16),1))"),"https://dl.acm.org/doi/10.1145/3774904.3792475")</f>
        <v>https://dl.acm.org/doi/10.1145/3774904.3792475</v>
      </c>
      <c r="H16" s="211" t="s">
        <v>131</v>
      </c>
      <c r="I16" s="209"/>
      <c r="J16" s="209"/>
      <c r="K16" s="147"/>
      <c r="L16" s="147"/>
      <c r="M16" s="209"/>
      <c r="N16" s="209"/>
      <c r="O16" s="209"/>
      <c r="P16" s="209"/>
      <c r="Q16" s="209"/>
      <c r="R16" s="209"/>
      <c r="S16" s="209"/>
      <c r="T16" s="209"/>
      <c r="U16" s="209"/>
      <c r="V16" s="209"/>
      <c r="W16" s="209"/>
      <c r="X16" s="209"/>
      <c r="Y16" s="209"/>
      <c r="Z16" s="209"/>
      <c r="AA16" s="209"/>
      <c r="AB16" s="209"/>
      <c r="AC16" s="209"/>
      <c r="AD16" s="209"/>
      <c r="AE16" s="209"/>
    </row>
    <row r="17">
      <c r="A17" s="208" t="s">
        <v>2873</v>
      </c>
      <c r="B17" s="189" t="str">
        <f>IFERROR(__xludf.DUMMYFUNCTION("FILTER ('Research Papers'!D:D,'Research Papers'!A:A=C17)"),"Deterring A Small Collusion is All You Need")</f>
        <v>Deterring A Small Collusion is All You Need</v>
      </c>
      <c r="C17" s="189" t="s">
        <v>558</v>
      </c>
      <c r="D17" s="209" t="str">
        <f t="shared" si="1"/>
        <v>Deterring A Small Collusion is All You Need
Yotam Gafni
</v>
      </c>
      <c r="E17" s="209" t="str">
        <f>IFERROR(__xludf.DUMMYFUNCTION("TEXTJOIN(CHAR(10), TRUE,FILTER('Research Papers'!$C:$C,'Research Papers'!$A:$A=C17))"),"Yotam Gafni")</f>
        <v>Yotam Gafni</v>
      </c>
      <c r="F17" s="209" t="str">
        <f>IFERROR(__xludf.DUMMYFUNCTION("TEXTJOIN(CHAR(10), TRUE,FILTER ('Sheridan Main'!E:E,'Sheridan Main'!B:B=C17))"),"yotam.gafni@gmail.com")</f>
        <v>yotam.gafni@gmail.com</v>
      </c>
      <c r="G17" s="210" t="str">
        <f>IFERROR(__xludf.DUMMYFUNCTION("CONCATENATE(""https://dl.acm.org/doi/"",INDEX(FILTER('Sheridan Main'!A:A,'Sheridan Main'!B:B=C17),1))"),"https://dl.acm.org/doi/10.1145/3774904.3792121")</f>
        <v>https://dl.acm.org/doi/10.1145/3774904.3792121</v>
      </c>
      <c r="H17" s="211" t="s">
        <v>2847</v>
      </c>
      <c r="I17" s="189" t="s">
        <v>2874</v>
      </c>
      <c r="J17" s="209"/>
      <c r="K17" s="205" t="s">
        <v>2930</v>
      </c>
      <c r="L17" s="174">
        <f>COUNTIF(H:H,H17)</f>
        <v>20</v>
      </c>
      <c r="M17" s="209"/>
      <c r="N17" s="209"/>
      <c r="O17" s="209"/>
      <c r="P17" s="209"/>
      <c r="Q17" s="209"/>
      <c r="R17" s="209"/>
      <c r="S17" s="209"/>
      <c r="T17" s="209"/>
      <c r="U17" s="209"/>
      <c r="V17" s="209"/>
      <c r="W17" s="209"/>
      <c r="X17" s="209"/>
      <c r="Y17" s="209"/>
      <c r="Z17" s="209"/>
      <c r="AA17" s="209"/>
      <c r="AB17" s="209"/>
      <c r="AC17" s="209"/>
      <c r="AD17" s="209"/>
      <c r="AE17" s="209"/>
    </row>
    <row r="18">
      <c r="A18" s="208" t="s">
        <v>2873</v>
      </c>
      <c r="B18" s="189" t="str">
        <f>IFERROR(__xludf.DUMMYFUNCTION("FILTER ('Research Papers'!D:D,'Research Papers'!A:A=C18)"),"The Power of Penalties: Negativity-Aware Incentives for High-Quality Crowdsourced Data Labeling")</f>
        <v>The Power of Penalties: Negativity-Aware Incentives for High-Quality Crowdsourced Data Labeling</v>
      </c>
      <c r="C18" s="189" t="s">
        <v>656</v>
      </c>
      <c r="D18" s="209" t="str">
        <f t="shared" si="1"/>
        <v>The Power of Penalties: Negativity-Aware Incentives for High-Quality Crowdsourced Data Labeling
Kai Wang, Runze Wu, Yu Xiong, Haifeng Sun, Anran Li,
Shaojie Tang, Changjie Fan and Xiang-Yang Li
</v>
      </c>
      <c r="E18" s="209" t="str">
        <f>IFERROR(__xludf.DUMMYFUNCTION("TEXTJOIN(CHAR(10), TRUE,FILTER('Research Papers'!$C:$C,'Research Papers'!$A:$A=C18))"),"Kai Wang, Runze Wu, Yu Xiong, Haifeng Sun, Anran Li,
Shaojie Tang, Changjie Fan and Xiang-Yang Li")</f>
        <v>Kai Wang, Runze Wu, Yu Xiong, Haifeng Sun, Anran Li,
Shaojie Tang, Changjie Fan and Xiang-Yang Li</v>
      </c>
      <c r="F18" s="209" t="str">
        <f>IFERROR(__xludf.DUMMYFUNCTION("TEXTJOIN(CHAR(10), TRUE,FILTER ('Sheridan Main'!E:E,'Sheridan Main'!B:B=C18))"),"shaojiet@buffalo.edu")</f>
        <v>shaojiet@buffalo.edu</v>
      </c>
      <c r="G18" s="210" t="str">
        <f>IFERROR(__xludf.DUMMYFUNCTION("CONCATENATE(""https://dl.acm.org/doi/"",INDEX(FILTER('Sheridan Main'!A:A,'Sheridan Main'!B:B=C18),1))"),"https://dl.acm.org/doi/10.1145/3774904.3792170")</f>
        <v>https://dl.acm.org/doi/10.1145/3774904.3792170</v>
      </c>
      <c r="H18" s="189" t="s">
        <v>2859</v>
      </c>
      <c r="I18" s="189" t="s">
        <v>199</v>
      </c>
      <c r="J18" s="209"/>
      <c r="K18" s="147"/>
      <c r="L18" s="147"/>
      <c r="M18" s="209"/>
      <c r="N18" s="209"/>
      <c r="O18" s="209"/>
      <c r="P18" s="209"/>
      <c r="Q18" s="209"/>
      <c r="R18" s="209"/>
      <c r="S18" s="209"/>
      <c r="T18" s="209"/>
      <c r="U18" s="209"/>
      <c r="V18" s="209"/>
      <c r="W18" s="209"/>
      <c r="X18" s="209"/>
      <c r="Y18" s="209"/>
      <c r="Z18" s="209"/>
      <c r="AA18" s="209"/>
      <c r="AB18" s="209"/>
      <c r="AC18" s="209"/>
      <c r="AD18" s="209"/>
      <c r="AE18" s="209"/>
    </row>
    <row r="19">
      <c r="A19" s="208" t="s">
        <v>2873</v>
      </c>
      <c r="B19" s="189" t="str">
        <f>IFERROR(__xludf.DUMMYFUNCTION("FILTER ('Research Papers'!D:D,'Research Papers'!A:A=C19)"),"Analysis of CEX-DEX Arbitrage Opportunities with Hidden Markov Models")</f>
        <v>Analysis of CEX-DEX Arbitrage Opportunities with Hidden Markov Models</v>
      </c>
      <c r="C19" s="189" t="s">
        <v>686</v>
      </c>
      <c r="D19" s="209" t="str">
        <f t="shared" si="1"/>
        <v>Analysis of CEX-DEX Arbitrage Opportunities with Hidden Markov Models
Bence Ladóczki
</v>
      </c>
      <c r="E19" s="209" t="str">
        <f>IFERROR(__xludf.DUMMYFUNCTION("TEXTJOIN(CHAR(10), TRUE,FILTER('Research Papers'!$C:$C,'Research Papers'!$A:$A=C19))"),"Bence Ladóczki")</f>
        <v>Bence Ladóczki</v>
      </c>
      <c r="F19" s="209" t="str">
        <f>IFERROR(__xludf.DUMMYFUNCTION("TEXTJOIN(CHAR(10), TRUE,FILTER ('Sheridan Main'!E:E,'Sheridan Main'!B:B=C19))"),"hikari.code@gmail.com")</f>
        <v>hikari.code@gmail.com</v>
      </c>
      <c r="G19" s="210" t="str">
        <f>IFERROR(__xludf.DUMMYFUNCTION("CONCATENATE(""https://dl.acm.org/doi/"",INDEX(FILTER('Sheridan Main'!A:A,'Sheridan Main'!B:B=C19),1))"),"https://dl.acm.org/doi/10.1145/3774904.3792185")</f>
        <v>https://dl.acm.org/doi/10.1145/3774904.3792185</v>
      </c>
      <c r="H19" s="211" t="s">
        <v>2847</v>
      </c>
      <c r="I19" s="189" t="s">
        <v>2874</v>
      </c>
      <c r="J19" s="209"/>
      <c r="K19" s="147"/>
      <c r="L19" s="147"/>
      <c r="M19" s="209"/>
      <c r="N19" s="209"/>
      <c r="O19" s="209"/>
      <c r="P19" s="209"/>
      <c r="Q19" s="209"/>
      <c r="R19" s="209"/>
      <c r="S19" s="209"/>
      <c r="T19" s="209"/>
      <c r="U19" s="209"/>
      <c r="V19" s="209"/>
      <c r="W19" s="209"/>
      <c r="X19" s="209"/>
      <c r="Y19" s="209"/>
      <c r="Z19" s="209"/>
      <c r="AA19" s="209"/>
      <c r="AB19" s="209"/>
      <c r="AC19" s="209"/>
      <c r="AD19" s="209"/>
      <c r="AE19" s="209"/>
    </row>
    <row r="20">
      <c r="A20" s="208" t="s">
        <v>2873</v>
      </c>
      <c r="B20" s="189" t="str">
        <f>IFERROR(__xludf.DUMMYFUNCTION("FILTER ('Research Papers'!D:D,'Research Papers'!A:A=C20)"),"LiquidityPool: Game-Theoretic Analysis of Stakeholder Revenue in Ranking-Dependent DeFi")</f>
        <v>LiquidityPool: Game-Theoretic Analysis of Stakeholder Revenue in Ranking-Dependent DeFi</v>
      </c>
      <c r="C20" s="189" t="s">
        <v>836</v>
      </c>
      <c r="D20" s="209" t="str">
        <f t="shared" si="1"/>
        <v>LiquidityPool: Game-Theoretic Analysis of Stakeholder Revenue in Ranking-Dependent DeFi
Qinde Chen, Huawei Huang and Jian Zheng
</v>
      </c>
      <c r="E20" s="209" t="str">
        <f>IFERROR(__xludf.DUMMYFUNCTION("TEXTJOIN(CHAR(10), TRUE,FILTER('Research Papers'!$C:$C,'Research Papers'!$A:$A=C20))"),"Qinde Chen, Huawei Huang and Jian Zheng")</f>
        <v>Qinde Chen, Huawei Huang and Jian Zheng</v>
      </c>
      <c r="F20" s="209" t="str">
        <f>IFERROR(__xludf.DUMMYFUNCTION("TEXTJOIN(CHAR(10), TRUE,FILTER ('Sheridan Main'!E:E,'Sheridan Main'!B:B=C20))"),"huanghw28@mail.sysu.edu.cn")</f>
        <v>huanghw28@mail.sysu.edu.cn</v>
      </c>
      <c r="G20" s="210" t="str">
        <f>IFERROR(__xludf.DUMMYFUNCTION("CONCATENATE(""https://dl.acm.org/doi/"",INDEX(FILTER('Sheridan Main'!A:A,'Sheridan Main'!B:B=C20),1))"),"https://dl.acm.org/doi/10.1145/3774904.3792260")</f>
        <v>https://dl.acm.org/doi/10.1145/3774904.3792260</v>
      </c>
      <c r="H20" s="211" t="s">
        <v>2847</v>
      </c>
      <c r="I20" s="189" t="s">
        <v>2874</v>
      </c>
      <c r="J20" s="209"/>
      <c r="K20" s="147"/>
      <c r="L20" s="147"/>
      <c r="M20" s="209"/>
      <c r="N20" s="209"/>
      <c r="O20" s="209"/>
      <c r="P20" s="209"/>
      <c r="Q20" s="209"/>
      <c r="R20" s="209"/>
      <c r="S20" s="209"/>
      <c r="T20" s="209"/>
      <c r="U20" s="209"/>
      <c r="V20" s="209"/>
      <c r="W20" s="209"/>
      <c r="X20" s="209"/>
      <c r="Y20" s="209"/>
      <c r="Z20" s="209"/>
      <c r="AA20" s="209"/>
      <c r="AB20" s="209"/>
      <c r="AC20" s="209"/>
      <c r="AD20" s="209"/>
      <c r="AE20" s="209"/>
    </row>
    <row r="21">
      <c r="A21" s="208" t="s">
        <v>2873</v>
      </c>
      <c r="B21" s="189" t="str">
        <f>IFERROR(__xludf.DUMMYFUNCTION("FILTER ('Research Papers'!D:D,'Research Papers'!A:A=C21)"),"Allocating Chores with Restricted Additive Costs: Achieving EFX, MMS, and Efficiency Simultaneously")</f>
        <v>Allocating Chores with Restricted Additive Costs: Achieving EFX, MMS, and Efficiency Simultaneously</v>
      </c>
      <c r="C21" s="189" t="s">
        <v>916</v>
      </c>
      <c r="D21" s="209" t="str">
        <f t="shared" si="1"/>
        <v>Allocating Chores with Restricted Additive Costs: Achieving EFX, MMS, and Efficiency Simultaneously
Zehan Lin, Xiaowei Wu and Shengwei Zhou
</v>
      </c>
      <c r="E21" s="209" t="str">
        <f>IFERROR(__xludf.DUMMYFUNCTION("TEXTJOIN(CHAR(10), TRUE,FILTER('Research Papers'!$C:$C,'Research Papers'!$A:$A=C21))"),"Zehan Lin, Xiaowei Wu and Shengwei Zhou")</f>
        <v>Zehan Lin, Xiaowei Wu and Shengwei Zhou</v>
      </c>
      <c r="F21" s="209" t="str">
        <f>IFERROR(__xludf.DUMMYFUNCTION("TEXTJOIN(CHAR(10), TRUE,FILTER ('Sheridan Main'!E:E,'Sheridan Main'!B:B=C21))"),"yc47490@um.edu.mo")</f>
        <v>yc47490@um.edu.mo</v>
      </c>
      <c r="G21" s="210" t="str">
        <f>IFERROR(__xludf.DUMMYFUNCTION("CONCATENATE(""https://dl.acm.org/doi/"",INDEX(FILTER('Sheridan Main'!A:A,'Sheridan Main'!B:B=C21),1))"),"https://dl.acm.org/doi/10.1145/3774904.3792300")</f>
        <v>https://dl.acm.org/doi/10.1145/3774904.3792300</v>
      </c>
      <c r="H21" s="211" t="s">
        <v>2847</v>
      </c>
      <c r="I21" s="189" t="s">
        <v>2874</v>
      </c>
      <c r="J21" s="209"/>
      <c r="K21" s="147"/>
      <c r="L21" s="147"/>
      <c r="M21" s="209"/>
      <c r="N21" s="209"/>
      <c r="O21" s="209"/>
      <c r="P21" s="209"/>
      <c r="Q21" s="209"/>
      <c r="R21" s="209"/>
      <c r="S21" s="209"/>
      <c r="T21" s="209"/>
      <c r="U21" s="209"/>
      <c r="V21" s="209"/>
      <c r="W21" s="209"/>
      <c r="X21" s="209"/>
      <c r="Y21" s="209"/>
      <c r="Z21" s="209"/>
      <c r="AA21" s="209"/>
      <c r="AB21" s="209"/>
      <c r="AC21" s="209"/>
      <c r="AD21" s="209"/>
      <c r="AE21" s="209"/>
    </row>
    <row r="22">
      <c r="A22" s="208" t="s">
        <v>2873</v>
      </c>
      <c r="B22" s="189" t="str">
        <f>IFERROR(__xludf.DUMMYFUNCTION("FILTER ('Research Papers'!D:D,'Research Papers'!A:A=C22)"),"All-but-one MMS Allocation for Chores")</f>
        <v>All-but-one MMS Allocation for Chores</v>
      </c>
      <c r="C22" s="189" t="s">
        <v>926</v>
      </c>
      <c r="D22" s="209" t="str">
        <f t="shared" si="1"/>
        <v>All-but-one MMS Allocation for Chores
Jiawei Qiu, Xiaowei Wu, Cong Zhang and Shengwei Zhou
</v>
      </c>
      <c r="E22" s="209" t="str">
        <f>IFERROR(__xludf.DUMMYFUNCTION("TEXTJOIN(CHAR(10), TRUE,FILTER('Research Papers'!$C:$C,'Research Papers'!$A:$A=C22))"),"Jiawei Qiu, Xiaowei Wu, Cong Zhang and Shengwei Zhou")</f>
        <v>Jiawei Qiu, Xiaowei Wu, Cong Zhang and Shengwei Zhou</v>
      </c>
      <c r="F22" s="209" t="str">
        <f>IFERROR(__xludf.DUMMYFUNCTION("TEXTJOIN(CHAR(10), TRUE,FILTER ('Sheridan Main'!E:E,'Sheridan Main'!B:B=C22))"),"yc27429@um.edu.mo")</f>
        <v>yc27429@um.edu.mo</v>
      </c>
      <c r="G22" s="210" t="str">
        <f>IFERROR(__xludf.DUMMYFUNCTION("CONCATENATE(""https://dl.acm.org/doi/"",INDEX(FILTER('Sheridan Main'!A:A,'Sheridan Main'!B:B=C22),1))"),"https://dl.acm.org/doi/10.1145/3774904.3792305")</f>
        <v>https://dl.acm.org/doi/10.1145/3774904.3792305</v>
      </c>
      <c r="H22" s="211" t="s">
        <v>2847</v>
      </c>
      <c r="I22" s="189" t="s">
        <v>2874</v>
      </c>
      <c r="J22" s="209"/>
      <c r="K22" s="147"/>
      <c r="L22" s="147"/>
      <c r="M22" s="209"/>
      <c r="N22" s="209"/>
      <c r="O22" s="209"/>
      <c r="P22" s="209"/>
      <c r="Q22" s="209"/>
      <c r="R22" s="209"/>
      <c r="S22" s="209"/>
      <c r="T22" s="209"/>
      <c r="U22" s="209"/>
      <c r="V22" s="209"/>
      <c r="W22" s="209"/>
      <c r="X22" s="209"/>
      <c r="Y22" s="209"/>
      <c r="Z22" s="209"/>
      <c r="AA22" s="209"/>
      <c r="AB22" s="209"/>
      <c r="AC22" s="209"/>
      <c r="AD22" s="209"/>
      <c r="AE22" s="209"/>
    </row>
    <row r="23">
      <c r="A23" s="208" t="s">
        <v>2873</v>
      </c>
      <c r="B23" s="189" t="str">
        <f>IFERROR(__xludf.DUMMYFUNCTION("FILTER ('Research Papers'!D:D,'Research Papers'!A:A=C23)"),"Barter Exchange with Asymmetric Item Valuations")</f>
        <v>Barter Exchange with Asymmetric Item Valuations</v>
      </c>
      <c r="C23" s="189" t="s">
        <v>1014</v>
      </c>
      <c r="D23" s="209" t="str">
        <f t="shared" si="1"/>
        <v>Barter Exchange with Asymmetric Item Valuations
Juan Luque, Sharmila Duppala, Michael Curry, John Dickerson
and Aravind Srinivasan
</v>
      </c>
      <c r="E23" s="209" t="str">
        <f>IFERROR(__xludf.DUMMYFUNCTION("TEXTJOIN(CHAR(10), TRUE,FILTER('Research Papers'!$C:$C,'Research Papers'!$A:$A=C23))"),"Juan Luque, Sharmila Duppala, Michael Curry, John Dickerson
and Aravind Srinivasan")</f>
        <v>Juan Luque, Sharmila Duppala, Michael Curry, John Dickerson
and Aravind Srinivasan</v>
      </c>
      <c r="F23" s="209" t="str">
        <f>IFERROR(__xludf.DUMMYFUNCTION("TEXTJOIN(CHAR(10), TRUE,FILTER ('Sheridan Main'!E:E,'Sheridan Main'!B:B=C23))"),"jluque@umd.edu")</f>
        <v>jluque@umd.edu</v>
      </c>
      <c r="G23" s="210" t="str">
        <f>IFERROR(__xludf.DUMMYFUNCTION("CONCATENATE(""https://dl.acm.org/doi/"",INDEX(FILTER('Sheridan Main'!A:A,'Sheridan Main'!B:B=C23),1))"),"https://dl.acm.org/doi/10.1145/3774904.3792349")</f>
        <v>https://dl.acm.org/doi/10.1145/3774904.3792349</v>
      </c>
      <c r="H23" s="211" t="s">
        <v>2847</v>
      </c>
      <c r="I23" s="189" t="s">
        <v>2874</v>
      </c>
      <c r="J23" s="209"/>
      <c r="K23" s="147"/>
      <c r="L23" s="147"/>
      <c r="M23" s="209"/>
      <c r="N23" s="209"/>
      <c r="O23" s="209"/>
      <c r="P23" s="209"/>
      <c r="Q23" s="209"/>
      <c r="R23" s="209"/>
      <c r="S23" s="209"/>
      <c r="T23" s="209"/>
      <c r="U23" s="209"/>
      <c r="V23" s="209"/>
      <c r="W23" s="209"/>
      <c r="X23" s="209"/>
      <c r="Y23" s="209"/>
      <c r="Z23" s="209"/>
      <c r="AA23" s="209"/>
      <c r="AB23" s="209"/>
      <c r="AC23" s="209"/>
      <c r="AD23" s="209"/>
      <c r="AE23" s="209"/>
    </row>
    <row r="24">
      <c r="A24" s="208" t="s">
        <v>2873</v>
      </c>
      <c r="B24" s="189" t="str">
        <f>IFERROR(__xludf.DUMMYFUNCTION("FILTER ('Research Papers'!D:D,'Research Papers'!A:A=C24)"),"Online Rounding and Pricing Schemes for k-Rental Problems")</f>
        <v>Online Rounding and Pricing Schemes for k-Rental Problems</v>
      </c>
      <c r="C24" s="189" t="s">
        <v>1052</v>
      </c>
      <c r="D24" s="209" t="str">
        <f t="shared" si="1"/>
        <v>Online Rounding and Pricing Schemes for k-Rental Problems
Hossein Nekouyan, Bo Sun, Raouf Boutaba and Xiaoqi Tan
</v>
      </c>
      <c r="E24" s="209" t="str">
        <f>IFERROR(__xludf.DUMMYFUNCTION("TEXTJOIN(CHAR(10), TRUE,FILTER('Research Papers'!$C:$C,'Research Papers'!$A:$A=C24))"),"Hossein Nekouyan, Bo Sun, Raouf Boutaba and Xiaoqi Tan")</f>
        <v>Hossein Nekouyan, Bo Sun, Raouf Boutaba and Xiaoqi Tan</v>
      </c>
      <c r="F24" s="209" t="str">
        <f>IFERROR(__xludf.DUMMYFUNCTION("TEXTJOIN(CHAR(10), TRUE,FILTER ('Sheridan Main'!E:E,'Sheridan Main'!B:B=C24))"),"nekouyan@ualberta.ca")</f>
        <v>nekouyan@ualberta.ca</v>
      </c>
      <c r="G24" s="210" t="str">
        <f>IFERROR(__xludf.DUMMYFUNCTION("CONCATENATE(""https://dl.acm.org/doi/"",INDEX(FILTER('Sheridan Main'!A:A,'Sheridan Main'!B:B=C24),1))"),"https://dl.acm.org/doi/10.1145/3774904.3792368")</f>
        <v>https://dl.acm.org/doi/10.1145/3774904.3792368</v>
      </c>
      <c r="H24" s="211" t="s">
        <v>2847</v>
      </c>
      <c r="I24" s="189" t="s">
        <v>114</v>
      </c>
      <c r="J24" s="209"/>
      <c r="K24" s="147"/>
      <c r="L24" s="147"/>
      <c r="M24" s="209"/>
      <c r="N24" s="209"/>
      <c r="O24" s="209"/>
      <c r="P24" s="209"/>
      <c r="Q24" s="209"/>
      <c r="R24" s="209"/>
      <c r="S24" s="209"/>
      <c r="T24" s="209"/>
      <c r="U24" s="209"/>
      <c r="V24" s="209"/>
      <c r="W24" s="209"/>
      <c r="X24" s="209"/>
      <c r="Y24" s="209"/>
      <c r="Z24" s="209"/>
      <c r="AA24" s="209"/>
      <c r="AB24" s="209"/>
      <c r="AC24" s="209"/>
      <c r="AD24" s="209"/>
      <c r="AE24" s="209"/>
    </row>
    <row r="25">
      <c r="A25" s="208" t="s">
        <v>2873</v>
      </c>
      <c r="B25" s="189" t="str">
        <f>IFERROR(__xludf.DUMMYFUNCTION("FILTER ('Research Papers'!D:D,'Research Papers'!A:A=C25)"),"Online Advertising with Spatial Interactions")</f>
        <v>Online Advertising with Spatial Interactions</v>
      </c>
      <c r="C25" s="189" t="s">
        <v>1056</v>
      </c>
      <c r="D25" s="209" t="str">
        <f t="shared" si="1"/>
        <v>Online Advertising with Spatial Interactions
Gagan Aggarwal, Yifan Wang and Mingfei Zhao
</v>
      </c>
      <c r="E25" s="209" t="str">
        <f>IFERROR(__xludf.DUMMYFUNCTION("TEXTJOIN(CHAR(10), TRUE,FILTER('Research Papers'!$C:$C,'Research Papers'!$A:$A=C25))"),"Gagan Aggarwal, Yifan Wang and Mingfei Zhao")</f>
        <v>Gagan Aggarwal, Yifan Wang and Mingfei Zhao</v>
      </c>
      <c r="F25" s="209" t="str">
        <f>IFERROR(__xludf.DUMMYFUNCTION("TEXTJOIN(CHAR(10), TRUE,FILTER ('Sheridan Main'!E:E,'Sheridan Main'!B:B=C25))"),"ywang3782@gatech.edu")</f>
        <v>ywang3782@gatech.edu</v>
      </c>
      <c r="G25" s="210" t="str">
        <f>IFERROR(__xludf.DUMMYFUNCTION("CONCATENATE(""https://dl.acm.org/doi/"",INDEX(FILTER('Sheridan Main'!A:A,'Sheridan Main'!B:B=C25),1))"),"https://dl.acm.org/doi/10.1145/3774904.3792370")</f>
        <v>https://dl.acm.org/doi/10.1145/3774904.3792370</v>
      </c>
      <c r="H25" s="211" t="s">
        <v>2847</v>
      </c>
      <c r="I25" s="189" t="s">
        <v>114</v>
      </c>
      <c r="J25" s="209"/>
      <c r="K25" s="147"/>
      <c r="L25" s="147"/>
      <c r="M25" s="209"/>
      <c r="N25" s="209"/>
      <c r="O25" s="209"/>
      <c r="P25" s="209"/>
      <c r="Q25" s="209"/>
      <c r="R25" s="209"/>
      <c r="S25" s="209"/>
      <c r="T25" s="209"/>
      <c r="U25" s="209"/>
      <c r="V25" s="209"/>
      <c r="W25" s="209"/>
      <c r="X25" s="209"/>
      <c r="Y25" s="209"/>
      <c r="Z25" s="209"/>
      <c r="AA25" s="209"/>
      <c r="AB25" s="209"/>
      <c r="AC25" s="209"/>
      <c r="AD25" s="209"/>
      <c r="AE25" s="209"/>
    </row>
    <row r="26">
      <c r="A26" s="208" t="s">
        <v>2873</v>
      </c>
      <c r="B26" s="189" t="str">
        <f>IFERROR(__xludf.DUMMYFUNCTION("FILTER ('Research Papers'!D:D,'Research Papers'!A:A=C26)"),"Automated Deterministic Auction Design with Objective Decomposition")</f>
        <v>Automated Deterministic Auction Design with Objective Decomposition</v>
      </c>
      <c r="C26" s="189" t="s">
        <v>1070</v>
      </c>
      <c r="D26" s="209" t="str">
        <f t="shared" si="1"/>
        <v>Automated Deterministic Auction Design with Objective Decomposition
Zhijian Duan, Haoran Sun, Yichong Xia, Siqiang Wang, Zhilin
Zhang, Chuan Yu, Jian Xu and Xiaotie Deng
</v>
      </c>
      <c r="E26" s="209" t="str">
        <f>IFERROR(__xludf.DUMMYFUNCTION("TEXTJOIN(CHAR(10), TRUE,FILTER('Research Papers'!$C:$C,'Research Papers'!$A:$A=C26))"),"Zhijian Duan, Haoran Sun, Yichong Xia, Siqiang Wang, Zhilin
Zhang, Chuan Yu, Jian Xu and Xiaotie Deng")</f>
        <v>Zhijian Duan, Haoran Sun, Yichong Xia, Siqiang Wang, Zhilin
Zhang, Chuan Yu, Jian Xu and Xiaotie Deng</v>
      </c>
      <c r="F26" s="209" t="str">
        <f>IFERROR(__xludf.DUMMYFUNCTION("TEXTJOIN(CHAR(10), TRUE,FILTER ('Sheridan Main'!E:E,'Sheridan Main'!B:B=C26))"),"zjduan@pku.edu.cn")</f>
        <v>zjduan@pku.edu.cn</v>
      </c>
      <c r="G26" s="210" t="str">
        <f>IFERROR(__xludf.DUMMYFUNCTION("CONCATENATE(""https://dl.acm.org/doi/"",INDEX(FILTER('Sheridan Main'!A:A,'Sheridan Main'!B:B=C26),1))"),"https://dl.acm.org/doi/10.1145/3774904.3792377")</f>
        <v>https://dl.acm.org/doi/10.1145/3774904.3792377</v>
      </c>
      <c r="H26" s="211" t="s">
        <v>2847</v>
      </c>
      <c r="I26" s="189" t="s">
        <v>114</v>
      </c>
      <c r="J26" s="209"/>
      <c r="K26" s="147"/>
      <c r="L26" s="147"/>
      <c r="M26" s="209"/>
      <c r="N26" s="209"/>
      <c r="O26" s="209"/>
      <c r="P26" s="209"/>
      <c r="Q26" s="209"/>
      <c r="R26" s="209"/>
      <c r="S26" s="209"/>
      <c r="T26" s="209"/>
      <c r="U26" s="209"/>
      <c r="V26" s="209"/>
      <c r="W26" s="209"/>
      <c r="X26" s="209"/>
      <c r="Y26" s="209"/>
      <c r="Z26" s="209"/>
      <c r="AA26" s="209"/>
      <c r="AB26" s="209"/>
      <c r="AC26" s="209"/>
      <c r="AD26" s="209"/>
      <c r="AE26" s="209"/>
    </row>
    <row r="27">
      <c r="A27" s="208" t="s">
        <v>2873</v>
      </c>
      <c r="B27" s="189" t="str">
        <f>IFERROR(__xludf.DUMMYFUNCTION("FILTER ('Research Papers'!D:D,'Research Papers'!A:A=C27)"),"The Query Complexity of Uniform Pricing")</f>
        <v>The Query Complexity of Uniform Pricing</v>
      </c>
      <c r="C27" s="189" t="s">
        <v>1158</v>
      </c>
      <c r="D27" s="209" t="str">
        <f t="shared" si="1"/>
        <v>The Query Complexity of Uniform Pricing
Houshuang Chen, Yaonan Jin, Pinyan Lu and Chihao Zhang
</v>
      </c>
      <c r="E27" s="209" t="str">
        <f>IFERROR(__xludf.DUMMYFUNCTION("TEXTJOIN(CHAR(10), TRUE,FILTER('Research Papers'!$C:$C,'Research Papers'!$A:$A=C27))"),"Houshuang Chen, Yaonan Jin, Pinyan Lu and Chihao Zhang")</f>
        <v>Houshuang Chen, Yaonan Jin, Pinyan Lu and Chihao Zhang</v>
      </c>
      <c r="F27" s="209" t="str">
        <f>IFERROR(__xludf.DUMMYFUNCTION("TEXTJOIN(CHAR(10), TRUE,FILTER ('Sheridan Main'!E:E,'Sheridan Main'!B:B=C27))"),"jinyaonan@huawei.com")</f>
        <v>jinyaonan@huawei.com</v>
      </c>
      <c r="G27" s="210" t="str">
        <f>IFERROR(__xludf.DUMMYFUNCTION("CONCATENATE(""https://dl.acm.org/doi/"",INDEX(FILTER('Sheridan Main'!A:A,'Sheridan Main'!B:B=C27),1))"),"https://dl.acm.org/doi/10.1145/3774904.3792421")</f>
        <v>https://dl.acm.org/doi/10.1145/3774904.3792421</v>
      </c>
      <c r="H27" s="211" t="s">
        <v>2847</v>
      </c>
      <c r="I27" s="189" t="s">
        <v>114</v>
      </c>
      <c r="J27" s="209"/>
      <c r="K27" s="147"/>
      <c r="L27" s="147"/>
      <c r="M27" s="209"/>
      <c r="N27" s="209"/>
      <c r="O27" s="209"/>
      <c r="P27" s="209"/>
      <c r="Q27" s="209"/>
      <c r="R27" s="209"/>
      <c r="S27" s="209"/>
      <c r="T27" s="209"/>
      <c r="U27" s="209"/>
      <c r="V27" s="209"/>
      <c r="W27" s="209"/>
      <c r="X27" s="209"/>
      <c r="Y27" s="209"/>
      <c r="Z27" s="209"/>
      <c r="AA27" s="209"/>
      <c r="AB27" s="209"/>
      <c r="AC27" s="209"/>
      <c r="AD27" s="209"/>
      <c r="AE27" s="209"/>
    </row>
    <row r="28">
      <c r="A28" s="208" t="s">
        <v>2873</v>
      </c>
      <c r="B28" s="189" t="str">
        <f>IFERROR(__xludf.DUMMYFUNCTION("FILTER ('Research Papers'!D:D,'Research Papers'!A:A=C28)"),"Determinants and Effects of Buy Box Suppression on Amazon")</f>
        <v>Determinants and Effects of Buy Box Suppression on Amazon</v>
      </c>
      <c r="C28" s="189" t="s">
        <v>1262</v>
      </c>
      <c r="D28" s="209" t="str">
        <f t="shared" si="1"/>
        <v>Determinants and Effects of Buy Box Suppression on Amazon
Jeffrey Gleason, Shuo Zhang and Christo Wilson
</v>
      </c>
      <c r="E28" s="209" t="str">
        <f>IFERROR(__xludf.DUMMYFUNCTION("TEXTJOIN(CHAR(10), TRUE,FILTER('Research Papers'!$C:$C,'Research Papers'!$A:$A=C28))"),"Jeffrey Gleason, Shuo Zhang and Christo Wilson")</f>
        <v>Jeffrey Gleason, Shuo Zhang and Christo Wilson</v>
      </c>
      <c r="F28" s="209" t="str">
        <f>IFERROR(__xludf.DUMMYFUNCTION("TEXTJOIN(CHAR(10), TRUE,FILTER ('Sheridan Main'!E:E,'Sheridan Main'!B:B=C28))"),"gleason.je@northeastern.edu")</f>
        <v>gleason.je@northeastern.edu</v>
      </c>
      <c r="G28" s="210" t="str">
        <f>IFERROR(__xludf.DUMMYFUNCTION("CONCATENATE(""https://dl.acm.org/doi/"",INDEX(FILTER('Sheridan Main'!A:A,'Sheridan Main'!B:B=C28),1))"),"https://dl.acm.org/doi/10.1145/3774904.3792473")</f>
        <v>https://dl.acm.org/doi/10.1145/3774904.3792473</v>
      </c>
      <c r="H28" s="211" t="s">
        <v>2847</v>
      </c>
      <c r="I28" s="189" t="s">
        <v>114</v>
      </c>
      <c r="J28" s="209"/>
      <c r="K28" s="147"/>
      <c r="L28" s="147"/>
      <c r="M28" s="209"/>
      <c r="N28" s="209"/>
      <c r="O28" s="209"/>
      <c r="P28" s="209"/>
      <c r="Q28" s="209"/>
      <c r="R28" s="209"/>
      <c r="S28" s="209"/>
      <c r="T28" s="209"/>
      <c r="U28" s="209"/>
      <c r="V28" s="209"/>
      <c r="W28" s="209"/>
      <c r="X28" s="209"/>
      <c r="Y28" s="209"/>
      <c r="Z28" s="209"/>
      <c r="AA28" s="209"/>
      <c r="AB28" s="209"/>
      <c r="AC28" s="209"/>
      <c r="AD28" s="209"/>
      <c r="AE28" s="209"/>
    </row>
    <row r="29">
      <c r="A29" s="208" t="s">
        <v>2873</v>
      </c>
      <c r="B29" s="189" t="str">
        <f>IFERROR(__xludf.DUMMYFUNCTION("FILTER ('Research Papers'!D:D,'Research Papers'!A:A=C29)"),"Additively Competitive Secretaries")</f>
        <v>Additively Competitive Secretaries</v>
      </c>
      <c r="C29" s="189" t="s">
        <v>1272</v>
      </c>
      <c r="D29" s="209" t="str">
        <f t="shared" si="1"/>
        <v>Additively Competitive Secretaries
Mohammad Mahdian, Jieming Mao, Enze Sun, Kangning Wang and
Yifan Wang
</v>
      </c>
      <c r="E29" s="209" t="str">
        <f>IFERROR(__xludf.DUMMYFUNCTION("TEXTJOIN(CHAR(10), TRUE,FILTER('Research Papers'!$C:$C,'Research Papers'!$A:$A=C29))"),"Mohammad Mahdian, Jieming Mao, Enze Sun, Kangning Wang and
Yifan Wang")</f>
        <v>Mohammad Mahdian, Jieming Mao, Enze Sun, Kangning Wang and
Yifan Wang</v>
      </c>
      <c r="F29" s="209" t="str">
        <f>IFERROR(__xludf.DUMMYFUNCTION("TEXTJOIN(CHAR(10), TRUE,FILTER ('Sheridan Main'!E:E,'Sheridan Main'!B:B=C29))"),"ywang3782@gatech.edu")</f>
        <v>ywang3782@gatech.edu</v>
      </c>
      <c r="G29" s="210" t="str">
        <f>IFERROR(__xludf.DUMMYFUNCTION("CONCATENATE(""https://dl.acm.org/doi/"",INDEX(FILTER('Sheridan Main'!A:A,'Sheridan Main'!B:B=C29),1))"),"https://dl.acm.org/doi/10.1145/3774904.3792478")</f>
        <v>https://dl.acm.org/doi/10.1145/3774904.3792478</v>
      </c>
      <c r="H29" s="211" t="s">
        <v>2847</v>
      </c>
      <c r="I29" s="189" t="s">
        <v>114</v>
      </c>
      <c r="J29" s="209"/>
      <c r="K29" s="147"/>
      <c r="L29" s="147"/>
      <c r="M29" s="209"/>
      <c r="N29" s="209"/>
      <c r="O29" s="209"/>
      <c r="P29" s="209"/>
      <c r="Q29" s="209"/>
      <c r="R29" s="209"/>
      <c r="S29" s="209"/>
      <c r="T29" s="209"/>
      <c r="U29" s="209"/>
      <c r="V29" s="209"/>
      <c r="W29" s="209"/>
      <c r="X29" s="209"/>
      <c r="Y29" s="209"/>
      <c r="Z29" s="209"/>
      <c r="AA29" s="209"/>
      <c r="AB29" s="209"/>
      <c r="AC29" s="209"/>
      <c r="AD29" s="209"/>
      <c r="AE29" s="209"/>
    </row>
    <row r="30">
      <c r="A30" s="208" t="s">
        <v>2873</v>
      </c>
      <c r="B30" s="189" t="str">
        <f>IFERROR(__xludf.DUMMYFUNCTION("FILTER ('Research Papers'!D:D,'Research Papers'!A:A=C30)"),"Improving the Price of Anarchy via Predictions in Parallel-Link Networks")</f>
        <v>Improving the Price of Anarchy via Predictions in Parallel-Link Networks</v>
      </c>
      <c r="C30" s="189" t="s">
        <v>1276</v>
      </c>
      <c r="D30" s="209" t="str">
        <f t="shared" si="1"/>
        <v>Improving the Price of Anarchy via Predictions in Parallel-Link Networks
George Christodoulou, Vasilis Christoforidis, Alkmini
Sgouritsa and Ioannis Vlachos
</v>
      </c>
      <c r="E30" s="209" t="str">
        <f>IFERROR(__xludf.DUMMYFUNCTION("TEXTJOIN(CHAR(10), TRUE,FILTER('Research Papers'!$C:$C,'Research Papers'!$A:$A=C30))"),"George Christodoulou, Vasilis Christoforidis, Alkmini
Sgouritsa and Ioannis Vlachos")</f>
        <v>George Christodoulou, Vasilis Christoforidis, Alkmini
Sgouritsa and Ioannis Vlachos</v>
      </c>
      <c r="F30" s="209" t="str">
        <f>IFERROR(__xludf.DUMMYFUNCTION("TEXTJOIN(CHAR(10), TRUE,FILTER ('Sheridan Main'!E:E,'Sheridan Main'!B:B=C30))"),"vgchrist@csd.auth.gr")</f>
        <v>vgchrist@csd.auth.gr</v>
      </c>
      <c r="G30" s="210" t="str">
        <f>IFERROR(__xludf.DUMMYFUNCTION("CONCATENATE(""https://dl.acm.org/doi/"",INDEX(FILTER('Sheridan Main'!A:A,'Sheridan Main'!B:B=C30),1))"),"https://dl.acm.org/doi/10.1145/3774904.3792480")</f>
        <v>https://dl.acm.org/doi/10.1145/3774904.3792480</v>
      </c>
      <c r="H30" s="211" t="s">
        <v>2847</v>
      </c>
      <c r="I30" s="189" t="s">
        <v>114</v>
      </c>
      <c r="J30" s="209"/>
      <c r="K30" s="147"/>
      <c r="L30" s="147"/>
      <c r="M30" s="209"/>
      <c r="N30" s="209"/>
      <c r="O30" s="209"/>
      <c r="P30" s="209"/>
      <c r="Q30" s="209"/>
      <c r="R30" s="209"/>
      <c r="S30" s="209"/>
      <c r="T30" s="209"/>
      <c r="U30" s="209"/>
      <c r="V30" s="209"/>
      <c r="W30" s="209"/>
      <c r="X30" s="209"/>
      <c r="Y30" s="209"/>
      <c r="Z30" s="209"/>
      <c r="AA30" s="209"/>
      <c r="AB30" s="209"/>
      <c r="AC30" s="209"/>
      <c r="AD30" s="209"/>
      <c r="AE30" s="209"/>
    </row>
    <row r="31">
      <c r="A31" s="208" t="s">
        <v>2873</v>
      </c>
      <c r="B31" s="189" t="str">
        <f>IFERROR(__xludf.DUMMYFUNCTION("FILTER ('Research Papers'!D:D,'Research Papers'!A:A=C31)"),"Marketing Hosting: From Fixed to Endogenous Budgets")</f>
        <v>Marketing Hosting: From Fixed to Endogenous Budgets</v>
      </c>
      <c r="C31" s="189" t="s">
        <v>1354</v>
      </c>
      <c r="D31" s="209" t="str">
        <f t="shared" si="1"/>
        <v>Marketing Hosting: From Fixed to Endogenous Budgets
Bingzhe Wang, Tianyu Wang, Qi Qi, Xiaoxuan Deng, Zhilin
Zhang and Chuan Yu
</v>
      </c>
      <c r="E31" s="209" t="str">
        <f>IFERROR(__xludf.DUMMYFUNCTION("TEXTJOIN(CHAR(10), TRUE,FILTER('Research Papers'!$C:$C,'Research Papers'!$A:$A=C31))"),"Bingzhe Wang, Tianyu Wang, Qi Qi, Xiaoxuan Deng, Zhilin
Zhang and Chuan Yu")</f>
        <v>Bingzhe Wang, Tianyu Wang, Qi Qi, Xiaoxuan Deng, Zhilin
Zhang and Chuan Yu</v>
      </c>
      <c r="F31" s="209" t="str">
        <f>IFERROR(__xludf.DUMMYFUNCTION("TEXTJOIN(CHAR(10), TRUE,FILTER ('Sheridan Main'!E:E,'Sheridan Main'!B:B=C31))"),"qi.qi@ruc.edu.cn")</f>
        <v>qi.qi@ruc.edu.cn</v>
      </c>
      <c r="G31" s="210" t="str">
        <f>IFERROR(__xludf.DUMMYFUNCTION("CONCATENATE(""https://dl.acm.org/doi/"",INDEX(FILTER('Sheridan Main'!A:A,'Sheridan Main'!B:B=C31),1))"),"https://dl.acm.org/doi/10.1145/3774904.3792519")</f>
        <v>https://dl.acm.org/doi/10.1145/3774904.3792519</v>
      </c>
      <c r="H31" s="211" t="s">
        <v>2847</v>
      </c>
      <c r="I31" s="189" t="s">
        <v>2877</v>
      </c>
      <c r="J31" s="209"/>
      <c r="K31" s="147"/>
      <c r="L31" s="147"/>
      <c r="M31" s="209"/>
      <c r="N31" s="209"/>
      <c r="O31" s="209"/>
      <c r="P31" s="209"/>
      <c r="Q31" s="209"/>
      <c r="R31" s="209"/>
      <c r="S31" s="209"/>
      <c r="T31" s="209"/>
      <c r="U31" s="209"/>
      <c r="V31" s="209"/>
      <c r="W31" s="209"/>
      <c r="X31" s="209"/>
      <c r="Y31" s="209"/>
      <c r="Z31" s="209"/>
      <c r="AA31" s="209"/>
      <c r="AB31" s="209"/>
      <c r="AC31" s="209"/>
      <c r="AD31" s="209"/>
      <c r="AE31" s="209"/>
    </row>
    <row r="32">
      <c r="A32" s="208" t="s">
        <v>2873</v>
      </c>
      <c r="B32" s="189" t="str">
        <f>IFERROR(__xludf.DUMMYFUNCTION("FILTER ('Research Papers'!D:D,'Research Papers'!A:A=C32)"),"Efficient and Fair Allocation on Graphs: From Orientation to Position-Aware Valuations")</f>
        <v>Efficient and Fair Allocation on Graphs: From Orientation to Position-Aware Valuations</v>
      </c>
      <c r="C32" s="189" t="s">
        <v>1496</v>
      </c>
      <c r="D32" s="209" t="str">
        <f t="shared" si="1"/>
        <v>Efficient and Fair Allocation on Graphs: From Orientation to Position-Aware Valuations
Bo Li, Ankang Sun and Shiji Xing
</v>
      </c>
      <c r="E32" s="209" t="str">
        <f>IFERROR(__xludf.DUMMYFUNCTION("TEXTJOIN(CHAR(10), TRUE,FILTER('Research Papers'!$C:$C,'Research Papers'!$A:$A=C32))"),"Bo Li, Ankang Sun and Shiji Xing")</f>
        <v>Bo Li, Ankang Sun and Shiji Xing</v>
      </c>
      <c r="F32" s="209" t="str">
        <f>IFERROR(__xludf.DUMMYFUNCTION("TEXTJOIN(CHAR(10), TRUE,FILTER ('Sheridan Main'!E:E,'Sheridan Main'!B:B=C32))"),"ankang.sun@sdu.edu.cn")</f>
        <v>ankang.sun@sdu.edu.cn</v>
      </c>
      <c r="G32" s="210" t="str">
        <f>IFERROR(__xludf.DUMMYFUNCTION("CONCATENATE(""https://dl.acm.org/doi/"",INDEX(FILTER('Sheridan Main'!A:A,'Sheridan Main'!B:B=C32),1))"),"https://dl.acm.org/doi/10.1145/3774904.3792590")</f>
        <v>https://dl.acm.org/doi/10.1145/3774904.3792590</v>
      </c>
      <c r="H32" s="211" t="s">
        <v>2847</v>
      </c>
      <c r="I32" s="189" t="s">
        <v>2877</v>
      </c>
      <c r="J32" s="209"/>
      <c r="K32" s="147"/>
      <c r="L32" s="147"/>
      <c r="M32" s="209"/>
      <c r="N32" s="209"/>
      <c r="O32" s="209"/>
      <c r="P32" s="209"/>
      <c r="Q32" s="209"/>
      <c r="R32" s="209"/>
      <c r="S32" s="209"/>
      <c r="T32" s="209"/>
      <c r="U32" s="209"/>
      <c r="V32" s="209"/>
      <c r="W32" s="209"/>
      <c r="X32" s="209"/>
      <c r="Y32" s="209"/>
      <c r="Z32" s="209"/>
      <c r="AA32" s="209"/>
      <c r="AB32" s="209"/>
      <c r="AC32" s="209"/>
      <c r="AD32" s="209"/>
      <c r="AE32" s="209"/>
    </row>
    <row r="33">
      <c r="A33" s="208" t="s">
        <v>2873</v>
      </c>
      <c r="B33" s="189" t="str">
        <f>IFERROR(__xludf.DUMMYFUNCTION("FILTER ('Research Papers'!D:D,'Research Papers'!A:A=C33)"),"Data Pricing via Competitive Equilibrium")</f>
        <v>Data Pricing via Competitive Equilibrium</v>
      </c>
      <c r="C33" s="189" t="s">
        <v>1506</v>
      </c>
      <c r="D33" s="209" t="str">
        <f t="shared" si="1"/>
        <v>Data Pricing via Competitive Equilibrium
Bhaskar Chaudhury, Jugal Garg, Aniket Murhekar and Jiaxin
Song
</v>
      </c>
      <c r="E33" s="209" t="str">
        <f>IFERROR(__xludf.DUMMYFUNCTION("TEXTJOIN(CHAR(10), TRUE,FILTER('Research Papers'!$C:$C,'Research Papers'!$A:$A=C33))"),"Bhaskar Chaudhury, Jugal Garg, Aniket Murhekar and Jiaxin
Song")</f>
        <v>Bhaskar Chaudhury, Jugal Garg, Aniket Murhekar and Jiaxin
Song</v>
      </c>
      <c r="F33" s="209" t="str">
        <f>IFERROR(__xludf.DUMMYFUNCTION("TEXTJOIN(CHAR(10), TRUE,FILTER ('Sheridan Main'!E:E,'Sheridan Main'!B:B=C33))"),"jugal@illinois.edu")</f>
        <v>jugal@illinois.edu</v>
      </c>
      <c r="G33" s="210" t="str">
        <f>IFERROR(__xludf.DUMMYFUNCTION("CONCATENATE(""https://dl.acm.org/doi/"",INDEX(FILTER('Sheridan Main'!A:A,'Sheridan Main'!B:B=C33),1))"),"https://dl.acm.org/doi/10.1145/3774904.3792595")</f>
        <v>https://dl.acm.org/doi/10.1145/3774904.3792595</v>
      </c>
      <c r="H33" s="211" t="s">
        <v>2847</v>
      </c>
      <c r="I33" s="189" t="s">
        <v>2877</v>
      </c>
      <c r="J33" s="209"/>
      <c r="K33" s="147"/>
      <c r="L33" s="147"/>
      <c r="M33" s="209"/>
      <c r="N33" s="209"/>
      <c r="O33" s="209"/>
      <c r="P33" s="209"/>
      <c r="Q33" s="209"/>
      <c r="R33" s="209"/>
      <c r="S33" s="209"/>
      <c r="T33" s="209"/>
      <c r="U33" s="209"/>
      <c r="V33" s="209"/>
      <c r="W33" s="209"/>
      <c r="X33" s="209"/>
      <c r="Y33" s="209"/>
      <c r="Z33" s="209"/>
      <c r="AA33" s="209"/>
      <c r="AB33" s="209"/>
      <c r="AC33" s="209"/>
      <c r="AD33" s="209"/>
      <c r="AE33" s="209"/>
    </row>
    <row r="34">
      <c r="A34" s="208" t="s">
        <v>2873</v>
      </c>
      <c r="B34" s="189" t="str">
        <f>IFERROR(__xludf.DUMMYFUNCTION("FILTER ('Research Papers'!D:D,'Research Papers'!A:A=C34)"),"Single-Sample Bilateral Trade with a Broker")</f>
        <v>Single-Sample Bilateral Trade with a Broker</v>
      </c>
      <c r="C34" s="189" t="s">
        <v>1562</v>
      </c>
      <c r="D34" s="209" t="str">
        <f t="shared" si="1"/>
        <v>Single-Sample Bilateral Trade with a Broker
Mohammadtaghi Hajiaghayi, Gary Peng and Suho Shin
</v>
      </c>
      <c r="E34" s="209" t="str">
        <f>IFERROR(__xludf.DUMMYFUNCTION("TEXTJOIN(CHAR(10), TRUE,FILTER('Research Papers'!$C:$C,'Research Papers'!$A:$A=C34))"),"Mohammadtaghi Hajiaghayi, Gary Peng and Suho Shin")</f>
        <v>Mohammadtaghi Hajiaghayi, Gary Peng and Suho Shin</v>
      </c>
      <c r="F34" s="209" t="str">
        <f>IFERROR(__xludf.DUMMYFUNCTION("TEXTJOIN(CHAR(10), TRUE,FILTER ('Sheridan Main'!E:E,'Sheridan Main'!B:B=C34))"),"gpeng1@terpmail.umd.edu")</f>
        <v>gpeng1@terpmail.umd.edu</v>
      </c>
      <c r="G34" s="210" t="str">
        <f>IFERROR(__xludf.DUMMYFUNCTION("CONCATENATE(""https://dl.acm.org/doi/"",INDEX(FILTER('Sheridan Main'!A:A,'Sheridan Main'!B:B=C34),1))"),"https://dl.acm.org/doi/10.1145/3774904.3792623")</f>
        <v>https://dl.acm.org/doi/10.1145/3774904.3792623</v>
      </c>
      <c r="H34" s="211" t="s">
        <v>2847</v>
      </c>
      <c r="I34" s="189" t="s">
        <v>2877</v>
      </c>
      <c r="J34" s="209"/>
      <c r="K34" s="147"/>
      <c r="L34" s="147"/>
      <c r="M34" s="209"/>
      <c r="N34" s="209"/>
      <c r="O34" s="209"/>
      <c r="P34" s="209"/>
      <c r="Q34" s="209"/>
      <c r="R34" s="209"/>
      <c r="S34" s="209"/>
      <c r="T34" s="209"/>
      <c r="U34" s="209"/>
      <c r="V34" s="209"/>
      <c r="W34" s="209"/>
      <c r="X34" s="209"/>
      <c r="Y34" s="209"/>
      <c r="Z34" s="209"/>
      <c r="AA34" s="209"/>
      <c r="AB34" s="209"/>
      <c r="AC34" s="209"/>
      <c r="AD34" s="209"/>
      <c r="AE34" s="209"/>
    </row>
    <row r="35">
      <c r="A35" s="208" t="s">
        <v>2873</v>
      </c>
      <c r="B35" s="189" t="str">
        <f>IFERROR(__xludf.DUMMYFUNCTION("FILTER ('Research Papers'!D:D,'Research Papers'!A:A=C35)"),"Differentially Private Anonymous Bandits for Multi-User Systems")</f>
        <v>Differentially Private Anonymous Bandits for Multi-User Systems</v>
      </c>
      <c r="C35" s="189" t="s">
        <v>1660</v>
      </c>
      <c r="D35" s="209" t="str">
        <f t="shared" si="1"/>
        <v>Differentially Private Anonymous Bandits for Multi-User Systems
Mohammad Reza Badri, Hossein Esfandiari, Samira
Hosseinghorban and Alireza Rezaeimoghadam
</v>
      </c>
      <c r="E35" s="209" t="str">
        <f>IFERROR(__xludf.DUMMYFUNCTION("TEXTJOIN(CHAR(10), TRUE,FILTER('Research Papers'!$C:$C,'Research Papers'!$A:$A=C35))"),"Mohammad Reza Badri, Hossein Esfandiari, Samira
Hosseinghorban and Alireza Rezaeimoghadam")</f>
        <v>Mohammad Reza Badri, Hossein Esfandiari, Samira
Hosseinghorban and Alireza Rezaeimoghadam</v>
      </c>
      <c r="F35" s="209" t="str">
        <f>IFERROR(__xludf.DUMMYFUNCTION("TEXTJOIN(CHAR(10), TRUE,FILTER ('Sheridan Main'!E:E,'Sheridan Main'!B:B=C35))"),"esfandiari@google.com")</f>
        <v>esfandiari@google.com</v>
      </c>
      <c r="G35" s="210" t="str">
        <f>IFERROR(__xludf.DUMMYFUNCTION("CONCATENATE(""https://dl.acm.org/doi/"",INDEX(FILTER('Sheridan Main'!A:A,'Sheridan Main'!B:B=C35),1))"),"https://dl.acm.org/doi/10.1145/3774904.3792672")</f>
        <v>https://dl.acm.org/doi/10.1145/3774904.3792672</v>
      </c>
      <c r="H35" s="211" t="s">
        <v>2847</v>
      </c>
      <c r="I35" s="189" t="s">
        <v>2877</v>
      </c>
      <c r="J35" s="209"/>
      <c r="K35" s="147"/>
      <c r="L35" s="147"/>
      <c r="M35" s="209"/>
      <c r="N35" s="209"/>
      <c r="O35" s="209"/>
      <c r="P35" s="209"/>
      <c r="Q35" s="209"/>
      <c r="R35" s="209"/>
      <c r="S35" s="209"/>
      <c r="T35" s="209"/>
      <c r="U35" s="209"/>
      <c r="V35" s="209"/>
      <c r="W35" s="209"/>
      <c r="X35" s="209"/>
      <c r="Y35" s="209"/>
      <c r="Z35" s="209"/>
      <c r="AA35" s="209"/>
      <c r="AB35" s="209"/>
      <c r="AC35" s="209"/>
      <c r="AD35" s="209"/>
      <c r="AE35" s="209"/>
    </row>
    <row r="36">
      <c r="A36" s="208" t="s">
        <v>2873</v>
      </c>
      <c r="B36" s="189" t="str">
        <f>IFERROR(__xludf.DUMMYFUNCTION("FILTER ('Research Papers'!D:D,'Research Papers'!A:A=C36)"),"Understanding Strategic Platform Entry and Seller Exploration: A Stackelberg Model")</f>
        <v>Understanding Strategic Platform Entry and Seller Exploration: A Stackelberg Model</v>
      </c>
      <c r="C36" s="189" t="s">
        <v>1672</v>
      </c>
      <c r="D36" s="209" t="str">
        <f t="shared" si="1"/>
        <v>Understanding Strategic Platform Entry and Seller Exploration: A Stackelberg Model
Garrett Seo, Xintong Wang and David Parkes
</v>
      </c>
      <c r="E36" s="209" t="str">
        <f>IFERROR(__xludf.DUMMYFUNCTION("TEXTJOIN(CHAR(10), TRUE,FILTER('Research Papers'!$C:$C,'Research Papers'!$A:$A=C36))"),"Garrett Seo, Xintong Wang and David Parkes")</f>
        <v>Garrett Seo, Xintong Wang and David Parkes</v>
      </c>
      <c r="F36" s="209" t="str">
        <f>IFERROR(__xludf.DUMMYFUNCTION("TEXTJOIN(CHAR(10), TRUE,FILTER ('Sheridan Main'!E:E,'Sheridan Main'!B:B=C36))"),"xintong.wang@rutgers.edu")</f>
        <v>xintong.wang@rutgers.edu</v>
      </c>
      <c r="G36" s="210" t="str">
        <f>IFERROR(__xludf.DUMMYFUNCTION("CONCATENATE(""https://dl.acm.org/doi/"",INDEX(FILTER('Sheridan Main'!A:A,'Sheridan Main'!B:B=C36),1))"),"https://dl.acm.org/doi/10.1145/3774904.3792678")</f>
        <v>https://dl.acm.org/doi/10.1145/3774904.3792678</v>
      </c>
      <c r="H36" s="211" t="s">
        <v>2847</v>
      </c>
      <c r="I36" s="189" t="s">
        <v>2877</v>
      </c>
      <c r="J36" s="209"/>
      <c r="K36" s="147"/>
      <c r="L36" s="147"/>
      <c r="M36" s="209"/>
      <c r="N36" s="209"/>
      <c r="O36" s="209"/>
      <c r="P36" s="209"/>
      <c r="Q36" s="209"/>
      <c r="R36" s="209"/>
      <c r="S36" s="209"/>
      <c r="T36" s="209"/>
      <c r="U36" s="209"/>
      <c r="V36" s="209"/>
      <c r="W36" s="209"/>
      <c r="X36" s="209"/>
      <c r="Y36" s="209"/>
      <c r="Z36" s="209"/>
      <c r="AA36" s="209"/>
      <c r="AB36" s="209"/>
      <c r="AC36" s="209"/>
      <c r="AD36" s="209"/>
      <c r="AE36" s="209"/>
    </row>
    <row r="37">
      <c r="A37" s="208" t="s">
        <v>2873</v>
      </c>
      <c r="B37" s="189" t="str">
        <f>IFERROR(__xludf.DUMMYFUNCTION("FILTER ('Research Papers'!D:D,'Research Papers'!A:A=C37)"),"Stochastic Wage Suppression on Gig Platforms and How to Organize Against It")</f>
        <v>Stochastic Wage Suppression on Gig Platforms and How to Organize Against It</v>
      </c>
      <c r="C37" s="189" t="s">
        <v>1796</v>
      </c>
      <c r="D37" s="209" t="str">
        <f t="shared" si="1"/>
        <v>Stochastic Wage Suppression on Gig Platforms and How to Organize Against It
Ana-Andreea Stoica, Celestine Mendler-Duenner and Moritz
Hardt
</v>
      </c>
      <c r="E37" s="209" t="str">
        <f>IFERROR(__xludf.DUMMYFUNCTION("TEXTJOIN(CHAR(10), TRUE,FILTER('Research Papers'!$C:$C,'Research Papers'!$A:$A=C37))"),"Ana-Andreea Stoica, Celestine Mendler-Duenner and Moritz
Hardt")</f>
        <v>Ana-Andreea Stoica, Celestine Mendler-Duenner and Moritz
Hardt</v>
      </c>
      <c r="F37" s="209" t="str">
        <f>IFERROR(__xludf.DUMMYFUNCTION("TEXTJOIN(CHAR(10), TRUE,FILTER ('Sheridan Main'!E:E,'Sheridan Main'!B:B=C37))"),"ana-andreea.stoica@tuebingen.mpg.de")</f>
        <v>ana-andreea.stoica@tuebingen.mpg.de</v>
      </c>
      <c r="G37" s="210" t="str">
        <f>IFERROR(__xludf.DUMMYFUNCTION("CONCATENATE(""https://dl.acm.org/doi/"",INDEX(FILTER('Sheridan Main'!A:A,'Sheridan Main'!B:B=C37),1))"),"https://dl.acm.org/doi/10.1145/3774904.3792740")</f>
        <v>https://dl.acm.org/doi/10.1145/3774904.3792740</v>
      </c>
      <c r="H37" s="211" t="s">
        <v>2847</v>
      </c>
      <c r="I37" s="189" t="s">
        <v>2877</v>
      </c>
      <c r="J37" s="209"/>
      <c r="K37" s="147"/>
      <c r="L37" s="147"/>
      <c r="M37" s="209"/>
      <c r="N37" s="209"/>
      <c r="O37" s="209"/>
      <c r="P37" s="209"/>
      <c r="Q37" s="209"/>
      <c r="R37" s="209"/>
      <c r="S37" s="209"/>
      <c r="T37" s="209"/>
      <c r="U37" s="209"/>
      <c r="V37" s="209"/>
      <c r="W37" s="209"/>
      <c r="X37" s="209"/>
      <c r="Y37" s="209"/>
      <c r="Z37" s="209"/>
      <c r="AA37" s="209"/>
      <c r="AB37" s="209"/>
      <c r="AC37" s="209"/>
      <c r="AD37" s="209"/>
      <c r="AE37" s="209"/>
    </row>
    <row r="38">
      <c r="A38" s="208" t="s">
        <v>2879</v>
      </c>
      <c r="B38" s="189" t="str">
        <f>IFERROR(__xludf.DUMMYFUNCTION("FILTER ('Research Papers'!D:D,'Research Papers'!A:A=C38)"),"Topology-Aware Feature Sorting Enables Universal Modeling on Homophilic and Heterophilic Graphs")</f>
        <v>Topology-Aware Feature Sorting Enables Universal Modeling on Homophilic and Heterophilic Graphs</v>
      </c>
      <c r="C38" s="189" t="s">
        <v>498</v>
      </c>
      <c r="D38" s="209" t="str">
        <f t="shared" si="1"/>
        <v>Topology-Aware Feature Sorting Enables Universal Modeling on Homophilic and Heterophilic Graphs
Yi Wang, Jitao Zhao, Dongxiao He, Jia Li, Yuxiao Huang and
Zhiyong Feng
</v>
      </c>
      <c r="E38" s="209" t="str">
        <f>IFERROR(__xludf.DUMMYFUNCTION("TEXTJOIN(CHAR(10), TRUE,FILTER('Research Papers'!$C:$C,'Research Papers'!$A:$A=C38))"),"Yi Wang, Jitao Zhao, Dongxiao He, Jia Li, Yuxiao Huang and
Zhiyong Feng")</f>
        <v>Yi Wang, Jitao Zhao, Dongxiao He, Jia Li, Yuxiao Huang and
Zhiyong Feng</v>
      </c>
      <c r="F38" s="209" t="str">
        <f>IFERROR(__xludf.DUMMYFUNCTION("TEXTJOIN(CHAR(10), TRUE,FILTER ('Sheridan Main'!E:E,'Sheridan Main'!B:B=C38))"),"hedongxiao@tju.edu.cn")</f>
        <v>hedongxiao@tju.edu.cn</v>
      </c>
      <c r="G38" s="210" t="str">
        <f>IFERROR(__xludf.DUMMYFUNCTION("CONCATENATE(""https://dl.acm.org/doi/"",INDEX(FILTER('Sheridan Main'!A:A,'Sheridan Main'!B:B=C38),1))"),"https://dl.acm.org/doi/10.1145/3774904.3792091")</f>
        <v>https://dl.acm.org/doi/10.1145/3774904.3792091</v>
      </c>
      <c r="H38" s="189" t="s">
        <v>75</v>
      </c>
      <c r="I38" s="209"/>
      <c r="J38" s="209"/>
      <c r="K38" s="147"/>
      <c r="L38" s="147"/>
      <c r="M38" s="209"/>
      <c r="N38" s="209"/>
      <c r="O38" s="209"/>
      <c r="P38" s="209"/>
      <c r="Q38" s="209"/>
      <c r="R38" s="209"/>
      <c r="S38" s="209"/>
      <c r="T38" s="209"/>
      <c r="U38" s="209"/>
      <c r="V38" s="209"/>
      <c r="W38" s="209"/>
      <c r="X38" s="209"/>
      <c r="Y38" s="209"/>
      <c r="Z38" s="209"/>
      <c r="AA38" s="209"/>
      <c r="AB38" s="209"/>
      <c r="AC38" s="209"/>
      <c r="AD38" s="209"/>
      <c r="AE38" s="209"/>
    </row>
    <row r="39">
      <c r="A39" s="208" t="s">
        <v>2879</v>
      </c>
      <c r="B39" s="189" t="str">
        <f>IFERROR(__xludf.DUMMYFUNCTION("FILTER ('Research Papers'!D:D,'Research Papers'!A:A=C39)"),"A Graph Foundation Model for Unified Anomaly Detection")</f>
        <v>A Graph Foundation Model for Unified Anomaly Detection</v>
      </c>
      <c r="C39" s="189" t="s">
        <v>532</v>
      </c>
      <c r="D39" s="209" t="str">
        <f t="shared" si="1"/>
        <v>A Graph Foundation Model for Unified Anomaly Detection
Renda Han, Xiaobao Wang, Luzhi Wang, Wenxin Zhang,
Guangzhen Yao and Hongxiang Liang
</v>
      </c>
      <c r="E39" s="209" t="str">
        <f>IFERROR(__xludf.DUMMYFUNCTION("TEXTJOIN(CHAR(10), TRUE,FILTER('Research Papers'!$C:$C,'Research Papers'!$A:$A=C39))"),"Renda Han, Xiaobao Wang, Luzhi Wang, Wenxin Zhang,
Guangzhen Yao and Hongxiang Liang")</f>
        <v>Renda Han, Xiaobao Wang, Luzhi Wang, Wenxin Zhang,
Guangzhen Yao and Hongxiang Liang</v>
      </c>
      <c r="F39" s="209" t="str">
        <f>IFERROR(__xludf.DUMMYFUNCTION("TEXTJOIN(CHAR(10), TRUE,FILTER ('Sheridan Main'!E:E,'Sheridan Main'!B:B=C39))"),"rd.h@computer.org")</f>
        <v>rd.h@computer.org</v>
      </c>
      <c r="G39" s="210" t="str">
        <f>IFERROR(__xludf.DUMMYFUNCTION("CONCATENATE(""https://dl.acm.org/doi/"",INDEX(FILTER('Sheridan Main'!A:A,'Sheridan Main'!B:B=C39),1))"),"https://dl.acm.org/doi/10.1145/3774904.3792108")</f>
        <v>https://dl.acm.org/doi/10.1145/3774904.3792108</v>
      </c>
      <c r="H39" s="189" t="s">
        <v>75</v>
      </c>
      <c r="I39" s="209"/>
      <c r="J39" s="209"/>
      <c r="K39" s="147"/>
      <c r="L39" s="147"/>
      <c r="M39" s="209"/>
      <c r="N39" s="209"/>
      <c r="O39" s="209"/>
      <c r="P39" s="209"/>
      <c r="Q39" s="209"/>
      <c r="R39" s="209"/>
      <c r="S39" s="209"/>
      <c r="T39" s="209"/>
      <c r="U39" s="209"/>
      <c r="V39" s="209"/>
      <c r="W39" s="209"/>
      <c r="X39" s="209"/>
      <c r="Y39" s="209"/>
      <c r="Z39" s="209"/>
      <c r="AA39" s="209"/>
      <c r="AB39" s="209"/>
      <c r="AC39" s="209"/>
      <c r="AD39" s="209"/>
      <c r="AE39" s="209"/>
    </row>
    <row r="40">
      <c r="A40" s="208" t="s">
        <v>2879</v>
      </c>
      <c r="B40" s="189" t="str">
        <f>IFERROR(__xludf.DUMMYFUNCTION("FILTER ('Research Papers'!D:D,'Research Papers'!A:A=C40)"),"RAG-GFM: Overcoming In-Memory Bottlenecks in Graph Foundation Models via Retrieval-Augmented Generation")</f>
        <v>RAG-GFM: Overcoming In-Memory Bottlenecks in Graph Foundation Models via Retrieval-Augmented Generation</v>
      </c>
      <c r="C40" s="189" t="s">
        <v>594</v>
      </c>
      <c r="D40" s="209" t="str">
        <f t="shared" si="1"/>
        <v>RAG-GFM: Overcoming In-Memory Bottlenecks in Graph Foundation Models via Retrieval-Augmented Generation
Haonan Yuan, Qingyun Sun, Jiacheng Tao, Xingcheng Fu and
Jianxin Li
</v>
      </c>
      <c r="E40" s="209" t="str">
        <f>IFERROR(__xludf.DUMMYFUNCTION("TEXTJOIN(CHAR(10), TRUE,FILTER('Research Papers'!$C:$C,'Research Papers'!$A:$A=C40))"),"Haonan Yuan, Qingyun Sun, Jiacheng Tao, Xingcheng Fu and
Jianxin Li")</f>
        <v>Haonan Yuan, Qingyun Sun, Jiacheng Tao, Xingcheng Fu and
Jianxin Li</v>
      </c>
      <c r="F40" s="209" t="str">
        <f>IFERROR(__xludf.DUMMYFUNCTION("TEXTJOIN(CHAR(10), TRUE,FILTER ('Sheridan Main'!E:E,'Sheridan Main'!B:B=C40))"),"yuanhn@buaa.edu.cn")</f>
        <v>yuanhn@buaa.edu.cn</v>
      </c>
      <c r="G40" s="210" t="str">
        <f>IFERROR(__xludf.DUMMYFUNCTION("CONCATENATE(""https://dl.acm.org/doi/"",INDEX(FILTER('Sheridan Main'!A:A,'Sheridan Main'!B:B=C40),1))"),"https://dl.acm.org/doi/10.1145/3774904.3792139")</f>
        <v>https://dl.acm.org/doi/10.1145/3774904.3792139</v>
      </c>
      <c r="H40" s="189" t="s">
        <v>75</v>
      </c>
      <c r="I40" s="209"/>
      <c r="J40" s="209"/>
      <c r="K40" s="147"/>
      <c r="L40" s="147"/>
      <c r="M40" s="209"/>
      <c r="N40" s="209"/>
      <c r="O40" s="209"/>
      <c r="P40" s="209"/>
      <c r="Q40" s="209"/>
      <c r="R40" s="209"/>
      <c r="S40" s="209"/>
      <c r="T40" s="209"/>
      <c r="U40" s="209"/>
      <c r="V40" s="209"/>
      <c r="W40" s="209"/>
      <c r="X40" s="209"/>
      <c r="Y40" s="209"/>
      <c r="Z40" s="209"/>
      <c r="AA40" s="209"/>
      <c r="AB40" s="209"/>
      <c r="AC40" s="209"/>
      <c r="AD40" s="209"/>
      <c r="AE40" s="209"/>
    </row>
    <row r="41">
      <c r="A41" s="208" t="s">
        <v>2879</v>
      </c>
      <c r="B41" s="189" t="str">
        <f>IFERROR(__xludf.DUMMYFUNCTION("FILTER ('Research Papers'!D:D,'Research Papers'!A:A=C41)"),"Towards Graph Foundation Model: Node Feature Transfer Invariant Modeling on General Graphs")</f>
        <v>Towards Graph Foundation Model: Node Feature Transfer Invariant Modeling on General Graphs</v>
      </c>
      <c r="C41" s="189" t="s">
        <v>788</v>
      </c>
      <c r="D41" s="209" t="str">
        <f t="shared" si="1"/>
        <v>Towards Graph Foundation Model: Node Feature Transfer Invariant Modeling on General Graphs
Jitao Zhao, Yi Wang, Yawen Li, Dongxiao He, Di Jin, Zhiyong
Feng and Weixiong Zhang
</v>
      </c>
      <c r="E41" s="209" t="str">
        <f>IFERROR(__xludf.DUMMYFUNCTION("TEXTJOIN(CHAR(10), TRUE,FILTER('Research Papers'!$C:$C,'Research Papers'!$A:$A=C41))"),"Jitao Zhao, Yi Wang, Yawen Li, Dongxiao He, Di Jin, Zhiyong
Feng and Weixiong Zhang")</f>
        <v>Jitao Zhao, Yi Wang, Yawen Li, Dongxiao He, Di Jin, Zhiyong
Feng and Weixiong Zhang</v>
      </c>
      <c r="F41" s="209" t="str">
        <f>IFERROR(__xludf.DUMMYFUNCTION("TEXTJOIN(CHAR(10), TRUE,FILTER ('Sheridan Main'!E:E,'Sheridan Main'!B:B=C41))"),"hedongxiao@tju.edu.cn")</f>
        <v>hedongxiao@tju.edu.cn</v>
      </c>
      <c r="G41" s="210" t="str">
        <f>IFERROR(__xludf.DUMMYFUNCTION("CONCATENATE(""https://dl.acm.org/doi/"",INDEX(FILTER('Sheridan Main'!A:A,'Sheridan Main'!B:B=C41),1))"),"https://dl.acm.org/doi/10.1145/3774904.3792236")</f>
        <v>https://dl.acm.org/doi/10.1145/3774904.3792236</v>
      </c>
      <c r="H41" s="189" t="s">
        <v>75</v>
      </c>
      <c r="I41" s="209"/>
      <c r="J41" s="209"/>
      <c r="K41" s="147"/>
      <c r="L41" s="147"/>
      <c r="M41" s="209"/>
      <c r="N41" s="209"/>
      <c r="O41" s="209"/>
      <c r="P41" s="209"/>
      <c r="Q41" s="209"/>
      <c r="R41" s="209"/>
      <c r="S41" s="209"/>
      <c r="T41" s="209"/>
      <c r="U41" s="209"/>
      <c r="V41" s="209"/>
      <c r="W41" s="209"/>
      <c r="X41" s="209"/>
      <c r="Y41" s="209"/>
      <c r="Z41" s="209"/>
      <c r="AA41" s="209"/>
      <c r="AB41" s="209"/>
      <c r="AC41" s="209"/>
      <c r="AD41" s="209"/>
      <c r="AE41" s="209"/>
    </row>
    <row r="42">
      <c r="A42" s="208" t="s">
        <v>2879</v>
      </c>
      <c r="B42" s="189" t="str">
        <f>IFERROR(__xludf.DUMMYFUNCTION("FILTER ('Research Papers'!D:D,'Research Papers'!A:A=C42)"),"GraphRAG-R1: Graph Retrieval-Augmented Generation with Process-Constrained Reinforcement Learning")</f>
        <v>GraphRAG-R1: Graph Retrieval-Augmented Generation with Process-Constrained Reinforcement Learning</v>
      </c>
      <c r="C42" s="189" t="s">
        <v>1494</v>
      </c>
      <c r="D42" s="209" t="str">
        <f t="shared" si="1"/>
        <v>GraphRAG-R1: Graph Retrieval-Augmented Generation with Process-Constrained Reinforcement Learning
Chuanyue Yu, Kuo Zhao, Yuhan Li, Heng Chang, Mingjian Feng,
Xiangzhe Jiang, Yufei Sun, Jia Li, Yuzhi Zhang, Qingyun
Sun, Jianxin Li and Ziwei Zhang
</v>
      </c>
      <c r="E42" s="209" t="str">
        <f>IFERROR(__xludf.DUMMYFUNCTION("TEXTJOIN(CHAR(10), TRUE,FILTER('Research Papers'!$C:$C,'Research Papers'!$A:$A=C42))"),"Chuanyue Yu, Kuo Zhao, Yuhan Li, Heng Chang, Mingjian Feng,
Xiangzhe Jiang, Yufei Sun, Jia Li, Yuzhi Zhang, Qingyun
Sun, Jianxin Li and Ziwei Zhang")</f>
        <v>Chuanyue Yu, Kuo Zhao, Yuhan Li, Heng Chang, Mingjian Feng,
Xiangzhe Jiang, Yufei Sun, Jia Li, Yuzhi Zhang, Qingyun
Sun, Jianxin Li and Ziwei Zhang</v>
      </c>
      <c r="F42" s="209" t="str">
        <f>IFERROR(__xludf.DUMMYFUNCTION("TEXTJOIN(CHAR(10), TRUE,FILTER ('Sheridan Main'!E:E,'Sheridan Main'!B:B=C42))"),"zwzhang@buaa.edu.cn")</f>
        <v>zwzhang@buaa.edu.cn</v>
      </c>
      <c r="G42" s="210" t="str">
        <f>IFERROR(__xludf.DUMMYFUNCTION("CONCATENATE(""https://dl.acm.org/doi/"",INDEX(FILTER('Sheridan Main'!A:A,'Sheridan Main'!B:B=C42),1))"),"https://dl.acm.org/doi/10.1145/3774904.3792589")</f>
        <v>https://dl.acm.org/doi/10.1145/3774904.3792589</v>
      </c>
      <c r="H42" s="189" t="s">
        <v>75</v>
      </c>
      <c r="I42" s="209"/>
      <c r="J42" s="209"/>
      <c r="K42" s="147"/>
      <c r="L42" s="147"/>
      <c r="M42" s="209"/>
      <c r="N42" s="209"/>
      <c r="O42" s="209"/>
      <c r="P42" s="209"/>
      <c r="Q42" s="209"/>
      <c r="R42" s="209"/>
      <c r="S42" s="209"/>
      <c r="T42" s="209"/>
      <c r="U42" s="209"/>
      <c r="V42" s="209"/>
      <c r="W42" s="209"/>
      <c r="X42" s="209"/>
      <c r="Y42" s="209"/>
      <c r="Z42" s="209"/>
      <c r="AA42" s="209"/>
      <c r="AB42" s="209"/>
      <c r="AC42" s="209"/>
      <c r="AD42" s="209"/>
      <c r="AE42" s="209"/>
    </row>
    <row r="43">
      <c r="A43" s="208" t="s">
        <v>2879</v>
      </c>
      <c r="B43" s="189" t="str">
        <f>IFERROR(__xludf.DUMMYFUNCTION("FILTER ('Research Papers'!D:D,'Research Papers'!A:A=C43)"),"Multi-Source Information Driven Spatio-Temporal Hypergraph Learning for Traffic Forecasting")</f>
        <v>Multi-Source Information Driven Spatio-Temporal Hypergraph Learning for Traffic Forecasting</v>
      </c>
      <c r="C43" s="189" t="s">
        <v>554</v>
      </c>
      <c r="D43" s="209" t="str">
        <f t="shared" si="1"/>
        <v>Multi-Source Information Driven Spatio-Temporal Hypergraph Learning for Traffic Forecasting
Ping Zhang, Jiayu Leng, Liang Yang, Anchen Li, Xiaochun Cao
and Riting Xia
</v>
      </c>
      <c r="E43" s="209" t="str">
        <f>IFERROR(__xludf.DUMMYFUNCTION("TEXTJOIN(CHAR(10), TRUE,FILTER('Research Papers'!$C:$C,'Research Papers'!$A:$A=C43))"),"Ping Zhang, Jiayu Leng, Liang Yang, Anchen Li, Xiaochun Cao
and Riting Xia")</f>
        <v>Ping Zhang, Jiayu Leng, Liang Yang, Anchen Li, Xiaochun Cao
and Riting Xia</v>
      </c>
      <c r="F43" s="209" t="str">
        <f>IFERROR(__xludf.DUMMYFUNCTION("TEXTJOIN(CHAR(10), TRUE,FILTER ('Sheridan Main'!E:E,'Sheridan Main'!B:B=C43))"),"xiart@imu.edu.cn")</f>
        <v>xiart@imu.edu.cn</v>
      </c>
      <c r="G43" s="210" t="str">
        <f>IFERROR(__xludf.DUMMYFUNCTION("CONCATENATE(""https://dl.acm.org/doi/"",INDEX(FILTER('Sheridan Main'!A:A,'Sheridan Main'!B:B=C43),1))"),"https://dl.acm.org/doi/10.1145/3774904.3792119")</f>
        <v>https://dl.acm.org/doi/10.1145/3774904.3792119</v>
      </c>
      <c r="H43" s="189" t="s">
        <v>155</v>
      </c>
      <c r="I43" s="209"/>
      <c r="J43" s="209"/>
      <c r="K43" s="147"/>
      <c r="L43" s="147"/>
      <c r="M43" s="209"/>
      <c r="N43" s="209"/>
      <c r="O43" s="209"/>
      <c r="P43" s="209"/>
      <c r="Q43" s="209"/>
      <c r="R43" s="209"/>
      <c r="S43" s="209"/>
      <c r="T43" s="209"/>
      <c r="U43" s="209"/>
      <c r="V43" s="209"/>
      <c r="W43" s="209"/>
      <c r="X43" s="209"/>
      <c r="Y43" s="209"/>
      <c r="Z43" s="209"/>
      <c r="AA43" s="209"/>
      <c r="AB43" s="209"/>
      <c r="AC43" s="209"/>
      <c r="AD43" s="209"/>
      <c r="AE43" s="209"/>
    </row>
    <row r="44">
      <c r="A44" s="208" t="s">
        <v>2879</v>
      </c>
      <c r="B44" s="189" t="str">
        <f>IFERROR(__xludf.DUMMYFUNCTION("FILTER ('Research Papers'!D:D,'Research Papers'!A:A=C44)"),"SGExplainer: Balanced Path-based Signed Graph Neural Network Explanation for Link Sign Prediction")</f>
        <v>SGExplainer: Balanced Path-based Signed Graph Neural Network Explanation for Link Sign Prediction</v>
      </c>
      <c r="C44" s="189" t="s">
        <v>608</v>
      </c>
      <c r="D44" s="209" t="str">
        <f t="shared" si="1"/>
        <v>SGExplainer: Balanced Path-based Signed Graph Neural Network Explanation for Link Sign Prediction
Jie Gao, Jia Hu, Geyong Min and Fei Hao
</v>
      </c>
      <c r="E44" s="209" t="str">
        <f>IFERROR(__xludf.DUMMYFUNCTION("TEXTJOIN(CHAR(10), TRUE,FILTER('Research Papers'!$C:$C,'Research Papers'!$A:$A=C44))"),"Jie Gao, Jia Hu, Geyong Min and Fei Hao")</f>
        <v>Jie Gao, Jia Hu, Geyong Min and Fei Hao</v>
      </c>
      <c r="F44" s="209" t="str">
        <f>IFERROR(__xludf.DUMMYFUNCTION("TEXTJOIN(CHAR(10), TRUE,FILTER ('Sheridan Main'!E:E,'Sheridan Main'!B:B=C44))"),"j.hu@exeter.ac.uk")</f>
        <v>j.hu@exeter.ac.uk</v>
      </c>
      <c r="G44" s="210" t="str">
        <f>IFERROR(__xludf.DUMMYFUNCTION("CONCATENATE(""https://dl.acm.org/doi/"",INDEX(FILTER('Sheridan Main'!A:A,'Sheridan Main'!B:B=C44),1))"),"https://dl.acm.org/doi/10.1145/3774904.3792146")</f>
        <v>https://dl.acm.org/doi/10.1145/3774904.3792146</v>
      </c>
      <c r="H44" s="189" t="s">
        <v>155</v>
      </c>
      <c r="I44" s="209"/>
      <c r="J44" s="209"/>
      <c r="K44" s="147"/>
      <c r="L44" s="147"/>
      <c r="M44" s="209"/>
      <c r="N44" s="209"/>
      <c r="O44" s="209"/>
      <c r="P44" s="209"/>
      <c r="Q44" s="209"/>
      <c r="R44" s="209"/>
      <c r="S44" s="209"/>
      <c r="T44" s="209"/>
      <c r="U44" s="209"/>
      <c r="V44" s="209"/>
      <c r="W44" s="209"/>
      <c r="X44" s="209"/>
      <c r="Y44" s="209"/>
      <c r="Z44" s="209"/>
      <c r="AA44" s="209"/>
      <c r="AB44" s="209"/>
      <c r="AC44" s="209"/>
      <c r="AD44" s="209"/>
      <c r="AE44" s="209"/>
    </row>
    <row r="45">
      <c r="A45" s="208" t="s">
        <v>2879</v>
      </c>
      <c r="B45" s="189" t="str">
        <f>IFERROR(__xludf.DUMMYFUNCTION("FILTER ('Research Papers'!D:D,'Research Papers'!A:A=C45)"),"Dir-GD: Directed Graph Distillation")</f>
        <v>Dir-GD: Directed Graph Distillation</v>
      </c>
      <c r="C45" s="189" t="s">
        <v>640</v>
      </c>
      <c r="D45" s="209" t="str">
        <f t="shared" si="1"/>
        <v>Dir-GD: Directed Graph Distillation
Ce Yang, Fei Hao, Jie Gao, Jianrui Chen, Jia Hu and Geyong
Min
</v>
      </c>
      <c r="E45" s="209" t="str">
        <f>IFERROR(__xludf.DUMMYFUNCTION("TEXTJOIN(CHAR(10), TRUE,FILTER('Research Papers'!$C:$C,'Research Papers'!$A:$A=C45))"),"Ce Yang, Fei Hao, Jie Gao, Jianrui Chen, Jia Hu and Geyong
Min")</f>
        <v>Ce Yang, Fei Hao, Jie Gao, Jianrui Chen, Jia Hu and Geyong
Min</v>
      </c>
      <c r="F45" s="209" t="str">
        <f>IFERROR(__xludf.DUMMYFUNCTION("TEXTJOIN(CHAR(10), TRUE,FILTER ('Sheridan Main'!E:E,'Sheridan Main'!B:B=C45))"),"fhao@snnu.edu.cn")</f>
        <v>fhao@snnu.edu.cn</v>
      </c>
      <c r="G45" s="210" t="str">
        <f>IFERROR(__xludf.DUMMYFUNCTION("CONCATENATE(""https://dl.acm.org/doi/"",INDEX(FILTER('Sheridan Main'!A:A,'Sheridan Main'!B:B=C45),1))"),"https://dl.acm.org/doi/10.1145/3774904.3792162")</f>
        <v>https://dl.acm.org/doi/10.1145/3774904.3792162</v>
      </c>
      <c r="H45" s="189" t="s">
        <v>155</v>
      </c>
      <c r="I45" s="209"/>
      <c r="J45" s="209"/>
      <c r="K45" s="147"/>
      <c r="L45" s="147"/>
      <c r="M45" s="209"/>
      <c r="N45" s="209"/>
      <c r="O45" s="209"/>
      <c r="P45" s="209"/>
      <c r="Q45" s="209"/>
      <c r="R45" s="209"/>
      <c r="S45" s="209"/>
      <c r="T45" s="209"/>
      <c r="U45" s="209"/>
      <c r="V45" s="209"/>
      <c r="W45" s="209"/>
      <c r="X45" s="209"/>
      <c r="Y45" s="209"/>
      <c r="Z45" s="209"/>
      <c r="AA45" s="209"/>
      <c r="AB45" s="209"/>
      <c r="AC45" s="209"/>
      <c r="AD45" s="209"/>
      <c r="AE45" s="209"/>
    </row>
    <row r="46">
      <c r="A46" s="208" t="s">
        <v>2879</v>
      </c>
      <c r="B46" s="189" t="str">
        <f>IFERROR(__xludf.DUMMYFUNCTION("FILTER ('Research Papers'!D:D,'Research Papers'!A:A=C46)"),"STG-DGR: Fraud Detection on Streaming Transaction Graphs with Diffusion-based Generative Replay")</f>
        <v>STG-DGR: Fraud Detection on Streaming Transaction Graphs with Diffusion-based Generative Replay</v>
      </c>
      <c r="C46" s="189" t="s">
        <v>706</v>
      </c>
      <c r="D46" s="209" t="str">
        <f t="shared" si="1"/>
        <v>STG-DGR: Fraud Detection on Streaming Transaction Graphs with Diffusion-based Generative Replay
Rui Ou, Kun Zhu, Nana Zhang, Jiangtong Li, Chaochao Chen
and Changjun Jiang
</v>
      </c>
      <c r="E46" s="209" t="str">
        <f>IFERROR(__xludf.DUMMYFUNCTION("TEXTJOIN(CHAR(10), TRUE,FILTER('Research Papers'!$C:$C,'Research Papers'!$A:$A=C46))"),"Rui Ou, Kun Zhu, Nana Zhang, Jiangtong Li, Chaochao Chen
and Changjun Jiang")</f>
        <v>Rui Ou, Kun Zhu, Nana Zhang, Jiangtong Li, Chaochao Chen
and Changjun Jiang</v>
      </c>
      <c r="F46" s="209" t="str">
        <f>IFERROR(__xludf.DUMMYFUNCTION("TEXTJOIN(CHAR(10), TRUE,FILTER ('Sheridan Main'!E:E,'Sheridan Main'!B:B=C46))"),"kzhu00@tongji.edu.cn")</f>
        <v>kzhu00@tongji.edu.cn</v>
      </c>
      <c r="G46" s="210" t="str">
        <f>IFERROR(__xludf.DUMMYFUNCTION("CONCATENATE(""https://dl.acm.org/doi/"",INDEX(FILTER('Sheridan Main'!A:A,'Sheridan Main'!B:B=C46),1))"),"https://dl.acm.org/doi/10.1145/3774904.3792195")</f>
        <v>https://dl.acm.org/doi/10.1145/3774904.3792195</v>
      </c>
      <c r="H46" s="189" t="s">
        <v>155</v>
      </c>
      <c r="I46" s="209"/>
      <c r="J46" s="209"/>
      <c r="K46" s="147"/>
      <c r="L46" s="147"/>
      <c r="M46" s="209"/>
      <c r="N46" s="209"/>
      <c r="O46" s="209"/>
      <c r="P46" s="209"/>
      <c r="Q46" s="209"/>
      <c r="R46" s="209"/>
      <c r="S46" s="209"/>
      <c r="T46" s="209"/>
      <c r="U46" s="209"/>
      <c r="V46" s="209"/>
      <c r="W46" s="209"/>
      <c r="X46" s="209"/>
      <c r="Y46" s="209"/>
      <c r="Z46" s="209"/>
      <c r="AA46" s="209"/>
      <c r="AB46" s="209"/>
      <c r="AC46" s="209"/>
      <c r="AD46" s="209"/>
      <c r="AE46" s="209"/>
    </row>
    <row r="47">
      <c r="A47" s="208" t="s">
        <v>2879</v>
      </c>
      <c r="B47" s="189" t="str">
        <f>IFERROR(__xludf.DUMMYFUNCTION("FILTER ('Research Papers'!D:D,'Research Papers'!A:A=C47)"),"Controllable Graph Generation with Diffusion Models via Inference-Time Tree Search Guidance")</f>
        <v>Controllable Graph Generation with Diffusion Models via Inference-Time Tree Search Guidance</v>
      </c>
      <c r="C47" s="189" t="s">
        <v>1294</v>
      </c>
      <c r="D47" s="209" t="str">
        <f t="shared" si="1"/>
        <v>Controllable Graph Generation with Diffusion Models via Inference-Time Tree Search Guidance
Jiachi Zhao, Zehong Wang, Yamei Liao, Chuxu Zhang and
Yanfang Ye
</v>
      </c>
      <c r="E47" s="209" t="str">
        <f>IFERROR(__xludf.DUMMYFUNCTION("TEXTJOIN(CHAR(10), TRUE,FILTER('Research Papers'!$C:$C,'Research Papers'!$A:$A=C47))"),"Jiachi Zhao, Zehong Wang, Yamei Liao, Chuxu Zhang and
Yanfang Ye")</f>
        <v>Jiachi Zhao, Zehong Wang, Yamei Liao, Chuxu Zhang and
Yanfang Ye</v>
      </c>
      <c r="F47" s="209" t="str">
        <f>IFERROR(__xludf.DUMMYFUNCTION("TEXTJOIN(CHAR(10), TRUE,FILTER ('Sheridan Main'!E:E,'Sheridan Main'!B:B=C47))"),"yye7@nd.edu")</f>
        <v>yye7@nd.edu</v>
      </c>
      <c r="G47" s="210" t="str">
        <f>IFERROR(__xludf.DUMMYFUNCTION("CONCATENATE(""https://dl.acm.org/doi/"",INDEX(FILTER('Sheridan Main'!A:A,'Sheridan Main'!B:B=C47),1))"),"https://dl.acm.org/doi/10.1145/3774904.3792489")</f>
        <v>https://dl.acm.org/doi/10.1145/3774904.3792489</v>
      </c>
      <c r="H47" s="189" t="s">
        <v>155</v>
      </c>
      <c r="I47" s="209"/>
      <c r="J47" s="209"/>
      <c r="K47" s="147"/>
      <c r="L47" s="147"/>
      <c r="M47" s="209"/>
      <c r="N47" s="209"/>
      <c r="O47" s="209"/>
      <c r="P47" s="209"/>
      <c r="Q47" s="209"/>
      <c r="R47" s="209"/>
      <c r="S47" s="209"/>
      <c r="T47" s="209"/>
      <c r="U47" s="209"/>
      <c r="V47" s="209"/>
      <c r="W47" s="209"/>
      <c r="X47" s="209"/>
      <c r="Y47" s="209"/>
      <c r="Z47" s="209"/>
      <c r="AA47" s="209"/>
      <c r="AB47" s="209"/>
      <c r="AC47" s="209"/>
      <c r="AD47" s="209"/>
      <c r="AE47" s="209"/>
    </row>
    <row r="48">
      <c r="A48" s="208" t="s">
        <v>2879</v>
      </c>
      <c r="B48" s="189" t="str">
        <f>IFERROR(__xludf.DUMMYFUNCTION("FILTER ('Research Papers'!D:D,'Research Papers'!A:A=C48)"),"Unveiling Backdoor Propagation in Graphs: Neuron-Centric Defense Mechanisms")</f>
        <v>Unveiling Backdoor Propagation in Graphs: Neuron-Centric Defense Mechanisms</v>
      </c>
      <c r="C48" s="189" t="s">
        <v>1122</v>
      </c>
      <c r="D48" s="209" t="str">
        <f t="shared" si="1"/>
        <v>Unveiling Backdoor Propagation in Graphs: Neuron-Centric Defense Mechanisms
Di Jin, Bingdao Feng, Xiaobao Wang, Yuxiang Zhang, Zechuan
Zhang, Liang Yang, Dongxiao He and Zhen Wang
</v>
      </c>
      <c r="E48" s="209" t="str">
        <f>IFERROR(__xludf.DUMMYFUNCTION("TEXTJOIN(CHAR(10), TRUE,FILTER('Research Papers'!$C:$C,'Research Papers'!$A:$A=C48))"),"Di Jin, Bingdao Feng, Xiaobao Wang, Yuxiang Zhang, Zechuan
Zhang, Liang Yang, Dongxiao He and Zhen Wang")</f>
        <v>Di Jin, Bingdao Feng, Xiaobao Wang, Yuxiang Zhang, Zechuan
Zhang, Liang Yang, Dongxiao He and Zhen Wang</v>
      </c>
      <c r="F48" s="209" t="str">
        <f>IFERROR(__xludf.DUMMYFUNCTION("TEXTJOIN(CHAR(10), TRUE,FILTER ('Sheridan Main'!E:E,'Sheridan Main'!B:B=C48))"),"wangxiaobao@tju.edu.cn")</f>
        <v>wangxiaobao@tju.edu.cn</v>
      </c>
      <c r="G48" s="210" t="str">
        <f>IFERROR(__xludf.DUMMYFUNCTION("CONCATENATE(""https://dl.acm.org/doi/"",INDEX(FILTER('Sheridan Main'!A:A,'Sheridan Main'!B:B=C48),1))"),"https://dl.acm.org/doi/10.1145/3774904.3792403")</f>
        <v>https://dl.acm.org/doi/10.1145/3774904.3792403</v>
      </c>
      <c r="H48" s="189" t="s">
        <v>98</v>
      </c>
      <c r="I48" s="209"/>
      <c r="J48" s="209"/>
      <c r="K48" s="147"/>
      <c r="L48" s="147"/>
      <c r="M48" s="209"/>
      <c r="N48" s="209"/>
      <c r="O48" s="209"/>
      <c r="P48" s="209"/>
      <c r="Q48" s="209"/>
      <c r="R48" s="209"/>
      <c r="S48" s="209"/>
      <c r="T48" s="209"/>
      <c r="U48" s="209"/>
      <c r="V48" s="209"/>
      <c r="W48" s="209"/>
      <c r="X48" s="209"/>
      <c r="Y48" s="209"/>
      <c r="Z48" s="209"/>
      <c r="AA48" s="209"/>
      <c r="AB48" s="209"/>
      <c r="AC48" s="209"/>
      <c r="AD48" s="209"/>
      <c r="AE48" s="209"/>
    </row>
    <row r="49">
      <c r="A49" s="208" t="s">
        <v>2879</v>
      </c>
      <c r="B49" s="189" t="str">
        <f>IFERROR(__xludf.DUMMYFUNCTION("FILTER ('Research Papers'!D:D,'Research Papers'!A:A=C49)"),"Identification of Influential Node Group in Attributed Graph through Explaining Graph Neural Network")</f>
        <v>Identification of Influential Node Group in Attributed Graph through Explaining Graph Neural Network</v>
      </c>
      <c r="C49" s="189" t="s">
        <v>1258</v>
      </c>
      <c r="D49" s="209" t="str">
        <f t="shared" si="1"/>
        <v>Identification of Influential Node Group in Attributed Graph through Explaining Graph Neural Network
Xiao Tan, Tongtong Su, Jiayi Wu, Yan Zhang, Binghui Xu,
Dian Shen, Meng Wang and Beilun Wang
</v>
      </c>
      <c r="E49" s="209" t="str">
        <f>IFERROR(__xludf.DUMMYFUNCTION("TEXTJOIN(CHAR(10), TRUE,FILTER('Research Papers'!$C:$C,'Research Papers'!$A:$A=C49))"),"Xiao Tan, Tongtong Su, Jiayi Wu, Yan Zhang, Binghui Xu,
Dian Shen, Meng Wang and Beilun Wang")</f>
        <v>Xiao Tan, Tongtong Su, Jiayi Wu, Yan Zhang, Binghui Xu,
Dian Shen, Meng Wang and Beilun Wang</v>
      </c>
      <c r="F49" s="209" t="str">
        <f>IFERROR(__xludf.DUMMYFUNCTION("TEXTJOIN(CHAR(10), TRUE,FILTER ('Sheridan Main'!E:E,'Sheridan Main'!B:B=C49))"),"beilun@seu.edu.cn")</f>
        <v>beilun@seu.edu.cn</v>
      </c>
      <c r="G49" s="210" t="str">
        <f>IFERROR(__xludf.DUMMYFUNCTION("CONCATENATE(""https://dl.acm.org/doi/"",INDEX(FILTER('Sheridan Main'!A:A,'Sheridan Main'!B:B=C49),1))"),"https://dl.acm.org/doi/10.1145/3774904.3792471")</f>
        <v>https://dl.acm.org/doi/10.1145/3774904.3792471</v>
      </c>
      <c r="H49" s="189" t="s">
        <v>98</v>
      </c>
      <c r="I49" s="209"/>
      <c r="J49" s="209"/>
      <c r="K49" s="147"/>
      <c r="L49" s="147"/>
      <c r="M49" s="209"/>
      <c r="N49" s="209"/>
      <c r="O49" s="209"/>
      <c r="P49" s="209"/>
      <c r="Q49" s="209"/>
      <c r="R49" s="209"/>
      <c r="S49" s="209"/>
      <c r="T49" s="209"/>
      <c r="U49" s="209"/>
      <c r="V49" s="209"/>
      <c r="W49" s="209"/>
      <c r="X49" s="209"/>
      <c r="Y49" s="209"/>
      <c r="Z49" s="209"/>
      <c r="AA49" s="209"/>
      <c r="AB49" s="209"/>
      <c r="AC49" s="209"/>
      <c r="AD49" s="209"/>
      <c r="AE49" s="209"/>
    </row>
    <row r="50">
      <c r="A50" s="208" t="s">
        <v>2879</v>
      </c>
      <c r="B50" s="189" t="str">
        <f>IFERROR(__xludf.DUMMYFUNCTION("FILTER ('Research Papers'!D:D,'Research Papers'!A:A=C50)"),"Can LLMs Fool Graph Learning? Exploring Universal Adversarial Attacks on Text-Attributed Graphs")</f>
        <v>Can LLMs Fool Graph Learning? Exploring Universal Adversarial Attacks on Text-Attributed Graphs</v>
      </c>
      <c r="C50" s="189" t="s">
        <v>1320</v>
      </c>
      <c r="D50" s="209" t="str">
        <f t="shared" si="1"/>
        <v>Can LLMs Fool Graph Learning? Exploring Universal Adversarial Attacks on Text-Attributed Graphs
Zihui Chen, Yuling Wang, Pengfei Jiao, Kai Wu, Xiao Wang,
Xiang Ao and Dalin Zhang
</v>
      </c>
      <c r="E50" s="209" t="str">
        <f>IFERROR(__xludf.DUMMYFUNCTION("TEXTJOIN(CHAR(10), TRUE,FILTER('Research Papers'!$C:$C,'Research Papers'!$A:$A=C50))"),"Zihui Chen, Yuling Wang, Pengfei Jiao, Kai Wu, Xiao Wang,
Xiang Ao and Dalin Zhang")</f>
        <v>Zihui Chen, Yuling Wang, Pengfei Jiao, Kai Wu, Xiao Wang,
Xiang Ao and Dalin Zhang</v>
      </c>
      <c r="F50" s="209" t="str">
        <f>IFERROR(__xludf.DUMMYFUNCTION("TEXTJOIN(CHAR(10), TRUE,FILTER ('Sheridan Main'!E:E,'Sheridan Main'!B:B=C50))"),"wangyl0612@hdu.edu.cn")</f>
        <v>wangyl0612@hdu.edu.cn</v>
      </c>
      <c r="G50" s="210" t="str">
        <f>IFERROR(__xludf.DUMMYFUNCTION("CONCATENATE(""https://dl.acm.org/doi/"",INDEX(FILTER('Sheridan Main'!A:A,'Sheridan Main'!B:B=C50),1))"),"https://dl.acm.org/doi/10.1145/3774904.3792502")</f>
        <v>https://dl.acm.org/doi/10.1145/3774904.3792502</v>
      </c>
      <c r="H50" s="189" t="s">
        <v>98</v>
      </c>
      <c r="I50" s="209"/>
      <c r="J50" s="209"/>
      <c r="K50" s="147"/>
      <c r="L50" s="147"/>
      <c r="M50" s="209"/>
      <c r="N50" s="209"/>
      <c r="O50" s="209"/>
      <c r="P50" s="209"/>
      <c r="Q50" s="209"/>
      <c r="R50" s="209"/>
      <c r="S50" s="209"/>
      <c r="T50" s="209"/>
      <c r="U50" s="209"/>
      <c r="V50" s="209"/>
      <c r="W50" s="209"/>
      <c r="X50" s="209"/>
      <c r="Y50" s="209"/>
      <c r="Z50" s="209"/>
      <c r="AA50" s="209"/>
      <c r="AB50" s="209"/>
      <c r="AC50" s="209"/>
      <c r="AD50" s="209"/>
      <c r="AE50" s="209"/>
    </row>
    <row r="51">
      <c r="A51" s="208" t="s">
        <v>2879</v>
      </c>
      <c r="B51" s="189" t="str">
        <f>IFERROR(__xludf.DUMMYFUNCTION("FILTER ('Research Papers'!D:D,'Research Papers'!A:A=C51)"),"A^2GBD: Attack-Agnostic Graph Backdoor Defense")</f>
        <v>A^2GBD: Attack-Agnostic Graph Backdoor Defense</v>
      </c>
      <c r="C51" s="189" t="s">
        <v>1330</v>
      </c>
      <c r="D51" s="209" t="str">
        <f t="shared" si="1"/>
        <v>A^2GBD: Attack-Agnostic Graph Backdoor Defense
Chenxu Du, Yang Liu, Xingtong Yu, Zhuoer Xu, Yang Liu and
Tianrui Li
</v>
      </c>
      <c r="E51" s="209" t="str">
        <f>IFERROR(__xludf.DUMMYFUNCTION("TEXTJOIN(CHAR(10), TRUE,FILTER('Research Papers'!$C:$C,'Research Papers'!$A:$A=C51))"),"Chenxu Du, Yang Liu, Xingtong Yu, Zhuoer Xu, Yang Liu and
Tianrui Li")</f>
        <v>Chenxu Du, Yang Liu, Xingtong Yu, Zhuoer Xu, Yang Liu and
Tianrui Li</v>
      </c>
      <c r="F51" s="209" t="str">
        <f>IFERROR(__xludf.DUMMYFUNCTION("TEXTJOIN(CHAR(10), TRUE,FILTER ('Sheridan Main'!E:E,'Sheridan Main'!B:B=C51))"),"liuyang2023@ict.ac.cn")</f>
        <v>liuyang2023@ict.ac.cn</v>
      </c>
      <c r="G51" s="210" t="str">
        <f>IFERROR(__xludf.DUMMYFUNCTION("CONCATENATE(""https://dl.acm.org/doi/"",INDEX(FILTER('Sheridan Main'!A:A,'Sheridan Main'!B:B=C51),1))"),"https://dl.acm.org/doi/10.1145/3774904.3792507")</f>
        <v>https://dl.acm.org/doi/10.1145/3774904.3792507</v>
      </c>
      <c r="H51" s="189" t="s">
        <v>98</v>
      </c>
      <c r="I51" s="209"/>
      <c r="J51" s="209"/>
      <c r="K51" s="147"/>
      <c r="L51" s="147"/>
      <c r="M51" s="209"/>
      <c r="N51" s="209"/>
      <c r="O51" s="209"/>
      <c r="P51" s="209"/>
      <c r="Q51" s="209"/>
      <c r="R51" s="209"/>
      <c r="S51" s="209"/>
      <c r="T51" s="209"/>
      <c r="U51" s="209"/>
      <c r="V51" s="209"/>
      <c r="W51" s="209"/>
      <c r="X51" s="209"/>
      <c r="Y51" s="209"/>
      <c r="Z51" s="209"/>
      <c r="AA51" s="209"/>
      <c r="AB51" s="209"/>
      <c r="AC51" s="209"/>
      <c r="AD51" s="209"/>
      <c r="AE51" s="209"/>
    </row>
    <row r="52">
      <c r="A52" s="208" t="s">
        <v>2879</v>
      </c>
      <c r="B52" s="189" t="str">
        <f>IFERROR(__xludf.DUMMYFUNCTION("FILTER ('Research Papers'!D:D,'Research Papers'!A:A=C52)"),"Towards Robust Heterogeneous Graph Explanations under Structural Perturbations")</f>
        <v>Towards Robust Heterogeneous Graph Explanations under Structural Perturbations</v>
      </c>
      <c r="C52" s="189" t="s">
        <v>1348</v>
      </c>
      <c r="D52" s="209" t="str">
        <f t="shared" si="1"/>
        <v>Towards Robust Heterogeneous Graph Explanations under Structural Perturbations
Yifan Lu, Pengfei Jiao, Xuan Guo, Ziyun Zou, Yiwei Wang,
Mengzhou Gao, Huaming Wu and Imran Razzak
</v>
      </c>
      <c r="E52" s="209" t="str">
        <f>IFERROR(__xludf.DUMMYFUNCTION("TEXTJOIN(CHAR(10), TRUE,FILTER('Research Papers'!$C:$C,'Research Papers'!$A:$A=C52))"),"Yifan Lu, Pengfei Jiao, Xuan Guo, Ziyun Zou, Yiwei Wang,
Mengzhou Gao, Huaming Wu and Imran Razzak")</f>
        <v>Yifan Lu, Pengfei Jiao, Xuan Guo, Ziyun Zou, Yiwei Wang,
Mengzhou Gao, Huaming Wu and Imran Razzak</v>
      </c>
      <c r="F52" s="209" t="str">
        <f>IFERROR(__xludf.DUMMYFUNCTION("TEXTJOIN(CHAR(10), TRUE,FILTER ('Sheridan Main'!E:E,'Sheridan Main'!B:B=C52))"),"pjiao@hdu.edu.cn")</f>
        <v>pjiao@hdu.edu.cn</v>
      </c>
      <c r="G52" s="210" t="str">
        <f>IFERROR(__xludf.DUMMYFUNCTION("CONCATENATE(""https://dl.acm.org/doi/"",INDEX(FILTER('Sheridan Main'!A:A,'Sheridan Main'!B:B=C52),1))"),"https://dl.acm.org/doi/10.1145/3774904.3792516")</f>
        <v>https://dl.acm.org/doi/10.1145/3774904.3792516</v>
      </c>
      <c r="H52" s="189" t="s">
        <v>98</v>
      </c>
      <c r="I52" s="209"/>
      <c r="J52" s="209"/>
      <c r="K52" s="147"/>
      <c r="L52" s="147"/>
      <c r="M52" s="209"/>
      <c r="N52" s="209"/>
      <c r="O52" s="209"/>
      <c r="P52" s="209"/>
      <c r="Q52" s="209"/>
      <c r="R52" s="209"/>
      <c r="S52" s="209"/>
      <c r="T52" s="209"/>
      <c r="U52" s="209"/>
      <c r="V52" s="209"/>
      <c r="W52" s="209"/>
      <c r="X52" s="209"/>
      <c r="Y52" s="209"/>
      <c r="Z52" s="209"/>
      <c r="AA52" s="209"/>
      <c r="AB52" s="209"/>
      <c r="AC52" s="209"/>
      <c r="AD52" s="209"/>
      <c r="AE52" s="209"/>
    </row>
    <row r="53">
      <c r="A53" s="208" t="s">
        <v>2879</v>
      </c>
      <c r="B53" s="189" t="str">
        <f>IFERROR(__xludf.DUMMYFUNCTION("FILTER ('Research Papers'!D:D,'Research Papers'!A:A=C53)"),"Heterophily-Agnostic Hypergraph Neural Networks with Riemannian Local Exchanger")</f>
        <v>Heterophily-Agnostic Hypergraph Neural Networks with Riemannian Local Exchanger</v>
      </c>
      <c r="C53" s="189" t="s">
        <v>1186</v>
      </c>
      <c r="D53" s="209" t="str">
        <f t="shared" si="1"/>
        <v>Heterophily-Agnostic Hypergraph Neural Networks with Riemannian Local Exchanger
Li Sun, Ming Zhang, Wenxin Jin, Zhongtian Sun, Zhenhao
Huang, Hao Peng, Sen Su and Philip Yu
</v>
      </c>
      <c r="E53" s="209" t="str">
        <f>IFERROR(__xludf.DUMMYFUNCTION("TEXTJOIN(CHAR(10), TRUE,FILTER('Research Papers'!$C:$C,'Research Papers'!$A:$A=C53))"),"Li Sun, Ming Zhang, Wenxin Jin, Zhongtian Sun, Zhenhao
Huang, Hao Peng, Sen Su and Philip Yu")</f>
        <v>Li Sun, Ming Zhang, Wenxin Jin, Zhongtian Sun, Zhenhao
Huang, Hao Peng, Sen Su and Philip Yu</v>
      </c>
      <c r="F53" s="209" t="str">
        <f>IFERROR(__xludf.DUMMYFUNCTION("TEXTJOIN(CHAR(10), TRUE,FILTER ('Sheridan Main'!E:E,'Sheridan Main'!B:B=C53))"),"lsun@bupt.edu.cn")</f>
        <v>lsun@bupt.edu.cn</v>
      </c>
      <c r="G53" s="210" t="str">
        <f>IFERROR(__xludf.DUMMYFUNCTION("CONCATENATE(""https://dl.acm.org/doi/"",INDEX(FILTER('Sheridan Main'!A:A,'Sheridan Main'!B:B=C53),1))"),"https://dl.acm.org/doi/10.1145/3774904.3792435")</f>
        <v>https://dl.acm.org/doi/10.1145/3774904.3792435</v>
      </c>
      <c r="H53" s="189" t="s">
        <v>132</v>
      </c>
      <c r="I53" s="209"/>
      <c r="J53" s="209"/>
      <c r="K53" s="147"/>
      <c r="L53" s="147"/>
      <c r="M53" s="209"/>
      <c r="N53" s="209"/>
      <c r="O53" s="209"/>
      <c r="P53" s="209"/>
      <c r="Q53" s="209"/>
      <c r="R53" s="209"/>
      <c r="S53" s="209"/>
      <c r="T53" s="209"/>
      <c r="U53" s="209"/>
      <c r="V53" s="209"/>
      <c r="W53" s="209"/>
      <c r="X53" s="209"/>
      <c r="Y53" s="209"/>
      <c r="Z53" s="209"/>
      <c r="AA53" s="209"/>
      <c r="AB53" s="209"/>
      <c r="AC53" s="209"/>
      <c r="AD53" s="209"/>
      <c r="AE53" s="209"/>
    </row>
    <row r="54">
      <c r="A54" s="208" t="s">
        <v>2879</v>
      </c>
      <c r="B54" s="189" t="str">
        <f>IFERROR(__xludf.DUMMYFUNCTION("FILTER ('Research Papers'!D:D,'Research Papers'!A:A=C54)"),"IVQ-GNN: Mitigating Performance Gaps from Graph Connection Pattern Inconsistency via Vector Quantization")</f>
        <v>IVQ-GNN: Mitigating Performance Gaps from Graph Connection Pattern Inconsistency via Vector Quantization</v>
      </c>
      <c r="C54" s="189" t="s">
        <v>1226</v>
      </c>
      <c r="D54" s="209" t="str">
        <f t="shared" si="1"/>
        <v>IVQ-GNN: Mitigating Performance Gaps from Graph Connection Pattern Inconsistency via Vector Quantization
Di Jin, Yixuan Du, Cuiying Huo, Xiaotong Huang, Ruqiong
Zhang, Xiaobao Wang and Yawen Li
</v>
      </c>
      <c r="E54" s="209" t="str">
        <f>IFERROR(__xludf.DUMMYFUNCTION("TEXTJOIN(CHAR(10), TRUE,FILTER('Research Papers'!$C:$C,'Research Papers'!$A:$A=C54))"),"Di Jin, Yixuan Du, Cuiying Huo, Xiaotong Huang, Ruqiong
Zhang, Xiaobao Wang and Yawen Li")</f>
        <v>Di Jin, Yixuan Du, Cuiying Huo, Xiaotong Huang, Ruqiong
Zhang, Xiaobao Wang and Yawen Li</v>
      </c>
      <c r="F54" s="209" t="str">
        <f>IFERROR(__xludf.DUMMYFUNCTION("TEXTJOIN(CHAR(10), TRUE,FILTER ('Sheridan Main'!E:E,'Sheridan Main'!B:B=C54))"),"huocuiying@tju.edu.cn")</f>
        <v>huocuiying@tju.edu.cn</v>
      </c>
      <c r="G54" s="210" t="str">
        <f>IFERROR(__xludf.DUMMYFUNCTION("CONCATENATE(""https://dl.acm.org/doi/"",INDEX(FILTER('Sheridan Main'!A:A,'Sheridan Main'!B:B=C54),1))"),"https://dl.acm.org/doi/10.1145/3774904.3792455")</f>
        <v>https://dl.acm.org/doi/10.1145/3774904.3792455</v>
      </c>
      <c r="H54" s="189" t="s">
        <v>132</v>
      </c>
      <c r="I54" s="209"/>
      <c r="J54" s="209"/>
      <c r="K54" s="147"/>
      <c r="L54" s="147"/>
      <c r="M54" s="209"/>
      <c r="N54" s="209"/>
      <c r="O54" s="209"/>
      <c r="P54" s="209"/>
      <c r="Q54" s="209"/>
      <c r="R54" s="209"/>
      <c r="S54" s="209"/>
      <c r="T54" s="209"/>
      <c r="U54" s="209"/>
      <c r="V54" s="209"/>
      <c r="W54" s="209"/>
      <c r="X54" s="209"/>
      <c r="Y54" s="209"/>
      <c r="Z54" s="209"/>
      <c r="AA54" s="209"/>
      <c r="AB54" s="209"/>
      <c r="AC54" s="209"/>
      <c r="AD54" s="209"/>
      <c r="AE54" s="209"/>
    </row>
    <row r="55">
      <c r="A55" s="208" t="s">
        <v>2879</v>
      </c>
      <c r="B55" s="189" t="str">
        <f>IFERROR(__xludf.DUMMYFUNCTION("FILTER ('Research Papers'!D:D,'Research Papers'!A:A=C55)"),"Frequency-Corrupt Based Graph Self-Supervised Learning")</f>
        <v>Frequency-Corrupt Based Graph Self-Supervised Learning</v>
      </c>
      <c r="C55" s="189" t="s">
        <v>1300</v>
      </c>
      <c r="D55" s="209" t="str">
        <f t="shared" si="1"/>
        <v>Frequency-Corrupt Based Graph Self-Supervised Learning
Haojie Li, Mengjiao Zhang, Guanfeng Liu, Qiang Hu, Yan Wang
and Junwei Du
</v>
      </c>
      <c r="E55" s="209" t="str">
        <f>IFERROR(__xludf.DUMMYFUNCTION("TEXTJOIN(CHAR(10), TRUE,FILTER('Research Papers'!$C:$C,'Research Papers'!$A:$A=C55))"),"Haojie Li, Mengjiao Zhang, Guanfeng Liu, Qiang Hu, Yan Wang
and Junwei Du")</f>
        <v>Haojie Li, Mengjiao Zhang, Guanfeng Liu, Qiang Hu, Yan Wang
and Junwei Du</v>
      </c>
      <c r="F55" s="209" t="str">
        <f>IFERROR(__xludf.DUMMYFUNCTION("TEXTJOIN(CHAR(10), TRUE,FILTER ('Sheridan Main'!E:E,'Sheridan Main'!B:B=C55))"),"guanfeng.liu@mq.edu.au")</f>
        <v>guanfeng.liu@mq.edu.au</v>
      </c>
      <c r="G55" s="210" t="str">
        <f>IFERROR(__xludf.DUMMYFUNCTION("CONCATENATE(""https://dl.acm.org/doi/"",INDEX(FILTER('Sheridan Main'!A:A,'Sheridan Main'!B:B=C55),1))"),"https://dl.acm.org/doi/10.1145/3774904.3792492")</f>
        <v>https://dl.acm.org/doi/10.1145/3774904.3792492</v>
      </c>
      <c r="H55" s="189" t="s">
        <v>132</v>
      </c>
      <c r="I55" s="209"/>
      <c r="J55" s="209"/>
      <c r="K55" s="147"/>
      <c r="L55" s="147"/>
      <c r="M55" s="209"/>
      <c r="N55" s="209"/>
      <c r="O55" s="209"/>
      <c r="P55" s="209"/>
      <c r="Q55" s="209"/>
      <c r="R55" s="209"/>
      <c r="S55" s="209"/>
      <c r="T55" s="209"/>
      <c r="U55" s="209"/>
      <c r="V55" s="209"/>
      <c r="W55" s="209"/>
      <c r="X55" s="209"/>
      <c r="Y55" s="209"/>
      <c r="Z55" s="209"/>
      <c r="AA55" s="209"/>
      <c r="AB55" s="209"/>
      <c r="AC55" s="209"/>
      <c r="AD55" s="209"/>
      <c r="AE55" s="209"/>
    </row>
    <row r="56">
      <c r="A56" s="208" t="s">
        <v>2879</v>
      </c>
      <c r="B56" s="189" t="str">
        <f>IFERROR(__xludf.DUMMYFUNCTION("FILTER ('Research Papers'!D:D,'Research Papers'!A:A=C56)"),"Discrete Diffusion-Based Model-Level Explanation of Heterogeneous GNNs with Node Features")</f>
        <v>Discrete Diffusion-Based Model-Level Explanation of Heterogeneous GNNs with Node Features</v>
      </c>
      <c r="C56" s="189" t="s">
        <v>1352</v>
      </c>
      <c r="D56" s="209" t="str">
        <f t="shared" si="1"/>
        <v>Discrete Diffusion-Based Model-Level Explanation of Heterogeneous GNNs with Node Features
Pallabee Das and Stefan Heindorf
</v>
      </c>
      <c r="E56" s="209" t="str">
        <f>IFERROR(__xludf.DUMMYFUNCTION("TEXTJOIN(CHAR(10), TRUE,FILTER('Research Papers'!$C:$C,'Research Papers'!$A:$A=C56))"),"Pallabee Das and Stefan Heindorf")</f>
        <v>Pallabee Das and Stefan Heindorf</v>
      </c>
      <c r="F56" s="209" t="str">
        <f>IFERROR(__xludf.DUMMYFUNCTION("TEXTJOIN(CHAR(10), TRUE,FILTER ('Sheridan Main'!E:E,'Sheridan Main'!B:B=C56))"),"heindorf@uni-paderborn.de")</f>
        <v>heindorf@uni-paderborn.de</v>
      </c>
      <c r="G56" s="210" t="str">
        <f>IFERROR(__xludf.DUMMYFUNCTION("CONCATENATE(""https://dl.acm.org/doi/"",INDEX(FILTER('Sheridan Main'!A:A,'Sheridan Main'!B:B=C56),1))"),"https://dl.acm.org/doi/10.1145/3774904.3792518")</f>
        <v>https://dl.acm.org/doi/10.1145/3774904.3792518</v>
      </c>
      <c r="H56" s="189" t="s">
        <v>132</v>
      </c>
      <c r="I56" s="209"/>
      <c r="J56" s="209"/>
      <c r="K56" s="147"/>
      <c r="L56" s="147"/>
      <c r="M56" s="209"/>
      <c r="N56" s="209"/>
      <c r="O56" s="209"/>
      <c r="P56" s="209"/>
      <c r="Q56" s="209"/>
      <c r="R56" s="209"/>
      <c r="S56" s="209"/>
      <c r="T56" s="209"/>
      <c r="U56" s="209"/>
      <c r="V56" s="209"/>
      <c r="W56" s="209"/>
      <c r="X56" s="209"/>
      <c r="Y56" s="209"/>
      <c r="Z56" s="209"/>
      <c r="AA56" s="209"/>
      <c r="AB56" s="209"/>
      <c r="AC56" s="209"/>
      <c r="AD56" s="209"/>
      <c r="AE56" s="209"/>
    </row>
    <row r="57">
      <c r="A57" s="208" t="s">
        <v>2879</v>
      </c>
      <c r="B57" s="189" t="str">
        <f>IFERROR(__xludf.DUMMYFUNCTION("FILTER ('Research Papers'!D:D,'Research Papers'!A:A=C57)"),"SliceGX: Layer-wise GNN Explanation with Model-slicing")</f>
        <v>SliceGX: Layer-wise GNN Explanation with Model-slicing</v>
      </c>
      <c r="C57" s="189" t="s">
        <v>1694</v>
      </c>
      <c r="D57" s="209" t="str">
        <f t="shared" si="1"/>
        <v>SliceGX: Layer-wise GNN Explanation with Model-slicing
Cibo Yu, Tingting Zhu, Tingyang Chen, Yinghui Wu, Arijit
Khan and Xiangyu Ke
</v>
      </c>
      <c r="E57" s="209" t="str">
        <f>IFERROR(__xludf.DUMMYFUNCTION("TEXTJOIN(CHAR(10), TRUE,FILTER('Research Papers'!$C:$C,'Research Papers'!$A:$A=C57))"),"Cibo Yu, Tingting Zhu, Tingyang Chen, Yinghui Wu, Arijit
Khan and Xiangyu Ke")</f>
        <v>Cibo Yu, Tingting Zhu, Tingyang Chen, Yinghui Wu, Arijit
Khan and Xiangyu Ke</v>
      </c>
      <c r="F57" s="209" t="str">
        <f>IFERROR(__xludf.DUMMYFUNCTION("TEXTJOIN(CHAR(10), TRUE,FILTER ('Sheridan Main'!E:E,'Sheridan Main'!B:B=C57))"),"xiangyu.ke@zju.edu.cn")</f>
        <v>xiangyu.ke@zju.edu.cn</v>
      </c>
      <c r="G57" s="210" t="str">
        <f>IFERROR(__xludf.DUMMYFUNCTION("CONCATENATE(""https://dl.acm.org/doi/"",INDEX(FILTER('Sheridan Main'!A:A,'Sheridan Main'!B:B=C57),1))"),"https://dl.acm.org/doi/10.1145/3774904.3792689")</f>
        <v>https://dl.acm.org/doi/10.1145/3774904.3792689</v>
      </c>
      <c r="H57" s="189" t="s">
        <v>132</v>
      </c>
      <c r="I57" s="209"/>
      <c r="J57" s="209"/>
      <c r="K57" s="147"/>
      <c r="L57" s="147"/>
      <c r="M57" s="209"/>
      <c r="N57" s="209"/>
      <c r="O57" s="209"/>
      <c r="P57" s="209"/>
      <c r="Q57" s="209"/>
      <c r="R57" s="209"/>
      <c r="S57" s="209"/>
      <c r="T57" s="209"/>
      <c r="U57" s="209"/>
      <c r="V57" s="209"/>
      <c r="W57" s="209"/>
      <c r="X57" s="209"/>
      <c r="Y57" s="209"/>
      <c r="Z57" s="209"/>
      <c r="AA57" s="209"/>
      <c r="AB57" s="209"/>
      <c r="AC57" s="209"/>
      <c r="AD57" s="209"/>
      <c r="AE57" s="209"/>
    </row>
    <row r="58">
      <c r="A58" s="208" t="s">
        <v>2931</v>
      </c>
      <c r="B58" s="189" t="str">
        <f>IFERROR(__xludf.DUMMYFUNCTION("FILTER ('Research Papers'!D:D,'Research Papers'!A:A=C58)"),"Graph Cross-Domain Continual Fine-Tuning via Orthogonal LoRA Routing with Contrastive Expert Specialization")</f>
        <v>Graph Cross-Domain Continual Fine-Tuning via Orthogonal LoRA Routing with Contrastive Expert Specialization</v>
      </c>
      <c r="C58" s="189" t="s">
        <v>1084</v>
      </c>
      <c r="D58" s="209" t="str">
        <f t="shared" si="1"/>
        <v>Graph Cross-Domain Continual Fine-Tuning via Orthogonal LoRA Routing with Contrastive Expert Specialization
Qianyi Cai, Ziyue Qiao, Minghao Yang, Xiao Luo and Hui Xiong
</v>
      </c>
      <c r="E58" s="209" t="str">
        <f>IFERROR(__xludf.DUMMYFUNCTION("TEXTJOIN(CHAR(10), TRUE,FILTER('Research Papers'!$C:$C,'Research Papers'!$A:$A=C58))"),"Qianyi Cai, Ziyue Qiao, Minghao Yang, Xiao Luo and Hui Xiong")</f>
        <v>Qianyi Cai, Ziyue Qiao, Minghao Yang, Xiao Luo and Hui Xiong</v>
      </c>
      <c r="F58" s="209" t="str">
        <f>IFERROR(__xludf.DUMMYFUNCTION("TEXTJOIN(CHAR(10), TRUE,FILTER ('Sheridan Main'!E:E,'Sheridan Main'!B:B=C58))"),"xionghui@ust.hk")</f>
        <v>xionghui@ust.hk</v>
      </c>
      <c r="G58" s="210" t="str">
        <f>IFERROR(__xludf.DUMMYFUNCTION("CONCATENATE(""https://dl.acm.org/doi/"",INDEX(FILTER('Sheridan Main'!A:A,'Sheridan Main'!B:B=C58),1))"),"https://dl.acm.org/doi/10.1145/3774904.3792384")</f>
        <v>https://dl.acm.org/doi/10.1145/3774904.3792384</v>
      </c>
      <c r="H58" s="189" t="s">
        <v>154</v>
      </c>
      <c r="I58" s="209"/>
      <c r="J58" s="209"/>
      <c r="K58" s="147"/>
      <c r="L58" s="147"/>
      <c r="M58" s="209"/>
      <c r="N58" s="209"/>
      <c r="O58" s="209"/>
      <c r="P58" s="209"/>
      <c r="Q58" s="209"/>
      <c r="R58" s="209"/>
      <c r="S58" s="209"/>
      <c r="T58" s="209"/>
      <c r="U58" s="209"/>
      <c r="V58" s="209"/>
      <c r="W58" s="209"/>
      <c r="X58" s="209"/>
      <c r="Y58" s="209"/>
      <c r="Z58" s="209"/>
      <c r="AA58" s="209"/>
      <c r="AB58" s="209"/>
      <c r="AC58" s="209"/>
      <c r="AD58" s="209"/>
      <c r="AE58" s="209"/>
    </row>
    <row r="59">
      <c r="A59" s="208" t="s">
        <v>2879</v>
      </c>
      <c r="B59" s="189" t="str">
        <f>IFERROR(__xludf.DUMMYFUNCTION("FILTER ('Research Papers'!D:D,'Research Papers'!A:A=C59)"),"Multi-view Hierarchical Graph Contrastive Learning based on Asynchronous Asymmetric Structure")</f>
        <v>Multi-view Hierarchical Graph Contrastive Learning based on Asynchronous Asymmetric Structure</v>
      </c>
      <c r="C59" s="189" t="s">
        <v>1336</v>
      </c>
      <c r="D59" s="209" t="str">
        <f t="shared" si="1"/>
        <v>Multi-view Hierarchical Graph Contrastive Learning based on Asynchronous Asymmetric Structure
Chuangui Cao, Shifei Ding, Jian Zhang, Lili Guo and Xuan Li
</v>
      </c>
      <c r="E59" s="209" t="str">
        <f>IFERROR(__xludf.DUMMYFUNCTION("TEXTJOIN(CHAR(10), TRUE,FILTER('Research Papers'!$C:$C,'Research Papers'!$A:$A=C59))"),"Chuangui Cao, Shifei Ding, Jian Zhang, Lili Guo and Xuan Li")</f>
        <v>Chuangui Cao, Shifei Ding, Jian Zhang, Lili Guo and Xuan Li</v>
      </c>
      <c r="F59" s="209" t="str">
        <f>IFERROR(__xludf.DUMMYFUNCTION("TEXTJOIN(CHAR(10), TRUE,FILTER ('Sheridan Main'!E:E,'Sheridan Main'!B:B=C59))"),"dingsf@cumt.edu.cn")</f>
        <v>dingsf@cumt.edu.cn</v>
      </c>
      <c r="G59" s="210" t="str">
        <f>IFERROR(__xludf.DUMMYFUNCTION("CONCATENATE(""https://dl.acm.org/doi/"",INDEX(FILTER('Sheridan Main'!A:A,'Sheridan Main'!B:B=C59),1))"),"https://dl.acm.org/doi/10.1145/3774904.3792510")</f>
        <v>https://dl.acm.org/doi/10.1145/3774904.3792510</v>
      </c>
      <c r="H59" s="189" t="s">
        <v>154</v>
      </c>
      <c r="I59" s="209"/>
      <c r="J59" s="209"/>
      <c r="K59" s="147"/>
      <c r="L59" s="147"/>
      <c r="M59" s="209"/>
      <c r="N59" s="209"/>
      <c r="O59" s="209"/>
      <c r="P59" s="209"/>
      <c r="Q59" s="209"/>
      <c r="R59" s="209"/>
      <c r="S59" s="209"/>
      <c r="T59" s="209"/>
      <c r="U59" s="209"/>
      <c r="V59" s="209"/>
      <c r="W59" s="209"/>
      <c r="X59" s="209"/>
      <c r="Y59" s="209"/>
      <c r="Z59" s="209"/>
      <c r="AA59" s="209"/>
      <c r="AB59" s="209"/>
      <c r="AC59" s="209"/>
      <c r="AD59" s="209"/>
      <c r="AE59" s="209"/>
    </row>
    <row r="60">
      <c r="A60" s="208" t="s">
        <v>2879</v>
      </c>
      <c r="B60" s="189" t="str">
        <f>IFERROR(__xludf.DUMMYFUNCTION("FILTER ('Research Papers'!D:D,'Research Papers'!A:A=C60)"),"SPGCL: Subgraph Pattern-Aware Graph Contrastive Learning for High-Order Structural Representation")</f>
        <v>SPGCL: Subgraph Pattern-Aware Graph Contrastive Learning for High-Order Structural Representation</v>
      </c>
      <c r="C60" s="189" t="s">
        <v>1360</v>
      </c>
      <c r="D60" s="209" t="str">
        <f t="shared" si="1"/>
        <v>SPGCL: Subgraph Pattern-Aware Graph Contrastive Learning for High-Order Structural Representation
Zhe Zhan, Xiangshi Li, Tingting Wang, Shuo Yu and Henan Lei
</v>
      </c>
      <c r="E60" s="209" t="str">
        <f>IFERROR(__xludf.DUMMYFUNCTION("TEXTJOIN(CHAR(10), TRUE,FILTER('Research Papers'!$C:$C,'Research Papers'!$A:$A=C60))"),"Zhe Zhan, Xiangshi Li, Tingting Wang, Shuo Yu and Henan Lei")</f>
        <v>Zhe Zhan, Xiangshi Li, Tingting Wang, Shuo Yu and Henan Lei</v>
      </c>
      <c r="F60" s="209" t="str">
        <f>IFERROR(__xludf.DUMMYFUNCTION("TEXTJOIN(CHAR(10), TRUE,FILTER ('Sheridan Main'!E:E,'Sheridan Main'!B:B=C60))"),"shuo.yu@ieee.org")</f>
        <v>shuo.yu@ieee.org</v>
      </c>
      <c r="G60" s="210" t="str">
        <f>IFERROR(__xludf.DUMMYFUNCTION("CONCATENATE(""https://dl.acm.org/doi/"",INDEX(FILTER('Sheridan Main'!A:A,'Sheridan Main'!B:B=C60),1))"),"https://dl.acm.org/doi/10.1145/3774904.3792522")</f>
        <v>https://dl.acm.org/doi/10.1145/3774904.3792522</v>
      </c>
      <c r="H60" s="189" t="s">
        <v>154</v>
      </c>
      <c r="I60" s="209"/>
      <c r="J60" s="209"/>
      <c r="K60" s="147"/>
      <c r="L60" s="147"/>
      <c r="M60" s="209"/>
      <c r="N60" s="209"/>
      <c r="O60" s="209"/>
      <c r="P60" s="209"/>
      <c r="Q60" s="209"/>
      <c r="R60" s="209"/>
      <c r="S60" s="209"/>
      <c r="T60" s="209"/>
      <c r="U60" s="209"/>
      <c r="V60" s="209"/>
      <c r="W60" s="209"/>
      <c r="X60" s="209"/>
      <c r="Y60" s="209"/>
      <c r="Z60" s="209"/>
      <c r="AA60" s="209"/>
      <c r="AB60" s="209"/>
      <c r="AC60" s="209"/>
      <c r="AD60" s="209"/>
      <c r="AE60" s="209"/>
    </row>
    <row r="61">
      <c r="A61" s="208" t="s">
        <v>2879</v>
      </c>
      <c r="B61" s="189" t="str">
        <f>IFERROR(__xludf.DUMMYFUNCTION("FILTER ('Research Papers'!D:D,'Research Papers'!A:A=C61)"),"Unifying Graph Out-of-Distribution Generalization and Detection through Spectral Contrastive Invariant learning")</f>
        <v>Unifying Graph Out-of-Distribution Generalization and Detection through Spectral Contrastive Invariant learning</v>
      </c>
      <c r="C61" s="189" t="s">
        <v>1488</v>
      </c>
      <c r="D61" s="209" t="str">
        <f t="shared" si="1"/>
        <v>Unifying Graph Out-of-Distribution Generalization and Detection through Spectral Contrastive Invariant learning
Tianyin Liao, Ge Lan, Rui Chen, Ran Zhang, Zhiming Chen,
Xiao Wang and Ziwei Zhang
</v>
      </c>
      <c r="E61" s="209" t="str">
        <f>IFERROR(__xludf.DUMMYFUNCTION("TEXTJOIN(CHAR(10), TRUE,FILTER('Research Papers'!$C:$C,'Research Papers'!$A:$A=C61))"),"Tianyin Liao, Ge Lan, Rui Chen, Ran Zhang, Zhiming Chen,
Xiao Wang and Ziwei Zhang")</f>
        <v>Tianyin Liao, Ge Lan, Rui Chen, Ran Zhang, Zhiming Chen,
Xiao Wang and Ziwei Zhang</v>
      </c>
      <c r="F61" s="209" t="str">
        <f>IFERROR(__xludf.DUMMYFUNCTION("TEXTJOIN(CHAR(10), TRUE,FILTER ('Sheridan Main'!E:E,'Sheridan Main'!B:B=C61))"),"zwzhang@buaa.edu.cn")</f>
        <v>zwzhang@buaa.edu.cn</v>
      </c>
      <c r="G61" s="210" t="str">
        <f>IFERROR(__xludf.DUMMYFUNCTION("CONCATENATE(""https://dl.acm.org/doi/"",INDEX(FILTER('Sheridan Main'!A:A,'Sheridan Main'!B:B=C61),1))"),"https://dl.acm.org/doi/10.1145/3774904.3792586")</f>
        <v>https://dl.acm.org/doi/10.1145/3774904.3792586</v>
      </c>
      <c r="H61" s="189" t="s">
        <v>154</v>
      </c>
      <c r="I61" s="209"/>
      <c r="J61" s="209"/>
      <c r="K61" s="147"/>
      <c r="L61" s="147"/>
      <c r="M61" s="209"/>
      <c r="N61" s="209"/>
      <c r="O61" s="209"/>
      <c r="P61" s="209"/>
      <c r="Q61" s="209"/>
      <c r="R61" s="209"/>
      <c r="S61" s="209"/>
      <c r="T61" s="209"/>
      <c r="U61" s="209"/>
      <c r="V61" s="209"/>
      <c r="W61" s="209"/>
      <c r="X61" s="209"/>
      <c r="Y61" s="209"/>
      <c r="Z61" s="209"/>
      <c r="AA61" s="209"/>
      <c r="AB61" s="209"/>
      <c r="AC61" s="209"/>
      <c r="AD61" s="209"/>
      <c r="AE61" s="209"/>
    </row>
    <row r="62">
      <c r="A62" s="208" t="s">
        <v>2879</v>
      </c>
      <c r="B62" s="189" t="str">
        <f>IFERROR(__xludf.DUMMYFUNCTION("FILTER ('Research Papers'!D:D,'Research Papers'!A:A=C62)"),"CLGNN: A Contrastive Learning-based GNN for Temporal Betweenness Prediction under Extreme Value Imbalance")</f>
        <v>CLGNN: A Contrastive Learning-based GNN for Temporal Betweenness Prediction under Extreme Value Imbalance</v>
      </c>
      <c r="C62" s="189" t="s">
        <v>1734</v>
      </c>
      <c r="D62" s="209" t="str">
        <f t="shared" si="1"/>
        <v>CLGNN: A Contrastive Learning-based GNN for Temporal Betweenness Prediction under Extreme Value Imbalance
Tianming Zhang, Renbo Zhang, Zhengyi Yang, Yunjun Gao, Bin
Cao and Jing Fan
</v>
      </c>
      <c r="E62" s="209" t="str">
        <f>IFERROR(__xludf.DUMMYFUNCTION("TEXTJOIN(CHAR(10), TRUE,FILTER('Research Papers'!$C:$C,'Research Papers'!$A:$A=C62))"),"Tianming Zhang, Renbo Zhang, Zhengyi Yang, Yunjun Gao, Bin
Cao and Jing Fan")</f>
        <v>Tianming Zhang, Renbo Zhang, Zhengyi Yang, Yunjun Gao, Bin
Cao and Jing Fan</v>
      </c>
      <c r="F62" s="209" t="str">
        <f>IFERROR(__xludf.DUMMYFUNCTION("TEXTJOIN(CHAR(10), TRUE,FILTER ('Sheridan Main'!E:E,'Sheridan Main'!B:B=C62))"),"tmzhang@zjut.edu.cn")</f>
        <v>tmzhang@zjut.edu.cn</v>
      </c>
      <c r="G62" s="210" t="str">
        <f>IFERROR(__xludf.DUMMYFUNCTION("CONCATENATE(""https://dl.acm.org/doi/"",INDEX(FILTER('Sheridan Main'!A:A,'Sheridan Main'!B:B=C62),1))"),"https://dl.acm.org/doi/10.1145/3774904.3792709")</f>
        <v>https://dl.acm.org/doi/10.1145/3774904.3792709</v>
      </c>
      <c r="H62" s="189" t="s">
        <v>154</v>
      </c>
      <c r="I62" s="209"/>
      <c r="J62" s="209"/>
      <c r="K62" s="147"/>
      <c r="L62" s="147"/>
      <c r="M62" s="209"/>
      <c r="N62" s="209"/>
      <c r="O62" s="209"/>
      <c r="P62" s="209"/>
      <c r="Q62" s="209"/>
      <c r="R62" s="209"/>
      <c r="S62" s="209"/>
      <c r="T62" s="209"/>
      <c r="U62" s="209"/>
      <c r="V62" s="209"/>
      <c r="W62" s="209"/>
      <c r="X62" s="209"/>
      <c r="Y62" s="209"/>
      <c r="Z62" s="209"/>
      <c r="AA62" s="209"/>
      <c r="AB62" s="209"/>
      <c r="AC62" s="209"/>
      <c r="AD62" s="209"/>
      <c r="AE62" s="209"/>
    </row>
    <row r="63">
      <c r="A63" s="208" t="s">
        <v>2879</v>
      </c>
      <c r="B63" s="189" t="str">
        <f>IFERROR(__xludf.DUMMYFUNCTION("FILTER ('Research Papers'!D:D,'Research Papers'!A:A=C63)"),"Hierarchical Graph-Bag-Network for Self-Supervised Multi-Graph Learning")</f>
        <v>Hierarchical Graph-Bag-Network for Self-Supervised Multi-Graph Learning</v>
      </c>
      <c r="C63" s="189" t="s">
        <v>1148</v>
      </c>
      <c r="D63" s="209" t="str">
        <f t="shared" si="1"/>
        <v>Hierarchical Graph-Bag-Network for Self-Supervised Multi-Graph Learning
Meixia Wang, Yuhai Zhao, Zhengkui Wang, Fenglong Ma,
Yejiang Wang, Miaomiao Huang, Fazal Wahab, Wen Shan and
Xingwei Wang
</v>
      </c>
      <c r="E63" s="209" t="str">
        <f>IFERROR(__xludf.DUMMYFUNCTION("TEXTJOIN(CHAR(10), TRUE,FILTER('Research Papers'!$C:$C,'Research Papers'!$A:$A=C63))"),"Meixia Wang, Yuhai Zhao, Zhengkui Wang, Fenglong Ma,
Yejiang Wang, Miaomiao Huang, Fazal Wahab, Wen Shan and
Xingwei Wang")</f>
        <v>Meixia Wang, Yuhai Zhao, Zhengkui Wang, Fenglong Ma,
Yejiang Wang, Miaomiao Huang, Fazal Wahab, Wen Shan and
Xingwei Wang</v>
      </c>
      <c r="F63" s="209" t="str">
        <f>IFERROR(__xludf.DUMMYFUNCTION("TEXTJOIN(CHAR(10), TRUE,FILTER ('Sheridan Main'!E:E,'Sheridan Main'!B:B=C63))"),"zhaoyuhai@mail.neu.edu.cn")</f>
        <v>zhaoyuhai@mail.neu.edu.cn</v>
      </c>
      <c r="G63" s="210" t="str">
        <f>IFERROR(__xludf.DUMMYFUNCTION("CONCATENATE(""https://dl.acm.org/doi/"",INDEX(FILTER('Sheridan Main'!A:A,'Sheridan Main'!B:B=C63),1))"),"https://dl.acm.org/doi/10.1145/3774904.3792416")</f>
        <v>https://dl.acm.org/doi/10.1145/3774904.3792416</v>
      </c>
      <c r="H63" s="189" t="s">
        <v>174</v>
      </c>
      <c r="I63" s="209"/>
      <c r="J63" s="209"/>
      <c r="K63" s="147"/>
      <c r="L63" s="147"/>
      <c r="M63" s="209"/>
      <c r="N63" s="209"/>
      <c r="O63" s="209"/>
      <c r="P63" s="209"/>
      <c r="Q63" s="209"/>
      <c r="R63" s="209"/>
      <c r="S63" s="209"/>
      <c r="T63" s="209"/>
      <c r="U63" s="209"/>
      <c r="V63" s="209"/>
      <c r="W63" s="209"/>
      <c r="X63" s="209"/>
      <c r="Y63" s="209"/>
      <c r="Z63" s="209"/>
      <c r="AA63" s="209"/>
      <c r="AB63" s="209"/>
      <c r="AC63" s="209"/>
      <c r="AD63" s="209"/>
      <c r="AE63" s="209"/>
    </row>
    <row r="64">
      <c r="A64" s="208" t="s">
        <v>2879</v>
      </c>
      <c r="B64" s="189" t="str">
        <f>IFERROR(__xludf.DUMMYFUNCTION("FILTER ('Research Papers'!D:D,'Research Papers'!A:A=C64)"),"From Representation to Clusters: A Contrastive Learning Approach for Attributed Hypergraph Clustering")</f>
        <v>From Representation to Clusters: A Contrastive Learning Approach for Attributed Hypergraph Clustering</v>
      </c>
      <c r="C64" s="189" t="s">
        <v>1180</v>
      </c>
      <c r="D64" s="209" t="str">
        <f t="shared" si="1"/>
        <v>From Representation to Clusters: A Contrastive Learning Approach for Attributed Hypergraph Clustering
Li Ni, Shuaikang Zeng, Lin Mu and Longlong Lin
</v>
      </c>
      <c r="E64" s="209" t="str">
        <f>IFERROR(__xludf.DUMMYFUNCTION("TEXTJOIN(CHAR(10), TRUE,FILTER('Research Papers'!$C:$C,'Research Papers'!$A:$A=C64))"),"Li Ni, Shuaikang Zeng, Lin Mu and Longlong Lin")</f>
        <v>Li Ni, Shuaikang Zeng, Lin Mu and Longlong Lin</v>
      </c>
      <c r="F64" s="209" t="str">
        <f>IFERROR(__xludf.DUMMYFUNCTION("TEXTJOIN(CHAR(10), TRUE,FILTER ('Sheridan Main'!E:E,'Sheridan Main'!B:B=C64))"),"nili@ahu.edu.cn")</f>
        <v>nili@ahu.edu.cn</v>
      </c>
      <c r="G64" s="210" t="str">
        <f>IFERROR(__xludf.DUMMYFUNCTION("CONCATENATE(""https://dl.acm.org/doi/"",INDEX(FILTER('Sheridan Main'!A:A,'Sheridan Main'!B:B=C64),1))"),"https://dl.acm.org/doi/10.1145/3774904.3792432")</f>
        <v>https://dl.acm.org/doi/10.1145/3774904.3792432</v>
      </c>
      <c r="H64" s="189" t="s">
        <v>174</v>
      </c>
      <c r="I64" s="209"/>
      <c r="J64" s="209"/>
      <c r="K64" s="147"/>
      <c r="L64" s="147"/>
      <c r="M64" s="209"/>
      <c r="N64" s="209"/>
      <c r="O64" s="209"/>
      <c r="P64" s="209"/>
      <c r="Q64" s="209"/>
      <c r="R64" s="209"/>
      <c r="S64" s="209"/>
      <c r="T64" s="209"/>
      <c r="U64" s="209"/>
      <c r="V64" s="209"/>
      <c r="W64" s="209"/>
      <c r="X64" s="209"/>
      <c r="Y64" s="209"/>
      <c r="Z64" s="209"/>
      <c r="AA64" s="209"/>
      <c r="AB64" s="209"/>
      <c r="AC64" s="209"/>
      <c r="AD64" s="209"/>
      <c r="AE64" s="209"/>
    </row>
    <row r="65">
      <c r="A65" s="208" t="s">
        <v>2879</v>
      </c>
      <c r="B65" s="189" t="str">
        <f>IFERROR(__xludf.DUMMYFUNCTION("FILTER ('Research Papers'!D:D,'Research Papers'!A:A=C65)"),"AC$^2$L-GAD: Active Counterfactual Contrastive Learning for Graph Anomaly Detection")</f>
        <v>AC$^2$L-GAD: Active Counterfactual Contrastive Learning for Graph Anomaly Detection</v>
      </c>
      <c r="C65" s="189" t="s">
        <v>1280</v>
      </c>
      <c r="D65" s="209" t="str">
        <f t="shared" si="1"/>
        <v>AC$^2$L-GAD: Active Counterfactual Contrastive Learning for Graph Anomaly Detection
Kamal Berahmand, Saman Forouzandeh, Mehrnoush Mohammadi,
Parham Moradi and Mahdi Jalili
</v>
      </c>
      <c r="E65" s="209" t="str">
        <f>IFERROR(__xludf.DUMMYFUNCTION("TEXTJOIN(CHAR(10), TRUE,FILTER('Research Papers'!$C:$C,'Research Papers'!$A:$A=C65))"),"Kamal Berahmand, Saman Forouzandeh, Mehrnoush Mohammadi,
Parham Moradi and Mahdi Jalili")</f>
        <v>Kamal Berahmand, Saman Forouzandeh, Mehrnoush Mohammadi,
Parham Moradi and Mahdi Jalili</v>
      </c>
      <c r="F65" s="209" t="str">
        <f>IFERROR(__xludf.DUMMYFUNCTION("TEXTJOIN(CHAR(10), TRUE,FILTER ('Sheridan Main'!E:E,'Sheridan Main'!B:B=C65))"),"kamal.berahmand@rmit.edu.au")</f>
        <v>kamal.berahmand@rmit.edu.au</v>
      </c>
      <c r="G65" s="210" t="str">
        <f>IFERROR(__xludf.DUMMYFUNCTION("CONCATENATE(""https://dl.acm.org/doi/"",INDEX(FILTER('Sheridan Main'!A:A,'Sheridan Main'!B:B=C65),1))"),"https://dl.acm.org/doi/10.1145/3774904.3792482")</f>
        <v>https://dl.acm.org/doi/10.1145/3774904.3792482</v>
      </c>
      <c r="H65" s="189" t="s">
        <v>174</v>
      </c>
      <c r="I65" s="209"/>
      <c r="J65" s="209"/>
      <c r="K65" s="147"/>
      <c r="L65" s="147"/>
      <c r="M65" s="209"/>
      <c r="N65" s="209"/>
      <c r="O65" s="209"/>
      <c r="P65" s="209"/>
      <c r="Q65" s="209"/>
      <c r="R65" s="209"/>
      <c r="S65" s="209"/>
      <c r="T65" s="209"/>
      <c r="U65" s="209"/>
      <c r="V65" s="209"/>
      <c r="W65" s="209"/>
      <c r="X65" s="209"/>
      <c r="Y65" s="209"/>
      <c r="Z65" s="209"/>
      <c r="AA65" s="209"/>
      <c r="AB65" s="209"/>
      <c r="AC65" s="209"/>
      <c r="AD65" s="209"/>
      <c r="AE65" s="209"/>
    </row>
    <row r="66">
      <c r="A66" s="208" t="s">
        <v>2879</v>
      </c>
      <c r="B66" s="189" t="str">
        <f>IFERROR(__xludf.DUMMYFUNCTION("FILTER ('Research Papers'!D:D,'Research Papers'!A:A=C66)"),"A Dual-Channel Contrastive Learning Framework for Anomaly Detection in Dynamic Graph Structures")</f>
        <v>A Dual-Channel Contrastive Learning Framework for Anomaly Detection in Dynamic Graph Structures</v>
      </c>
      <c r="C66" s="189" t="s">
        <v>1380</v>
      </c>
      <c r="D66" s="209" t="str">
        <f t="shared" si="1"/>
        <v>A Dual-Channel Contrastive Learning Framework for Anomaly Detection in Dynamic Graph Structures
Runshuo Liu, Chao Li, Zhongying Zhao, Hui Zhou and Qingtian
Zeng
</v>
      </c>
      <c r="E66" s="209" t="str">
        <f>IFERROR(__xludf.DUMMYFUNCTION("TEXTJOIN(CHAR(10), TRUE,FILTER('Research Papers'!$C:$C,'Research Papers'!$A:$A=C66))"),"Runshuo Liu, Chao Li, Zhongying Zhao, Hui Zhou and Qingtian
Zeng")</f>
        <v>Runshuo Liu, Chao Li, Zhongying Zhao, Hui Zhou and Qingtian
Zeng</v>
      </c>
      <c r="F66" s="209" t="str">
        <f>IFERROR(__xludf.DUMMYFUNCTION("TEXTJOIN(CHAR(10), TRUE,FILTER ('Sheridan Main'!E:E,'Sheridan Main'!B:B=C66))"),"lichao@sdust.edu.cn")</f>
        <v>lichao@sdust.edu.cn</v>
      </c>
      <c r="G66" s="210" t="str">
        <f>IFERROR(__xludf.DUMMYFUNCTION("CONCATENATE(""https://dl.acm.org/doi/"",INDEX(FILTER('Sheridan Main'!A:A,'Sheridan Main'!B:B=C66),1))"),"https://dl.acm.org/doi/10.1145/3774904.3792532")</f>
        <v>https://dl.acm.org/doi/10.1145/3774904.3792532</v>
      </c>
      <c r="H66" s="189" t="s">
        <v>174</v>
      </c>
      <c r="I66" s="209"/>
      <c r="J66" s="209"/>
      <c r="K66" s="147"/>
      <c r="L66" s="147"/>
      <c r="M66" s="209"/>
      <c r="N66" s="209"/>
      <c r="O66" s="209"/>
      <c r="P66" s="209"/>
      <c r="Q66" s="209"/>
      <c r="R66" s="209"/>
      <c r="S66" s="209"/>
      <c r="T66" s="209"/>
      <c r="U66" s="209"/>
      <c r="V66" s="209"/>
      <c r="W66" s="209"/>
      <c r="X66" s="209"/>
      <c r="Y66" s="209"/>
      <c r="Z66" s="209"/>
      <c r="AA66" s="209"/>
      <c r="AB66" s="209"/>
      <c r="AC66" s="209"/>
      <c r="AD66" s="209"/>
      <c r="AE66" s="209"/>
    </row>
    <row r="67">
      <c r="A67" s="208" t="s">
        <v>2879</v>
      </c>
      <c r="B67" s="189" t="str">
        <f>IFERROR(__xludf.DUMMYFUNCTION("FILTER ('Research Papers'!D:D,'Research Papers'!A:A=C67)"),"Structure-Semantic Synergized Deep Contrastive Graph Clustering")</f>
        <v>Structure-Semantic Synergized Deep Contrastive Graph Clustering</v>
      </c>
      <c r="C67" s="189" t="s">
        <v>1434</v>
      </c>
      <c r="D67" s="209" t="str">
        <f t="shared" si="1"/>
        <v>Structure-Semantic Synergized Deep Contrastive Graph Clustering
Shifei Ding, Zhe Li, Xiao Xu and Chao Li
</v>
      </c>
      <c r="E67" s="209" t="str">
        <f>IFERROR(__xludf.DUMMYFUNCTION("TEXTJOIN(CHAR(10), TRUE,FILTER('Research Papers'!$C:$C,'Research Papers'!$A:$A=C67))"),"Shifei Ding, Zhe Li, Xiao Xu and Chao Li")</f>
        <v>Shifei Ding, Zhe Li, Xiao Xu and Chao Li</v>
      </c>
      <c r="F67" s="209" t="str">
        <f>IFERROR(__xludf.DUMMYFUNCTION("TEXTJOIN(CHAR(10), TRUE,FILTER ('Sheridan Main'!E:E,'Sheridan Main'!B:B=C67))"),"xu_xiao@cumt.edu.cn")</f>
        <v>xu_xiao@cumt.edu.cn</v>
      </c>
      <c r="G67" s="210" t="str">
        <f>IFERROR(__xludf.DUMMYFUNCTION("CONCATENATE(""https://dl.acm.org/doi/"",INDEX(FILTER('Sheridan Main'!A:A,'Sheridan Main'!B:B=C67),1))"),"https://dl.acm.org/doi/10.1145/3774904.3792559")</f>
        <v>https://dl.acm.org/doi/10.1145/3774904.3792559</v>
      </c>
      <c r="H67" s="189" t="s">
        <v>174</v>
      </c>
      <c r="I67" s="209"/>
      <c r="J67" s="209"/>
      <c r="K67" s="147"/>
      <c r="L67" s="147"/>
      <c r="M67" s="209"/>
      <c r="N67" s="209"/>
      <c r="O67" s="209"/>
      <c r="P67" s="209"/>
      <c r="Q67" s="209"/>
      <c r="R67" s="209"/>
      <c r="S67" s="209"/>
      <c r="T67" s="209"/>
      <c r="U67" s="209"/>
      <c r="V67" s="209"/>
      <c r="W67" s="209"/>
      <c r="X67" s="209"/>
      <c r="Y67" s="209"/>
      <c r="Z67" s="209"/>
      <c r="AA67" s="209"/>
      <c r="AB67" s="209"/>
      <c r="AC67" s="209"/>
      <c r="AD67" s="209"/>
      <c r="AE67" s="209"/>
    </row>
    <row r="68">
      <c r="A68" s="208" t="s">
        <v>2879</v>
      </c>
      <c r="B68" s="189" t="str">
        <f>IFERROR(__xludf.DUMMYFUNCTION("FILTER ('Research Papers'!D:D,'Research Papers'!A:A=C68)"),"Multi-Source Unsupervised Graph Domain Adaptation via Concise Propagation–Transformation Pipeline")</f>
        <v>Multi-Source Unsupervised Graph Domain Adaptation via Concise Propagation–Transformation Pipeline</v>
      </c>
      <c r="C68" s="189" t="s">
        <v>474</v>
      </c>
      <c r="D68" s="209" t="str">
        <f t="shared" si="1"/>
        <v>Multi-Source Unsupervised Graph Domain Adaptation via Concise Propagation–Transformation Pipeline
Jiayi Wang, Yi Li, Xin Zheng, Junyang Chen, Yanqing Guo,
Alan Wee-Chung Liew and Shirui Pan
</v>
      </c>
      <c r="E68" s="209" t="str">
        <f>IFERROR(__xludf.DUMMYFUNCTION("TEXTJOIN(CHAR(10), TRUE,FILTER('Research Papers'!$C:$C,'Research Papers'!$A:$A=C68))"),"Jiayi Wang, Yi Li, Xin Zheng, Junyang Chen, Yanqing Guo,
Alan Wee-Chung Liew and Shirui Pan")</f>
        <v>Jiayi Wang, Yi Li, Xin Zheng, Junyang Chen, Yanqing Guo,
Alan Wee-Chung Liew and Shirui Pan</v>
      </c>
      <c r="F68" s="209" t="str">
        <f>IFERROR(__xludf.DUMMYFUNCTION("TEXTJOIN(CHAR(10), TRUE,FILTER ('Sheridan Main'!E:E,'Sheridan Main'!B:B=C68))"),"jiayiwang@mail.dlut.edu.cn")</f>
        <v>jiayiwang@mail.dlut.edu.cn</v>
      </c>
      <c r="G68" s="210" t="str">
        <f>IFERROR(__xludf.DUMMYFUNCTION("CONCATENATE(""https://dl.acm.org/doi/"",INDEX(FILTER('Sheridan Main'!A:A,'Sheridan Main'!B:B=C68),1))"),"https://dl.acm.org/doi/10.1145/3774904.3792079")</f>
        <v>https://dl.acm.org/doi/10.1145/3774904.3792079</v>
      </c>
      <c r="H68" s="189" t="s">
        <v>200</v>
      </c>
      <c r="I68" s="209"/>
      <c r="J68" s="209"/>
      <c r="K68" s="147"/>
      <c r="L68" s="147"/>
      <c r="M68" s="209"/>
      <c r="N68" s="209"/>
      <c r="O68" s="209"/>
      <c r="P68" s="209"/>
      <c r="Q68" s="209"/>
      <c r="R68" s="209"/>
      <c r="S68" s="209"/>
      <c r="T68" s="209"/>
      <c r="U68" s="209"/>
      <c r="V68" s="209"/>
      <c r="W68" s="209"/>
      <c r="X68" s="209"/>
      <c r="Y68" s="209"/>
      <c r="Z68" s="209"/>
      <c r="AA68" s="209"/>
      <c r="AB68" s="209"/>
      <c r="AC68" s="209"/>
      <c r="AD68" s="209"/>
      <c r="AE68" s="209"/>
    </row>
    <row r="69">
      <c r="A69" s="208" t="s">
        <v>2879</v>
      </c>
      <c r="B69" s="189" t="str">
        <f>IFERROR(__xludf.DUMMYFUNCTION("FILTER ('Research Papers'!D:D,'Research Papers'!A:A=C69)"),"Graph Neural Network Model Transferability Estimation via Decomposition-Augmented Discriminant Analysis")</f>
        <v>Graph Neural Network Model Transferability Estimation via Decomposition-Augmented Discriminant Analysis</v>
      </c>
      <c r="C69" s="189" t="s">
        <v>660</v>
      </c>
      <c r="D69" s="209" t="str">
        <f t="shared" si="1"/>
        <v>Graph Neural Network Model Transferability Estimation via Decomposition-Augmented Discriminant Analysis
Huanchang Ma, Xin Zheng, Jianyu Li, Alan Wee-Chung Liew,
Wei Lan and Jian Gao
</v>
      </c>
      <c r="E69" s="209" t="str">
        <f>IFERROR(__xludf.DUMMYFUNCTION("TEXTJOIN(CHAR(10), TRUE,FILTER('Research Papers'!$C:$C,'Research Papers'!$A:$A=C69))"),"Huanchang Ma, Xin Zheng, Jianyu Li, Alan Wee-Chung Liew,
Wei Lan and Jian Gao")</f>
        <v>Huanchang Ma, Xin Zheng, Jianyu Li, Alan Wee-Chung Liew,
Wei Lan and Jian Gao</v>
      </c>
      <c r="F69" s="209" t="str">
        <f>IFERROR(__xludf.DUMMYFUNCTION("TEXTJOIN(CHAR(10), TRUE,FILTER ('Sheridan Main'!E:E,'Sheridan Main'!B:B=C69))"),"xin.zheng2@rmit.edu.au")</f>
        <v>xin.zheng2@rmit.edu.au</v>
      </c>
      <c r="G69" s="210" t="str">
        <f>IFERROR(__xludf.DUMMYFUNCTION("CONCATENATE(""https://dl.acm.org/doi/"",INDEX(FILTER('Sheridan Main'!A:A,'Sheridan Main'!B:B=C69),1))"),"https://dl.acm.org/doi/10.1145/3774904.3792172")</f>
        <v>https://dl.acm.org/doi/10.1145/3774904.3792172</v>
      </c>
      <c r="H69" s="189" t="s">
        <v>200</v>
      </c>
      <c r="I69" s="209"/>
      <c r="J69" s="209"/>
      <c r="K69" s="147"/>
      <c r="L69" s="147"/>
      <c r="M69" s="209"/>
      <c r="N69" s="209"/>
      <c r="O69" s="209"/>
      <c r="P69" s="209"/>
      <c r="Q69" s="209"/>
      <c r="R69" s="209"/>
      <c r="S69" s="209"/>
      <c r="T69" s="209"/>
      <c r="U69" s="209"/>
      <c r="V69" s="209"/>
      <c r="W69" s="209"/>
      <c r="X69" s="209"/>
      <c r="Y69" s="209"/>
      <c r="Z69" s="209"/>
      <c r="AA69" s="209"/>
      <c r="AB69" s="209"/>
      <c r="AC69" s="209"/>
      <c r="AD69" s="209"/>
      <c r="AE69" s="209"/>
    </row>
    <row r="70">
      <c r="A70" s="208" t="s">
        <v>2879</v>
      </c>
      <c r="B70" s="189" t="str">
        <f>IFERROR(__xludf.DUMMYFUNCTION("FILTER ('Research Papers'!D:D,'Research Papers'!A:A=C70)"),"PIGCN: Physics-Inspired Graph Convolution Networks for Heterogeneous Social Event Detection")</f>
        <v>PIGCN: Physics-Inspired Graph Convolution Networks for Heterogeneous Social Event Detection</v>
      </c>
      <c r="C70" s="189" t="s">
        <v>1024</v>
      </c>
      <c r="D70" s="209" t="str">
        <f t="shared" si="1"/>
        <v>PIGCN: Physics-Inspired Graph Convolution Networks for Heterogeneous Social Event Detection
Yongsheng Yu, Congbo Ma, Zitai Qiu, Shan Xue, Jian Yang and
Jia Wu
</v>
      </c>
      <c r="E70" s="209" t="str">
        <f>IFERROR(__xludf.DUMMYFUNCTION("TEXTJOIN(CHAR(10), TRUE,FILTER('Research Papers'!$C:$C,'Research Papers'!$A:$A=C70))"),"Yongsheng Yu, Congbo Ma, Zitai Qiu, Shan Xue, Jian Yang and
Jia Wu")</f>
        <v>Yongsheng Yu, Congbo Ma, Zitai Qiu, Shan Xue, Jian Yang and
Jia Wu</v>
      </c>
      <c r="F70" s="209" t="str">
        <f>IFERROR(__xludf.DUMMYFUNCTION("TEXTJOIN(CHAR(10), TRUE,FILTER ('Sheridan Main'!E:E,'Sheridan Main'!B:B=C70))"),"jia.wu@mq.edu.au")</f>
        <v>jia.wu@mq.edu.au</v>
      </c>
      <c r="G70" s="210" t="str">
        <f>IFERROR(__xludf.DUMMYFUNCTION("CONCATENATE(""https://dl.acm.org/doi/"",INDEX(FILTER('Sheridan Main'!A:A,'Sheridan Main'!B:B=C70),1))"),"https://dl.acm.org/doi/10.1145/3774904.3792354")</f>
        <v>https://dl.acm.org/doi/10.1145/3774904.3792354</v>
      </c>
      <c r="H70" s="189" t="s">
        <v>200</v>
      </c>
      <c r="I70" s="209"/>
      <c r="J70" s="209"/>
      <c r="K70" s="147"/>
      <c r="L70" s="147"/>
      <c r="M70" s="209"/>
      <c r="N70" s="209"/>
      <c r="O70" s="209"/>
      <c r="P70" s="209"/>
      <c r="Q70" s="209"/>
      <c r="R70" s="209"/>
      <c r="S70" s="209"/>
      <c r="T70" s="209"/>
      <c r="U70" s="209"/>
      <c r="V70" s="209"/>
      <c r="W70" s="209"/>
      <c r="X70" s="209"/>
      <c r="Y70" s="209"/>
      <c r="Z70" s="209"/>
      <c r="AA70" s="209"/>
      <c r="AB70" s="209"/>
      <c r="AC70" s="209"/>
      <c r="AD70" s="209"/>
      <c r="AE70" s="209"/>
    </row>
    <row r="71">
      <c r="A71" s="208" t="s">
        <v>2879</v>
      </c>
      <c r="B71" s="189" t="str">
        <f>IFERROR(__xludf.DUMMYFUNCTION("FILTER ('Research Papers'!D:D,'Research Papers'!A:A=C71)"),"MessageShift: Fine-Grained Data Augmentation for Graph Neural Networks")</f>
        <v>MessageShift: Fine-Grained Data Augmentation for Graph Neural Networks</v>
      </c>
      <c r="C71" s="189" t="s">
        <v>1168</v>
      </c>
      <c r="D71" s="209" t="str">
        <f t="shared" si="1"/>
        <v>MessageShift: Fine-Grained Data Augmentation for Graph Neural Networks
Weigang Lu, Zheng Liang, Yaming Yang, Ziyu Zheng, Meng Yan,
Beilei Ling, Ziyu Guan and Wei Zhao
</v>
      </c>
      <c r="E71" s="209" t="str">
        <f>IFERROR(__xludf.DUMMYFUNCTION("TEXTJOIN(CHAR(10), TRUE,FILTER('Research Papers'!$C:$C,'Research Papers'!$A:$A=C71))"),"Weigang Lu, Zheng Liang, Yaming Yang, Ziyu Zheng, Meng Yan,
Beilei Ling, Ziyu Guan and Wei Zhao")</f>
        <v>Weigang Lu, Zheng Liang, Yaming Yang, Ziyu Zheng, Meng Yan,
Beilei Ling, Ziyu Guan and Wei Zhao</v>
      </c>
      <c r="F71" s="209" t="str">
        <f>IFERROR(__xludf.DUMMYFUNCTION("TEXTJOIN(CHAR(10), TRUE,FILTER ('Sheridan Main'!E:E,'Sheridan Main'!B:B=C71))"),"liangz@ust.hk")</f>
        <v>liangz@ust.hk</v>
      </c>
      <c r="G71" s="210" t="str">
        <f>IFERROR(__xludf.DUMMYFUNCTION("CONCATENATE(""https://dl.acm.org/doi/"",INDEX(FILTER('Sheridan Main'!A:A,'Sheridan Main'!B:B=C71),1))"),"https://dl.acm.org/doi/10.1145/3774904.3792426")</f>
        <v>https://dl.acm.org/doi/10.1145/3774904.3792426</v>
      </c>
      <c r="H71" s="189" t="s">
        <v>200</v>
      </c>
      <c r="I71" s="209"/>
      <c r="J71" s="209"/>
      <c r="K71" s="147"/>
      <c r="L71" s="147"/>
      <c r="M71" s="209"/>
      <c r="N71" s="209"/>
      <c r="O71" s="209"/>
      <c r="P71" s="209"/>
      <c r="Q71" s="209"/>
      <c r="R71" s="209"/>
      <c r="S71" s="209"/>
      <c r="T71" s="209"/>
      <c r="U71" s="209"/>
      <c r="V71" s="209"/>
      <c r="W71" s="209"/>
      <c r="X71" s="209"/>
      <c r="Y71" s="209"/>
      <c r="Z71" s="209"/>
      <c r="AA71" s="209"/>
      <c r="AB71" s="209"/>
      <c r="AC71" s="209"/>
      <c r="AD71" s="209"/>
      <c r="AE71" s="209"/>
    </row>
    <row r="72">
      <c r="A72" s="208" t="s">
        <v>2879</v>
      </c>
      <c r="B72" s="189" t="str">
        <f>IFERROR(__xludf.DUMMYFUNCTION("FILTER ('Research Papers'!D:D,'Research Papers'!A:A=C72)"),"Collaborative Subgraph Learning based Spectrum Sensing under Partial Observations")</f>
        <v>Collaborative Subgraph Learning based Spectrum Sensing under Partial Observations</v>
      </c>
      <c r="C72" s="189" t="s">
        <v>1388</v>
      </c>
      <c r="D72" s="209" t="str">
        <f t="shared" si="1"/>
        <v>Collaborative Subgraph Learning based Spectrum Sensing under Partial Observations
Zhaowei Liu, Chang Liu, Dong Yang, Weiqing Yan, Yongchao
Song and Anzuo Jiang
</v>
      </c>
      <c r="E72" s="209" t="str">
        <f>IFERROR(__xludf.DUMMYFUNCTION("TEXTJOIN(CHAR(10), TRUE,FILTER('Research Papers'!$C:$C,'Research Papers'!$A:$A=C72))"),"Zhaowei Liu, Chang Liu, Dong Yang, Weiqing Yan, Yongchao
Song and Anzuo Jiang")</f>
        <v>Zhaowei Liu, Chang Liu, Dong Yang, Weiqing Yan, Yongchao
Song and Anzuo Jiang</v>
      </c>
      <c r="F72" s="209" t="str">
        <f>IFERROR(__xludf.DUMMYFUNCTION("TEXTJOIN(CHAR(10), TRUE,FILTER ('Sheridan Main'!E:E,'Sheridan Main'!B:B=C72))"),"azjiang403@ytu.edu.cn")</f>
        <v>azjiang403@ytu.edu.cn</v>
      </c>
      <c r="G72" s="210" t="str">
        <f>IFERROR(__xludf.DUMMYFUNCTION("CONCATENATE(""https://dl.acm.org/doi/"",INDEX(FILTER('Sheridan Main'!A:A,'Sheridan Main'!B:B=C72),1))"),"https://dl.acm.org/doi/10.1145/3774904.3792536")</f>
        <v>https://dl.acm.org/doi/10.1145/3774904.3792536</v>
      </c>
      <c r="H72" s="189" t="s">
        <v>200</v>
      </c>
      <c r="I72" s="209"/>
      <c r="J72" s="209"/>
      <c r="K72" s="147"/>
      <c r="L72" s="147"/>
      <c r="M72" s="209"/>
      <c r="N72" s="209"/>
      <c r="O72" s="209"/>
      <c r="P72" s="209"/>
      <c r="Q72" s="209"/>
      <c r="R72" s="209"/>
      <c r="S72" s="209"/>
      <c r="T72" s="209"/>
      <c r="U72" s="209"/>
      <c r="V72" s="209"/>
      <c r="W72" s="209"/>
      <c r="X72" s="209"/>
      <c r="Y72" s="209"/>
      <c r="Z72" s="209"/>
      <c r="AA72" s="209"/>
      <c r="AB72" s="209"/>
      <c r="AC72" s="209"/>
      <c r="AD72" s="209"/>
      <c r="AE72" s="209"/>
    </row>
    <row r="73">
      <c r="A73" s="208" t="s">
        <v>2879</v>
      </c>
      <c r="B73" s="189" t="str">
        <f>IFERROR(__xludf.DUMMYFUNCTION("FILTER ('Research Papers'!D:D,'Research Papers'!A:A=C73)"),"Unsupervised Subgraph Anomaly Detection based on Pattern Collaboration")</f>
        <v>Unsupervised Subgraph Anomaly Detection based on Pattern Collaboration</v>
      </c>
      <c r="C73" s="189" t="s">
        <v>744</v>
      </c>
      <c r="D73" s="209" t="str">
        <f t="shared" si="1"/>
        <v>Unsupervised Subgraph Anomaly Detection based on Pattern Collaboration
Sun Jiayang, Liu Shenghao, Deng Xianjun, Xiang Wei, Luo
Meng, Zhang Qiankun and Zheng Dandan
</v>
      </c>
      <c r="E73" s="209" t="str">
        <f>IFERROR(__xludf.DUMMYFUNCTION("TEXTJOIN(CHAR(10), TRUE,FILTER('Research Papers'!$C:$C,'Research Papers'!$A:$A=C73))"),"Sun Jiayang, Liu Shenghao, Deng Xianjun, Xiang Wei, Luo
Meng, Zhang Qiankun and Zheng Dandan")</f>
        <v>Sun Jiayang, Liu Shenghao, Deng Xianjun, Xiang Wei, Luo
Meng, Zhang Qiankun and Zheng Dandan</v>
      </c>
      <c r="F73" s="209" t="str">
        <f>IFERROR(__xludf.DUMMYFUNCTION("TEXTJOIN(CHAR(10), TRUE,FILTER ('Sheridan Main'!E:E,'Sheridan Main'!B:B=C73))"),"liushenghao@hust.edu.cn")</f>
        <v>liushenghao@hust.edu.cn</v>
      </c>
      <c r="G73" s="210" t="str">
        <f>IFERROR(__xludf.DUMMYFUNCTION("CONCATENATE(""https://dl.acm.org/doi/"",INDEX(FILTER('Sheridan Main'!A:A,'Sheridan Main'!B:B=C73),1))"),"https://dl.acm.org/doi/10.1145/3774904.3792214")</f>
        <v>https://dl.acm.org/doi/10.1145/3774904.3792214</v>
      </c>
      <c r="H73" s="189" t="s">
        <v>76</v>
      </c>
      <c r="I73" s="209"/>
      <c r="J73" s="209"/>
      <c r="K73" s="147"/>
      <c r="L73" s="147"/>
      <c r="M73" s="209"/>
      <c r="N73" s="209"/>
      <c r="O73" s="209"/>
      <c r="P73" s="209"/>
      <c r="Q73" s="209"/>
      <c r="R73" s="209"/>
      <c r="S73" s="209"/>
      <c r="T73" s="209"/>
      <c r="U73" s="209"/>
      <c r="V73" s="209"/>
      <c r="W73" s="209"/>
      <c r="X73" s="209"/>
      <c r="Y73" s="209"/>
      <c r="Z73" s="209"/>
      <c r="AA73" s="209"/>
      <c r="AB73" s="209"/>
      <c r="AC73" s="209"/>
      <c r="AD73" s="209"/>
      <c r="AE73" s="209"/>
    </row>
    <row r="74">
      <c r="A74" s="208" t="s">
        <v>2879</v>
      </c>
      <c r="B74" s="189" t="str">
        <f>IFERROR(__xludf.DUMMYFUNCTION("FILTER ('Research Papers'!D:D,'Research Papers'!A:A=C74)"),"DP-DGAD: A Generalist Dynamic Graph Anomaly Detector with Dynamic Prototypes")</f>
        <v>DP-DGAD: A Generalist Dynamic Graph Anomaly Detector with Dynamic Prototypes</v>
      </c>
      <c r="C74" s="189" t="s">
        <v>852</v>
      </c>
      <c r="D74" s="209" t="str">
        <f t="shared" si="1"/>
        <v>DP-DGAD: A Generalist Dynamic Graph Anomaly Detector with Dynamic Prototypes
Jialun Zheng, Jie Liu, Jiannong Cao, Xiao Wang, Hanchen
Yang and Yankai Chen
</v>
      </c>
      <c r="E74" s="209" t="str">
        <f>IFERROR(__xludf.DUMMYFUNCTION("TEXTJOIN(CHAR(10), TRUE,FILTER('Research Papers'!$C:$C,'Research Papers'!$A:$A=C74))"),"Jialun Zheng, Jie Liu, Jiannong Cao, Xiao Wang, Hanchen
Yang and Yankai Chen")</f>
        <v>Jialun Zheng, Jie Liu, Jiannong Cao, Xiao Wang, Hanchen
Yang and Yankai Chen</v>
      </c>
      <c r="F74" s="209" t="str">
        <f>IFERROR(__xludf.DUMMYFUNCTION("TEXTJOIN(CHAR(10), TRUE,FILTER ('Sheridan Main'!E:E,'Sheridan Main'!B:B=C74))"),"hanchen.yang@connect.polyu.hk")</f>
        <v>hanchen.yang@connect.polyu.hk</v>
      </c>
      <c r="G74" s="210" t="str">
        <f>IFERROR(__xludf.DUMMYFUNCTION("CONCATENATE(""https://dl.acm.org/doi/"",INDEX(FILTER('Sheridan Main'!A:A,'Sheridan Main'!B:B=C74),1))"),"https://dl.acm.org/doi/10.1145/3774904.3792268")</f>
        <v>https://dl.acm.org/doi/10.1145/3774904.3792268</v>
      </c>
      <c r="H74" s="189" t="s">
        <v>76</v>
      </c>
      <c r="I74" s="209"/>
      <c r="J74" s="209"/>
      <c r="K74" s="147"/>
      <c r="L74" s="147"/>
      <c r="M74" s="209"/>
      <c r="N74" s="209"/>
      <c r="O74" s="209"/>
      <c r="P74" s="209"/>
      <c r="Q74" s="209"/>
      <c r="R74" s="209"/>
      <c r="S74" s="209"/>
      <c r="T74" s="209"/>
      <c r="U74" s="209"/>
      <c r="V74" s="209"/>
      <c r="W74" s="209"/>
      <c r="X74" s="209"/>
      <c r="Y74" s="209"/>
      <c r="Z74" s="209"/>
      <c r="AA74" s="209"/>
      <c r="AB74" s="209"/>
      <c r="AC74" s="209"/>
      <c r="AD74" s="209"/>
      <c r="AE74" s="209"/>
    </row>
    <row r="75">
      <c r="A75" s="208" t="s">
        <v>2879</v>
      </c>
      <c r="B75" s="189" t="str">
        <f>IFERROR(__xludf.DUMMYFUNCTION("FILTER ('Research Papers'!D:D,'Research Papers'!A:A=C75)"),"Anomaly Detection of Interaction Behaviors in Streaming Graphs")</f>
        <v>Anomaly Detection of Interaction Behaviors in Streaming Graphs</v>
      </c>
      <c r="C75" s="189" t="s">
        <v>880</v>
      </c>
      <c r="D75" s="209" t="str">
        <f t="shared" si="1"/>
        <v>Anomaly Detection of Interaction Behaviors in Streaming Graphs
Shuai Ren, Fan Zhang, Bolin Wang, Xiang Zhao and Zhihong
Tian
</v>
      </c>
      <c r="E75" s="209" t="str">
        <f>IFERROR(__xludf.DUMMYFUNCTION("TEXTJOIN(CHAR(10), TRUE,FILTER('Research Papers'!$C:$C,'Research Papers'!$A:$A=C75))"),"Shuai Ren, Fan Zhang, Bolin Wang, Xiang Zhao and Zhihong
Tian")</f>
        <v>Shuai Ren, Fan Zhang, Bolin Wang, Xiang Zhao and Zhihong
Tian</v>
      </c>
      <c r="F75" s="209" t="str">
        <f>IFERROR(__xludf.DUMMYFUNCTION("TEXTJOIN(CHAR(10), TRUE,FILTER ('Sheridan Main'!E:E,'Sheridan Main'!B:B=C75))"),"zhangf@gzhu.edu.cn")</f>
        <v>zhangf@gzhu.edu.cn</v>
      </c>
      <c r="G75" s="210" t="str">
        <f>IFERROR(__xludf.DUMMYFUNCTION("CONCATENATE(""https://dl.acm.org/doi/"",INDEX(FILTER('Sheridan Main'!A:A,'Sheridan Main'!B:B=C75),1))"),"https://dl.acm.org/doi/10.1145/3774904.3792282")</f>
        <v>https://dl.acm.org/doi/10.1145/3774904.3792282</v>
      </c>
      <c r="H75" s="189" t="s">
        <v>76</v>
      </c>
      <c r="I75" s="209"/>
      <c r="J75" s="209"/>
      <c r="K75" s="147"/>
      <c r="L75" s="147"/>
      <c r="M75" s="209"/>
      <c r="N75" s="209"/>
      <c r="O75" s="209"/>
      <c r="P75" s="209"/>
      <c r="Q75" s="209"/>
      <c r="R75" s="209"/>
      <c r="S75" s="209"/>
      <c r="T75" s="209"/>
      <c r="U75" s="209"/>
      <c r="V75" s="209"/>
      <c r="W75" s="209"/>
      <c r="X75" s="209"/>
      <c r="Y75" s="209"/>
      <c r="Z75" s="209"/>
      <c r="AA75" s="209"/>
      <c r="AB75" s="209"/>
      <c r="AC75" s="209"/>
      <c r="AD75" s="209"/>
      <c r="AE75" s="209"/>
    </row>
    <row r="76">
      <c r="A76" s="208" t="s">
        <v>2879</v>
      </c>
      <c r="B76" s="189" t="str">
        <f>IFERROR(__xludf.DUMMYFUNCTION("FILTER ('Research Papers'!D:D,'Research Papers'!A:A=C76)"),"PAGE: Progressive Anomaly Generation Network for Semi-supervised Graph Anomaly Detection")</f>
        <v>PAGE: Progressive Anomaly Generation Network for Semi-supervised Graph Anomaly Detection</v>
      </c>
      <c r="C76" s="189" t="s">
        <v>996</v>
      </c>
      <c r="D76" s="209" t="str">
        <f t="shared" si="1"/>
        <v>PAGE: Progressive Anomaly Generation Network for Semi-supervised Graph Anomaly Detection
Ting Guo, Dongyu Pei, Gangzhu Qiao, Kaixuan Yao and Da Wang
</v>
      </c>
      <c r="E76" s="209" t="str">
        <f>IFERROR(__xludf.DUMMYFUNCTION("TEXTJOIN(CHAR(10), TRUE,FILTER('Research Papers'!$C:$C,'Research Papers'!$A:$A=C76))"),"Ting Guo, Dongyu Pei, Gangzhu Qiao, Kaixuan Yao and Da Wang")</f>
        <v>Ting Guo, Dongyu Pei, Gangzhu Qiao, Kaixuan Yao and Da Wang</v>
      </c>
      <c r="F76" s="209" t="str">
        <f>IFERROR(__xludf.DUMMYFUNCTION("TEXTJOIN(CHAR(10), TRUE,FILTER ('Sheridan Main'!E:E,'Sheridan Main'!B:B=C76))"),"qiaogangzhu@sohu.com")</f>
        <v>qiaogangzhu@sohu.com</v>
      </c>
      <c r="G76" s="210" t="str">
        <f>IFERROR(__xludf.DUMMYFUNCTION("CONCATENATE(""https://dl.acm.org/doi/"",INDEX(FILTER('Sheridan Main'!A:A,'Sheridan Main'!B:B=C76),1))"),"https://dl.acm.org/doi/10.1145/3774904.3792340")</f>
        <v>https://dl.acm.org/doi/10.1145/3774904.3792340</v>
      </c>
      <c r="H76" s="189" t="s">
        <v>76</v>
      </c>
      <c r="I76" s="209"/>
      <c r="J76" s="209"/>
      <c r="K76" s="147"/>
      <c r="L76" s="147"/>
      <c r="M76" s="209"/>
      <c r="N76" s="209"/>
      <c r="O76" s="209"/>
      <c r="P76" s="209"/>
      <c r="Q76" s="209"/>
      <c r="R76" s="209"/>
      <c r="S76" s="209"/>
      <c r="T76" s="209"/>
      <c r="U76" s="209"/>
      <c r="V76" s="209"/>
      <c r="W76" s="209"/>
      <c r="X76" s="209"/>
      <c r="Y76" s="209"/>
      <c r="Z76" s="209"/>
      <c r="AA76" s="209"/>
      <c r="AB76" s="209"/>
      <c r="AC76" s="209"/>
      <c r="AD76" s="209"/>
      <c r="AE76" s="209"/>
    </row>
    <row r="77">
      <c r="A77" s="208" t="s">
        <v>2879</v>
      </c>
      <c r="B77" s="189" t="str">
        <f>IFERROR(__xludf.DUMMYFUNCTION("FILTER ('Research Papers'!D:D,'Research Papers'!A:A=C77)"),"Cross-Type Semantic Alignment for Multi-Type Anomaly Detection in Heterogeneous Graphs")</f>
        <v>Cross-Type Semantic Alignment for Multi-Type Anomaly Detection in Heterogeneous Graphs</v>
      </c>
      <c r="C77" s="189" t="s">
        <v>1054</v>
      </c>
      <c r="D77" s="209" t="str">
        <f t="shared" si="1"/>
        <v>Cross-Type Semantic Alignment for Multi-Type Anomaly Detection in Heterogeneous Graphs
Di Jin, Xiao Huang, Xiaobao Wang, Fengyu Yan, Luzhi Wang
and Hongxiang Liang
</v>
      </c>
      <c r="E77" s="209" t="str">
        <f>IFERROR(__xludf.DUMMYFUNCTION("TEXTJOIN(CHAR(10), TRUE,FILTER('Research Papers'!$C:$C,'Research Papers'!$A:$A=C77))"),"Di Jin, Xiao Huang, Xiaobao Wang, Fengyu Yan, Luzhi Wang
and Hongxiang Liang")</f>
        <v>Di Jin, Xiao Huang, Xiaobao Wang, Fengyu Yan, Luzhi Wang
and Hongxiang Liang</v>
      </c>
      <c r="F77" s="209" t="str">
        <f>IFERROR(__xludf.DUMMYFUNCTION("TEXTJOIN(CHAR(10), TRUE,FILTER ('Sheridan Main'!E:E,'Sheridan Main'!B:B=C77))"),"2024244227@tju.edu.cn")</f>
        <v>2024244227@tju.edu.cn</v>
      </c>
      <c r="G77" s="210" t="str">
        <f>IFERROR(__xludf.DUMMYFUNCTION("CONCATENATE(""https://dl.acm.org/doi/"",INDEX(FILTER('Sheridan Main'!A:A,'Sheridan Main'!B:B=C77),1))"),"https://dl.acm.org/doi/10.1145/3774904.3792369")</f>
        <v>https://dl.acm.org/doi/10.1145/3774904.3792369</v>
      </c>
      <c r="H77" s="189" t="s">
        <v>76</v>
      </c>
      <c r="I77" s="209"/>
      <c r="J77" s="209"/>
      <c r="K77" s="147"/>
      <c r="L77" s="147"/>
      <c r="M77" s="209"/>
      <c r="N77" s="209"/>
      <c r="O77" s="209"/>
      <c r="P77" s="209"/>
      <c r="Q77" s="209"/>
      <c r="R77" s="209"/>
      <c r="S77" s="209"/>
      <c r="T77" s="209"/>
      <c r="U77" s="209"/>
      <c r="V77" s="209"/>
      <c r="W77" s="209"/>
      <c r="X77" s="209"/>
      <c r="Y77" s="209"/>
      <c r="Z77" s="209"/>
      <c r="AA77" s="209"/>
      <c r="AB77" s="209"/>
      <c r="AC77" s="209"/>
      <c r="AD77" s="209"/>
      <c r="AE77" s="209"/>
    </row>
    <row r="78">
      <c r="A78" s="208" t="s">
        <v>2879</v>
      </c>
      <c r="B78" s="189" t="str">
        <f>IFERROR(__xludf.DUMMYFUNCTION("FILTER ('Research Papers'!D:D,'Research Papers'!A:A=C78)"),"Riemannian Liquid Spatio-Temporal Graph Network")</f>
        <v>Riemannian Liquid Spatio-Temporal Graph Network</v>
      </c>
      <c r="C78" s="189" t="s">
        <v>496</v>
      </c>
      <c r="D78" s="209" t="str">
        <f t="shared" si="1"/>
        <v>Riemannian Liquid Spatio-Temporal Graph Network
Liangsi Lu, Jingchao Wang, Zhaorong Dai, Hanqian Liu and
Yang Shi
</v>
      </c>
      <c r="E78" s="209" t="str">
        <f>IFERROR(__xludf.DUMMYFUNCTION("TEXTJOIN(CHAR(10), TRUE,FILTER('Research Papers'!$C:$C,'Research Papers'!$A:$A=C78))"),"Liangsi Lu, Jingchao Wang, Zhaorong Dai, Hanqian Liu and
Yang Shi")</f>
        <v>Liangsi Lu, Jingchao Wang, Zhaorong Dai, Hanqian Liu and
Yang Shi</v>
      </c>
      <c r="F78" s="209" t="str">
        <f>IFERROR(__xludf.DUMMYFUNCTION("TEXTJOIN(CHAR(10), TRUE,FILTER ('Sheridan Main'!E:E,'Sheridan Main'!B:B=C78))"),"sudo.shiyang@gmail.com")</f>
        <v>sudo.shiyang@gmail.com</v>
      </c>
      <c r="G78" s="210" t="str">
        <f>IFERROR(__xludf.DUMMYFUNCTION("CONCATENATE(""https://dl.acm.org/doi/"",INDEX(FILTER('Sheridan Main'!A:A,'Sheridan Main'!B:B=C78),1))"),"https://dl.acm.org/doi/10.1145/3774904.3792090")</f>
        <v>https://dl.acm.org/doi/10.1145/3774904.3792090</v>
      </c>
      <c r="H78" s="189" t="s">
        <v>99</v>
      </c>
      <c r="I78" s="209"/>
      <c r="J78" s="209"/>
      <c r="K78" s="147"/>
      <c r="L78" s="147"/>
      <c r="M78" s="209"/>
      <c r="N78" s="209"/>
      <c r="O78" s="209"/>
      <c r="P78" s="209"/>
      <c r="Q78" s="209"/>
      <c r="R78" s="209"/>
      <c r="S78" s="209"/>
      <c r="T78" s="209"/>
      <c r="U78" s="209"/>
      <c r="V78" s="209"/>
      <c r="W78" s="209"/>
      <c r="X78" s="209"/>
      <c r="Y78" s="209"/>
      <c r="Z78" s="209"/>
      <c r="AA78" s="209"/>
      <c r="AB78" s="209"/>
      <c r="AC78" s="209"/>
      <c r="AD78" s="209"/>
      <c r="AE78" s="209"/>
    </row>
    <row r="79">
      <c r="A79" s="208" t="s">
        <v>2879</v>
      </c>
      <c r="B79" s="189" t="str">
        <f>IFERROR(__xludf.DUMMYFUNCTION("FILTER ('Research Papers'!D:D,'Research Papers'!A:A=C79)"),"Diffusion-based Kriging Model with Graph-enhanced Attention")</f>
        <v>Diffusion-based Kriging Model with Graph-enhanced Attention</v>
      </c>
      <c r="C79" s="189" t="s">
        <v>524</v>
      </c>
      <c r="D79" s="209" t="str">
        <f t="shared" si="1"/>
        <v>Diffusion-based Kriging Model with Graph-enhanced Attention
Mingtao Zhang, Guoli Yang, Zhanxing Zhu, Guangyin Jin,
Mengzhu Wang and Xiaoying Bai
</v>
      </c>
      <c r="E79" s="209" t="str">
        <f>IFERROR(__xludf.DUMMYFUNCTION("TEXTJOIN(CHAR(10), TRUE,FILTER('Research Papers'!$C:$C,'Research Papers'!$A:$A=C79))"),"Mingtao Zhang, Guoli Yang, Zhanxing Zhu, Guangyin Jin,
Mengzhu Wang and Xiaoying Bai")</f>
        <v>Mingtao Zhang, Guoli Yang, Zhanxing Zhu, Guangyin Jin,
Mengzhu Wang and Xiaoying Bai</v>
      </c>
      <c r="F79" s="209" t="str">
        <f>IFERROR(__xludf.DUMMYFUNCTION("TEXTJOIN(CHAR(10), TRUE,FILTER ('Sheridan Main'!E:E,'Sheridan Main'!B:B=C79))"),"guoliyangcn@outlook.com")</f>
        <v>guoliyangcn@outlook.com</v>
      </c>
      <c r="G79" s="210" t="str">
        <f>IFERROR(__xludf.DUMMYFUNCTION("CONCATENATE(""https://dl.acm.org/doi/"",INDEX(FILTER('Sheridan Main'!A:A,'Sheridan Main'!B:B=C79),1))"),"https://dl.acm.org/doi/10.1145/3774904.3792104")</f>
        <v>https://dl.acm.org/doi/10.1145/3774904.3792104</v>
      </c>
      <c r="H79" s="189" t="s">
        <v>99</v>
      </c>
      <c r="I79" s="209"/>
      <c r="J79" s="209"/>
      <c r="K79" s="147"/>
      <c r="L79" s="147"/>
      <c r="M79" s="209"/>
      <c r="N79" s="209"/>
      <c r="O79" s="209"/>
      <c r="P79" s="209"/>
      <c r="Q79" s="209"/>
      <c r="R79" s="209"/>
      <c r="S79" s="209"/>
      <c r="T79" s="209"/>
      <c r="U79" s="209"/>
      <c r="V79" s="209"/>
      <c r="W79" s="209"/>
      <c r="X79" s="209"/>
      <c r="Y79" s="209"/>
      <c r="Z79" s="209"/>
      <c r="AA79" s="209"/>
      <c r="AB79" s="209"/>
      <c r="AC79" s="209"/>
      <c r="AD79" s="209"/>
      <c r="AE79" s="209"/>
    </row>
    <row r="80">
      <c r="A80" s="208" t="s">
        <v>2879</v>
      </c>
      <c r="B80" s="189" t="str">
        <f>IFERROR(__xludf.DUMMYFUNCTION("FILTER ('Research Papers'!D:D,'Research Papers'!A:A=C80)"),"Graph Retention Networks for Dynamic Graphs")</f>
        <v>Graph Retention Networks for Dynamic Graphs</v>
      </c>
      <c r="C80" s="189" t="s">
        <v>530</v>
      </c>
      <c r="D80" s="209" t="str">
        <f t="shared" si="1"/>
        <v>Graph Retention Networks for Dynamic Graphs
Qian Chang, Xia Li, Xiufeng Cheng, Runsong Jia, Jinqing
Yang, Guoping Hu and Ciprian Doru Giurcaneanu
</v>
      </c>
      <c r="E80" s="209" t="str">
        <f>IFERROR(__xludf.DUMMYFUNCTION("TEXTJOIN(CHAR(10), TRUE,FILTER('Research Papers'!$C:$C,'Research Papers'!$A:$A=C80))"),"Qian Chang, Xia Li, Xiufeng Cheng, Runsong Jia, Jinqing
Yang, Guoping Hu and Ciprian Doru Giurcaneanu")</f>
        <v>Qian Chang, Xia Li, Xiufeng Cheng, Runsong Jia, Jinqing
Yang, Guoping Hu and Ciprian Doru Giurcaneanu</v>
      </c>
      <c r="F80" s="209" t="str">
        <f>IFERROR(__xludf.DUMMYFUNCTION("TEXTJOIN(CHAR(10), TRUE,FILTER ('Sheridan Main'!E:E,'Sheridan Main'!B:B=C80))"),"lixia@ccnu.edu.cn")</f>
        <v>lixia@ccnu.edu.cn</v>
      </c>
      <c r="G80" s="210" t="str">
        <f>IFERROR(__xludf.DUMMYFUNCTION("CONCATENATE(""https://dl.acm.org/doi/"",INDEX(FILTER('Sheridan Main'!A:A,'Sheridan Main'!B:B=C80),1))"),"https://dl.acm.org/doi/10.1145/3774904.3792107")</f>
        <v>https://dl.acm.org/doi/10.1145/3774904.3792107</v>
      </c>
      <c r="H80" s="189" t="s">
        <v>99</v>
      </c>
      <c r="I80" s="209"/>
      <c r="J80" s="209"/>
      <c r="K80" s="147"/>
      <c r="L80" s="147"/>
      <c r="M80" s="209"/>
      <c r="N80" s="209"/>
      <c r="O80" s="209"/>
      <c r="P80" s="209"/>
      <c r="Q80" s="209"/>
      <c r="R80" s="209"/>
      <c r="S80" s="209"/>
      <c r="T80" s="209"/>
      <c r="U80" s="209"/>
      <c r="V80" s="209"/>
      <c r="W80" s="209"/>
      <c r="X80" s="209"/>
      <c r="Y80" s="209"/>
      <c r="Z80" s="209"/>
      <c r="AA80" s="209"/>
      <c r="AB80" s="209"/>
      <c r="AC80" s="209"/>
      <c r="AD80" s="209"/>
      <c r="AE80" s="209"/>
    </row>
    <row r="81">
      <c r="A81" s="208" t="s">
        <v>2879</v>
      </c>
      <c r="B81" s="189" t="str">
        <f>IFERROR(__xludf.DUMMYFUNCTION("FILTER ('Research Papers'!D:D,'Research Papers'!A:A=C81)"),"Network Dismantling via Reverse Dismantling: Static and Dynamic Algorithms")</f>
        <v>Network Dismantling via Reverse Dismantling: Static and Dynamic Algorithms</v>
      </c>
      <c r="C81" s="189" t="s">
        <v>948</v>
      </c>
      <c r="D81" s="209" t="str">
        <f t="shared" si="1"/>
        <v>Network Dismantling via Reverse Dismantling: Static and Dynamic Algorithms
Jinyu Duan, Sijin Wang, Fan Zhang, Xiang Zhao, Wenjie Zhang
and Zhihong Tian
</v>
      </c>
      <c r="E81" s="209" t="str">
        <f>IFERROR(__xludf.DUMMYFUNCTION("TEXTJOIN(CHAR(10), TRUE,FILTER('Research Papers'!$C:$C,'Research Papers'!$A:$A=C81))"),"Jinyu Duan, Sijin Wang, Fan Zhang, Xiang Zhao, Wenjie Zhang
and Zhihong Tian")</f>
        <v>Jinyu Duan, Sijin Wang, Fan Zhang, Xiang Zhao, Wenjie Zhang
and Zhihong Tian</v>
      </c>
      <c r="F81" s="209" t="str">
        <f>IFERROR(__xludf.DUMMYFUNCTION("TEXTJOIN(CHAR(10), TRUE,FILTER ('Sheridan Main'!E:E,'Sheridan Main'!B:B=C81))"),"zhangf@gzhu.edu.cn")</f>
        <v>zhangf@gzhu.edu.cn</v>
      </c>
      <c r="G81" s="210" t="str">
        <f>IFERROR(__xludf.DUMMYFUNCTION("CONCATENATE(""https://dl.acm.org/doi/"",INDEX(FILTER('Sheridan Main'!A:A,'Sheridan Main'!B:B=C81),1))"),"https://dl.acm.org/doi/10.1145/3774904.3792316")</f>
        <v>https://dl.acm.org/doi/10.1145/3774904.3792316</v>
      </c>
      <c r="H81" s="189" t="s">
        <v>99</v>
      </c>
      <c r="I81" s="209"/>
      <c r="J81" s="209"/>
      <c r="K81" s="147"/>
      <c r="L81" s="147"/>
      <c r="M81" s="209"/>
      <c r="N81" s="209"/>
      <c r="O81" s="209"/>
      <c r="P81" s="209"/>
      <c r="Q81" s="209"/>
      <c r="R81" s="209"/>
      <c r="S81" s="209"/>
      <c r="T81" s="209"/>
      <c r="U81" s="209"/>
      <c r="V81" s="209"/>
      <c r="W81" s="209"/>
      <c r="X81" s="209"/>
      <c r="Y81" s="209"/>
      <c r="Z81" s="209"/>
      <c r="AA81" s="209"/>
      <c r="AB81" s="209"/>
      <c r="AC81" s="209"/>
      <c r="AD81" s="209"/>
      <c r="AE81" s="209"/>
    </row>
    <row r="82">
      <c r="A82" s="208" t="s">
        <v>2879</v>
      </c>
      <c r="B82" s="189" t="str">
        <f>IFERROR(__xludf.DUMMYFUNCTION("FILTER ('Research Papers'!D:D,'Research Papers'!A:A=C82)"),"Zero-Shot Forecasting of Network Dynamics through Weight Flow Matching")</f>
        <v>Zero-Shot Forecasting of Network Dynamics through Weight Flow Matching</v>
      </c>
      <c r="C82" s="189" t="s">
        <v>1760</v>
      </c>
      <c r="D82" s="209" t="str">
        <f t="shared" si="1"/>
        <v>Zero-Shot Forecasting of Network Dynamics through Weight Flow Matching
Shihe Zhou, Ruikun Li, Huandong Wang and Yong Li
</v>
      </c>
      <c r="E82" s="209" t="str">
        <f>IFERROR(__xludf.DUMMYFUNCTION("TEXTJOIN(CHAR(10), TRUE,FILTER('Research Papers'!$C:$C,'Research Papers'!$A:$A=C82))"),"Shihe Zhou, Ruikun Li, Huandong Wang and Yong Li")</f>
        <v>Shihe Zhou, Ruikun Li, Huandong Wang and Yong Li</v>
      </c>
      <c r="F82" s="209" t="str">
        <f>IFERROR(__xludf.DUMMYFUNCTION("TEXTJOIN(CHAR(10), TRUE,FILTER ('Sheridan Main'!E:E,'Sheridan Main'!B:B=C82))"),"wanghuandong@tsinghua.edu.cn")</f>
        <v>wanghuandong@tsinghua.edu.cn</v>
      </c>
      <c r="G82" s="210" t="str">
        <f>IFERROR(__xludf.DUMMYFUNCTION("CONCATENATE(""https://dl.acm.org/doi/"",INDEX(FILTER('Sheridan Main'!A:A,'Sheridan Main'!B:B=C82),1))"),"https://dl.acm.org/doi/10.1145/3774904.3792722")</f>
        <v>https://dl.acm.org/doi/10.1145/3774904.3792722</v>
      </c>
      <c r="H82" s="189" t="s">
        <v>99</v>
      </c>
      <c r="I82" s="209"/>
      <c r="J82" s="209"/>
      <c r="K82" s="147"/>
      <c r="L82" s="147"/>
      <c r="M82" s="209"/>
      <c r="N82" s="209"/>
      <c r="O82" s="209"/>
      <c r="P82" s="209"/>
      <c r="Q82" s="209"/>
      <c r="R82" s="209"/>
      <c r="S82" s="209"/>
      <c r="T82" s="209"/>
      <c r="U82" s="209"/>
      <c r="V82" s="209"/>
      <c r="W82" s="209"/>
      <c r="X82" s="209"/>
      <c r="Y82" s="209"/>
      <c r="Z82" s="209"/>
      <c r="AA82" s="209"/>
      <c r="AB82" s="209"/>
      <c r="AC82" s="209"/>
      <c r="AD82" s="209"/>
      <c r="AE82" s="209"/>
    </row>
    <row r="83">
      <c r="A83" s="208" t="s">
        <v>2879</v>
      </c>
      <c r="B83" s="189" t="str">
        <f>IFERROR(__xludf.DUMMYFUNCTION("FILTER ('Research Papers'!D:D,'Research Papers'!A:A=C83)"),"Toward Graph-Tokenizing Large Language Models with Reconstructive Graph Instruction Tuning")</f>
        <v>Toward Graph-Tokenizing Large Language Models with Reconstructive Graph Instruction Tuning</v>
      </c>
      <c r="C83" s="189" t="s">
        <v>470</v>
      </c>
      <c r="D83" s="209" t="str">
        <f t="shared" si="1"/>
        <v>Toward Graph-Tokenizing Large Language Models with Reconstructive Graph Instruction Tuning
Zhongjian Zhang, Xiao Wang, Mengmei Zhang, Jiarui Tan and
Chuan Shi
</v>
      </c>
      <c r="E83" s="209" t="str">
        <f>IFERROR(__xludf.DUMMYFUNCTION("TEXTJOIN(CHAR(10), TRUE,FILTER('Research Papers'!$C:$C,'Research Papers'!$A:$A=C83))"),"Zhongjian Zhang, Xiao Wang, Mengmei Zhang, Jiarui Tan and
Chuan Shi")</f>
        <v>Zhongjian Zhang, Xiao Wang, Mengmei Zhang, Jiarui Tan and
Chuan Shi</v>
      </c>
      <c r="F83" s="209" t="str">
        <f>IFERROR(__xludf.DUMMYFUNCTION("TEXTJOIN(CHAR(10), TRUE,FILTER ('Sheridan Main'!E:E,'Sheridan Main'!B:B=C83))"),"zhangzj@bupt.edu.cn")</f>
        <v>zhangzj@bupt.edu.cn</v>
      </c>
      <c r="G83" s="210" t="str">
        <f>IFERROR(__xludf.DUMMYFUNCTION("CONCATENATE(""https://dl.acm.org/doi/"",INDEX(FILTER('Sheridan Main'!A:A,'Sheridan Main'!B:B=C83),1))"),"https://dl.acm.org/doi/10.1145/3774904.3792077")</f>
        <v>https://dl.acm.org/doi/10.1145/3774904.3792077</v>
      </c>
      <c r="H83" s="189" t="s">
        <v>133</v>
      </c>
      <c r="I83" s="209"/>
      <c r="J83" s="209"/>
      <c r="K83" s="147"/>
      <c r="L83" s="147"/>
      <c r="M83" s="209"/>
      <c r="N83" s="209"/>
      <c r="O83" s="209"/>
      <c r="P83" s="209"/>
      <c r="Q83" s="209"/>
      <c r="R83" s="209"/>
      <c r="S83" s="209"/>
      <c r="T83" s="209"/>
      <c r="U83" s="209"/>
      <c r="V83" s="209"/>
      <c r="W83" s="209"/>
      <c r="X83" s="209"/>
      <c r="Y83" s="209"/>
      <c r="Z83" s="209"/>
      <c r="AA83" s="209"/>
      <c r="AB83" s="209"/>
      <c r="AC83" s="209"/>
      <c r="AD83" s="209"/>
      <c r="AE83" s="209"/>
    </row>
    <row r="84">
      <c r="A84" s="208" t="s">
        <v>2879</v>
      </c>
      <c r="B84" s="189" t="str">
        <f>IFERROR(__xludf.DUMMYFUNCTION("FILTER ('Research Papers'!D:D,'Research Papers'!A:A=C84)"),"Beyond Single-Granularity Prompts: A Multi-Scale Chain-of-Thought Prompt Learning for Graph")</f>
        <v>Beyond Single-Granularity Prompts: A Multi-Scale Chain-of-Thought Prompt Learning for Graph</v>
      </c>
      <c r="C84" s="189" t="s">
        <v>546</v>
      </c>
      <c r="D84" s="209" t="str">
        <f t="shared" si="1"/>
        <v>Beyond Single-Granularity Prompts: A Multi-Scale Chain-of-Thought Prompt Learning for Graph
Ziyu Zheng, Yaming Yang, Ziyu Guan, Wei Zhao, Xinyan Huang
and Weigang Lu
</v>
      </c>
      <c r="E84" s="209" t="str">
        <f>IFERROR(__xludf.DUMMYFUNCTION("TEXTJOIN(CHAR(10), TRUE,FILTER('Research Papers'!$C:$C,'Research Papers'!$A:$A=C84))"),"Ziyu Zheng, Yaming Yang, Ziyu Guan, Wei Zhao, Xinyan Huang
and Weigang Lu")</f>
        <v>Ziyu Zheng, Yaming Yang, Ziyu Guan, Wei Zhao, Xinyan Huang
and Weigang Lu</v>
      </c>
      <c r="F84" s="209" t="str">
        <f>IFERROR(__xludf.DUMMYFUNCTION("TEXTJOIN(CHAR(10), TRUE,FILTER ('Sheridan Main'!E:E,'Sheridan Main'!B:B=C84))"),"ywzhao@mail.xidian.edu.cn")</f>
        <v>ywzhao@mail.xidian.edu.cn</v>
      </c>
      <c r="G84" s="210" t="str">
        <f>IFERROR(__xludf.DUMMYFUNCTION("CONCATENATE(""https://dl.acm.org/doi/"",INDEX(FILTER('Sheridan Main'!A:A,'Sheridan Main'!B:B=C84),1))"),"https://dl.acm.org/doi/10.1145/3774904.3792115")</f>
        <v>https://dl.acm.org/doi/10.1145/3774904.3792115</v>
      </c>
      <c r="H84" s="189" t="s">
        <v>133</v>
      </c>
      <c r="I84" s="209"/>
      <c r="J84" s="209"/>
      <c r="K84" s="147"/>
      <c r="L84" s="147"/>
      <c r="M84" s="209"/>
      <c r="N84" s="209"/>
      <c r="O84" s="209"/>
      <c r="P84" s="209"/>
      <c r="Q84" s="209"/>
      <c r="R84" s="209"/>
      <c r="S84" s="209"/>
      <c r="T84" s="209"/>
      <c r="U84" s="209"/>
      <c r="V84" s="209"/>
      <c r="W84" s="209"/>
      <c r="X84" s="209"/>
      <c r="Y84" s="209"/>
      <c r="Z84" s="209"/>
      <c r="AA84" s="209"/>
      <c r="AB84" s="209"/>
      <c r="AC84" s="209"/>
      <c r="AD84" s="209"/>
      <c r="AE84" s="209"/>
    </row>
    <row r="85">
      <c r="A85" s="208" t="s">
        <v>2879</v>
      </c>
      <c r="B85" s="189" t="str">
        <f>IFERROR(__xludf.DUMMYFUNCTION("FILTER ('Research Papers'!D:D,'Research Papers'!A:A=C85)"),"Riemannian Graph Tokenizer for Structural Knowledge Transfer")</f>
        <v>Riemannian Graph Tokenizer for Structural Knowledge Transfer</v>
      </c>
      <c r="C85" s="189" t="s">
        <v>556</v>
      </c>
      <c r="D85" s="209" t="str">
        <f t="shared" si="1"/>
        <v>Riemannian Graph Tokenizer for Structural Knowledge Transfer
Qimin Zhou, Haibo Liu, Yujie Wang, Li Sun and Chuan Shi
</v>
      </c>
      <c r="E85" s="209" t="str">
        <f>IFERROR(__xludf.DUMMYFUNCTION("TEXTJOIN(CHAR(10), TRUE,FILTER('Research Papers'!$C:$C,'Research Papers'!$A:$A=C85))"),"Qimin Zhou, Haibo Liu, Yujie Wang, Li Sun and Chuan Shi")</f>
        <v>Qimin Zhou, Haibo Liu, Yujie Wang, Li Sun and Chuan Shi</v>
      </c>
      <c r="F85" s="209" t="str">
        <f>IFERROR(__xludf.DUMMYFUNCTION("TEXTJOIN(CHAR(10), TRUE,FILTER ('Sheridan Main'!E:E,'Sheridan Main'!B:B=C85))"),"zhouqimin@bupt.edu.cn")</f>
        <v>zhouqimin@bupt.edu.cn</v>
      </c>
      <c r="G85" s="210" t="str">
        <f>IFERROR(__xludf.DUMMYFUNCTION("CONCATENATE(""https://dl.acm.org/doi/"",INDEX(FILTER('Sheridan Main'!A:A,'Sheridan Main'!B:B=C85),1))"),"https://dl.acm.org/doi/10.1145/3774904.3792120")</f>
        <v>https://dl.acm.org/doi/10.1145/3774904.3792120</v>
      </c>
      <c r="H85" s="189" t="s">
        <v>133</v>
      </c>
      <c r="I85" s="209"/>
      <c r="J85" s="209"/>
      <c r="K85" s="147"/>
      <c r="L85" s="147"/>
      <c r="M85" s="209"/>
      <c r="N85" s="209"/>
      <c r="O85" s="209"/>
      <c r="P85" s="209"/>
      <c r="Q85" s="209"/>
      <c r="R85" s="209"/>
      <c r="S85" s="209"/>
      <c r="T85" s="209"/>
      <c r="U85" s="209"/>
      <c r="V85" s="209"/>
      <c r="W85" s="209"/>
      <c r="X85" s="209"/>
      <c r="Y85" s="209"/>
      <c r="Z85" s="209"/>
      <c r="AA85" s="209"/>
      <c r="AB85" s="209"/>
      <c r="AC85" s="209"/>
      <c r="AD85" s="209"/>
      <c r="AE85" s="209"/>
    </row>
    <row r="86">
      <c r="A86" s="208" t="s">
        <v>2879</v>
      </c>
      <c r="B86" s="189" t="str">
        <f>IFERROR(__xludf.DUMMYFUNCTION("FILTER ('Research Papers'!D:D,'Research Papers'!A:A=C86)"),"LEDA: Latent Semantic Distribution Alignment for Multi-domain Graph Pre-training")</f>
        <v>LEDA: Latent Semantic Distribution Alignment for Multi-domain Graph Pre-training</v>
      </c>
      <c r="C86" s="189" t="s">
        <v>568</v>
      </c>
      <c r="D86" s="209" t="str">
        <f t="shared" si="1"/>
        <v>LEDA: Latent Semantic Distribution Alignment for Multi-domain Graph Pre-training
Lianze Shan, Jitao Zhao, Dongxiao He, Siqi Liu, Jiaxu Cui
and Weixiong Zhang
</v>
      </c>
      <c r="E86" s="209" t="str">
        <f>IFERROR(__xludf.DUMMYFUNCTION("TEXTJOIN(CHAR(10), TRUE,FILTER('Research Papers'!$C:$C,'Research Papers'!$A:$A=C86))"),"Lianze Shan, Jitao Zhao, Dongxiao He, Siqi Liu, Jiaxu Cui
and Weixiong Zhang")</f>
        <v>Lianze Shan, Jitao Zhao, Dongxiao He, Siqi Liu, Jiaxu Cui
and Weixiong Zhang</v>
      </c>
      <c r="F86" s="209" t="str">
        <f>IFERROR(__xludf.DUMMYFUNCTION("TEXTJOIN(CHAR(10), TRUE,FILTER ('Sheridan Main'!E:E,'Sheridan Main'!B:B=C86))"),"hedongxiao@tju.edu.cn")</f>
        <v>hedongxiao@tju.edu.cn</v>
      </c>
      <c r="G86" s="210" t="str">
        <f>IFERROR(__xludf.DUMMYFUNCTION("CONCATENATE(""https://dl.acm.org/doi/"",INDEX(FILTER('Sheridan Main'!A:A,'Sheridan Main'!B:B=C86),1))"),"https://dl.acm.org/doi/10.1145/3774904.3792126")</f>
        <v>https://dl.acm.org/doi/10.1145/3774904.3792126</v>
      </c>
      <c r="H86" s="189" t="s">
        <v>133</v>
      </c>
      <c r="I86" s="209"/>
      <c r="J86" s="209"/>
      <c r="K86" s="147"/>
      <c r="L86" s="147"/>
      <c r="M86" s="209"/>
      <c r="N86" s="209"/>
      <c r="O86" s="209"/>
      <c r="P86" s="209"/>
      <c r="Q86" s="209"/>
      <c r="R86" s="209"/>
      <c r="S86" s="209"/>
      <c r="T86" s="209"/>
      <c r="U86" s="209"/>
      <c r="V86" s="209"/>
      <c r="W86" s="209"/>
      <c r="X86" s="209"/>
      <c r="Y86" s="209"/>
      <c r="Z86" s="209"/>
      <c r="AA86" s="209"/>
      <c r="AB86" s="209"/>
      <c r="AC86" s="209"/>
      <c r="AD86" s="209"/>
      <c r="AE86" s="209"/>
    </row>
    <row r="87">
      <c r="A87" s="208" t="s">
        <v>2879</v>
      </c>
      <c r="B87" s="189" t="str">
        <f>IFERROR(__xludf.DUMMYFUNCTION("FILTER ('Research Papers'!D:D,'Research Papers'!A:A=C87)"),"Towards A Universal Graph Structural Encoder")</f>
        <v>Towards A Universal Graph Structural Encoder</v>
      </c>
      <c r="C87" s="189" t="s">
        <v>1628</v>
      </c>
      <c r="D87" s="209" t="str">
        <f t="shared" si="1"/>
        <v>Towards A Universal Graph Structural Encoder
Jialin Chen, Haolan Zuo, Haoyu Wang, Siqi Miao, Pan Li and
Rex Ying
</v>
      </c>
      <c r="E87" s="209" t="str">
        <f>IFERROR(__xludf.DUMMYFUNCTION("TEXTJOIN(CHAR(10), TRUE,FILTER('Research Papers'!$C:$C,'Research Papers'!$A:$A=C87))"),"Jialin Chen, Haolan Zuo, Haoyu Wang, Siqi Miao, Pan Li and
Rex Ying")</f>
        <v>Jialin Chen, Haolan Zuo, Haoyu Wang, Siqi Miao, Pan Li and
Rex Ying</v>
      </c>
      <c r="F87" s="209" t="str">
        <f>IFERROR(__xludf.DUMMYFUNCTION("TEXTJOIN(CHAR(10), TRUE,FILTER ('Sheridan Main'!E:E,'Sheridan Main'!B:B=C87))"),"jialin.chen@yale.edu")</f>
        <v>jialin.chen@yale.edu</v>
      </c>
      <c r="G87" s="210" t="str">
        <f>IFERROR(__xludf.DUMMYFUNCTION("CONCATENATE(""https://dl.acm.org/doi/"",INDEX(FILTER('Sheridan Main'!A:A,'Sheridan Main'!B:B=C87),1))"),"https://dl.acm.org/doi/10.1145/3774904.3792656")</f>
        <v>https://dl.acm.org/doi/10.1145/3774904.3792656</v>
      </c>
      <c r="H87" s="189" t="s">
        <v>133</v>
      </c>
      <c r="I87" s="209"/>
      <c r="J87" s="209"/>
      <c r="K87" s="147"/>
      <c r="L87" s="147"/>
      <c r="M87" s="209"/>
      <c r="N87" s="209"/>
      <c r="O87" s="209"/>
      <c r="P87" s="209"/>
      <c r="Q87" s="209"/>
      <c r="R87" s="209"/>
      <c r="S87" s="209"/>
      <c r="T87" s="209"/>
      <c r="U87" s="209"/>
      <c r="V87" s="209"/>
      <c r="W87" s="209"/>
      <c r="X87" s="209"/>
      <c r="Y87" s="209"/>
      <c r="Z87" s="209"/>
      <c r="AA87" s="209"/>
      <c r="AB87" s="209"/>
      <c r="AC87" s="209"/>
      <c r="AD87" s="209"/>
      <c r="AE87" s="209"/>
    </row>
    <row r="88">
      <c r="A88" s="208" t="s">
        <v>2879</v>
      </c>
      <c r="B88" s="189" t="str">
        <f>IFERROR(__xludf.DUMMYFUNCTION("FILTER ('Research Papers'!D:D,'Research Papers'!A:A=C88)"),"Difference-based Sample Selection for Federated Graph Rationalization")</f>
        <v>Difference-based Sample Selection for Federated Graph Rationalization</v>
      </c>
      <c r="C88" s="189" t="s">
        <v>460</v>
      </c>
      <c r="D88" s="209" t="str">
        <f t="shared" si="1"/>
        <v>Difference-based Sample Selection for Federated Graph Rationalization
Linan Yue and Weibo Gao
</v>
      </c>
      <c r="E88" s="209" t="str">
        <f>IFERROR(__xludf.DUMMYFUNCTION("TEXTJOIN(CHAR(10), TRUE,FILTER('Research Papers'!$C:$C,'Research Papers'!$A:$A=C88))"),"Linan Yue and Weibo Gao")</f>
        <v>Linan Yue and Weibo Gao</v>
      </c>
      <c r="F88" s="209" t="str">
        <f>IFERROR(__xludf.DUMMYFUNCTION("TEXTJOIN(CHAR(10), TRUE,FILTER ('Sheridan Main'!E:E,'Sheridan Main'!B:B=C88))"),"lnyue@seu.edu.cn")</f>
        <v>lnyue@seu.edu.cn</v>
      </c>
      <c r="G88" s="210" t="str">
        <f>IFERROR(__xludf.DUMMYFUNCTION("CONCATENATE(""https://dl.acm.org/doi/"",INDEX(FILTER('Sheridan Main'!A:A,'Sheridan Main'!B:B=C88),1))"),"https://dl.acm.org/doi/10.1145/3774904.3792072")</f>
        <v>https://dl.acm.org/doi/10.1145/3774904.3792072</v>
      </c>
      <c r="H88" s="189" t="s">
        <v>2848</v>
      </c>
      <c r="I88" s="189" t="s">
        <v>2880</v>
      </c>
      <c r="J88" s="209"/>
      <c r="K88" s="205" t="s">
        <v>2930</v>
      </c>
      <c r="L88" s="174">
        <f>COUNTIF(H:H,H88)</f>
        <v>49</v>
      </c>
      <c r="M88" s="209"/>
      <c r="N88" s="209"/>
      <c r="O88" s="209"/>
      <c r="P88" s="209"/>
      <c r="Q88" s="209"/>
      <c r="R88" s="209"/>
      <c r="S88" s="209"/>
      <c r="T88" s="209"/>
      <c r="U88" s="209"/>
      <c r="V88" s="209"/>
      <c r="W88" s="209"/>
      <c r="X88" s="209"/>
      <c r="Y88" s="209"/>
      <c r="Z88" s="209"/>
      <c r="AA88" s="209"/>
      <c r="AB88" s="209"/>
      <c r="AC88" s="209"/>
      <c r="AD88" s="209"/>
      <c r="AE88" s="209"/>
    </row>
    <row r="89">
      <c r="A89" s="208" t="s">
        <v>2879</v>
      </c>
      <c r="B89" s="189" t="str">
        <f>IFERROR(__xludf.DUMMYFUNCTION("FILTER ('Research Papers'!D:D,'Research Papers'!A:A=C89)"),"Class-Domain Incremental Learning on Graphs via Disentangled Knowledge Distillation")</f>
        <v>Class-Domain Incremental Learning on Graphs via Disentangled Knowledge Distillation</v>
      </c>
      <c r="C89" s="189" t="s">
        <v>492</v>
      </c>
      <c r="D89" s="209" t="str">
        <f t="shared" si="1"/>
        <v>Class-Domain Incremental Learning on Graphs via Disentangled Knowledge Distillation
Qin Tian, Chen Zhao, Xintao Wu, Dong Li, Minglai Shao,
Xujiang Zhao and Wenjun Wang
</v>
      </c>
      <c r="E89" s="209" t="str">
        <f>IFERROR(__xludf.DUMMYFUNCTION("TEXTJOIN(CHAR(10), TRUE,FILTER('Research Papers'!$C:$C,'Research Papers'!$A:$A=C89))"),"Qin Tian, Chen Zhao, Xintao Wu, Dong Li, Minglai Shao,
Xujiang Zhao and Wenjun Wang")</f>
        <v>Qin Tian, Chen Zhao, Xintao Wu, Dong Li, Minglai Shao,
Xujiang Zhao and Wenjun Wang</v>
      </c>
      <c r="F89" s="209" t="str">
        <f>IFERROR(__xludf.DUMMYFUNCTION("TEXTJOIN(CHAR(10), TRUE,FILTER ('Sheridan Main'!E:E,'Sheridan Main'!B:B=C89))"),"tianqin123@tju.edu.cn")</f>
        <v>tianqin123@tju.edu.cn</v>
      </c>
      <c r="G89" s="210" t="str">
        <f>IFERROR(__xludf.DUMMYFUNCTION("CONCATENATE(""https://dl.acm.org/doi/"",INDEX(FILTER('Sheridan Main'!A:A,'Sheridan Main'!B:B=C89),1))"),"https://dl.acm.org/doi/10.1145/3774904.3792088")</f>
        <v>https://dl.acm.org/doi/10.1145/3774904.3792088</v>
      </c>
      <c r="H89" s="189" t="s">
        <v>2848</v>
      </c>
      <c r="I89" s="189" t="s">
        <v>2880</v>
      </c>
      <c r="J89" s="209"/>
      <c r="K89" s="147"/>
      <c r="L89" s="147"/>
      <c r="M89" s="209"/>
      <c r="N89" s="209"/>
      <c r="O89" s="209"/>
      <c r="P89" s="209"/>
      <c r="Q89" s="209"/>
      <c r="R89" s="209"/>
      <c r="S89" s="209"/>
      <c r="T89" s="209"/>
      <c r="U89" s="209"/>
      <c r="V89" s="209"/>
      <c r="W89" s="209"/>
      <c r="X89" s="209"/>
      <c r="Y89" s="209"/>
      <c r="Z89" s="209"/>
      <c r="AA89" s="209"/>
      <c r="AB89" s="209"/>
      <c r="AC89" s="209"/>
      <c r="AD89" s="209"/>
      <c r="AE89" s="209"/>
    </row>
    <row r="90">
      <c r="A90" s="208" t="s">
        <v>2879</v>
      </c>
      <c r="B90" s="189" t="str">
        <f>IFERROR(__xludf.DUMMYFUNCTION("FILTER ('Research Papers'!D:D,'Research Papers'!A:A=C90)"),"Exploring Sequential Dynamics on Temporal Graphs via Composite Filtering")</f>
        <v>Exploring Sequential Dynamics on Temporal Graphs via Composite Filtering</v>
      </c>
      <c r="C90" s="189" t="s">
        <v>518</v>
      </c>
      <c r="D90" s="209" t="str">
        <f t="shared" si="1"/>
        <v>Exploring Sequential Dynamics on Temporal Graphs via Composite Filtering
Yuanyuan Xu, Danni Wu, Xuemin Lin, Dong Wen, Wenjie Zhang,
Lei Chen and Ying Zhang
</v>
      </c>
      <c r="E90" s="209" t="str">
        <f>IFERROR(__xludf.DUMMYFUNCTION("TEXTJOIN(CHAR(10), TRUE,FILTER('Research Papers'!$C:$C,'Research Papers'!$A:$A=C90))"),"Yuanyuan Xu, Danni Wu, Xuemin Lin, Dong Wen, Wenjie Zhang,
Lei Chen and Ying Zhang")</f>
        <v>Yuanyuan Xu, Danni Wu, Xuemin Lin, Dong Wen, Wenjie Zhang,
Lei Chen and Ying Zhang</v>
      </c>
      <c r="F90" s="209" t="str">
        <f>IFERROR(__xludf.DUMMYFUNCTION("TEXTJOIN(CHAR(10), TRUE,FILTER ('Sheridan Main'!E:E,'Sheridan Main'!B:B=C90))"),"yuanyuan.xu@unsw.edu.au")</f>
        <v>yuanyuan.xu@unsw.edu.au</v>
      </c>
      <c r="G90" s="210" t="str">
        <f>IFERROR(__xludf.DUMMYFUNCTION("CONCATENATE(""https://dl.acm.org/doi/"",INDEX(FILTER('Sheridan Main'!A:A,'Sheridan Main'!B:B=C90),1))"),"https://dl.acm.org/doi/10.1145/3774904.3792101")</f>
        <v>https://dl.acm.org/doi/10.1145/3774904.3792101</v>
      </c>
      <c r="H90" s="189" t="s">
        <v>2848</v>
      </c>
      <c r="I90" s="189" t="s">
        <v>2880</v>
      </c>
      <c r="J90" s="209"/>
      <c r="K90" s="147"/>
      <c r="L90" s="147"/>
      <c r="M90" s="209"/>
      <c r="N90" s="209"/>
      <c r="O90" s="209"/>
      <c r="P90" s="209"/>
      <c r="Q90" s="209"/>
      <c r="R90" s="209"/>
      <c r="S90" s="209"/>
      <c r="T90" s="209"/>
      <c r="U90" s="209"/>
      <c r="V90" s="209"/>
      <c r="W90" s="209"/>
      <c r="X90" s="209"/>
      <c r="Y90" s="209"/>
      <c r="Z90" s="209"/>
      <c r="AA90" s="209"/>
      <c r="AB90" s="209"/>
      <c r="AC90" s="209"/>
      <c r="AD90" s="209"/>
      <c r="AE90" s="209"/>
    </row>
    <row r="91">
      <c r="A91" s="208" t="s">
        <v>2879</v>
      </c>
      <c r="B91" s="189" t="str">
        <f>IFERROR(__xludf.DUMMYFUNCTION("FILTER ('Research Papers'!D:D,'Research Papers'!A:A=C91)"),"Maximum Edge-based Quasi-Clique: Novel Iterative Frameworks")</f>
        <v>Maximum Edge-based Quasi-Clique: Novel Iterative Frameworks</v>
      </c>
      <c r="C91" s="189" t="s">
        <v>544</v>
      </c>
      <c r="D91" s="209" t="str">
        <f t="shared" si="1"/>
        <v>Maximum Edge-based Quasi-Clique: Novel Iterative Frameworks
Hongbo Xia, Shengxin Liu and Zhaoquan Gu
</v>
      </c>
      <c r="E91" s="209" t="str">
        <f>IFERROR(__xludf.DUMMYFUNCTION("TEXTJOIN(CHAR(10), TRUE,FILTER('Research Papers'!$C:$C,'Research Papers'!$A:$A=C91))"),"Hongbo Xia, Shengxin Liu and Zhaoquan Gu")</f>
        <v>Hongbo Xia, Shengxin Liu and Zhaoquan Gu</v>
      </c>
      <c r="F91" s="209" t="str">
        <f>IFERROR(__xludf.DUMMYFUNCTION("TEXTJOIN(CHAR(10), TRUE,FILTER ('Sheridan Main'!E:E,'Sheridan Main'!B:B=C91))"),"sxliu@hit.edu.cn")</f>
        <v>sxliu@hit.edu.cn</v>
      </c>
      <c r="G91" s="210" t="str">
        <f>IFERROR(__xludf.DUMMYFUNCTION("CONCATENATE(""https://dl.acm.org/doi/"",INDEX(FILTER('Sheridan Main'!A:A,'Sheridan Main'!B:B=C91),1))"),"https://dl.acm.org/doi/10.1145/3774904.3792114")</f>
        <v>https://dl.acm.org/doi/10.1145/3774904.3792114</v>
      </c>
      <c r="H91" s="189" t="s">
        <v>2848</v>
      </c>
      <c r="I91" s="189" t="s">
        <v>2880</v>
      </c>
      <c r="J91" s="209"/>
      <c r="K91" s="147"/>
      <c r="L91" s="147"/>
      <c r="M91" s="209"/>
      <c r="N91" s="209"/>
      <c r="O91" s="209"/>
      <c r="P91" s="209"/>
      <c r="Q91" s="209"/>
      <c r="R91" s="209"/>
      <c r="S91" s="209"/>
      <c r="T91" s="209"/>
      <c r="U91" s="209"/>
      <c r="V91" s="209"/>
      <c r="W91" s="209"/>
      <c r="X91" s="209"/>
      <c r="Y91" s="209"/>
      <c r="Z91" s="209"/>
      <c r="AA91" s="209"/>
      <c r="AB91" s="209"/>
      <c r="AC91" s="209"/>
      <c r="AD91" s="209"/>
      <c r="AE91" s="209"/>
    </row>
    <row r="92">
      <c r="A92" s="208" t="s">
        <v>2879</v>
      </c>
      <c r="B92" s="189" t="str">
        <f>IFERROR(__xludf.DUMMYFUNCTION("FILTER ('Research Papers'!D:D,'Research Papers'!A:A=C92)"),"Scalable and Provable Biclique-Preserving Clustering: The Power of Counting-based Approaches")</f>
        <v>Scalable and Provable Biclique-Preserving Clustering: The Power of Counting-based Approaches</v>
      </c>
      <c r="C92" s="189" t="s">
        <v>548</v>
      </c>
      <c r="D92" s="209" t="str">
        <f t="shared" si="1"/>
        <v>Scalable and Provable Biclique-Preserving Clustering: The Power of Counting-based Approaches
Longlong Lin, Zeli Wang, Rong-Hua Li, Xiaohai Dai, Li Ni
and Jin Zhao
</v>
      </c>
      <c r="E92" s="209" t="str">
        <f>IFERROR(__xludf.DUMMYFUNCTION("TEXTJOIN(CHAR(10), TRUE,FILTER('Research Papers'!$C:$C,'Research Papers'!$A:$A=C92))"),"Longlong Lin, Zeli Wang, Rong-Hua Li, Xiaohai Dai, Li Ni
and Jin Zhao")</f>
        <v>Longlong Lin, Zeli Wang, Rong-Hua Li, Xiaohai Dai, Li Ni
and Jin Zhao</v>
      </c>
      <c r="F92" s="209" t="str">
        <f>IFERROR(__xludf.DUMMYFUNCTION("TEXTJOIN(CHAR(10), TRUE,FILTER ('Sheridan Main'!E:E,'Sheridan Main'!B:B=C92))"),"longlonglin@swu.edu.cn")</f>
        <v>longlonglin@swu.edu.cn</v>
      </c>
      <c r="G92" s="210" t="str">
        <f>IFERROR(__xludf.DUMMYFUNCTION("CONCATENATE(""https://dl.acm.org/doi/"",INDEX(FILTER('Sheridan Main'!A:A,'Sheridan Main'!B:B=C92),1))"),"https://dl.acm.org/doi/10.1145/3774904.3792116")</f>
        <v>https://dl.acm.org/doi/10.1145/3774904.3792116</v>
      </c>
      <c r="H92" s="189" t="s">
        <v>2848</v>
      </c>
      <c r="I92" s="189" t="s">
        <v>2880</v>
      </c>
      <c r="J92" s="209"/>
      <c r="K92" s="147"/>
      <c r="L92" s="147"/>
      <c r="M92" s="209"/>
      <c r="N92" s="209"/>
      <c r="O92" s="209"/>
      <c r="P92" s="209"/>
      <c r="Q92" s="209"/>
      <c r="R92" s="209"/>
      <c r="S92" s="209"/>
      <c r="T92" s="209"/>
      <c r="U92" s="209"/>
      <c r="V92" s="209"/>
      <c r="W92" s="209"/>
      <c r="X92" s="209"/>
      <c r="Y92" s="209"/>
      <c r="Z92" s="209"/>
      <c r="AA92" s="209"/>
      <c r="AB92" s="209"/>
      <c r="AC92" s="209"/>
      <c r="AD92" s="209"/>
      <c r="AE92" s="209"/>
    </row>
    <row r="93">
      <c r="A93" s="208" t="s">
        <v>2879</v>
      </c>
      <c r="B93" s="189" t="str">
        <f>IFERROR(__xludf.DUMMYFUNCTION("FILTER ('Research Papers'!D:D,'Research Papers'!A:A=C93)"),"Graph Diffusion Evolution Model for Multi-Conditional Molecular Generation")</f>
        <v>Graph Diffusion Evolution Model for Multi-Conditional Molecular Generation</v>
      </c>
      <c r="C93" s="189" t="s">
        <v>552</v>
      </c>
      <c r="D93" s="209" t="str">
        <f t="shared" si="1"/>
        <v>Graph Diffusion Evolution Model for Multi-Conditional Molecular Generation
Xingcheng Fu, Lingyun Liu, Yisen Gao, Tianyu Chen, Qingyun
Sun, Jianxin Li and Xianxian Li
</v>
      </c>
      <c r="E93" s="209" t="str">
        <f>IFERROR(__xludf.DUMMYFUNCTION("TEXTJOIN(CHAR(10), TRUE,FILTER('Research Papers'!$C:$C,'Research Papers'!$A:$A=C93))"),"Xingcheng Fu, Lingyun Liu, Yisen Gao, Tianyu Chen, Qingyun
Sun, Jianxin Li and Xianxian Li")</f>
        <v>Xingcheng Fu, Lingyun Liu, Yisen Gao, Tianyu Chen, Qingyun
Sun, Jianxin Li and Xianxian Li</v>
      </c>
      <c r="F93" s="209" t="str">
        <f>IFERROR(__xludf.DUMMYFUNCTION("TEXTJOIN(CHAR(10), TRUE,FILTER ('Sheridan Main'!E:E,'Sheridan Main'!B:B=C93))"),"sunqy@buaa.edu.cn")</f>
        <v>sunqy@buaa.edu.cn</v>
      </c>
      <c r="G93" s="210" t="str">
        <f>IFERROR(__xludf.DUMMYFUNCTION("CONCATENATE(""https://dl.acm.org/doi/"",INDEX(FILTER('Sheridan Main'!A:A,'Sheridan Main'!B:B=C93),1))"),"https://dl.acm.org/doi/10.1145/3774904.3792118")</f>
        <v>https://dl.acm.org/doi/10.1145/3774904.3792118</v>
      </c>
      <c r="H93" s="189" t="s">
        <v>2848</v>
      </c>
      <c r="I93" s="189" t="s">
        <v>2880</v>
      </c>
      <c r="J93" s="209"/>
      <c r="K93" s="147"/>
      <c r="L93" s="147"/>
      <c r="M93" s="209"/>
      <c r="N93" s="209"/>
      <c r="O93" s="209"/>
      <c r="P93" s="209"/>
      <c r="Q93" s="209"/>
      <c r="R93" s="209"/>
      <c r="S93" s="209"/>
      <c r="T93" s="209"/>
      <c r="U93" s="209"/>
      <c r="V93" s="209"/>
      <c r="W93" s="209"/>
      <c r="X93" s="209"/>
      <c r="Y93" s="209"/>
      <c r="Z93" s="209"/>
      <c r="AA93" s="209"/>
      <c r="AB93" s="209"/>
      <c r="AC93" s="209"/>
      <c r="AD93" s="209"/>
      <c r="AE93" s="209"/>
    </row>
    <row r="94">
      <c r="A94" s="208" t="s">
        <v>2879</v>
      </c>
      <c r="B94" s="189" t="str">
        <f>IFERROR(__xludf.DUMMYFUNCTION("FILTER ('Research Papers'!D:D,'Research Papers'!A:A=C94)"),"Integrated Mixture of Neighborhood and Community Experts for Graph-Based Fraud Detection")</f>
        <v>Integrated Mixture of Neighborhood and Community Experts for Graph-Based Fraud Detection</v>
      </c>
      <c r="C94" s="189" t="s">
        <v>560</v>
      </c>
      <c r="D94" s="209" t="str">
        <f t="shared" si="1"/>
        <v>Integrated Mixture of Neighborhood and Community Experts for Graph-Based Fraud Detection
Zhizhi Yu, Di Jin, Dongxiao He, Wenhuan Lu and Jianguo Wei
</v>
      </c>
      <c r="E94" s="209" t="str">
        <f>IFERROR(__xludf.DUMMYFUNCTION("TEXTJOIN(CHAR(10), TRUE,FILTER('Research Papers'!$C:$C,'Research Papers'!$A:$A=C94))"),"Zhizhi Yu, Di Jin, Dongxiao He, Wenhuan Lu and Jianguo Wei")</f>
        <v>Zhizhi Yu, Di Jin, Dongxiao He, Wenhuan Lu and Jianguo Wei</v>
      </c>
      <c r="F94" s="209" t="str">
        <f>IFERROR(__xludf.DUMMYFUNCTION("TEXTJOIN(CHAR(10), TRUE,FILTER ('Sheridan Main'!E:E,'Sheridan Main'!B:B=C94))"),"yuzhizhi@tju.edu.cn")</f>
        <v>yuzhizhi@tju.edu.cn</v>
      </c>
      <c r="G94" s="210" t="str">
        <f>IFERROR(__xludf.DUMMYFUNCTION("CONCATENATE(""https://dl.acm.org/doi/"",INDEX(FILTER('Sheridan Main'!A:A,'Sheridan Main'!B:B=C94),1))"),"https://dl.acm.org/doi/10.1145/3774904.3792122")</f>
        <v>https://dl.acm.org/doi/10.1145/3774904.3792122</v>
      </c>
      <c r="H94" s="189" t="s">
        <v>2848</v>
      </c>
      <c r="I94" s="189" t="s">
        <v>2880</v>
      </c>
      <c r="J94" s="209"/>
      <c r="K94" s="147"/>
      <c r="L94" s="147"/>
      <c r="M94" s="209"/>
      <c r="N94" s="209"/>
      <c r="O94" s="209"/>
      <c r="P94" s="209"/>
      <c r="Q94" s="209"/>
      <c r="R94" s="209"/>
      <c r="S94" s="209"/>
      <c r="T94" s="209"/>
      <c r="U94" s="209"/>
      <c r="V94" s="209"/>
      <c r="W94" s="209"/>
      <c r="X94" s="209"/>
      <c r="Y94" s="209"/>
      <c r="Z94" s="209"/>
      <c r="AA94" s="209"/>
      <c r="AB94" s="209"/>
      <c r="AC94" s="209"/>
      <c r="AD94" s="209"/>
      <c r="AE94" s="209"/>
    </row>
    <row r="95">
      <c r="A95" s="208" t="s">
        <v>2931</v>
      </c>
      <c r="B95" s="189" t="str">
        <f>IFERROR(__xludf.DUMMYFUNCTION("FILTER ('Research Papers'!D:D,'Research Papers'!A:A=C95)"),"FeedGuard: Online Critic-Guided Reinforcement Learning with Privacy-Preserving Feedback for Recommendation")</f>
        <v>FeedGuard: Online Critic-Guided Reinforcement Learning with Privacy-Preserving Feedback for Recommendation</v>
      </c>
      <c r="C95" s="189" t="s">
        <v>626</v>
      </c>
      <c r="D95" s="209" t="str">
        <f t="shared" si="1"/>
        <v>FeedGuard: Online Critic-Guided Reinforcement Learning with Privacy-Preserving Feedback for Recommendation
Mengying Zhu, Feiyue Chen, Lifan Jiang, Mengyuan Yang,
Yangyang Wu, Guanjie Cheng and Xiaolin Zheng
</v>
      </c>
      <c r="E95" s="209" t="str">
        <f>IFERROR(__xludf.DUMMYFUNCTION("TEXTJOIN(CHAR(10), TRUE,FILTER('Research Papers'!$C:$C,'Research Papers'!$A:$A=C95))"),"Mengying Zhu, Feiyue Chen, Lifan Jiang, Mengyuan Yang,
Yangyang Wu, Guanjie Cheng and Xiaolin Zheng")</f>
        <v>Mengying Zhu, Feiyue Chen, Lifan Jiang, Mengyuan Yang,
Yangyang Wu, Guanjie Cheng and Xiaolin Zheng</v>
      </c>
      <c r="F95" s="209" t="str">
        <f>IFERROR(__xludf.DUMMYFUNCTION("TEXTJOIN(CHAR(10), TRUE,FILTER ('Sheridan Main'!E:E,'Sheridan Main'!B:B=C95))"),"yangmy412@zju.edu.cn")</f>
        <v>yangmy412@zju.edu.cn</v>
      </c>
      <c r="G95" s="210" t="str">
        <f>IFERROR(__xludf.DUMMYFUNCTION("CONCATENATE(""https://dl.acm.org/doi/"",INDEX(FILTER('Sheridan Main'!A:A,'Sheridan Main'!B:B=C95),1))"),"https://dl.acm.org/doi/10.1145/3774904.3792155")</f>
        <v>https://dl.acm.org/doi/10.1145/3774904.3792155</v>
      </c>
      <c r="H95" s="189" t="s">
        <v>2848</v>
      </c>
      <c r="I95" s="189" t="s">
        <v>2880</v>
      </c>
      <c r="J95" s="209"/>
      <c r="K95" s="147"/>
      <c r="L95" s="147"/>
      <c r="M95" s="209"/>
      <c r="N95" s="209"/>
      <c r="O95" s="209"/>
      <c r="P95" s="209"/>
      <c r="Q95" s="209"/>
      <c r="R95" s="209"/>
      <c r="S95" s="209"/>
      <c r="T95" s="209"/>
      <c r="U95" s="209"/>
      <c r="V95" s="209"/>
      <c r="W95" s="209"/>
      <c r="X95" s="209"/>
      <c r="Y95" s="209"/>
      <c r="Z95" s="209"/>
      <c r="AA95" s="209"/>
      <c r="AB95" s="209"/>
      <c r="AC95" s="209"/>
      <c r="AD95" s="209"/>
      <c r="AE95" s="209"/>
    </row>
    <row r="96">
      <c r="A96" s="208" t="s">
        <v>2879</v>
      </c>
      <c r="B96" s="189" t="str">
        <f>IFERROR(__xludf.DUMMYFUNCTION("FILTER ('Research Papers'!D:D,'Research Papers'!A:A=C96)"),"HomeRun: Performing Curveball Trades quasi in Streaming for Fast Null Modeling of Graphs, Hypergraphs, and Binary Matrices")</f>
        <v>HomeRun: Performing Curveball Trades quasi in Streaming for Fast Null Modeling of Graphs, Hypergraphs, and Binary Matrices</v>
      </c>
      <c r="C96" s="189" t="s">
        <v>630</v>
      </c>
      <c r="D96" s="209" t="str">
        <f t="shared" si="1"/>
        <v>HomeRun: Performing Curveball Trades quasi in Streaming for Fast Null Modeling of Graphs, Hypergraphs, and Binary Matrices
Michelle Contreras-Catalan and Matteo Riondato
</v>
      </c>
      <c r="E96" s="209" t="str">
        <f>IFERROR(__xludf.DUMMYFUNCTION("TEXTJOIN(CHAR(10), TRUE,FILTER('Research Papers'!$C:$C,'Research Papers'!$A:$A=C96))"),"Michelle Contreras-Catalan and Matteo Riondato")</f>
        <v>Michelle Contreras-Catalan and Matteo Riondato</v>
      </c>
      <c r="F96" s="209" t="str">
        <f>IFERROR(__xludf.DUMMYFUNCTION("TEXTJOIN(CHAR(10), TRUE,FILTER ('Sheridan Main'!E:E,'Sheridan Main'!B:B=C96))"),"mriondato@amherst.edu")</f>
        <v>mriondato@amherst.edu</v>
      </c>
      <c r="G96" s="210" t="str">
        <f>IFERROR(__xludf.DUMMYFUNCTION("CONCATENATE(""https://dl.acm.org/doi/"",INDEX(FILTER('Sheridan Main'!A:A,'Sheridan Main'!B:B=C96),1))"),"https://dl.acm.org/doi/10.1145/3774904.3792157")</f>
        <v>https://dl.acm.org/doi/10.1145/3774904.3792157</v>
      </c>
      <c r="H96" s="189" t="s">
        <v>2848</v>
      </c>
      <c r="I96" s="189" t="s">
        <v>2880</v>
      </c>
      <c r="J96" s="209"/>
      <c r="K96" s="147"/>
      <c r="L96" s="147"/>
      <c r="M96" s="209"/>
      <c r="N96" s="209"/>
      <c r="O96" s="209"/>
      <c r="P96" s="209"/>
      <c r="Q96" s="209"/>
      <c r="R96" s="209"/>
      <c r="S96" s="209"/>
      <c r="T96" s="209"/>
      <c r="U96" s="209"/>
      <c r="V96" s="209"/>
      <c r="W96" s="209"/>
      <c r="X96" s="209"/>
      <c r="Y96" s="209"/>
      <c r="Z96" s="209"/>
      <c r="AA96" s="209"/>
      <c r="AB96" s="209"/>
      <c r="AC96" s="209"/>
      <c r="AD96" s="209"/>
      <c r="AE96" s="209"/>
    </row>
    <row r="97">
      <c r="A97" s="208" t="s">
        <v>2879</v>
      </c>
      <c r="B97" s="189" t="str">
        <f>IFERROR(__xludf.DUMMYFUNCTION("FILTER ('Research Papers'!D:D,'Research Papers'!A:A=C97)"),"TAWRMAC: A Novel Dynamic Graph Representation Learning Method")</f>
        <v>TAWRMAC: A Novel Dynamic Graph Representation Learning Method</v>
      </c>
      <c r="C97" s="189" t="s">
        <v>642</v>
      </c>
      <c r="D97" s="209" t="str">
        <f t="shared" si="1"/>
        <v>TAWRMAC: A Novel Dynamic Graph Representation Learning Method
Soheila Farokhi, Xiaojun Qi and Hamid Karimi
</v>
      </c>
      <c r="E97" s="209" t="str">
        <f>IFERROR(__xludf.DUMMYFUNCTION("TEXTJOIN(CHAR(10), TRUE,FILTER('Research Papers'!$C:$C,'Research Papers'!$A:$A=C97))"),"Soheila Farokhi, Xiaojun Qi and Hamid Karimi")</f>
        <v>Soheila Farokhi, Xiaojun Qi and Hamid Karimi</v>
      </c>
      <c r="F97" s="209" t="str">
        <f>IFERROR(__xludf.DUMMYFUNCTION("TEXTJOIN(CHAR(10), TRUE,FILTER ('Sheridan Main'!E:E,'Sheridan Main'!B:B=C97))"),"soheila.farokhi@usu.edu")</f>
        <v>soheila.farokhi@usu.edu</v>
      </c>
      <c r="G97" s="210" t="str">
        <f>IFERROR(__xludf.DUMMYFUNCTION("CONCATENATE(""https://dl.acm.org/doi/"",INDEX(FILTER('Sheridan Main'!A:A,'Sheridan Main'!B:B=C97),1))"),"https://dl.acm.org/doi/10.1145/3774904.3792163")</f>
        <v>https://dl.acm.org/doi/10.1145/3774904.3792163</v>
      </c>
      <c r="H97" s="189" t="s">
        <v>2848</v>
      </c>
      <c r="I97" s="189" t="s">
        <v>115</v>
      </c>
      <c r="J97" s="209"/>
      <c r="K97" s="147"/>
      <c r="L97" s="147"/>
      <c r="M97" s="209"/>
      <c r="N97" s="209"/>
      <c r="O97" s="209"/>
      <c r="P97" s="209"/>
      <c r="Q97" s="209"/>
      <c r="R97" s="209"/>
      <c r="S97" s="209"/>
      <c r="T97" s="209"/>
      <c r="U97" s="209"/>
      <c r="V97" s="209"/>
      <c r="W97" s="209"/>
      <c r="X97" s="209"/>
      <c r="Y97" s="209"/>
      <c r="Z97" s="209"/>
      <c r="AA97" s="209"/>
      <c r="AB97" s="209"/>
      <c r="AC97" s="209"/>
      <c r="AD97" s="209"/>
      <c r="AE97" s="209"/>
    </row>
    <row r="98">
      <c r="A98" s="208" t="s">
        <v>2879</v>
      </c>
      <c r="B98" s="189" t="str">
        <f>IFERROR(__xludf.DUMMYFUNCTION("FILTER ('Research Papers'!D:D,'Research Papers'!A:A=C98)"),"negMIX: Negative Mixup for OOD Generalization in Open-Set Node Classification")</f>
        <v>negMIX: Negative Mixup for OOD Generalization in Open-Set Node Classification</v>
      </c>
      <c r="C98" s="189" t="s">
        <v>676</v>
      </c>
      <c r="D98" s="209" t="str">
        <f t="shared" si="1"/>
        <v>negMIX: Negative Mixup for OOD Generalization in Open-Set Node Classification
Junwei Gong, Xiao Shen, Zhihao Chen, Shirui Pan, Xiao Wang
and Xi Zhou
</v>
      </c>
      <c r="E98" s="209" t="str">
        <f>IFERROR(__xludf.DUMMYFUNCTION("TEXTJOIN(CHAR(10), TRUE,FILTER('Research Papers'!$C:$C,'Research Papers'!$A:$A=C98))"),"Junwei Gong, Xiao Shen, Zhihao Chen, Shirui Pan, Xiao Wang
and Xi Zhou")</f>
        <v>Junwei Gong, Xiao Shen, Zhihao Chen, Shirui Pan, Xiao Wang
and Xi Zhou</v>
      </c>
      <c r="F98" s="209" t="str">
        <f>IFERROR(__xludf.DUMMYFUNCTION("TEXTJOIN(CHAR(10), TRUE,FILTER ('Sheridan Main'!E:E,'Sheridan Main'!B:B=C98))"),"shenxiaocam@163.com")</f>
        <v>shenxiaocam@163.com</v>
      </c>
      <c r="G98" s="210" t="str">
        <f>IFERROR(__xludf.DUMMYFUNCTION("CONCATENATE(""https://dl.acm.org/doi/"",INDEX(FILTER('Sheridan Main'!A:A,'Sheridan Main'!B:B=C98),1))"),"https://dl.acm.org/doi/10.1145/3774904.3792180")</f>
        <v>https://dl.acm.org/doi/10.1145/3774904.3792180</v>
      </c>
      <c r="H98" s="189" t="s">
        <v>2848</v>
      </c>
      <c r="I98" s="189" t="s">
        <v>115</v>
      </c>
      <c r="J98" s="209"/>
      <c r="K98" s="147"/>
      <c r="L98" s="147"/>
      <c r="M98" s="209"/>
      <c r="N98" s="209"/>
      <c r="O98" s="209"/>
      <c r="P98" s="209"/>
      <c r="Q98" s="209"/>
      <c r="R98" s="209"/>
      <c r="S98" s="209"/>
      <c r="T98" s="209"/>
      <c r="U98" s="209"/>
      <c r="V98" s="209"/>
      <c r="W98" s="209"/>
      <c r="X98" s="209"/>
      <c r="Y98" s="209"/>
      <c r="Z98" s="209"/>
      <c r="AA98" s="209"/>
      <c r="AB98" s="209"/>
      <c r="AC98" s="209"/>
      <c r="AD98" s="209"/>
      <c r="AE98" s="209"/>
    </row>
    <row r="99">
      <c r="A99" s="208" t="s">
        <v>2879</v>
      </c>
      <c r="B99" s="189" t="str">
        <f>IFERROR(__xludf.DUMMYFUNCTION("FILTER ('Research Papers'!D:D,'Research Papers'!A:A=C99)"),"UTAG: Leveraging LLM as a Unified Embedding Generator for Text-Attributed Graphs")</f>
        <v>UTAG: Leveraging LLM as a Unified Embedding Generator for Text-Attributed Graphs</v>
      </c>
      <c r="C99" s="189" t="s">
        <v>688</v>
      </c>
      <c r="D99" s="209" t="str">
        <f t="shared" si="1"/>
        <v>UTAG: Leveraging LLM as a Unified Embedding Generator for Text-Attributed Graphs
Mingqian Ding, Jianjun Li, Zhiyuan Ma, Liwei Zhang and
Wenqi Yang
</v>
      </c>
      <c r="E99" s="209" t="str">
        <f>IFERROR(__xludf.DUMMYFUNCTION("TEXTJOIN(CHAR(10), TRUE,FILTER('Research Papers'!$C:$C,'Research Papers'!$A:$A=C99))"),"Mingqian Ding, Jianjun Li, Zhiyuan Ma, Liwei Zhang and
Wenqi Yang")</f>
        <v>Mingqian Ding, Jianjun Li, Zhiyuan Ma, Liwei Zhang and
Wenqi Yang</v>
      </c>
      <c r="F99" s="209" t="str">
        <f>IFERROR(__xludf.DUMMYFUNCTION("TEXTJOIN(CHAR(10), TRUE,FILTER ('Sheridan Main'!E:E,'Sheridan Main'!B:B=C99))"),"jianjunli@hust.edu.cn")</f>
        <v>jianjunli@hust.edu.cn</v>
      </c>
      <c r="G99" s="210" t="str">
        <f>IFERROR(__xludf.DUMMYFUNCTION("CONCATENATE(""https://dl.acm.org/doi/"",INDEX(FILTER('Sheridan Main'!A:A,'Sheridan Main'!B:B=C99),1))"),"https://dl.acm.org/doi/10.1145/3774904.3792186")</f>
        <v>https://dl.acm.org/doi/10.1145/3774904.3792186</v>
      </c>
      <c r="H99" s="189" t="s">
        <v>2848</v>
      </c>
      <c r="I99" s="189" t="s">
        <v>115</v>
      </c>
      <c r="J99" s="209"/>
      <c r="K99" s="147"/>
      <c r="L99" s="147"/>
      <c r="M99" s="209"/>
      <c r="N99" s="209"/>
      <c r="O99" s="209"/>
      <c r="P99" s="209"/>
      <c r="Q99" s="209"/>
      <c r="R99" s="209"/>
      <c r="S99" s="209"/>
      <c r="T99" s="209"/>
      <c r="U99" s="209"/>
      <c r="V99" s="209"/>
      <c r="W99" s="209"/>
      <c r="X99" s="209"/>
      <c r="Y99" s="209"/>
      <c r="Z99" s="209"/>
      <c r="AA99" s="209"/>
      <c r="AB99" s="209"/>
      <c r="AC99" s="209"/>
      <c r="AD99" s="209"/>
      <c r="AE99" s="209"/>
    </row>
    <row r="100">
      <c r="A100" s="208" t="s">
        <v>2879</v>
      </c>
      <c r="B100" s="189" t="str">
        <f>IFERROR(__xludf.DUMMYFUNCTION("FILTER ('Research Papers'!D:D,'Research Papers'!A:A=C100)"),"Mitigating Dynamic Graph Distribution Shifts via Mixture of Variational Experts")</f>
        <v>Mitigating Dynamic Graph Distribution Shifts via Mixture of Variational Experts</v>
      </c>
      <c r="C100" s="189" t="s">
        <v>696</v>
      </c>
      <c r="D100" s="209" t="str">
        <f t="shared" si="1"/>
        <v>Mitigating Dynamic Graph Distribution Shifts via Mixture of Variational Experts
Qianyu Song, Chao Li, Yeyu Yan, Hui Zhou, Zhongying Zhao
and Qingtian Zeng
</v>
      </c>
      <c r="E100" s="209" t="str">
        <f>IFERROR(__xludf.DUMMYFUNCTION("TEXTJOIN(CHAR(10), TRUE,FILTER('Research Papers'!$C:$C,'Research Papers'!$A:$A=C100))"),"Qianyu Song, Chao Li, Yeyu Yan, Hui Zhou, Zhongying Zhao
and Qingtian Zeng")</f>
        <v>Qianyu Song, Chao Li, Yeyu Yan, Hui Zhou, Zhongying Zhao
and Qingtian Zeng</v>
      </c>
      <c r="F100" s="209" t="str">
        <f>IFERROR(__xludf.DUMMYFUNCTION("TEXTJOIN(CHAR(10), TRUE,FILTER ('Sheridan Main'!E:E,'Sheridan Main'!B:B=C100))"),"zzysuin@163.com")</f>
        <v>zzysuin@163.com</v>
      </c>
      <c r="G100" s="210" t="str">
        <f>IFERROR(__xludf.DUMMYFUNCTION("CONCATENATE(""https://dl.acm.org/doi/"",INDEX(FILTER('Sheridan Main'!A:A,'Sheridan Main'!B:B=C100),1))"),"https://dl.acm.org/doi/10.1145/3774904.3792190")</f>
        <v>https://dl.acm.org/doi/10.1145/3774904.3792190</v>
      </c>
      <c r="H100" s="189" t="s">
        <v>2848</v>
      </c>
      <c r="I100" s="189" t="s">
        <v>115</v>
      </c>
      <c r="J100" s="209"/>
      <c r="K100" s="147"/>
      <c r="L100" s="147"/>
      <c r="M100" s="209"/>
      <c r="N100" s="209"/>
      <c r="O100" s="209"/>
      <c r="P100" s="209"/>
      <c r="Q100" s="209"/>
      <c r="R100" s="209"/>
      <c r="S100" s="209"/>
      <c r="T100" s="209"/>
      <c r="U100" s="209"/>
      <c r="V100" s="209"/>
      <c r="W100" s="209"/>
      <c r="X100" s="209"/>
      <c r="Y100" s="209"/>
      <c r="Z100" s="209"/>
      <c r="AA100" s="209"/>
      <c r="AB100" s="209"/>
      <c r="AC100" s="209"/>
      <c r="AD100" s="209"/>
      <c r="AE100" s="209"/>
    </row>
    <row r="101">
      <c r="A101" s="208" t="s">
        <v>2879</v>
      </c>
      <c r="B101" s="189" t="str">
        <f>IFERROR(__xludf.DUMMYFUNCTION("FILTER ('Research Papers'!D:D,'Research Papers'!A:A=C101)"),"Text-attributed Graph Condensation via Text Selection and Attribute Matching")</f>
        <v>Text-attributed Graph Condensation via Text Selection and Attribute Matching</v>
      </c>
      <c r="C101" s="189" t="s">
        <v>726</v>
      </c>
      <c r="D101" s="209" t="str">
        <f t="shared" si="1"/>
        <v>Text-attributed Graph Condensation via Text Selection and Attribute Matching
Haowei Han, Yuxiang Wang, Guojia Wan, Hao Wang, Shanshan
Feng, Hao Huang, Jiawei Jiang and Xiao Yan
</v>
      </c>
      <c r="E101" s="209" t="str">
        <f>IFERROR(__xludf.DUMMYFUNCTION("TEXTJOIN(CHAR(10), TRUE,FILTER('Research Papers'!$C:$C,'Research Papers'!$A:$A=C101))"),"Haowei Han, Yuxiang Wang, Guojia Wan, Hao Wang, Shanshan
Feng, Hao Huang, Jiawei Jiang and Xiao Yan")</f>
        <v>Haowei Han, Yuxiang Wang, Guojia Wan, Hao Wang, Shanshan
Feng, Hao Huang, Jiawei Jiang and Xiao Yan</v>
      </c>
      <c r="F101" s="209" t="str">
        <f>IFERROR(__xludf.DUMMYFUNCTION("TEXTJOIN(CHAR(10), TRUE,FILTER ('Sheridan Main'!E:E,'Sheridan Main'!B:B=C101))"),"jiawei.jiang@whu.edu.cn")</f>
        <v>jiawei.jiang@whu.edu.cn</v>
      </c>
      <c r="G101" s="210" t="str">
        <f>IFERROR(__xludf.DUMMYFUNCTION("CONCATENATE(""https://dl.acm.org/doi/"",INDEX(FILTER('Sheridan Main'!A:A,'Sheridan Main'!B:B=C101),1))"),"https://dl.acm.org/doi/10.1145/3774904.3792205")</f>
        <v>https://dl.acm.org/doi/10.1145/3774904.3792205</v>
      </c>
      <c r="H101" s="189" t="s">
        <v>2848</v>
      </c>
      <c r="I101" s="189" t="s">
        <v>115</v>
      </c>
      <c r="J101" s="209"/>
      <c r="K101" s="147"/>
      <c r="L101" s="147"/>
      <c r="M101" s="209"/>
      <c r="N101" s="209"/>
      <c r="O101" s="209"/>
      <c r="P101" s="209"/>
      <c r="Q101" s="209"/>
      <c r="R101" s="209"/>
      <c r="S101" s="209"/>
      <c r="T101" s="209"/>
      <c r="U101" s="209"/>
      <c r="V101" s="209"/>
      <c r="W101" s="209"/>
      <c r="X101" s="209"/>
      <c r="Y101" s="209"/>
      <c r="Z101" s="209"/>
      <c r="AA101" s="209"/>
      <c r="AB101" s="209"/>
      <c r="AC101" s="209"/>
      <c r="AD101" s="209"/>
      <c r="AE101" s="209"/>
    </row>
    <row r="102">
      <c r="A102" s="208" t="s">
        <v>2879</v>
      </c>
      <c r="B102" s="189" t="str">
        <f>IFERROR(__xludf.DUMMYFUNCTION("FILTER ('Research Papers'!D:D,'Research Papers'!A:A=C102)"),"Practical Group Steiner Tree Algorithms for Web Applications with Many Groups")</f>
        <v>Practical Group Steiner Tree Algorithms for Web Applications with Many Groups</v>
      </c>
      <c r="C102" s="189" t="s">
        <v>736</v>
      </c>
      <c r="D102" s="209" t="str">
        <f t="shared" si="1"/>
        <v>Practical Group Steiner Tree Algorithms for Web Applications with Many Groups
Qicheng Shan, Yuxuan Yang and Gong Cheng
</v>
      </c>
      <c r="E102" s="209" t="str">
        <f>IFERROR(__xludf.DUMMYFUNCTION("TEXTJOIN(CHAR(10), TRUE,FILTER('Research Papers'!$C:$C,'Research Papers'!$A:$A=C102))"),"Qicheng Shan, Yuxuan Yang and Gong Cheng")</f>
        <v>Qicheng Shan, Yuxuan Yang and Gong Cheng</v>
      </c>
      <c r="F102" s="209" t="str">
        <f>IFERROR(__xludf.DUMMYFUNCTION("TEXTJOIN(CHAR(10), TRUE,FILTER ('Sheridan Main'!E:E,'Sheridan Main'!B:B=C102))"),"gcheng@nju.edu.cn")</f>
        <v>gcheng@nju.edu.cn</v>
      </c>
      <c r="G102" s="210" t="str">
        <f>IFERROR(__xludf.DUMMYFUNCTION("CONCATENATE(""https://dl.acm.org/doi/"",INDEX(FILTER('Sheridan Main'!A:A,'Sheridan Main'!B:B=C102),1))"),"https://dl.acm.org/doi/10.1145/3774904.3792210")</f>
        <v>https://dl.acm.org/doi/10.1145/3774904.3792210</v>
      </c>
      <c r="H102" s="189" t="s">
        <v>2848</v>
      </c>
      <c r="I102" s="189" t="s">
        <v>115</v>
      </c>
      <c r="J102" s="209"/>
      <c r="K102" s="147"/>
      <c r="L102" s="147"/>
      <c r="M102" s="209"/>
      <c r="N102" s="209"/>
      <c r="O102" s="209"/>
      <c r="P102" s="209"/>
      <c r="Q102" s="209"/>
      <c r="R102" s="209"/>
      <c r="S102" s="209"/>
      <c r="T102" s="209"/>
      <c r="U102" s="209"/>
      <c r="V102" s="209"/>
      <c r="W102" s="209"/>
      <c r="X102" s="209"/>
      <c r="Y102" s="209"/>
      <c r="Z102" s="209"/>
      <c r="AA102" s="209"/>
      <c r="AB102" s="209"/>
      <c r="AC102" s="209"/>
      <c r="AD102" s="209"/>
      <c r="AE102" s="209"/>
    </row>
    <row r="103">
      <c r="A103" s="208" t="s">
        <v>2879</v>
      </c>
      <c r="B103" s="189" t="str">
        <f>IFERROR(__xludf.DUMMYFUNCTION("FILTER ('Research Papers'!D:D,'Research Papers'!A:A=C103)"),"GraphTARIF: Linear Graph Transformer with Augmented Rank and Improved Focus")</f>
        <v>GraphTARIF: Linear Graph Transformer with Augmented Rank and Improved Focus</v>
      </c>
      <c r="C103" s="189" t="s">
        <v>754</v>
      </c>
      <c r="D103" s="209" t="str">
        <f t="shared" si="1"/>
        <v>GraphTARIF: Linear Graph Transformer with Augmented Rank and Improved Focus
Zhaolin Hu, Kun Li, Hehe Fan and Yi Yang
</v>
      </c>
      <c r="E103" s="209" t="str">
        <f>IFERROR(__xludf.DUMMYFUNCTION("TEXTJOIN(CHAR(10), TRUE,FILTER('Research Papers'!$C:$C,'Research Papers'!$A:$A=C103))"),"Zhaolin Hu, Kun Li, Hehe Fan and Yi Yang")</f>
        <v>Zhaolin Hu, Kun Li, Hehe Fan and Yi Yang</v>
      </c>
      <c r="F103" s="209" t="str">
        <f>IFERROR(__xludf.DUMMYFUNCTION("TEXTJOIN(CHAR(10), TRUE,FILTER ('Sheridan Main'!E:E,'Sheridan Main'!B:B=C103))"),"hehefan@zju.edu.cn")</f>
        <v>hehefan@zju.edu.cn</v>
      </c>
      <c r="G103" s="210" t="str">
        <f>IFERROR(__xludf.DUMMYFUNCTION("CONCATENATE(""https://dl.acm.org/doi/"",INDEX(FILTER('Sheridan Main'!A:A,'Sheridan Main'!B:B=C103),1))"),"https://dl.acm.org/doi/10.1145/3774904.3792219")</f>
        <v>https://dl.acm.org/doi/10.1145/3774904.3792219</v>
      </c>
      <c r="H103" s="189" t="s">
        <v>2848</v>
      </c>
      <c r="I103" s="189" t="s">
        <v>115</v>
      </c>
      <c r="J103" s="209"/>
      <c r="K103" s="147"/>
      <c r="L103" s="147"/>
      <c r="M103" s="209"/>
      <c r="N103" s="209"/>
      <c r="O103" s="209"/>
      <c r="P103" s="209"/>
      <c r="Q103" s="209"/>
      <c r="R103" s="209"/>
      <c r="S103" s="209"/>
      <c r="T103" s="209"/>
      <c r="U103" s="209"/>
      <c r="V103" s="209"/>
      <c r="W103" s="209"/>
      <c r="X103" s="209"/>
      <c r="Y103" s="209"/>
      <c r="Z103" s="209"/>
      <c r="AA103" s="209"/>
      <c r="AB103" s="209"/>
      <c r="AC103" s="209"/>
      <c r="AD103" s="209"/>
      <c r="AE103" s="209"/>
    </row>
    <row r="104">
      <c r="A104" s="208" t="s">
        <v>2879</v>
      </c>
      <c r="B104" s="189" t="str">
        <f>IFERROR(__xludf.DUMMYFUNCTION("FILTER ('Research Papers'!D:D,'Research Papers'!A:A=C104)"),"VSAL: A Vision Solver with Adaptive Layouts for Graph Property Detection")</f>
        <v>VSAL: A Vision Solver with Adaptive Layouts for Graph Property Detection</v>
      </c>
      <c r="C104" s="189" t="s">
        <v>764</v>
      </c>
      <c r="D104" s="209" t="str">
        <f t="shared" si="1"/>
        <v>VSAL: A Vision Solver with Adaptive Layouts for Graph Property Detection
Jiahao Xie and Guangmo Tong
</v>
      </c>
      <c r="E104" s="209" t="str">
        <f>IFERROR(__xludf.DUMMYFUNCTION("TEXTJOIN(CHAR(10), TRUE,FILTER('Research Papers'!$C:$C,'Research Papers'!$A:$A=C104))"),"Jiahao Xie and Guangmo Tong")</f>
        <v>Jiahao Xie and Guangmo Tong</v>
      </c>
      <c r="F104" s="209" t="str">
        <f>IFERROR(__xludf.DUMMYFUNCTION("TEXTJOIN(CHAR(10), TRUE,FILTER ('Sheridan Main'!E:E,'Sheridan Main'!B:B=C104))"),"jiahaox@udel.edu")</f>
        <v>jiahaox@udel.edu</v>
      </c>
      <c r="G104" s="210" t="str">
        <f>IFERROR(__xludf.DUMMYFUNCTION("CONCATENATE(""https://dl.acm.org/doi/"",INDEX(FILTER('Sheridan Main'!A:A,'Sheridan Main'!B:B=C104),1))"),"https://dl.acm.org/doi/10.1145/3774904.3792224")</f>
        <v>https://dl.acm.org/doi/10.1145/3774904.3792224</v>
      </c>
      <c r="H104" s="189" t="s">
        <v>2848</v>
      </c>
      <c r="I104" s="189" t="s">
        <v>115</v>
      </c>
      <c r="J104" s="209"/>
      <c r="K104" s="147"/>
      <c r="L104" s="147"/>
      <c r="M104" s="209"/>
      <c r="N104" s="209"/>
      <c r="O104" s="209"/>
      <c r="P104" s="209"/>
      <c r="Q104" s="209"/>
      <c r="R104" s="209"/>
      <c r="S104" s="209"/>
      <c r="T104" s="209"/>
      <c r="U104" s="209"/>
      <c r="V104" s="209"/>
      <c r="W104" s="209"/>
      <c r="X104" s="209"/>
      <c r="Y104" s="209"/>
      <c r="Z104" s="209"/>
      <c r="AA104" s="209"/>
      <c r="AB104" s="209"/>
      <c r="AC104" s="209"/>
      <c r="AD104" s="209"/>
      <c r="AE104" s="209"/>
    </row>
    <row r="105">
      <c r="A105" s="208" t="s">
        <v>2879</v>
      </c>
      <c r="B105" s="189" t="str">
        <f>IFERROR(__xludf.DUMMYFUNCTION("FILTER ('Research Papers'!D:D,'Research Papers'!A:A=C105)"),"Sustained Vertex Cover on Temporal Graphs")</f>
        <v>Sustained Vertex Cover on Temporal Graphs</v>
      </c>
      <c r="C105" s="189" t="s">
        <v>816</v>
      </c>
      <c r="D105" s="209" t="str">
        <f t="shared" si="1"/>
        <v>Sustained Vertex Cover on Temporal Graphs
Junqiang Peng, Tian Bai, Jingyang Zhao and Mingyu Xiao
</v>
      </c>
      <c r="E105" s="209" t="str">
        <f>IFERROR(__xludf.DUMMYFUNCTION("TEXTJOIN(CHAR(10), TRUE,FILTER('Research Papers'!$C:$C,'Research Papers'!$A:$A=C105))"),"Junqiang Peng, Tian Bai, Jingyang Zhao and Mingyu Xiao")</f>
        <v>Junqiang Peng, Tian Bai, Jingyang Zhao and Mingyu Xiao</v>
      </c>
      <c r="F105" s="209" t="str">
        <f>IFERROR(__xludf.DUMMYFUNCTION("TEXTJOIN(CHAR(10), TRUE,FILTER ('Sheridan Main'!E:E,'Sheridan Main'!B:B=C105))"),"myxiao@gmail.com")</f>
        <v>myxiao@gmail.com</v>
      </c>
      <c r="G105" s="210" t="str">
        <f>IFERROR(__xludf.DUMMYFUNCTION("CONCATENATE(""https://dl.acm.org/doi/"",INDEX(FILTER('Sheridan Main'!A:A,'Sheridan Main'!B:B=C105),1))"),"https://dl.acm.org/doi/10.1145/3774904.3792250")</f>
        <v>https://dl.acm.org/doi/10.1145/3774904.3792250</v>
      </c>
      <c r="H105" s="189" t="s">
        <v>2848</v>
      </c>
      <c r="I105" s="189" t="s">
        <v>115</v>
      </c>
      <c r="J105" s="209"/>
      <c r="K105" s="147"/>
      <c r="L105" s="147"/>
      <c r="M105" s="209"/>
      <c r="N105" s="209"/>
      <c r="O105" s="209"/>
      <c r="P105" s="209"/>
      <c r="Q105" s="209"/>
      <c r="R105" s="209"/>
      <c r="S105" s="209"/>
      <c r="T105" s="209"/>
      <c r="U105" s="209"/>
      <c r="V105" s="209"/>
      <c r="W105" s="209"/>
      <c r="X105" s="209"/>
      <c r="Y105" s="209"/>
      <c r="Z105" s="209"/>
      <c r="AA105" s="209"/>
      <c r="AB105" s="209"/>
      <c r="AC105" s="209"/>
      <c r="AD105" s="209"/>
      <c r="AE105" s="209"/>
    </row>
    <row r="106">
      <c r="A106" s="208" t="s">
        <v>2879</v>
      </c>
      <c r="B106" s="189" t="str">
        <f>IFERROR(__xludf.DUMMYFUNCTION("FILTER ('Research Papers'!D:D,'Research Papers'!A:A=C106)"),"Dual-level Reweighting for Positive-Unlabeled Graph Classification")</f>
        <v>Dual-level Reweighting for Positive-Unlabeled Graph Classification</v>
      </c>
      <c r="C106" s="189" t="s">
        <v>818</v>
      </c>
      <c r="D106" s="209" t="str">
        <f t="shared" si="1"/>
        <v>Dual-level Reweighting for Positive-Unlabeled Graph Classification
Junghun Kim, Shihyung Park and U Kang
</v>
      </c>
      <c r="E106" s="209" t="str">
        <f>IFERROR(__xludf.DUMMYFUNCTION("TEXTJOIN(CHAR(10), TRUE,FILTER('Research Papers'!$C:$C,'Research Papers'!$A:$A=C106))"),"Junghun Kim, Shihyung Park and U Kang")</f>
        <v>Junghun Kim, Shihyung Park and U Kang</v>
      </c>
      <c r="F106" s="209" t="str">
        <f>IFERROR(__xludf.DUMMYFUNCTION("TEXTJOIN(CHAR(10), TRUE,FILTER ('Sheridan Main'!E:E,'Sheridan Main'!B:B=C106))"),"ukang@snu.ac.kr")</f>
        <v>ukang@snu.ac.kr</v>
      </c>
      <c r="G106" s="210" t="str">
        <f>IFERROR(__xludf.DUMMYFUNCTION("CONCATENATE(""https://dl.acm.org/doi/"",INDEX(FILTER('Sheridan Main'!A:A,'Sheridan Main'!B:B=C106),1))"),"https://dl.acm.org/doi/10.1145/3774904.3792251")</f>
        <v>https://dl.acm.org/doi/10.1145/3774904.3792251</v>
      </c>
      <c r="H106" s="189" t="s">
        <v>2848</v>
      </c>
      <c r="I106" s="189" t="s">
        <v>115</v>
      </c>
      <c r="J106" s="209"/>
      <c r="K106" s="147"/>
      <c r="L106" s="147"/>
      <c r="M106" s="209"/>
      <c r="N106" s="209"/>
      <c r="O106" s="209"/>
      <c r="P106" s="209"/>
      <c r="Q106" s="209"/>
      <c r="R106" s="209"/>
      <c r="S106" s="209"/>
      <c r="T106" s="209"/>
      <c r="U106" s="209"/>
      <c r="V106" s="209"/>
      <c r="W106" s="209"/>
      <c r="X106" s="209"/>
      <c r="Y106" s="209"/>
      <c r="Z106" s="209"/>
      <c r="AA106" s="209"/>
      <c r="AB106" s="209"/>
      <c r="AC106" s="209"/>
      <c r="AD106" s="209"/>
      <c r="AE106" s="209"/>
    </row>
    <row r="107">
      <c r="A107" s="208" t="s">
        <v>2879</v>
      </c>
      <c r="B107" s="189" t="str">
        <f>IFERROR(__xludf.DUMMYFUNCTION("FILTER ('Research Papers'!D:D,'Research Papers'!A:A=C107)"),"A Unified Graph Clustering Network")</f>
        <v>A Unified Graph Clustering Network</v>
      </c>
      <c r="C107" s="189" t="s">
        <v>848</v>
      </c>
      <c r="D107" s="209" t="str">
        <f t="shared" si="1"/>
        <v>A Unified Graph Clustering Network
Renda Han, Xiaobao Wang, Longbiao Wang, Wenxin Zhang,
Ronghao Fu, Kaiming Wang, Zeyu Zhang and Kuntharrgyal Khysru
</v>
      </c>
      <c r="E107" s="209" t="str">
        <f>IFERROR(__xludf.DUMMYFUNCTION("TEXTJOIN(CHAR(10), TRUE,FILTER('Research Papers'!$C:$C,'Research Papers'!$A:$A=C107))"),"Renda Han, Xiaobao Wang, Longbiao Wang, Wenxin Zhang,
Ronghao Fu, Kaiming Wang, Zeyu Zhang and Kuntharrgyal Khysru")</f>
        <v>Renda Han, Xiaobao Wang, Longbiao Wang, Wenxin Zhang,
Ronghao Fu, Kaiming Wang, Zeyu Zhang and Kuntharrgyal Khysru</v>
      </c>
      <c r="F107" s="209" t="str">
        <f>IFERROR(__xludf.DUMMYFUNCTION("TEXTJOIN(CHAR(10), TRUE,FILTER ('Sheridan Main'!E:E,'Sheridan Main'!B:B=C107))"),"wangxiaobao@tju.edu.cn")</f>
        <v>wangxiaobao@tju.edu.cn</v>
      </c>
      <c r="G107" s="210" t="str">
        <f>IFERROR(__xludf.DUMMYFUNCTION("CONCATENATE(""https://dl.acm.org/doi/"",INDEX(FILTER('Sheridan Main'!A:A,'Sheridan Main'!B:B=C107),1))"),"https://dl.acm.org/doi/10.1145/3774904.3792266")</f>
        <v>https://dl.acm.org/doi/10.1145/3774904.3792266</v>
      </c>
      <c r="H107" s="189" t="s">
        <v>2848</v>
      </c>
      <c r="I107" s="189" t="s">
        <v>2881</v>
      </c>
      <c r="J107" s="209"/>
      <c r="K107" s="147"/>
      <c r="L107" s="147"/>
      <c r="M107" s="209"/>
      <c r="N107" s="209"/>
      <c r="O107" s="209"/>
      <c r="P107" s="209"/>
      <c r="Q107" s="209"/>
      <c r="R107" s="209"/>
      <c r="S107" s="209"/>
      <c r="T107" s="209"/>
      <c r="U107" s="209"/>
      <c r="V107" s="209"/>
      <c r="W107" s="209"/>
      <c r="X107" s="209"/>
      <c r="Y107" s="209"/>
      <c r="Z107" s="209"/>
      <c r="AA107" s="209"/>
      <c r="AB107" s="209"/>
      <c r="AC107" s="209"/>
      <c r="AD107" s="209"/>
      <c r="AE107" s="209"/>
    </row>
    <row r="108">
      <c r="A108" s="208" t="s">
        <v>2879</v>
      </c>
      <c r="B108" s="189" t="str">
        <f>IFERROR(__xludf.DUMMYFUNCTION("FILTER ('Research Papers'!D:D,'Research Papers'!A:A=C108)"),"E$^2$SGNN: Reconciling Expression and Efficiency in Spiking Graph Neural Network")</f>
        <v>E$^2$SGNN: Reconciling Expression and Efficiency in Spiking Graph Neural Network</v>
      </c>
      <c r="C108" s="189" t="s">
        <v>858</v>
      </c>
      <c r="D108" s="209" t="str">
        <f t="shared" si="1"/>
        <v>E$^2$SGNN: Reconciling Expression and Efficiency in Spiking Graph Neural Network
Han Zhao, Xu Yang, Cheng Deng and Fan Liu
</v>
      </c>
      <c r="E108" s="209" t="str">
        <f>IFERROR(__xludf.DUMMYFUNCTION("TEXTJOIN(CHAR(10), TRUE,FILTER('Research Papers'!$C:$C,'Research Papers'!$A:$A=C108))"),"Han Zhao, Xu Yang, Cheng Deng and Fan Liu")</f>
        <v>Han Zhao, Xu Yang, Cheng Deng and Fan Liu</v>
      </c>
      <c r="F108" s="209" t="str">
        <f>IFERROR(__xludf.DUMMYFUNCTION("TEXTJOIN(CHAR(10), TRUE,FILTER ('Sheridan Main'!E:E,'Sheridan Main'!B:B=C108))"),"hzhao1698@gmail.com")</f>
        <v>hzhao1698@gmail.com</v>
      </c>
      <c r="G108" s="210" t="str">
        <f>IFERROR(__xludf.DUMMYFUNCTION("CONCATENATE(""https://dl.acm.org/doi/"",INDEX(FILTER('Sheridan Main'!A:A,'Sheridan Main'!B:B=C108),1))"),"https://dl.acm.org/doi/10.1145/3774904.3792271")</f>
        <v>https://dl.acm.org/doi/10.1145/3774904.3792271</v>
      </c>
      <c r="H108" s="189" t="s">
        <v>2848</v>
      </c>
      <c r="I108" s="189" t="s">
        <v>2881</v>
      </c>
      <c r="J108" s="209"/>
      <c r="K108" s="147"/>
      <c r="L108" s="147"/>
      <c r="M108" s="209"/>
      <c r="N108" s="209"/>
      <c r="O108" s="209"/>
      <c r="P108" s="209"/>
      <c r="Q108" s="209"/>
      <c r="R108" s="209"/>
      <c r="S108" s="209"/>
      <c r="T108" s="209"/>
      <c r="U108" s="209"/>
      <c r="V108" s="209"/>
      <c r="W108" s="209"/>
      <c r="X108" s="209"/>
      <c r="Y108" s="209"/>
      <c r="Z108" s="209"/>
      <c r="AA108" s="209"/>
      <c r="AB108" s="209"/>
      <c r="AC108" s="209"/>
      <c r="AD108" s="209"/>
      <c r="AE108" s="209"/>
    </row>
    <row r="109">
      <c r="A109" s="208" t="s">
        <v>2879</v>
      </c>
      <c r="B109" s="189" t="str">
        <f>IFERROR(__xludf.DUMMYFUNCTION("FILTER ('Research Papers'!D:D,'Research Papers'!A:A=C109)"),"Graph-to-Tree: Topological Decomposition for Self-Supervised Learning")</f>
        <v>Graph-to-Tree: Topological Decomposition for Self-Supervised Learning</v>
      </c>
      <c r="C109" s="189" t="s">
        <v>888</v>
      </c>
      <c r="D109" s="209" t="str">
        <f t="shared" si="1"/>
        <v>Graph-to-Tree: Topological Decomposition for Self-Supervised Learning
Yejiang Wang, Yuhai Zhao, Fangting Li, Jiapu Wang, Meixia
Wang, Ling Li, Miaomiao Huang, Zhengkui Wang and Shirui Pan
</v>
      </c>
      <c r="E109" s="209" t="str">
        <f>IFERROR(__xludf.DUMMYFUNCTION("TEXTJOIN(CHAR(10), TRUE,FILTER('Research Papers'!$C:$C,'Research Papers'!$A:$A=C109))"),"Yejiang Wang, Yuhai Zhao, Fangting Li, Jiapu Wang, Meixia
Wang, Ling Li, Miaomiao Huang, Zhengkui Wang and Shirui Pan")</f>
        <v>Yejiang Wang, Yuhai Zhao, Fangting Li, Jiapu Wang, Meixia
Wang, Ling Li, Miaomiao Huang, Zhengkui Wang and Shirui Pan</v>
      </c>
      <c r="F109" s="209" t="str">
        <f>IFERROR(__xludf.DUMMYFUNCTION("TEXTJOIN(CHAR(10), TRUE,FILTER ('Sheridan Main'!E:E,'Sheridan Main'!B:B=C109))"),"zhaoyuhai@mail.neu.edu.cn")</f>
        <v>zhaoyuhai@mail.neu.edu.cn</v>
      </c>
      <c r="G109" s="210" t="str">
        <f>IFERROR(__xludf.DUMMYFUNCTION("CONCATENATE(""https://dl.acm.org/doi/"",INDEX(FILTER('Sheridan Main'!A:A,'Sheridan Main'!B:B=C109),1))"),"https://dl.acm.org/doi/10.1145/3774904.3792286")</f>
        <v>https://dl.acm.org/doi/10.1145/3774904.3792286</v>
      </c>
      <c r="H109" s="189" t="s">
        <v>2848</v>
      </c>
      <c r="I109" s="189" t="s">
        <v>2881</v>
      </c>
      <c r="J109" s="209"/>
      <c r="K109" s="147"/>
      <c r="L109" s="147"/>
      <c r="M109" s="209"/>
      <c r="N109" s="209"/>
      <c r="O109" s="209"/>
      <c r="P109" s="209"/>
      <c r="Q109" s="209"/>
      <c r="R109" s="209"/>
      <c r="S109" s="209"/>
      <c r="T109" s="209"/>
      <c r="U109" s="209"/>
      <c r="V109" s="209"/>
      <c r="W109" s="209"/>
      <c r="X109" s="209"/>
      <c r="Y109" s="209"/>
      <c r="Z109" s="209"/>
      <c r="AA109" s="209"/>
      <c r="AB109" s="209"/>
      <c r="AC109" s="209"/>
      <c r="AD109" s="209"/>
      <c r="AE109" s="209"/>
    </row>
    <row r="110">
      <c r="A110" s="208" t="s">
        <v>2879</v>
      </c>
      <c r="B110" s="189" t="str">
        <f>IFERROR(__xludf.DUMMYFUNCTION("FILTER ('Research Papers'!D:D,'Research Papers'!A:A=C110)"),"Revisiting Graph-Level Anomaly Detection: From Partially to Fully Unsupervised Learning")</f>
        <v>Revisiting Graph-Level Anomaly Detection: From Partially to Fully Unsupervised Learning</v>
      </c>
      <c r="C110" s="189" t="s">
        <v>930</v>
      </c>
      <c r="D110" s="209" t="str">
        <f t="shared" si="1"/>
        <v>Revisiting Graph-Level Anomaly Detection: From Partially to Fully Unsupervised Learning
Zhenyu Yang, Ge Zhang, Shan Xue, Xiaoxiao Ma, Jian Yang,
Hao Peng, Amin Beheshti and Jia Wu
</v>
      </c>
      <c r="E110" s="209" t="str">
        <f>IFERROR(__xludf.DUMMYFUNCTION("TEXTJOIN(CHAR(10), TRUE,FILTER('Research Papers'!$C:$C,'Research Papers'!$A:$A=C110))"),"Zhenyu Yang, Ge Zhang, Shan Xue, Xiaoxiao Ma, Jian Yang,
Hao Peng, Amin Beheshti and Jia Wu")</f>
        <v>Zhenyu Yang, Ge Zhang, Shan Xue, Xiaoxiao Ma, Jian Yang,
Hao Peng, Amin Beheshti and Jia Wu</v>
      </c>
      <c r="F110" s="209" t="str">
        <f>IFERROR(__xludf.DUMMYFUNCTION("TEXTJOIN(CHAR(10), TRUE,FILTER ('Sheridan Main'!E:E,'Sheridan Main'!B:B=C110))"),"jia.wu@mq.edu.au")</f>
        <v>jia.wu@mq.edu.au</v>
      </c>
      <c r="G110" s="210" t="str">
        <f>IFERROR(__xludf.DUMMYFUNCTION("CONCATENATE(""https://dl.acm.org/doi/"",INDEX(FILTER('Sheridan Main'!A:A,'Sheridan Main'!B:B=C110),1))"),"https://dl.acm.org/doi/10.1145/3774904.3792307")</f>
        <v>https://dl.acm.org/doi/10.1145/3774904.3792307</v>
      </c>
      <c r="H110" s="189" t="s">
        <v>2848</v>
      </c>
      <c r="I110" s="189" t="s">
        <v>2881</v>
      </c>
      <c r="J110" s="209"/>
      <c r="K110" s="147"/>
      <c r="L110" s="147"/>
      <c r="M110" s="209"/>
      <c r="N110" s="209"/>
      <c r="O110" s="209"/>
      <c r="P110" s="209"/>
      <c r="Q110" s="209"/>
      <c r="R110" s="209"/>
      <c r="S110" s="209"/>
      <c r="T110" s="209"/>
      <c r="U110" s="209"/>
      <c r="V110" s="209"/>
      <c r="W110" s="209"/>
      <c r="X110" s="209"/>
      <c r="Y110" s="209"/>
      <c r="Z110" s="209"/>
      <c r="AA110" s="209"/>
      <c r="AB110" s="209"/>
      <c r="AC110" s="209"/>
      <c r="AD110" s="209"/>
      <c r="AE110" s="209"/>
    </row>
    <row r="111">
      <c r="A111" s="208" t="s">
        <v>2879</v>
      </c>
      <c r="B111" s="189" t="str">
        <f>IFERROR(__xludf.DUMMYFUNCTION("FILTER ('Research Papers'!D:D,'Research Papers'!A:A=C111)"),"FedCND: Federated Graph-Level Clustering under Inter-Client Cluster Number Discrepancy")</f>
        <v>FedCND: Federated Graph-Level Clustering under Inter-Client Cluster Number Discrepancy</v>
      </c>
      <c r="C111" s="189" t="s">
        <v>966</v>
      </c>
      <c r="D111" s="209" t="str">
        <f t="shared" si="1"/>
        <v>FedCND: Federated Graph-Level Clustering under Inter-Client Cluster Number Discrepancy
Junlong Wu, Renda Han, Wenxuan Tu, Jingxin Liu, Haotian
Wang and Jieren Cheng
</v>
      </c>
      <c r="E111" s="209" t="str">
        <f>IFERROR(__xludf.DUMMYFUNCTION("TEXTJOIN(CHAR(10), TRUE,FILTER('Research Papers'!$C:$C,'Research Papers'!$A:$A=C111))"),"Junlong Wu, Renda Han, Wenxuan Tu, Jingxin Liu, Haotian
Wang and Jieren Cheng")</f>
        <v>Junlong Wu, Renda Han, Wenxuan Tu, Jingxin Liu, Haotian
Wang and Jieren Cheng</v>
      </c>
      <c r="F111" s="209" t="str">
        <f>IFERROR(__xludf.DUMMYFUNCTION("TEXTJOIN(CHAR(10), TRUE,FILTER ('Sheridan Main'!E:E,'Sheridan Main'!B:B=C111))"),"twx@hainanu.edu.cn")</f>
        <v>twx@hainanu.edu.cn</v>
      </c>
      <c r="G111" s="210" t="str">
        <f>IFERROR(__xludf.DUMMYFUNCTION("CONCATENATE(""https://dl.acm.org/doi/"",INDEX(FILTER('Sheridan Main'!A:A,'Sheridan Main'!B:B=C111),1))"),"https://dl.acm.org/doi/10.1145/3774904.3792325")</f>
        <v>https://dl.acm.org/doi/10.1145/3774904.3792325</v>
      </c>
      <c r="H111" s="189" t="s">
        <v>2848</v>
      </c>
      <c r="I111" s="189" t="s">
        <v>2881</v>
      </c>
      <c r="J111" s="209"/>
      <c r="K111" s="147"/>
      <c r="L111" s="147"/>
      <c r="M111" s="209"/>
      <c r="N111" s="209"/>
      <c r="O111" s="209"/>
      <c r="P111" s="209"/>
      <c r="Q111" s="209"/>
      <c r="R111" s="209"/>
      <c r="S111" s="209"/>
      <c r="T111" s="209"/>
      <c r="U111" s="209"/>
      <c r="V111" s="209"/>
      <c r="W111" s="209"/>
      <c r="X111" s="209"/>
      <c r="Y111" s="209"/>
      <c r="Z111" s="209"/>
      <c r="AA111" s="209"/>
      <c r="AB111" s="209"/>
      <c r="AC111" s="209"/>
      <c r="AD111" s="209"/>
      <c r="AE111" s="209"/>
    </row>
    <row r="112">
      <c r="A112" s="208" t="s">
        <v>2879</v>
      </c>
      <c r="B112" s="189" t="str">
        <f>IFERROR(__xludf.DUMMYFUNCTION("FILTER ('Research Papers'!D:D,'Research Papers'!A:A=C112)"),"SCOUT: Structure-Aware Aspect and Anchor-Count Selection for Node Attribute Augmentation via Positional Information")</f>
        <v>SCOUT: Structure-Aware Aspect and Anchor-Count Selection for Node Attribute Augmentation via Positional Information</v>
      </c>
      <c r="C112" s="189" t="s">
        <v>968</v>
      </c>
      <c r="D112" s="209" t="str">
        <f t="shared" si="1"/>
        <v>SCOUT: Structure-Aware Aspect and Anchor-Count Selection for Node Attribute Augmentation via Positional Information
Dong-Hyuk Seo, Sein Kim, Taeri Kim, Won-Yong Shin and
Sang-Wook Kim
</v>
      </c>
      <c r="E112" s="209" t="str">
        <f>IFERROR(__xludf.DUMMYFUNCTION("TEXTJOIN(CHAR(10), TRUE,FILTER('Research Papers'!$C:$C,'Research Papers'!$A:$A=C112))"),"Dong-Hyuk Seo, Sein Kim, Taeri Kim, Won-Yong Shin and
Sang-Wook Kim")</f>
        <v>Dong-Hyuk Seo, Sein Kim, Taeri Kim, Won-Yong Shin and
Sang-Wook Kim</v>
      </c>
      <c r="F112" s="209" t="str">
        <f>IFERROR(__xludf.DUMMYFUNCTION("TEXTJOIN(CHAR(10), TRUE,FILTER ('Sheridan Main'!E:E,'Sheridan Main'!B:B=C112))"),"wook@hanyang.ac.kr")</f>
        <v>wook@hanyang.ac.kr</v>
      </c>
      <c r="G112" s="210" t="str">
        <f>IFERROR(__xludf.DUMMYFUNCTION("CONCATENATE(""https://dl.acm.org/doi/"",INDEX(FILTER('Sheridan Main'!A:A,'Sheridan Main'!B:B=C112),1))"),"https://dl.acm.org/doi/10.1145/3774904.3792326")</f>
        <v>https://dl.acm.org/doi/10.1145/3774904.3792326</v>
      </c>
      <c r="H112" s="189" t="s">
        <v>2848</v>
      </c>
      <c r="I112" s="189" t="s">
        <v>2881</v>
      </c>
      <c r="J112" s="209"/>
      <c r="K112" s="147"/>
      <c r="L112" s="147"/>
      <c r="M112" s="209"/>
      <c r="N112" s="209"/>
      <c r="O112" s="209"/>
      <c r="P112" s="209"/>
      <c r="Q112" s="209"/>
      <c r="R112" s="209"/>
      <c r="S112" s="209"/>
      <c r="T112" s="209"/>
      <c r="U112" s="209"/>
      <c r="V112" s="209"/>
      <c r="W112" s="209"/>
      <c r="X112" s="209"/>
      <c r="Y112" s="209"/>
      <c r="Z112" s="209"/>
      <c r="AA112" s="209"/>
      <c r="AB112" s="209"/>
      <c r="AC112" s="209"/>
      <c r="AD112" s="209"/>
      <c r="AE112" s="209"/>
    </row>
    <row r="113">
      <c r="A113" s="208" t="s">
        <v>2879</v>
      </c>
      <c r="B113" s="189" t="str">
        <f>IFERROR(__xludf.DUMMYFUNCTION("FILTER ('Research Papers'!D:D,'Research Papers'!A:A=C113)"),"Breaking the Scalability Barrier in Constrained Graph-Based Networked Control via Decision-Focused Learning")</f>
        <v>Breaking the Scalability Barrier in Constrained Graph-Based Networked Control via Decision-Focused Learning</v>
      </c>
      <c r="C113" s="189" t="s">
        <v>978</v>
      </c>
      <c r="D113" s="209" t="str">
        <f t="shared" si="1"/>
        <v>Breaking the Scalability Barrier in Constrained Graph-Based Networked Control via Decision-Focused Learning
Zhaoxing Yang, Yuchen Guo, Wenlong Li, Guiyun Fan, Haiming
Jin and Linghe Kong
</v>
      </c>
      <c r="E113" s="209" t="str">
        <f>IFERROR(__xludf.DUMMYFUNCTION("TEXTJOIN(CHAR(10), TRUE,FILTER('Research Papers'!$C:$C,'Research Papers'!$A:$A=C113))"),"Zhaoxing Yang, Yuchen Guo, Wenlong Li, Guiyun Fan, Haiming
Jin and Linghe Kong")</f>
        <v>Zhaoxing Yang, Yuchen Guo, Wenlong Li, Guiyun Fan, Haiming
Jin and Linghe Kong</v>
      </c>
      <c r="F113" s="209" t="str">
        <f>IFERROR(__xludf.DUMMYFUNCTION("TEXTJOIN(CHAR(10), TRUE,FILTER ('Sheridan Main'!E:E,'Sheridan Main'!B:B=C113))"),"fanguiyun@tongji.edu.cn")</f>
        <v>fanguiyun@tongji.edu.cn</v>
      </c>
      <c r="G113" s="210" t="str">
        <f>IFERROR(__xludf.DUMMYFUNCTION("CONCATENATE(""https://dl.acm.org/doi/"",INDEX(FILTER('Sheridan Main'!A:A,'Sheridan Main'!B:B=C113),1))"),"https://dl.acm.org/doi/10.1145/3774904.3792331")</f>
        <v>https://dl.acm.org/doi/10.1145/3774904.3792331</v>
      </c>
      <c r="H113" s="189" t="s">
        <v>2848</v>
      </c>
      <c r="I113" s="189" t="s">
        <v>2881</v>
      </c>
      <c r="J113" s="209"/>
      <c r="K113" s="147"/>
      <c r="L113" s="147"/>
      <c r="M113" s="209"/>
      <c r="N113" s="209"/>
      <c r="O113" s="209"/>
      <c r="P113" s="209"/>
      <c r="Q113" s="209"/>
      <c r="R113" s="209"/>
      <c r="S113" s="209"/>
      <c r="T113" s="209"/>
      <c r="U113" s="209"/>
      <c r="V113" s="209"/>
      <c r="W113" s="209"/>
      <c r="X113" s="209"/>
      <c r="Y113" s="209"/>
      <c r="Z113" s="209"/>
      <c r="AA113" s="209"/>
      <c r="AB113" s="209"/>
      <c r="AC113" s="209"/>
      <c r="AD113" s="209"/>
      <c r="AE113" s="209"/>
    </row>
    <row r="114">
      <c r="A114" s="208" t="s">
        <v>2879</v>
      </c>
      <c r="B114" s="189" t="str">
        <f>IFERROR(__xludf.DUMMYFUNCTION("FILTER ('Research Papers'!D:D,'Research Papers'!A:A=C114)"),"Invariant Learning on Heterogeneous Graphs via Subgraph Environment Inference")</f>
        <v>Invariant Learning on Heterogeneous Graphs via Subgraph Environment Inference</v>
      </c>
      <c r="C114" s="189" t="s">
        <v>1000</v>
      </c>
      <c r="D114" s="209" t="str">
        <f t="shared" si="1"/>
        <v>Invariant Learning on Heterogeneous Graphs via Subgraph Environment Inference
Yanghui Fu, Yunfei Wang, Hao Zou, Yue He, Haotian Wang,
Qing Cheng, Guangquan Cheng and Shixuan Liu
</v>
      </c>
      <c r="E114" s="209" t="str">
        <f>IFERROR(__xludf.DUMMYFUNCTION("TEXTJOIN(CHAR(10), TRUE,FILTER('Research Papers'!$C:$C,'Research Papers'!$A:$A=C114))"),"Yanghui Fu, Yunfei Wang, Hao Zou, Yue He, Haotian Wang,
Qing Cheng, Guangquan Cheng and Shixuan Liu")</f>
        <v>Yanghui Fu, Yunfei Wang, Hao Zou, Yue He, Haotian Wang,
Qing Cheng, Guangquan Cheng and Shixuan Liu</v>
      </c>
      <c r="F114" s="209" t="str">
        <f>IFERROR(__xludf.DUMMYFUNCTION("TEXTJOIN(CHAR(10), TRUE,FILTER ('Sheridan Main'!E:E,'Sheridan Main'!B:B=C114))"),"szftandy@hotmail.com")</f>
        <v>szftandy@hotmail.com</v>
      </c>
      <c r="G114" s="210" t="str">
        <f>IFERROR(__xludf.DUMMYFUNCTION("CONCATENATE(""https://dl.acm.org/doi/"",INDEX(FILTER('Sheridan Main'!A:A,'Sheridan Main'!B:B=C114),1))"),"https://dl.acm.org/doi/10.1145/3774904.3792342")</f>
        <v>https://dl.acm.org/doi/10.1145/3774904.3792342</v>
      </c>
      <c r="H114" s="189" t="s">
        <v>2848</v>
      </c>
      <c r="I114" s="189" t="s">
        <v>2881</v>
      </c>
      <c r="J114" s="209"/>
      <c r="K114" s="147"/>
      <c r="L114" s="147"/>
      <c r="M114" s="209"/>
      <c r="N114" s="209"/>
      <c r="O114" s="209"/>
      <c r="P114" s="209"/>
      <c r="Q114" s="209"/>
      <c r="R114" s="209"/>
      <c r="S114" s="209"/>
      <c r="T114" s="209"/>
      <c r="U114" s="209"/>
      <c r="V114" s="209"/>
      <c r="W114" s="209"/>
      <c r="X114" s="209"/>
      <c r="Y114" s="209"/>
      <c r="Z114" s="209"/>
      <c r="AA114" s="209"/>
      <c r="AB114" s="209"/>
      <c r="AC114" s="209"/>
      <c r="AD114" s="209"/>
      <c r="AE114" s="209"/>
    </row>
    <row r="115">
      <c r="A115" s="208" t="s">
        <v>2879</v>
      </c>
      <c r="B115" s="189" t="str">
        <f>IFERROR(__xludf.DUMMYFUNCTION("FILTER ('Research Papers'!D:D,'Research Papers'!A:A=C115)"),"ScaleGNN: Towards Scalable Graph Neural Networks via Adaptive High-order Neighboring Feature Fusion")</f>
        <v>ScaleGNN: Towards Scalable Graph Neural Networks via Adaptive High-order Neighboring Feature Fusion</v>
      </c>
      <c r="C115" s="189" t="s">
        <v>1010</v>
      </c>
      <c r="D115" s="209" t="str">
        <f t="shared" si="1"/>
        <v>ScaleGNN: Towards Scalable Graph Neural Networks via Adaptive High-order Neighboring Feature Fusion
Xiang Li, Jianpeng Qi, Haobing Liu, Yuan Cao, Guoqing Chao,
Zhongying Zhao, Junyu Dong, Xinwang Liu and Yanwei Yu
</v>
      </c>
      <c r="E115" s="209" t="str">
        <f>IFERROR(__xludf.DUMMYFUNCTION("TEXTJOIN(CHAR(10), TRUE,FILTER('Research Papers'!$C:$C,'Research Papers'!$A:$A=C115))"),"Xiang Li, Jianpeng Qi, Haobing Liu, Yuan Cao, Guoqing Chao,
Zhongying Zhao, Junyu Dong, Xinwang Liu and Yanwei Yu")</f>
        <v>Xiang Li, Jianpeng Qi, Haobing Liu, Yuan Cao, Guoqing Chao,
Zhongying Zhao, Junyu Dong, Xinwang Liu and Yanwei Yu</v>
      </c>
      <c r="F115" s="209" t="str">
        <f>IFERROR(__xludf.DUMMYFUNCTION("TEXTJOIN(CHAR(10), TRUE,FILTER ('Sheridan Main'!E:E,'Sheridan Main'!B:B=C115))"),"yuyanwei@ouc.edu.cn")</f>
        <v>yuyanwei@ouc.edu.cn</v>
      </c>
      <c r="G115" s="210" t="str">
        <f>IFERROR(__xludf.DUMMYFUNCTION("CONCATENATE(""https://dl.acm.org/doi/"",INDEX(FILTER('Sheridan Main'!A:A,'Sheridan Main'!B:B=C115),1))"),"https://dl.acm.org/doi/10.1145/3774904.3792347")</f>
        <v>https://dl.acm.org/doi/10.1145/3774904.3792347</v>
      </c>
      <c r="H115" s="189" t="s">
        <v>2848</v>
      </c>
      <c r="I115" s="189" t="s">
        <v>2881</v>
      </c>
      <c r="J115" s="209"/>
      <c r="K115" s="147"/>
      <c r="L115" s="147"/>
      <c r="M115" s="209"/>
      <c r="N115" s="209"/>
      <c r="O115" s="209"/>
      <c r="P115" s="209"/>
      <c r="Q115" s="209"/>
      <c r="R115" s="209"/>
      <c r="S115" s="209"/>
      <c r="T115" s="209"/>
      <c r="U115" s="209"/>
      <c r="V115" s="209"/>
      <c r="W115" s="209"/>
      <c r="X115" s="209"/>
      <c r="Y115" s="209"/>
      <c r="Z115" s="209"/>
      <c r="AA115" s="209"/>
      <c r="AB115" s="209"/>
      <c r="AC115" s="209"/>
      <c r="AD115" s="209"/>
      <c r="AE115" s="209"/>
    </row>
    <row r="116">
      <c r="A116" s="208" t="s">
        <v>2879</v>
      </c>
      <c r="B116" s="189" t="str">
        <f>IFERROR(__xludf.DUMMYFUNCTION("FILTER ('Research Papers'!D:D,'Research Papers'!A:A=C116)"),"Weighted Graph Clustering via Scale Contraction and Graph Structure Learning")</f>
        <v>Weighted Graph Clustering via Scale Contraction and Graph Structure Learning</v>
      </c>
      <c r="C116" s="189" t="s">
        <v>1042</v>
      </c>
      <c r="D116" s="209" t="str">
        <f t="shared" si="1"/>
        <v>Weighted Graph Clustering via Scale Contraction and Graph Structure Learning
Haobing Liu, Yinuo Zhang, Tingting Wang, Ruobing Jiang and
Yanwei Yu
</v>
      </c>
      <c r="E116" s="209" t="str">
        <f>IFERROR(__xludf.DUMMYFUNCTION("TEXTJOIN(CHAR(10), TRUE,FILTER('Research Papers'!$C:$C,'Research Papers'!$A:$A=C116))"),"Haobing Liu, Yinuo Zhang, Tingting Wang, Ruobing Jiang and
Yanwei Yu")</f>
        <v>Haobing Liu, Yinuo Zhang, Tingting Wang, Ruobing Jiang and
Yanwei Yu</v>
      </c>
      <c r="F116" s="209" t="str">
        <f>IFERROR(__xludf.DUMMYFUNCTION("TEXTJOIN(CHAR(10), TRUE,FILTER ('Sheridan Main'!E:E,'Sheridan Main'!B:B=C116))"),"jrb@ouc.edu.cn")</f>
        <v>jrb@ouc.edu.cn</v>
      </c>
      <c r="G116" s="210" t="str">
        <f>IFERROR(__xludf.DUMMYFUNCTION("CONCATENATE(""https://dl.acm.org/doi/"",INDEX(FILTER('Sheridan Main'!A:A,'Sheridan Main'!B:B=C116),1))"),"https://dl.acm.org/doi/10.1145/3774904.3792363")</f>
        <v>https://dl.acm.org/doi/10.1145/3774904.3792363</v>
      </c>
      <c r="H116" s="189" t="s">
        <v>2848</v>
      </c>
      <c r="I116" s="189" t="s">
        <v>2881</v>
      </c>
      <c r="J116" s="209"/>
      <c r="K116" s="147"/>
      <c r="L116" s="147"/>
      <c r="M116" s="209"/>
      <c r="N116" s="209"/>
      <c r="O116" s="209"/>
      <c r="P116" s="209"/>
      <c r="Q116" s="209"/>
      <c r="R116" s="209"/>
      <c r="S116" s="209"/>
      <c r="T116" s="209"/>
      <c r="U116" s="209"/>
      <c r="V116" s="209"/>
      <c r="W116" s="209"/>
      <c r="X116" s="209"/>
      <c r="Y116" s="209"/>
      <c r="Z116" s="209"/>
      <c r="AA116" s="209"/>
      <c r="AB116" s="209"/>
      <c r="AC116" s="209"/>
      <c r="AD116" s="209"/>
      <c r="AE116" s="209"/>
    </row>
    <row r="117">
      <c r="A117" s="208" t="s">
        <v>2879</v>
      </c>
      <c r="B117" s="189" t="str">
        <f>IFERROR(__xludf.DUMMYFUNCTION("FILTER ('Research Papers'!D:D,'Research Papers'!A:A=C117)"),"Generalizable Graph-level Anomaly Detection via Prompted Anomaly Expansion and Normality Extraction")</f>
        <v>Generalizable Graph-level Anomaly Detection via Prompted Anomaly Expansion and Normality Extraction</v>
      </c>
      <c r="C117" s="189" t="s">
        <v>1174</v>
      </c>
      <c r="D117" s="209" t="str">
        <f t="shared" si="1"/>
        <v>Generalizable Graph-level Anomaly Detection via Prompted Anomaly Expansion and Normality Extraction
Ge Zhang, Jiapei Chen, Guohao Sun, Xiu Fang, Zhenyu Yang,
Xixun Lin and Liang Yang
</v>
      </c>
      <c r="E117" s="209" t="str">
        <f>IFERROR(__xludf.DUMMYFUNCTION("TEXTJOIN(CHAR(10), TRUE,FILTER('Research Papers'!$C:$C,'Research Papers'!$A:$A=C117))"),"Ge Zhang, Jiapei Chen, Guohao Sun, Xiu Fang, Zhenyu Yang,
Xixun Lin and Liang Yang")</f>
        <v>Ge Zhang, Jiapei Chen, Guohao Sun, Xiu Fang, Zhenyu Yang,
Xixun Lin and Liang Yang</v>
      </c>
      <c r="F117" s="209" t="str">
        <f>IFERROR(__xludf.DUMMYFUNCTION("TEXTJOIN(CHAR(10), TRUE,FILTER ('Sheridan Main'!E:E,'Sheridan Main'!B:B=C117))"),"linxixun@iie.ac.cn")</f>
        <v>linxixun@iie.ac.cn</v>
      </c>
      <c r="G117" s="210" t="str">
        <f>IFERROR(__xludf.DUMMYFUNCTION("CONCATENATE(""https://dl.acm.org/doi/"",INDEX(FILTER('Sheridan Main'!A:A,'Sheridan Main'!B:B=C117),1))"),"https://dl.acm.org/doi/10.1145/3774904.3792429")</f>
        <v>https://dl.acm.org/doi/10.1145/3774904.3792429</v>
      </c>
      <c r="H117" s="189" t="s">
        <v>2848</v>
      </c>
      <c r="I117" s="189" t="s">
        <v>2882</v>
      </c>
      <c r="J117" s="209"/>
      <c r="K117" s="147"/>
      <c r="L117" s="147"/>
      <c r="M117" s="209"/>
      <c r="N117" s="209"/>
      <c r="O117" s="209"/>
      <c r="P117" s="209"/>
      <c r="Q117" s="209"/>
      <c r="R117" s="209"/>
      <c r="S117" s="209"/>
      <c r="T117" s="209"/>
      <c r="U117" s="209"/>
      <c r="V117" s="209"/>
      <c r="W117" s="209"/>
      <c r="X117" s="209"/>
      <c r="Y117" s="209"/>
      <c r="Z117" s="209"/>
      <c r="AA117" s="209"/>
      <c r="AB117" s="209"/>
      <c r="AC117" s="209"/>
      <c r="AD117" s="209"/>
      <c r="AE117" s="209"/>
    </row>
    <row r="118">
      <c r="A118" s="208" t="s">
        <v>2879</v>
      </c>
      <c r="B118" s="189" t="str">
        <f>IFERROR(__xludf.DUMMYFUNCTION("FILTER ('Research Papers'!D:D,'Research Papers'!A:A=C118)"),"Meta-Learning Driven Few-Shot Knowledge Transfer with Dual-Stage Adaptive Data Replay for Cross-Domain Recommendation")</f>
        <v>Meta-Learning Driven Few-Shot Knowledge Transfer with Dual-Stage Adaptive Data Replay for Cross-Domain Recommendation</v>
      </c>
      <c r="C118" s="189" t="s">
        <v>1202</v>
      </c>
      <c r="D118" s="209" t="str">
        <f t="shared" si="1"/>
        <v>Meta-Learning Driven Few-Shot Knowledge Transfer with Dual-Stage Adaptive Data Replay for Cross-Domain Recommendation
Yilei Qiu, Fei Xiong, Jun Hu, Shirui Pan and Liang Wang
</v>
      </c>
      <c r="E118" s="209" t="str">
        <f>IFERROR(__xludf.DUMMYFUNCTION("TEXTJOIN(CHAR(10), TRUE,FILTER('Research Papers'!$C:$C,'Research Papers'!$A:$A=C118))"),"Yilei Qiu, Fei Xiong, Jun Hu, Shirui Pan and Liang Wang")</f>
        <v>Yilei Qiu, Fei Xiong, Jun Hu, Shirui Pan and Liang Wang</v>
      </c>
      <c r="F118" s="209" t="str">
        <f>IFERROR(__xludf.DUMMYFUNCTION("TEXTJOIN(CHAR(10), TRUE,FILTER ('Sheridan Main'!E:E,'Sheridan Main'!B:B=C118))"),"xiongf@bjtu.edu.cn")</f>
        <v>xiongf@bjtu.edu.cn</v>
      </c>
      <c r="G118" s="210" t="str">
        <f>IFERROR(__xludf.DUMMYFUNCTION("CONCATENATE(""https://dl.acm.org/doi/"",INDEX(FILTER('Sheridan Main'!A:A,'Sheridan Main'!B:B=C118),1))"),"https://dl.acm.org/doi/10.1145/3774904.3792443")</f>
        <v>https://dl.acm.org/doi/10.1145/3774904.3792443</v>
      </c>
      <c r="H118" s="189" t="s">
        <v>2848</v>
      </c>
      <c r="I118" s="189" t="s">
        <v>2882</v>
      </c>
      <c r="J118" s="209"/>
      <c r="K118" s="147"/>
      <c r="L118" s="147"/>
      <c r="M118" s="209"/>
      <c r="N118" s="209"/>
      <c r="O118" s="209"/>
      <c r="P118" s="209"/>
      <c r="Q118" s="209"/>
      <c r="R118" s="209"/>
      <c r="S118" s="209"/>
      <c r="T118" s="209"/>
      <c r="U118" s="209"/>
      <c r="V118" s="209"/>
      <c r="W118" s="209"/>
      <c r="X118" s="209"/>
      <c r="Y118" s="209"/>
      <c r="Z118" s="209"/>
      <c r="AA118" s="209"/>
      <c r="AB118" s="209"/>
      <c r="AC118" s="209"/>
      <c r="AD118" s="209"/>
      <c r="AE118" s="209"/>
    </row>
    <row r="119">
      <c r="A119" s="208" t="s">
        <v>2879</v>
      </c>
      <c r="B119" s="189" t="str">
        <f>IFERROR(__xludf.DUMMYFUNCTION("FILTER ('Research Papers'!D:D,'Research Papers'!A:A=C119)"),"VecFormer: Towards Efficient and Generalizable Graph Transformer with Graph Token Attention")</f>
        <v>VecFormer: Towards Efficient and Generalizable Graph Transformer with Graph Token Attention</v>
      </c>
      <c r="C119" s="189" t="s">
        <v>1222</v>
      </c>
      <c r="D119" s="209" t="str">
        <f t="shared" si="1"/>
        <v>VecFormer: Towards Efficient and Generalizable Graph Transformer with Graph Token Attention
Jingbo Zhou, Jun Xia, Siyuan Li, Yunfan Liu, Wenjun Wang,
Yufei Huang, Changxi Chi, Mutian Hong, Zhuoli Ouyang, Shu
Wang, Zhongqi Wang, Xingyu Wu, Chang Yu and Stan Z. Li
</v>
      </c>
      <c r="E119" s="209" t="str">
        <f>IFERROR(__xludf.DUMMYFUNCTION("TEXTJOIN(CHAR(10), TRUE,FILTER('Research Papers'!$C:$C,'Research Papers'!$A:$A=C119))"),"Jingbo Zhou, Jun Xia, Siyuan Li, Yunfan Liu, Wenjun Wang,
Yufei Huang, Changxi Chi, Mutian Hong, Zhuoli Ouyang, Shu
Wang, Zhongqi Wang, Xingyu Wu, Chang Yu and Stan Z. Li")</f>
        <v>Jingbo Zhou, Jun Xia, Siyuan Li, Yunfan Liu, Wenjun Wang,
Yufei Huang, Changxi Chi, Mutian Hong, Zhuoli Ouyang, Shu
Wang, Zhongqi Wang, Xingyu Wu, Chang Yu and Stan Z. Li</v>
      </c>
      <c r="F119" s="209" t="str">
        <f>IFERROR(__xludf.DUMMYFUNCTION("TEXTJOIN(CHAR(10), TRUE,FILTER ('Sheridan Main'!E:E,'Sheridan Main'!B:B=C119))"),"stan.zq.li@westlake.edu.cn")</f>
        <v>stan.zq.li@westlake.edu.cn</v>
      </c>
      <c r="G119" s="210" t="str">
        <f>IFERROR(__xludf.DUMMYFUNCTION("CONCATENATE(""https://dl.acm.org/doi/"",INDEX(FILTER('Sheridan Main'!A:A,'Sheridan Main'!B:B=C119),1))"),"https://dl.acm.org/doi/10.1145/3774904.3792453")</f>
        <v>https://dl.acm.org/doi/10.1145/3774904.3792453</v>
      </c>
      <c r="H119" s="189" t="s">
        <v>2848</v>
      </c>
      <c r="I119" s="189" t="s">
        <v>2882</v>
      </c>
      <c r="J119" s="209"/>
      <c r="K119" s="147"/>
      <c r="L119" s="147"/>
      <c r="M119" s="209"/>
      <c r="N119" s="209"/>
      <c r="O119" s="209"/>
      <c r="P119" s="209"/>
      <c r="Q119" s="209"/>
      <c r="R119" s="209"/>
      <c r="S119" s="209"/>
      <c r="T119" s="209"/>
      <c r="U119" s="209"/>
      <c r="V119" s="209"/>
      <c r="W119" s="209"/>
      <c r="X119" s="209"/>
      <c r="Y119" s="209"/>
      <c r="Z119" s="209"/>
      <c r="AA119" s="209"/>
      <c r="AB119" s="209"/>
      <c r="AC119" s="209"/>
      <c r="AD119" s="209"/>
      <c r="AE119" s="209"/>
    </row>
    <row r="120">
      <c r="A120" s="208" t="s">
        <v>2879</v>
      </c>
      <c r="B120" s="189" t="str">
        <f>IFERROR(__xludf.DUMMYFUNCTION("FILTER ('Research Papers'!D:D,'Research Papers'!A:A=C120)"),"Mitigating Homophily Disparity in Graph Anomaly Detection: A Scalable and Adaptive Approach")</f>
        <v>Mitigating Homophily Disparity in Graph Anomaly Detection: A Scalable and Adaptive Approach</v>
      </c>
      <c r="C120" s="189" t="s">
        <v>1224</v>
      </c>
      <c r="D120" s="209" t="str">
        <f t="shared" si="1"/>
        <v>Mitigating Homophily Disparity in Graph Anomaly Detection: A Scalable and Adaptive Approach
Yunhui Liu, Qizhuo Xie, Yinfeng Chen, Xudong Jin, Tao
Zheng, Bin Chong and Tieke He
</v>
      </c>
      <c r="E120" s="209" t="str">
        <f>IFERROR(__xludf.DUMMYFUNCTION("TEXTJOIN(CHAR(10), TRUE,FILTER('Research Papers'!$C:$C,'Research Papers'!$A:$A=C120))"),"Yunhui Liu, Qizhuo Xie, Yinfeng Chen, Xudong Jin, Tao
Zheng, Bin Chong and Tieke He")</f>
        <v>Yunhui Liu, Qizhuo Xie, Yinfeng Chen, Xudong Jin, Tao
Zheng, Bin Chong and Tieke He</v>
      </c>
      <c r="F120" s="209" t="str">
        <f>IFERROR(__xludf.DUMMYFUNCTION("TEXTJOIN(CHAR(10), TRUE,FILTER ('Sheridan Main'!E:E,'Sheridan Main'!B:B=C120))"),"hetieke@gmail.com")</f>
        <v>hetieke@gmail.com</v>
      </c>
      <c r="G120" s="210" t="str">
        <f>IFERROR(__xludf.DUMMYFUNCTION("CONCATENATE(""https://dl.acm.org/doi/"",INDEX(FILTER('Sheridan Main'!A:A,'Sheridan Main'!B:B=C120),1))"),"https://dl.acm.org/doi/10.1145/3774904.3792454")</f>
        <v>https://dl.acm.org/doi/10.1145/3774904.3792454</v>
      </c>
      <c r="H120" s="189" t="s">
        <v>2848</v>
      </c>
      <c r="I120" s="189" t="s">
        <v>2882</v>
      </c>
      <c r="J120" s="209"/>
      <c r="K120" s="147"/>
      <c r="L120" s="147"/>
      <c r="M120" s="209"/>
      <c r="N120" s="209"/>
      <c r="O120" s="209"/>
      <c r="P120" s="209"/>
      <c r="Q120" s="209"/>
      <c r="R120" s="209"/>
      <c r="S120" s="209"/>
      <c r="T120" s="209"/>
      <c r="U120" s="209"/>
      <c r="V120" s="209"/>
      <c r="W120" s="209"/>
      <c r="X120" s="209"/>
      <c r="Y120" s="209"/>
      <c r="Z120" s="209"/>
      <c r="AA120" s="209"/>
      <c r="AB120" s="209"/>
      <c r="AC120" s="209"/>
      <c r="AD120" s="209"/>
      <c r="AE120" s="209"/>
    </row>
    <row r="121">
      <c r="A121" s="208" t="s">
        <v>2879</v>
      </c>
      <c r="B121" s="189" t="str">
        <f>IFERROR(__xludf.DUMMYFUNCTION("FILTER ('Research Papers'!D:D,'Research Papers'!A:A=C121)"),"Disentangled Graph LLM for Molecule Graph Editing under Distribution Shifts")</f>
        <v>Disentangled Graph LLM for Molecule Graph Editing under Distribution Shifts</v>
      </c>
      <c r="C121" s="189" t="s">
        <v>1244</v>
      </c>
      <c r="D121" s="209" t="str">
        <f t="shared" si="1"/>
        <v>Disentangled Graph LLM for Molecule Graph Editing under Distribution Shifts
Yang Yao, Xin Wang, Yuan Meng, Zeyang Zhang, Hong Mei and
Wenwu Zhu
</v>
      </c>
      <c r="E121" s="209" t="str">
        <f>IFERROR(__xludf.DUMMYFUNCTION("TEXTJOIN(CHAR(10), TRUE,FILTER('Research Papers'!$C:$C,'Research Papers'!$A:$A=C121))"),"Yang Yao, Xin Wang, Yuan Meng, Zeyang Zhang, Hong Mei and
Wenwu Zhu")</f>
        <v>Yang Yao, Xin Wang, Yuan Meng, Zeyang Zhang, Hong Mei and
Wenwu Zhu</v>
      </c>
      <c r="F121" s="209" t="str">
        <f>IFERROR(__xludf.DUMMYFUNCTION("TEXTJOIN(CHAR(10), TRUE,FILTER ('Sheridan Main'!E:E,'Sheridan Main'!B:B=C121))"),"yaoyang21@mails.tsinghua.edu.cn")</f>
        <v>yaoyang21@mails.tsinghua.edu.cn</v>
      </c>
      <c r="G121" s="210" t="str">
        <f>IFERROR(__xludf.DUMMYFUNCTION("CONCATENATE(""https://dl.acm.org/doi/"",INDEX(FILTER('Sheridan Main'!A:A,'Sheridan Main'!B:B=C121),1))"),"https://dl.acm.org/doi/10.1145/3774904.3792464")</f>
        <v>https://dl.acm.org/doi/10.1145/3774904.3792464</v>
      </c>
      <c r="H121" s="189" t="s">
        <v>2848</v>
      </c>
      <c r="I121" s="189" t="s">
        <v>2882</v>
      </c>
      <c r="J121" s="209"/>
      <c r="K121" s="147"/>
      <c r="L121" s="147"/>
      <c r="M121" s="209"/>
      <c r="N121" s="209"/>
      <c r="O121" s="209"/>
      <c r="P121" s="209"/>
      <c r="Q121" s="209"/>
      <c r="R121" s="209"/>
      <c r="S121" s="209"/>
      <c r="T121" s="209"/>
      <c r="U121" s="209"/>
      <c r="V121" s="209"/>
      <c r="W121" s="209"/>
      <c r="X121" s="209"/>
      <c r="Y121" s="209"/>
      <c r="Z121" s="209"/>
      <c r="AA121" s="209"/>
      <c r="AB121" s="209"/>
      <c r="AC121" s="209"/>
      <c r="AD121" s="209"/>
      <c r="AE121" s="209"/>
    </row>
    <row r="122">
      <c r="A122" s="208" t="s">
        <v>2879</v>
      </c>
      <c r="B122" s="189" t="str">
        <f>IFERROR(__xludf.DUMMYFUNCTION("FILTER ('Research Papers'!D:D,'Research Papers'!A:A=C122)"),"KEGOD: Kernel-enhanced Latent Substructure Learning for Graph Out-Of-Distribution Detection")</f>
        <v>KEGOD: Kernel-enhanced Latent Substructure Learning for Graph Out-Of-Distribution Detection</v>
      </c>
      <c r="C122" s="189" t="s">
        <v>1246</v>
      </c>
      <c r="D122" s="209" t="str">
        <f t="shared" si="1"/>
        <v>KEGOD: Kernel-enhanced Latent Substructure Learning for Graph Out-Of-Distribution Detection
Yifan Wang, Haodong Zhang, Zhiping Xiao, Yusheng Zhao, Siyu
Yi, Nan Yin, Xinwang Liu, Ming Zhang and Wei Ju
</v>
      </c>
      <c r="E122" s="209" t="str">
        <f>IFERROR(__xludf.DUMMYFUNCTION("TEXTJOIN(CHAR(10), TRUE,FILTER('Research Papers'!$C:$C,'Research Papers'!$A:$A=C122))"),"Yifan Wang, Haodong Zhang, Zhiping Xiao, Yusheng Zhao, Siyu
Yi, Nan Yin, Xinwang Liu, Ming Zhang and Wei Ju")</f>
        <v>Yifan Wang, Haodong Zhang, Zhiping Xiao, Yusheng Zhao, Siyu
Yi, Nan Yin, Xinwang Liu, Ming Zhang and Wei Ju</v>
      </c>
      <c r="F122" s="209" t="str">
        <f>IFERROR(__xludf.DUMMYFUNCTION("TEXTJOIN(CHAR(10), TRUE,FILTER ('Sheridan Main'!E:E,'Sheridan Main'!B:B=C122))"),"yifanwang@uibe.edu.cn")</f>
        <v>yifanwang@uibe.edu.cn</v>
      </c>
      <c r="G122" s="210" t="str">
        <f>IFERROR(__xludf.DUMMYFUNCTION("CONCATENATE(""https://dl.acm.org/doi/"",INDEX(FILTER('Sheridan Main'!A:A,'Sheridan Main'!B:B=C122),1))"),"https://dl.acm.org/doi/10.1145/3774904.3792465")</f>
        <v>https://dl.acm.org/doi/10.1145/3774904.3792465</v>
      </c>
      <c r="H122" s="189" t="s">
        <v>2848</v>
      </c>
      <c r="I122" s="189" t="s">
        <v>2882</v>
      </c>
      <c r="J122" s="209"/>
      <c r="K122" s="147"/>
      <c r="L122" s="147"/>
      <c r="M122" s="209"/>
      <c r="N122" s="209"/>
      <c r="O122" s="209"/>
      <c r="P122" s="209"/>
      <c r="Q122" s="209"/>
      <c r="R122" s="209"/>
      <c r="S122" s="209"/>
      <c r="T122" s="209"/>
      <c r="U122" s="209"/>
      <c r="V122" s="209"/>
      <c r="W122" s="209"/>
      <c r="X122" s="209"/>
      <c r="Y122" s="209"/>
      <c r="Z122" s="209"/>
      <c r="AA122" s="209"/>
      <c r="AB122" s="209"/>
      <c r="AC122" s="209"/>
      <c r="AD122" s="209"/>
      <c r="AE122" s="209"/>
    </row>
    <row r="123">
      <c r="A123" s="208" t="s">
        <v>2879</v>
      </c>
      <c r="B123" s="189" t="str">
        <f>IFERROR(__xludf.DUMMYFUNCTION("FILTER ('Research Papers'!D:D,'Research Papers'!A:A=C123)"),"Hi-GMAE: Hierarchical Graph Masked Autoencoders")</f>
        <v>Hi-GMAE: Hierarchical Graph Masked Autoencoders</v>
      </c>
      <c r="C123" s="189" t="s">
        <v>1346</v>
      </c>
      <c r="D123" s="209" t="str">
        <f t="shared" si="1"/>
        <v>Hi-GMAE: Hierarchical Graph Masked Autoencoders
Chuang Liu, Zelin Yao, Xueqi Ma, Mukun Chen, Luzhi Wang,
Jia Wu and Wenbin Hu
</v>
      </c>
      <c r="E123" s="209" t="str">
        <f>IFERROR(__xludf.DUMMYFUNCTION("TEXTJOIN(CHAR(10), TRUE,FILTER('Research Papers'!$C:$C,'Research Papers'!$A:$A=C123))"),"Chuang Liu, Zelin Yao, Xueqi Ma, Mukun Chen, Luzhi Wang,
Jia Wu and Wenbin Hu")</f>
        <v>Chuang Liu, Zelin Yao, Xueqi Ma, Mukun Chen, Luzhi Wang,
Jia Wu and Wenbin Hu</v>
      </c>
      <c r="F123" s="209" t="str">
        <f>IFERROR(__xludf.DUMMYFUNCTION("TEXTJOIN(CHAR(10), TRUE,FILTER ('Sheridan Main'!E:E,'Sheridan Main'!B:B=C123))"),"hwb@whu.edu.cn")</f>
        <v>hwb@whu.edu.cn</v>
      </c>
      <c r="G123" s="210" t="str">
        <f>IFERROR(__xludf.DUMMYFUNCTION("CONCATENATE(""https://dl.acm.org/doi/"",INDEX(FILTER('Sheridan Main'!A:A,'Sheridan Main'!B:B=C123),1))"),"https://dl.acm.org/doi/10.1145/3774904.3792515")</f>
        <v>https://dl.acm.org/doi/10.1145/3774904.3792515</v>
      </c>
      <c r="H123" s="189" t="s">
        <v>2848</v>
      </c>
      <c r="I123" s="189" t="s">
        <v>2882</v>
      </c>
      <c r="J123" s="209"/>
      <c r="K123" s="147"/>
      <c r="L123" s="147"/>
      <c r="M123" s="209"/>
      <c r="N123" s="209"/>
      <c r="O123" s="209"/>
      <c r="P123" s="209"/>
      <c r="Q123" s="209"/>
      <c r="R123" s="209"/>
      <c r="S123" s="209"/>
      <c r="T123" s="209"/>
      <c r="U123" s="209"/>
      <c r="V123" s="209"/>
      <c r="W123" s="209"/>
      <c r="X123" s="209"/>
      <c r="Y123" s="209"/>
      <c r="Z123" s="209"/>
      <c r="AA123" s="209"/>
      <c r="AB123" s="209"/>
      <c r="AC123" s="209"/>
      <c r="AD123" s="209"/>
      <c r="AE123" s="209"/>
    </row>
    <row r="124">
      <c r="A124" s="208" t="s">
        <v>2879</v>
      </c>
      <c r="B124" s="189" t="str">
        <f>IFERROR(__xludf.DUMMYFUNCTION("FILTER ('Research Papers'!D:D,'Research Papers'!A:A=C124)"),"Long-Tailed Recognition of Evidential Experts for Graph-level Classification")</f>
        <v>Long-Tailed Recognition of Evidential Experts for Graph-level Classification</v>
      </c>
      <c r="C124" s="189" t="s">
        <v>1358</v>
      </c>
      <c r="D124" s="209" t="str">
        <f t="shared" si="1"/>
        <v>Long-Tailed Recognition of Evidential Experts for Graph-level Classification
Wei Ju, Siyu Yi, Zhengyang Mao, Yifang Qin, Yifan Wang,
Zhiping Xiao, Yiwei Fu, Ziyue Qiao and Ming Zhang
</v>
      </c>
      <c r="E124" s="209" t="str">
        <f>IFERROR(__xludf.DUMMYFUNCTION("TEXTJOIN(CHAR(10), TRUE,FILTER('Research Papers'!$C:$C,'Research Papers'!$A:$A=C124))"),"Wei Ju, Siyu Yi, Zhengyang Mao, Yifang Qin, Yifan Wang,
Zhiping Xiao, Yiwei Fu, Ziyue Qiao and Ming Zhang")</f>
        <v>Wei Ju, Siyu Yi, Zhengyang Mao, Yifang Qin, Yifan Wang,
Zhiping Xiao, Yiwei Fu, Ziyue Qiao and Ming Zhang</v>
      </c>
      <c r="F124" s="209" t="str">
        <f>IFERROR(__xludf.DUMMYFUNCTION("TEXTJOIN(CHAR(10), TRUE,FILTER ('Sheridan Main'!E:E,'Sheridan Main'!B:B=C124))"),"yifanwang@uibe.edu.cn")</f>
        <v>yifanwang@uibe.edu.cn</v>
      </c>
      <c r="G124" s="210" t="str">
        <f>IFERROR(__xludf.DUMMYFUNCTION("CONCATENATE(""https://dl.acm.org/doi/"",INDEX(FILTER('Sheridan Main'!A:A,'Sheridan Main'!B:B=C124),1))"),"https://dl.acm.org/doi/10.1145/3774904.3792521")</f>
        <v>https://dl.acm.org/doi/10.1145/3774904.3792521</v>
      </c>
      <c r="H124" s="189" t="s">
        <v>2848</v>
      </c>
      <c r="I124" s="189" t="s">
        <v>2882</v>
      </c>
      <c r="J124" s="209"/>
      <c r="K124" s="147"/>
      <c r="L124" s="147"/>
      <c r="M124" s="209"/>
      <c r="N124" s="209"/>
      <c r="O124" s="209"/>
      <c r="P124" s="209"/>
      <c r="Q124" s="209"/>
      <c r="R124" s="209"/>
      <c r="S124" s="209"/>
      <c r="T124" s="209"/>
      <c r="U124" s="209"/>
      <c r="V124" s="209"/>
      <c r="W124" s="209"/>
      <c r="X124" s="209"/>
      <c r="Y124" s="209"/>
      <c r="Z124" s="209"/>
      <c r="AA124" s="209"/>
      <c r="AB124" s="209"/>
      <c r="AC124" s="209"/>
      <c r="AD124" s="209"/>
      <c r="AE124" s="209"/>
    </row>
    <row r="125">
      <c r="A125" s="208" t="s">
        <v>2879</v>
      </c>
      <c r="B125" s="189" t="str">
        <f>IFERROR(__xludf.DUMMYFUNCTION("FILTER ('Research Papers'!D:D,'Research Papers'!A:A=C125)"),"OFA-MAS: One-for-All Multi-Agent System Topology Design based on Mixture-of-Experts Graph Generative Models")</f>
        <v>OFA-MAS: One-for-All Multi-Agent System Topology Design based on Mixture-of-Experts Graph Generative Models</v>
      </c>
      <c r="C125" s="189" t="s">
        <v>1390</v>
      </c>
      <c r="D125" s="209" t="str">
        <f t="shared" si="1"/>
        <v>OFA-MAS: One-for-All Multi-Agent System Topology Design based on Mixture-of-Experts Graph Generative Models
Shiyuan Li, Yixin Liu, Yu Zheng, Mei Li, Quoc Viet Hung
Nguyen and Shirui Pan
</v>
      </c>
      <c r="E125" s="209" t="str">
        <f>IFERROR(__xludf.DUMMYFUNCTION("TEXTJOIN(CHAR(10), TRUE,FILTER('Research Papers'!$C:$C,'Research Papers'!$A:$A=C125))"),"Shiyuan Li, Yixin Liu, Yu Zheng, Mei Li, Quoc Viet Hung
Nguyen and Shirui Pan")</f>
        <v>Shiyuan Li, Yixin Liu, Yu Zheng, Mei Li, Quoc Viet Hung
Nguyen and Shirui Pan</v>
      </c>
      <c r="F125" s="209" t="str">
        <f>IFERROR(__xludf.DUMMYFUNCTION("TEXTJOIN(CHAR(10), TRUE,FILTER ('Sheridan Main'!E:E,'Sheridan Main'!B:B=C125))"),"s.pan@griffith.edu.au")</f>
        <v>s.pan@griffith.edu.au</v>
      </c>
      <c r="G125" s="210" t="str">
        <f>IFERROR(__xludf.DUMMYFUNCTION("CONCATENATE(""https://dl.acm.org/doi/"",INDEX(FILTER('Sheridan Main'!A:A,'Sheridan Main'!B:B=C125),1))"),"https://dl.acm.org/doi/10.1145/3774904.3792537")</f>
        <v>https://dl.acm.org/doi/10.1145/3774904.3792537</v>
      </c>
      <c r="H125" s="189" t="s">
        <v>2848</v>
      </c>
      <c r="I125" s="189" t="s">
        <v>2882</v>
      </c>
      <c r="J125" s="209"/>
      <c r="K125" s="147"/>
      <c r="L125" s="147"/>
      <c r="M125" s="209"/>
      <c r="N125" s="209"/>
      <c r="O125" s="209"/>
      <c r="P125" s="209"/>
      <c r="Q125" s="209"/>
      <c r="R125" s="209"/>
      <c r="S125" s="209"/>
      <c r="T125" s="209"/>
      <c r="U125" s="209"/>
      <c r="V125" s="209"/>
      <c r="W125" s="209"/>
      <c r="X125" s="209"/>
      <c r="Y125" s="209"/>
      <c r="Z125" s="209"/>
      <c r="AA125" s="209"/>
      <c r="AB125" s="209"/>
      <c r="AC125" s="209"/>
      <c r="AD125" s="209"/>
      <c r="AE125" s="209"/>
    </row>
    <row r="126">
      <c r="A126" s="208" t="s">
        <v>2879</v>
      </c>
      <c r="B126" s="189" t="str">
        <f>IFERROR(__xludf.DUMMYFUNCTION("FILTER ('Research Papers'!D:D,'Research Papers'!A:A=C126)"),"LLM-enhanced Federated Graph Learning with Geometry-aware Graph Projection and Shared Subspace Aggregation")</f>
        <v>LLM-enhanced Federated Graph Learning with Geometry-aware Graph Projection and Shared Subspace Aggregation</v>
      </c>
      <c r="C126" s="189" t="s">
        <v>1408</v>
      </c>
      <c r="D126" s="209" t="str">
        <f t="shared" si="1"/>
        <v>LLM-enhanced Federated Graph Learning with Geometry-aware Graph Projection and Shared Subspace Aggregation
Pengyang Zhou, Zhihao Huang, Jiahe Xu, Wu Wen, Xiaolin
Zheng, Chaochao Chen and Jianwei Yin
</v>
      </c>
      <c r="E126" s="209" t="str">
        <f>IFERROR(__xludf.DUMMYFUNCTION("TEXTJOIN(CHAR(10), TRUE,FILTER('Research Papers'!$C:$C,'Research Papers'!$A:$A=C126))"),"Pengyang Zhou, Zhihao Huang, Jiahe Xu, Wu Wen, Xiaolin
Zheng, Chaochao Chen and Jianwei Yin")</f>
        <v>Pengyang Zhou, Zhihao Huang, Jiahe Xu, Wu Wen, Xiaolin
Zheng, Chaochao Chen and Jianwei Yin</v>
      </c>
      <c r="F126" s="209" t="str">
        <f>IFERROR(__xludf.DUMMYFUNCTION("TEXTJOIN(CHAR(10), TRUE,FILTER ('Sheridan Main'!E:E,'Sheridan Main'!B:B=C126))"),"zhoupy@zju.edu.cn")</f>
        <v>zhoupy@zju.edu.cn</v>
      </c>
      <c r="G126" s="210" t="str">
        <f>IFERROR(__xludf.DUMMYFUNCTION("CONCATENATE(""https://dl.acm.org/doi/"",INDEX(FILTER('Sheridan Main'!A:A,'Sheridan Main'!B:B=C126),1))"),"https://dl.acm.org/doi/10.1145/3774904.3792546")</f>
        <v>https://dl.acm.org/doi/10.1145/3774904.3792546</v>
      </c>
      <c r="H126" s="189" t="s">
        <v>2848</v>
      </c>
      <c r="I126" s="189" t="s">
        <v>2882</v>
      </c>
      <c r="J126" s="209"/>
      <c r="K126" s="147"/>
      <c r="L126" s="147"/>
      <c r="M126" s="209"/>
      <c r="N126" s="209"/>
      <c r="O126" s="209"/>
      <c r="P126" s="209"/>
      <c r="Q126" s="209"/>
      <c r="R126" s="209"/>
      <c r="S126" s="209"/>
      <c r="T126" s="209"/>
      <c r="U126" s="209"/>
      <c r="V126" s="209"/>
      <c r="W126" s="209"/>
      <c r="X126" s="209"/>
      <c r="Y126" s="209"/>
      <c r="Z126" s="209"/>
      <c r="AA126" s="209"/>
      <c r="AB126" s="209"/>
      <c r="AC126" s="209"/>
      <c r="AD126" s="209"/>
      <c r="AE126" s="209"/>
    </row>
    <row r="127">
      <c r="A127" s="208" t="s">
        <v>2879</v>
      </c>
      <c r="B127" s="189" t="str">
        <f>IFERROR(__xludf.DUMMYFUNCTION("FILTER ('Research Papers'!D:D,'Research Papers'!A:A=C127)"),"SLFM: Semi-Supervised Local Community Detection Based on Hyperbolic Flow Matching")</f>
        <v>SLFM: Semi-Supervised Local Community Detection Based on Hyperbolic Flow Matching</v>
      </c>
      <c r="C127" s="189" t="s">
        <v>1412</v>
      </c>
      <c r="D127" s="209" t="str">
        <f t="shared" si="1"/>
        <v>SLFM: Semi-Supervised Local Community Detection Based on Hyperbolic Flow Matching
Haixu Xiong, Li Sun, Yun Xiong, Suyang Zhou, Hongrun Ren
and Yangyong Zhu
</v>
      </c>
      <c r="E127" s="209" t="str">
        <f>IFERROR(__xludf.DUMMYFUNCTION("TEXTJOIN(CHAR(10), TRUE,FILTER('Research Papers'!$C:$C,'Research Papers'!$A:$A=C127))"),"Haixu Xiong, Li Sun, Yun Xiong, Suyang Zhou, Hongrun Ren
and Yangyong Zhu")</f>
        <v>Haixu Xiong, Li Sun, Yun Xiong, Suyang Zhou, Hongrun Ren
and Yangyong Zhu</v>
      </c>
      <c r="F127" s="209" t="str">
        <f>IFERROR(__xludf.DUMMYFUNCTION("TEXTJOIN(CHAR(10), TRUE,FILTER ('Sheridan Main'!E:E,'Sheridan Main'!B:B=C127))"),"22110240113@m.fudan.edu.cn")</f>
        <v>22110240113@m.fudan.edu.cn</v>
      </c>
      <c r="G127" s="210" t="str">
        <f>IFERROR(__xludf.DUMMYFUNCTION("CONCATENATE(""https://dl.acm.org/doi/"",INDEX(FILTER('Sheridan Main'!A:A,'Sheridan Main'!B:B=C127),1))"),"https://dl.acm.org/doi/10.1145/3774904.3792548")</f>
        <v>https://dl.acm.org/doi/10.1145/3774904.3792548</v>
      </c>
      <c r="H127" s="189" t="s">
        <v>2848</v>
      </c>
      <c r="I127" s="189" t="s">
        <v>189</v>
      </c>
      <c r="J127" s="209"/>
      <c r="K127" s="147"/>
      <c r="L127" s="147"/>
      <c r="M127" s="209"/>
      <c r="N127" s="209"/>
      <c r="O127" s="209"/>
      <c r="P127" s="209"/>
      <c r="Q127" s="209"/>
      <c r="R127" s="209"/>
      <c r="S127" s="209"/>
      <c r="T127" s="209"/>
      <c r="U127" s="209"/>
      <c r="V127" s="209"/>
      <c r="W127" s="209"/>
      <c r="X127" s="209"/>
      <c r="Y127" s="209"/>
      <c r="Z127" s="209"/>
      <c r="AA127" s="209"/>
      <c r="AB127" s="209"/>
      <c r="AC127" s="209"/>
      <c r="AD127" s="209"/>
      <c r="AE127" s="209"/>
    </row>
    <row r="128">
      <c r="A128" s="208" t="s">
        <v>2879</v>
      </c>
      <c r="B128" s="189" t="str">
        <f>IFERROR(__xludf.DUMMYFUNCTION("FILTER ('Research Papers'!D:D,'Research Papers'!A:A=C128)"),"Contextual Structure-Enhanced Selective Graph Convolutional Network")</f>
        <v>Contextual Structure-Enhanced Selective Graph Convolutional Network</v>
      </c>
      <c r="C128" s="189" t="s">
        <v>1424</v>
      </c>
      <c r="D128" s="209" t="str">
        <f t="shared" si="1"/>
        <v>Contextual Structure-Enhanced Selective Graph Convolutional Network
Shifei Ding, Fangchen Li, Lili Guo and Jian Zhang
</v>
      </c>
      <c r="E128" s="209" t="str">
        <f>IFERROR(__xludf.DUMMYFUNCTION("TEXTJOIN(CHAR(10), TRUE,FILTER('Research Papers'!$C:$C,'Research Papers'!$A:$A=C128))"),"Shifei Ding, Fangchen Li, Lili Guo and Jian Zhang")</f>
        <v>Shifei Ding, Fangchen Li, Lili Guo and Jian Zhang</v>
      </c>
      <c r="F128" s="209" t="str">
        <f>IFERROR(__xludf.DUMMYFUNCTION("TEXTJOIN(CHAR(10), TRUE,FILTER ('Sheridan Main'!E:E,'Sheridan Main'!B:B=C128))"),"liliguo@cumt.edu.cn")</f>
        <v>liliguo@cumt.edu.cn</v>
      </c>
      <c r="G128" s="210" t="str">
        <f>IFERROR(__xludf.DUMMYFUNCTION("CONCATENATE(""https://dl.acm.org/doi/"",INDEX(FILTER('Sheridan Main'!A:A,'Sheridan Main'!B:B=C128),1))"),"https://dl.acm.org/doi/10.1145/3774904.3792554")</f>
        <v>https://dl.acm.org/doi/10.1145/3774904.3792554</v>
      </c>
      <c r="H128" s="189" t="s">
        <v>2848</v>
      </c>
      <c r="I128" s="189" t="s">
        <v>189</v>
      </c>
      <c r="J128" s="209"/>
      <c r="K128" s="147"/>
      <c r="L128" s="147"/>
      <c r="M128" s="209"/>
      <c r="N128" s="209"/>
      <c r="O128" s="209"/>
      <c r="P128" s="209"/>
      <c r="Q128" s="209"/>
      <c r="R128" s="209"/>
      <c r="S128" s="209"/>
      <c r="T128" s="209"/>
      <c r="U128" s="209"/>
      <c r="V128" s="209"/>
      <c r="W128" s="209"/>
      <c r="X128" s="209"/>
      <c r="Y128" s="209"/>
      <c r="Z128" s="209"/>
      <c r="AA128" s="209"/>
      <c r="AB128" s="209"/>
      <c r="AC128" s="209"/>
      <c r="AD128" s="209"/>
      <c r="AE128" s="209"/>
    </row>
    <row r="129">
      <c r="A129" s="208" t="s">
        <v>2879</v>
      </c>
      <c r="B129" s="189" t="str">
        <f>IFERROR(__xludf.DUMMYFUNCTION("FILTER ('Research Papers'!D:D,'Research Papers'!A:A=C129)"),"WPIS: From In-the-Wild Web Images to Physics-Aware 3D Scene Graphs for Physical Reasoning")</f>
        <v>WPIS: From In-the-Wild Web Images to Physics-Aware 3D Scene Graphs for Physical Reasoning</v>
      </c>
      <c r="C129" s="189" t="s">
        <v>1498</v>
      </c>
      <c r="D129" s="209" t="str">
        <f t="shared" si="1"/>
        <v>WPIS: From In-the-Wild Web Images to Physics-Aware 3D Scene Graphs for Physical Reasoning
Ke Ma, Cong Fu, Jianing Wang, Yifei Wang, Wenyuan Li,
Xinggang Wang, Meng Wang and Tian Xia
</v>
      </c>
      <c r="E129" s="209" t="str">
        <f>IFERROR(__xludf.DUMMYFUNCTION("TEXTJOIN(CHAR(10), TRUE,FILTER('Research Papers'!$C:$C,'Research Papers'!$A:$A=C129))"),"Ke Ma, Cong Fu, Jianing Wang, Yifei Wang, Wenyuan Li,
Xinggang Wang, Meng Wang and Tian Xia")</f>
        <v>Ke Ma, Cong Fu, Jianing Wang, Yifei Wang, Wenyuan Li,
Xinggang Wang, Meng Wang and Tian Xia</v>
      </c>
      <c r="F129" s="209" t="str">
        <f>IFERROR(__xludf.DUMMYFUNCTION("TEXTJOIN(CHAR(10), TRUE,FILTER ('Sheridan Main'!E:E,'Sheridan Main'!B:B=C129))"),"tianxia@hust.edu.cn")</f>
        <v>tianxia@hust.edu.cn</v>
      </c>
      <c r="G129" s="210" t="str">
        <f>IFERROR(__xludf.DUMMYFUNCTION("CONCATENATE(""https://dl.acm.org/doi/"",INDEX(FILTER('Sheridan Main'!A:A,'Sheridan Main'!B:B=C129),1))"),"https://dl.acm.org/doi/10.1145/3774904.3792591")</f>
        <v>https://dl.acm.org/doi/10.1145/3774904.3792591</v>
      </c>
      <c r="H129" s="189" t="s">
        <v>2848</v>
      </c>
      <c r="I129" s="189" t="s">
        <v>189</v>
      </c>
      <c r="J129" s="209"/>
      <c r="K129" s="147"/>
      <c r="L129" s="147"/>
      <c r="M129" s="209"/>
      <c r="N129" s="209"/>
      <c r="O129" s="209"/>
      <c r="P129" s="209"/>
      <c r="Q129" s="209"/>
      <c r="R129" s="209"/>
      <c r="S129" s="209"/>
      <c r="T129" s="209"/>
      <c r="U129" s="209"/>
      <c r="V129" s="209"/>
      <c r="W129" s="209"/>
      <c r="X129" s="209"/>
      <c r="Y129" s="209"/>
      <c r="Z129" s="209"/>
      <c r="AA129" s="209"/>
      <c r="AB129" s="209"/>
      <c r="AC129" s="209"/>
      <c r="AD129" s="209"/>
      <c r="AE129" s="209"/>
    </row>
    <row r="130">
      <c r="A130" s="208" t="s">
        <v>2879</v>
      </c>
      <c r="B130" s="189" t="str">
        <f>IFERROR(__xludf.DUMMYFUNCTION("FILTER ('Research Papers'!D:D,'Research Papers'!A:A=C130)"),"Revisiting and Enhancing Graph Neural Networks through the Lens of Amortized Flows")</f>
        <v>Revisiting and Enhancing Graph Neural Networks through the Lens of Amortized Flows</v>
      </c>
      <c r="C130" s="189" t="s">
        <v>1580</v>
      </c>
      <c r="D130" s="209" t="str">
        <f t="shared" si="1"/>
        <v>Revisiting and Enhancing Graph Neural Networks through the Lens of Amortized Flows
Minjie Cheng, Bokai Yan, Dixin Luo and Hongteng Xu
</v>
      </c>
      <c r="E130" s="209" t="str">
        <f>IFERROR(__xludf.DUMMYFUNCTION("TEXTJOIN(CHAR(10), TRUE,FILTER('Research Papers'!$C:$C,'Research Papers'!$A:$A=C130))"),"Minjie Cheng, Bokai Yan, Dixin Luo and Hongteng Xu")</f>
        <v>Minjie Cheng, Bokai Yan, Dixin Luo and Hongteng Xu</v>
      </c>
      <c r="F130" s="209" t="str">
        <f>IFERROR(__xludf.DUMMYFUNCTION("TEXTJOIN(CHAR(10), TRUE,FILTER ('Sheridan Main'!E:E,'Sheridan Main'!B:B=C130))"),"hongtengxu@ruc.edu.cn")</f>
        <v>hongtengxu@ruc.edu.cn</v>
      </c>
      <c r="G130" s="210" t="str">
        <f>IFERROR(__xludf.DUMMYFUNCTION("CONCATENATE(""https://dl.acm.org/doi/"",INDEX(FILTER('Sheridan Main'!A:A,'Sheridan Main'!B:B=C130),1))"),"https://dl.acm.org/doi/10.1145/3774904.3792632")</f>
        <v>https://dl.acm.org/doi/10.1145/3774904.3792632</v>
      </c>
      <c r="H130" s="189" t="s">
        <v>2848</v>
      </c>
      <c r="I130" s="189" t="s">
        <v>189</v>
      </c>
      <c r="J130" s="209"/>
      <c r="K130" s="147"/>
      <c r="L130" s="147"/>
      <c r="M130" s="209"/>
      <c r="N130" s="209"/>
      <c r="O130" s="209"/>
      <c r="P130" s="209"/>
      <c r="Q130" s="209"/>
      <c r="R130" s="209"/>
      <c r="S130" s="209"/>
      <c r="T130" s="209"/>
      <c r="U130" s="209"/>
      <c r="V130" s="209"/>
      <c r="W130" s="209"/>
      <c r="X130" s="209"/>
      <c r="Y130" s="209"/>
      <c r="Z130" s="209"/>
      <c r="AA130" s="209"/>
      <c r="AB130" s="209"/>
      <c r="AC130" s="209"/>
      <c r="AD130" s="209"/>
      <c r="AE130" s="209"/>
    </row>
    <row r="131">
      <c r="A131" s="208" t="s">
        <v>2879</v>
      </c>
      <c r="B131" s="189" t="str">
        <f>IFERROR(__xludf.DUMMYFUNCTION("FILTER ('Research Papers'!D:D,'Research Papers'!A:A=C131)"),"STELA: Spatiotemporal Forecasting via Graph Learning and Entropy-Guided LLM Adaptation")</f>
        <v>STELA: Spatiotemporal Forecasting via Graph Learning and Entropy-Guided LLM Adaptation</v>
      </c>
      <c r="C131" s="189" t="s">
        <v>1584</v>
      </c>
      <c r="D131" s="209" t="str">
        <f t="shared" si="1"/>
        <v>STELA: Spatiotemporal Forecasting via Graph Learning and Entropy-Guided LLM Adaptation
Tiantian Huang, Yue Li, Wei Shao, Ziqi Xu, Qipeng Song and
Hui Li
</v>
      </c>
      <c r="E131" s="209" t="str">
        <f>IFERROR(__xludf.DUMMYFUNCTION("TEXTJOIN(CHAR(10), TRUE,FILTER('Research Papers'!$C:$C,'Research Papers'!$A:$A=C131))"),"Tiantian Huang, Yue Li, Wei Shao, Ziqi Xu, Qipeng Song and
Hui Li")</f>
        <v>Tiantian Huang, Yue Li, Wei Shao, Ziqi Xu, Qipeng Song and
Hui Li</v>
      </c>
      <c r="F131" s="209" t="str">
        <f>IFERROR(__xludf.DUMMYFUNCTION("TEXTJOIN(CHAR(10), TRUE,FILTER ('Sheridan Main'!E:E,'Sheridan Main'!B:B=C131))"),"liyue@xidian.edu.cn")</f>
        <v>liyue@xidian.edu.cn</v>
      </c>
      <c r="G131" s="210" t="str">
        <f>IFERROR(__xludf.DUMMYFUNCTION("CONCATENATE(""https://dl.acm.org/doi/"",INDEX(FILTER('Sheridan Main'!A:A,'Sheridan Main'!B:B=C131),1))"),"https://dl.acm.org/doi/10.1145/3774904.3792634")</f>
        <v>https://dl.acm.org/doi/10.1145/3774904.3792634</v>
      </c>
      <c r="H131" s="189" t="s">
        <v>2848</v>
      </c>
      <c r="I131" s="189" t="s">
        <v>189</v>
      </c>
      <c r="J131" s="209"/>
      <c r="K131" s="147"/>
      <c r="L131" s="147"/>
      <c r="M131" s="209"/>
      <c r="N131" s="209"/>
      <c r="O131" s="209"/>
      <c r="P131" s="209"/>
      <c r="Q131" s="209"/>
      <c r="R131" s="209"/>
      <c r="S131" s="209"/>
      <c r="T131" s="209"/>
      <c r="U131" s="209"/>
      <c r="V131" s="209"/>
      <c r="W131" s="209"/>
      <c r="X131" s="209"/>
      <c r="Y131" s="209"/>
      <c r="Z131" s="209"/>
      <c r="AA131" s="209"/>
      <c r="AB131" s="209"/>
      <c r="AC131" s="209"/>
      <c r="AD131" s="209"/>
      <c r="AE131" s="209"/>
    </row>
    <row r="132">
      <c r="A132" s="208" t="s">
        <v>2879</v>
      </c>
      <c r="B132" s="189" t="str">
        <f>IFERROR(__xludf.DUMMYFUNCTION("FILTER ('Research Papers'!D:D,'Research Papers'!A:A=C132)"),"Towards Geometry-Consistent Federated Graph Learning")</f>
        <v>Towards Geometry-Consistent Federated Graph Learning</v>
      </c>
      <c r="C132" s="189" t="s">
        <v>1626</v>
      </c>
      <c r="D132" s="209" t="str">
        <f t="shared" si="1"/>
        <v>Towards Geometry-Consistent Federated Graph Learning
Yuecen Wei, Zhiyu Zhuang, Yisen Gao, Xingcheng Fu, Qingyun
Sun, Ziwei Zhang, Tianyu Wo and Chunming Hu
</v>
      </c>
      <c r="E132" s="209" t="str">
        <f>IFERROR(__xludf.DUMMYFUNCTION("TEXTJOIN(CHAR(10), TRUE,FILTER('Research Papers'!$C:$C,'Research Papers'!$A:$A=C132))"),"Yuecen Wei, Zhiyu Zhuang, Yisen Gao, Xingcheng Fu, Qingyun
Sun, Ziwei Zhang, Tianyu Wo and Chunming Hu")</f>
        <v>Yuecen Wei, Zhiyu Zhuang, Yisen Gao, Xingcheng Fu, Qingyun
Sun, Ziwei Zhang, Tianyu Wo and Chunming Hu</v>
      </c>
      <c r="F132" s="209" t="str">
        <f>IFERROR(__xludf.DUMMYFUNCTION("TEXTJOIN(CHAR(10), TRUE,FILTER ('Sheridan Main'!E:E,'Sheridan Main'!B:B=C132))"),"fuxc@gxnu.edu.cn")</f>
        <v>fuxc@gxnu.edu.cn</v>
      </c>
      <c r="G132" s="210" t="str">
        <f>IFERROR(__xludf.DUMMYFUNCTION("CONCATENATE(""https://dl.acm.org/doi/"",INDEX(FILTER('Sheridan Main'!A:A,'Sheridan Main'!B:B=C132),1))"),"https://dl.acm.org/doi/10.1145/3774904.3792655")</f>
        <v>https://dl.acm.org/doi/10.1145/3774904.3792655</v>
      </c>
      <c r="H132" s="189" t="s">
        <v>2848</v>
      </c>
      <c r="I132" s="189" t="s">
        <v>189</v>
      </c>
      <c r="J132" s="209"/>
      <c r="K132" s="147"/>
      <c r="L132" s="147"/>
      <c r="M132" s="209"/>
      <c r="N132" s="209"/>
      <c r="O132" s="209"/>
      <c r="P132" s="209"/>
      <c r="Q132" s="209"/>
      <c r="R132" s="209"/>
      <c r="S132" s="209"/>
      <c r="T132" s="209"/>
      <c r="U132" s="209"/>
      <c r="V132" s="209"/>
      <c r="W132" s="209"/>
      <c r="X132" s="209"/>
      <c r="Y132" s="209"/>
      <c r="Z132" s="209"/>
      <c r="AA132" s="209"/>
      <c r="AB132" s="209"/>
      <c r="AC132" s="209"/>
      <c r="AD132" s="209"/>
      <c r="AE132" s="209"/>
    </row>
    <row r="133">
      <c r="A133" s="208" t="s">
        <v>2879</v>
      </c>
      <c r="B133" s="189" t="str">
        <f>IFERROR(__xludf.DUMMYFUNCTION("FILTER ('Research Papers'!D:D,'Research Papers'!A:A=C133)"),"Stuart-Landau Oscillatory Graph Neural Network")</f>
        <v>Stuart-Landau Oscillatory Graph Neural Network</v>
      </c>
      <c r="C133" s="189" t="s">
        <v>1666</v>
      </c>
      <c r="D133" s="209" t="str">
        <f t="shared" si="1"/>
        <v>Stuart-Landau Oscillatory Graph Neural Network
Kaicheng Zhang, David N Reynolds, Piero Deidda and
Francesco Tudisco
</v>
      </c>
      <c r="E133" s="209" t="str">
        <f>IFERROR(__xludf.DUMMYFUNCTION("TEXTJOIN(CHAR(10), TRUE,FILTER('Research Papers'!$C:$C,'Research Papers'!$A:$A=C133))"),"Kaicheng Zhang, David N Reynolds, Piero Deidda and
Francesco Tudisco")</f>
        <v>Kaicheng Zhang, David N Reynolds, Piero Deidda and
Francesco Tudisco</v>
      </c>
      <c r="F133" s="209" t="str">
        <f>IFERROR(__xludf.DUMMYFUNCTION("TEXTJOIN(CHAR(10), TRUE,FILTER ('Sheridan Main'!E:E,'Sheridan Main'!B:B=C133))"),"f.tudisco@ed.ac.uk")</f>
        <v>f.tudisco@ed.ac.uk</v>
      </c>
      <c r="G133" s="210" t="str">
        <f>IFERROR(__xludf.DUMMYFUNCTION("CONCATENATE(""https://dl.acm.org/doi/"",INDEX(FILTER('Sheridan Main'!A:A,'Sheridan Main'!B:B=C133),1))"),"https://dl.acm.org/doi/10.1145/3774904.3792675")</f>
        <v>https://dl.acm.org/doi/10.1145/3774904.3792675</v>
      </c>
      <c r="H133" s="189" t="s">
        <v>2848</v>
      </c>
      <c r="I133" s="189" t="s">
        <v>189</v>
      </c>
      <c r="J133" s="209"/>
      <c r="K133" s="147"/>
      <c r="L133" s="147"/>
      <c r="M133" s="209"/>
      <c r="N133" s="209"/>
      <c r="O133" s="209"/>
      <c r="P133" s="209"/>
      <c r="Q133" s="209"/>
      <c r="R133" s="209"/>
      <c r="S133" s="209"/>
      <c r="T133" s="209"/>
      <c r="U133" s="209"/>
      <c r="V133" s="209"/>
      <c r="W133" s="209"/>
      <c r="X133" s="209"/>
      <c r="Y133" s="209"/>
      <c r="Z133" s="209"/>
      <c r="AA133" s="209"/>
      <c r="AB133" s="209"/>
      <c r="AC133" s="209"/>
      <c r="AD133" s="209"/>
      <c r="AE133" s="209"/>
    </row>
    <row r="134">
      <c r="A134" s="208" t="s">
        <v>2879</v>
      </c>
      <c r="B134" s="189" t="str">
        <f>IFERROR(__xludf.DUMMYFUNCTION("FILTER ('Research Papers'!D:D,'Research Papers'!A:A=C134)"),"Rethinking Graph Generalization through the Lens of Sharpness-Aware Minimization")</f>
        <v>Rethinking Graph Generalization through the Lens of Sharpness-Aware Minimization</v>
      </c>
      <c r="C134" s="189" t="s">
        <v>1730</v>
      </c>
      <c r="D134" s="209" t="str">
        <f t="shared" si="1"/>
        <v>Rethinking Graph Generalization through the Lens of Sharpness-Aware Minimization
Yang Qiu, Yixiong Zou and Jun Wang
</v>
      </c>
      <c r="E134" s="209" t="str">
        <f>IFERROR(__xludf.DUMMYFUNCTION("TEXTJOIN(CHAR(10), TRUE,FILTER('Research Papers'!$C:$C,'Research Papers'!$A:$A=C134))"),"Yang Qiu, Yixiong Zou and Jun Wang")</f>
        <v>Yang Qiu, Yixiong Zou and Jun Wang</v>
      </c>
      <c r="F134" s="209" t="str">
        <f>IFERROR(__xludf.DUMMYFUNCTION("TEXTJOIN(CHAR(10), TRUE,FILTER ('Sheridan Main'!E:E,'Sheridan Main'!B:B=C134))"),"yixiongz@hust.edu.cn")</f>
        <v>yixiongz@hust.edu.cn</v>
      </c>
      <c r="G134" s="210" t="str">
        <f>IFERROR(__xludf.DUMMYFUNCTION("CONCATENATE(""https://dl.acm.org/doi/"",INDEX(FILTER('Sheridan Main'!A:A,'Sheridan Main'!B:B=C134),1))"),"https://dl.acm.org/doi/10.1145/3774904.3792707")</f>
        <v>https://dl.acm.org/doi/10.1145/3774904.3792707</v>
      </c>
      <c r="H134" s="189" t="s">
        <v>2848</v>
      </c>
      <c r="I134" s="189" t="s">
        <v>189</v>
      </c>
      <c r="J134" s="209"/>
      <c r="K134" s="147"/>
      <c r="L134" s="147"/>
      <c r="M134" s="209"/>
      <c r="N134" s="209"/>
      <c r="O134" s="209"/>
      <c r="P134" s="209"/>
      <c r="Q134" s="209"/>
      <c r="R134" s="209"/>
      <c r="S134" s="209"/>
      <c r="T134" s="209"/>
      <c r="U134" s="209"/>
      <c r="V134" s="209"/>
      <c r="W134" s="209"/>
      <c r="X134" s="209"/>
      <c r="Y134" s="209"/>
      <c r="Z134" s="209"/>
      <c r="AA134" s="209"/>
      <c r="AB134" s="209"/>
      <c r="AC134" s="209"/>
      <c r="AD134" s="209"/>
      <c r="AE134" s="209"/>
    </row>
    <row r="135">
      <c r="A135" s="208" t="s">
        <v>2879</v>
      </c>
      <c r="B135" s="189" t="str">
        <f>IFERROR(__xludf.DUMMYFUNCTION("FILTER ('Research Papers'!D:D,'Research Papers'!A:A=C135)"),"RARD: Rationale-First Blockwise Autoregressive Diffusion in Rationale‑Dominated Graph Generation")</f>
        <v>RARD: Rationale-First Blockwise Autoregressive Diffusion in Rationale‑Dominated Graph Generation</v>
      </c>
      <c r="C135" s="189" t="s">
        <v>1738</v>
      </c>
      <c r="D135" s="209" t="str">
        <f t="shared" si="1"/>
        <v>RARD: Rationale-First Blockwise Autoregressive Diffusion in Rationale‑Dominated Graph Generation
Xu Fan, Zhang Yijun, Zhang Sibo, Ding Jiaxin, Fu Luoyi and
Wang Xinbing
</v>
      </c>
      <c r="E135" s="209" t="str">
        <f>IFERROR(__xludf.DUMMYFUNCTION("TEXTJOIN(CHAR(10), TRUE,FILTER('Research Papers'!$C:$C,'Research Papers'!$A:$A=C135))"),"Xu Fan, Zhang Yijun, Zhang Sibo, Ding Jiaxin, Fu Luoyi and
Wang Xinbing")</f>
        <v>Xu Fan, Zhang Yijun, Zhang Sibo, Ding Jiaxin, Fu Luoyi and
Wang Xinbing</v>
      </c>
      <c r="F135" s="209" t="str">
        <f>IFERROR(__xludf.DUMMYFUNCTION("TEXTJOIN(CHAR(10), TRUE,FILTER ('Sheridan Main'!E:E,'Sheridan Main'!B:B=C135))"),"jiaxinding@sjtu.edu.cn")</f>
        <v>jiaxinding@sjtu.edu.cn</v>
      </c>
      <c r="G135" s="210" t="str">
        <f>IFERROR(__xludf.DUMMYFUNCTION("CONCATENATE(""https://dl.acm.org/doi/"",INDEX(FILTER('Sheridan Main'!A:A,'Sheridan Main'!B:B=C135),1))"),"https://dl.acm.org/doi/10.1145/3774904.3792711")</f>
        <v>https://dl.acm.org/doi/10.1145/3774904.3792711</v>
      </c>
      <c r="H135" s="189" t="s">
        <v>2848</v>
      </c>
      <c r="I135" s="189" t="s">
        <v>189</v>
      </c>
      <c r="J135" s="209"/>
      <c r="K135" s="147"/>
      <c r="L135" s="147"/>
      <c r="M135" s="209"/>
      <c r="N135" s="209"/>
      <c r="O135" s="209"/>
      <c r="P135" s="209"/>
      <c r="Q135" s="209"/>
      <c r="R135" s="209"/>
      <c r="S135" s="209"/>
      <c r="T135" s="209"/>
      <c r="U135" s="209"/>
      <c r="V135" s="209"/>
      <c r="W135" s="209"/>
      <c r="X135" s="209"/>
      <c r="Y135" s="209"/>
      <c r="Z135" s="209"/>
      <c r="AA135" s="209"/>
      <c r="AB135" s="209"/>
      <c r="AC135" s="209"/>
      <c r="AD135" s="209"/>
      <c r="AE135" s="209"/>
    </row>
    <row r="136">
      <c r="A136" s="208" t="s">
        <v>2879</v>
      </c>
      <c r="B136" s="189" t="str">
        <f>IFERROR(__xludf.DUMMYFUNCTION("FILTER ('Research Papers'!D:D,'Research Papers'!A:A=C136)"),"Space-based Parameter Evolving with Lightweight Optimization for Graph Adaptation to Evolving Shifts")</f>
        <v>Space-based Parameter Evolving with Lightweight Optimization for Graph Adaptation to Evolving Shifts</v>
      </c>
      <c r="C136" s="189" t="s">
        <v>1744</v>
      </c>
      <c r="D136" s="209" t="str">
        <f t="shared" si="1"/>
        <v>Space-based Parameter Evolving with Lightweight Optimization for Graph Adaptation to Evolving Shifts
Junyu Luo, Zixuan Ouyang, Xiao Luo, Hourun Li, Zhiping
Xiao, Yifan Wang and Ming Zhang
</v>
      </c>
      <c r="E136" s="209" t="str">
        <f>IFERROR(__xludf.DUMMYFUNCTION("TEXTJOIN(CHAR(10), TRUE,FILTER('Research Papers'!$C:$C,'Research Papers'!$A:$A=C136))"),"Junyu Luo, Zixuan Ouyang, Xiao Luo, Hourun Li, Zhiping
Xiao, Yifan Wang and Ming Zhang")</f>
        <v>Junyu Luo, Zixuan Ouyang, Xiao Luo, Hourun Li, Zhiping
Xiao, Yifan Wang and Ming Zhang</v>
      </c>
      <c r="F136" s="209" t="str">
        <f>IFERROR(__xludf.DUMMYFUNCTION("TEXTJOIN(CHAR(10), TRUE,FILTER ('Sheridan Main'!E:E,'Sheridan Main'!B:B=C136))"),"luo.junyu@outlook.com")</f>
        <v>luo.junyu@outlook.com</v>
      </c>
      <c r="G136" s="210" t="str">
        <f>IFERROR(__xludf.DUMMYFUNCTION("CONCATENATE(""https://dl.acm.org/doi/"",INDEX(FILTER('Sheridan Main'!A:A,'Sheridan Main'!B:B=C136),1))"),"https://dl.acm.org/doi/10.1145/3774904.3792714")</f>
        <v>https://dl.acm.org/doi/10.1145/3774904.3792714</v>
      </c>
      <c r="H136" s="189" t="s">
        <v>2848</v>
      </c>
      <c r="I136" s="189" t="s">
        <v>189</v>
      </c>
      <c r="J136" s="209"/>
      <c r="K136" s="147"/>
      <c r="L136" s="147"/>
      <c r="M136" s="209"/>
      <c r="N136" s="209"/>
      <c r="O136" s="209"/>
      <c r="P136" s="209"/>
      <c r="Q136" s="209"/>
      <c r="R136" s="209"/>
      <c r="S136" s="209"/>
      <c r="T136" s="209"/>
      <c r="U136" s="209"/>
      <c r="V136" s="209"/>
      <c r="W136" s="209"/>
      <c r="X136" s="209"/>
      <c r="Y136" s="209"/>
      <c r="Z136" s="209"/>
      <c r="AA136" s="209"/>
      <c r="AB136" s="209"/>
      <c r="AC136" s="209"/>
      <c r="AD136" s="209"/>
      <c r="AE136" s="209"/>
    </row>
    <row r="137">
      <c r="A137" s="208" t="s">
        <v>2885</v>
      </c>
      <c r="B137" s="189" t="str">
        <f>IFERROR(__xludf.DUMMYFUNCTION("FILTER ('Research Papers'!D:D,'Research Papers'!A:A=C137)"),"Semi-Supervised Fake News Detection with Mixture of Experts")</f>
        <v>Semi-Supervised Fake News Detection with Mixture of Experts</v>
      </c>
      <c r="C137" s="189" t="s">
        <v>940</v>
      </c>
      <c r="D137" s="209" t="str">
        <f t="shared" si="1"/>
        <v>Semi-Supervised Fake News Detection with Mixture of Experts
Zhenyu Yang, Chaoyu Yang, Wenfeng Xu, Xiuxiu Hao, Huan
Wang, Ge Zhang, Xiaoxiao Ma and Jun Shen
</v>
      </c>
      <c r="E137" s="209" t="str">
        <f>IFERROR(__xludf.DUMMYFUNCTION("TEXTJOIN(CHAR(10), TRUE,FILTER('Research Papers'!$C:$C,'Research Papers'!$A:$A=C137))"),"Zhenyu Yang, Chaoyu Yang, Wenfeng Xu, Xiuxiu Hao, Huan
Wang, Ge Zhang, Xiaoxiao Ma and Jun Shen")</f>
        <v>Zhenyu Yang, Chaoyu Yang, Wenfeng Xu, Xiuxiu Hao, Huan
Wang, Ge Zhang, Xiaoxiao Ma and Jun Shen</v>
      </c>
      <c r="F137" s="209" t="str">
        <f>IFERROR(__xludf.DUMMYFUNCTION("TEXTJOIN(CHAR(10), TRUE,FILTER ('Sheridan Main'!E:E,'Sheridan Main'!B:B=C137))"),"yangchy@aust.edu.cn")</f>
        <v>yangchy@aust.edu.cn</v>
      </c>
      <c r="G137" s="210" t="str">
        <f>IFERROR(__xludf.DUMMYFUNCTION("CONCATENATE(""https://dl.acm.org/doi/"",INDEX(FILTER('Sheridan Main'!A:A,'Sheridan Main'!B:B=C137),1))"),"https://dl.acm.org/doi/10.1145/3774904.3792312")</f>
        <v>https://dl.acm.org/doi/10.1145/3774904.3792312</v>
      </c>
      <c r="H137" s="189" t="s">
        <v>212</v>
      </c>
      <c r="I137" s="209"/>
      <c r="J137" s="209"/>
      <c r="K137" s="147"/>
      <c r="L137" s="147"/>
      <c r="M137" s="209"/>
      <c r="N137" s="209"/>
      <c r="O137" s="209"/>
      <c r="P137" s="209"/>
      <c r="Q137" s="209"/>
      <c r="R137" s="209"/>
      <c r="S137" s="209"/>
      <c r="T137" s="209"/>
      <c r="U137" s="209"/>
      <c r="V137" s="209"/>
      <c r="W137" s="209"/>
      <c r="X137" s="209"/>
      <c r="Y137" s="209"/>
      <c r="Z137" s="209"/>
      <c r="AA137" s="209"/>
      <c r="AB137" s="209"/>
      <c r="AC137" s="209"/>
      <c r="AD137" s="209"/>
      <c r="AE137" s="209"/>
    </row>
    <row r="138">
      <c r="A138" s="208" t="s">
        <v>2885</v>
      </c>
      <c r="B138" s="189" t="str">
        <f>IFERROR(__xludf.DUMMYFUNCTION("FILTER ('Research Papers'!D:D,'Research Papers'!A:A=C138)"),"IConMoE: Modeling Intents of Misinformation using Concept Activation Vector-based Mixture of Experts")</f>
        <v>IConMoE: Modeling Intents of Misinformation using Concept Activation Vector-based Mixture of Experts</v>
      </c>
      <c r="C138" s="189" t="s">
        <v>1480</v>
      </c>
      <c r="D138" s="209" t="str">
        <f t="shared" si="1"/>
        <v>IConMoE: Modeling Intents of Misinformation using Concept Activation Vector-based Mixture of Experts
Atul Kumar Singh and Rahul Mishra
</v>
      </c>
      <c r="E138" s="209" t="str">
        <f>IFERROR(__xludf.DUMMYFUNCTION("TEXTJOIN(CHAR(10), TRUE,FILTER('Research Papers'!$C:$C,'Research Papers'!$A:$A=C138))"),"Atul Kumar Singh and Rahul Mishra")</f>
        <v>Atul Kumar Singh and Rahul Mishra</v>
      </c>
      <c r="F138" s="209" t="str">
        <f>IFERROR(__xludf.DUMMYFUNCTION("TEXTJOIN(CHAR(10), TRUE,FILTER ('Sheridan Main'!E:E,'Sheridan Main'!B:B=C138))"),"atul.singh@fujitsu.com")</f>
        <v>atul.singh@fujitsu.com</v>
      </c>
      <c r="G138" s="210" t="str">
        <f>IFERROR(__xludf.DUMMYFUNCTION("CONCATENATE(""https://dl.acm.org/doi/"",INDEX(FILTER('Sheridan Main'!A:A,'Sheridan Main'!B:B=C138),1))"),"https://dl.acm.org/doi/10.1145/3774904.3792582")</f>
        <v>https://dl.acm.org/doi/10.1145/3774904.3792582</v>
      </c>
      <c r="H138" s="189" t="s">
        <v>212</v>
      </c>
      <c r="I138" s="209"/>
      <c r="J138" s="209"/>
      <c r="K138" s="147"/>
      <c r="L138" s="147"/>
      <c r="M138" s="209"/>
      <c r="N138" s="209"/>
      <c r="O138" s="209"/>
      <c r="P138" s="209"/>
      <c r="Q138" s="209"/>
      <c r="R138" s="209"/>
      <c r="S138" s="209"/>
      <c r="T138" s="209"/>
      <c r="U138" s="209"/>
      <c r="V138" s="209"/>
      <c r="W138" s="209"/>
      <c r="X138" s="209"/>
      <c r="Y138" s="209"/>
      <c r="Z138" s="209"/>
      <c r="AA138" s="209"/>
      <c r="AB138" s="209"/>
      <c r="AC138" s="209"/>
      <c r="AD138" s="209"/>
      <c r="AE138" s="209"/>
    </row>
    <row r="139">
      <c r="A139" s="208" t="s">
        <v>2885</v>
      </c>
      <c r="B139" s="189" t="str">
        <f>IFERROR(__xludf.DUMMYFUNCTION("FILTER ('Research Papers'!D:D,'Research Papers'!A:A=C139)"),"Causality Guided Representation Learning for Cross-Style Hate Speech Detection")</f>
        <v>Causality Guided Representation Learning for Cross-Style Hate Speech Detection</v>
      </c>
      <c r="C139" s="189" t="s">
        <v>1654</v>
      </c>
      <c r="D139" s="209" t="str">
        <f t="shared" si="1"/>
        <v>Causality Guided Representation Learning for Cross-Style Hate Speech Detection
Chengshuai Zhao, Shu Wan, Paras Sheth, Karan Patwa, K.
Selçuk Candan and Huan Liu
</v>
      </c>
      <c r="E139" s="209" t="str">
        <f>IFERROR(__xludf.DUMMYFUNCTION("TEXTJOIN(CHAR(10), TRUE,FILTER('Research Papers'!$C:$C,'Research Papers'!$A:$A=C139))"),"Chengshuai Zhao, Shu Wan, Paras Sheth, Karan Patwa, K.
Selçuk Candan and Huan Liu")</f>
        <v>Chengshuai Zhao, Shu Wan, Paras Sheth, Karan Patwa, K.
Selçuk Candan and Huan Liu</v>
      </c>
      <c r="F139" s="209" t="str">
        <f>IFERROR(__xludf.DUMMYFUNCTION("TEXTJOIN(CHAR(10), TRUE,FILTER ('Sheridan Main'!E:E,'Sheridan Main'!B:B=C139))"),"czhao93@asu.edu")</f>
        <v>czhao93@asu.edu</v>
      </c>
      <c r="G139" s="210" t="str">
        <f>IFERROR(__xludf.DUMMYFUNCTION("CONCATENATE(""https://dl.acm.org/doi/"",INDEX(FILTER('Sheridan Main'!A:A,'Sheridan Main'!B:B=C139),1))"),"https://dl.acm.org/doi/10.1145/3774904.3792669")</f>
        <v>https://dl.acm.org/doi/10.1145/3774904.3792669</v>
      </c>
      <c r="H139" s="189" t="s">
        <v>212</v>
      </c>
      <c r="I139" s="209"/>
      <c r="J139" s="209"/>
      <c r="K139" s="147"/>
      <c r="L139" s="147"/>
      <c r="M139" s="209"/>
      <c r="N139" s="209"/>
      <c r="O139" s="209"/>
      <c r="P139" s="209"/>
      <c r="Q139" s="209"/>
      <c r="R139" s="209"/>
      <c r="S139" s="209"/>
      <c r="T139" s="209"/>
      <c r="U139" s="209"/>
      <c r="V139" s="209"/>
      <c r="W139" s="209"/>
      <c r="X139" s="209"/>
      <c r="Y139" s="209"/>
      <c r="Z139" s="209"/>
      <c r="AA139" s="209"/>
      <c r="AB139" s="209"/>
      <c r="AC139" s="209"/>
      <c r="AD139" s="209"/>
      <c r="AE139" s="209"/>
    </row>
    <row r="140">
      <c r="A140" s="208" t="s">
        <v>2885</v>
      </c>
      <c r="B140" s="189" t="str">
        <f>IFERROR(__xludf.DUMMYFUNCTION("FILTER ('Research Papers'!D:D,'Research Papers'!A:A=C140)"),"Navigating Truth in Multimodal Fact-checking via Retrieval- and Reasoning-Enhanced Large Language Models")</f>
        <v>Navigating Truth in Multimodal Fact-checking via Retrieval- and Reasoning-Enhanced Large Language Models</v>
      </c>
      <c r="C140" s="189" t="s">
        <v>1728</v>
      </c>
      <c r="D140" s="209" t="str">
        <f t="shared" si="1"/>
        <v>Navigating Truth in Multimodal Fact-checking via Retrieval- and Reasoning-Enhanced Large Language Models
Fanrui Zhang, Qiang Zhang, Jianwen Sun, Chuanhao Li, Jiaxin
Ai, Yukang Feng, Zizhen Li, Kaipeng Zhang, Jiawei Liu and
Zheng-Jun Zha
</v>
      </c>
      <c r="E140" s="209" t="str">
        <f>IFERROR(__xludf.DUMMYFUNCTION("TEXTJOIN(CHAR(10), TRUE,FILTER('Research Papers'!$C:$C,'Research Papers'!$A:$A=C140))"),"Fanrui Zhang, Qiang Zhang, Jianwen Sun, Chuanhao Li, Jiaxin
Ai, Yukang Feng, Zizhen Li, Kaipeng Zhang, Jiawei Liu and
Zheng-Jun Zha")</f>
        <v>Fanrui Zhang, Qiang Zhang, Jianwen Sun, Chuanhao Li, Jiaxin
Ai, Yukang Feng, Zizhen Li, Kaipeng Zhang, Jiawei Liu and
Zheng-Jun Zha</v>
      </c>
      <c r="F140" s="209" t="str">
        <f>IFERROR(__xludf.DUMMYFUNCTION("TEXTJOIN(CHAR(10), TRUE,FILTER ('Sheridan Main'!E:E,'Sheridan Main'!B:B=C140))"),"zfr888@mail.ustc.edu.cn")</f>
        <v>zfr888@mail.ustc.edu.cn</v>
      </c>
      <c r="G140" s="210" t="str">
        <f>IFERROR(__xludf.DUMMYFUNCTION("CONCATENATE(""https://dl.acm.org/doi/"",INDEX(FILTER('Sheridan Main'!A:A,'Sheridan Main'!B:B=C140),1))"),"https://dl.acm.org/doi/10.1145/3774904.3792706")</f>
        <v>https://dl.acm.org/doi/10.1145/3774904.3792706</v>
      </c>
      <c r="H140" s="189" t="s">
        <v>212</v>
      </c>
      <c r="I140" s="209"/>
      <c r="J140" s="209"/>
      <c r="K140" s="147"/>
      <c r="L140" s="147"/>
      <c r="M140" s="209"/>
      <c r="N140" s="209"/>
      <c r="O140" s="209"/>
      <c r="P140" s="209"/>
      <c r="Q140" s="209"/>
      <c r="R140" s="209"/>
      <c r="S140" s="209"/>
      <c r="T140" s="209"/>
      <c r="U140" s="209"/>
      <c r="V140" s="209"/>
      <c r="W140" s="209"/>
      <c r="X140" s="209"/>
      <c r="Y140" s="209"/>
      <c r="Z140" s="209"/>
      <c r="AA140" s="209"/>
      <c r="AB140" s="209"/>
      <c r="AC140" s="209"/>
      <c r="AD140" s="209"/>
      <c r="AE140" s="209"/>
    </row>
    <row r="141">
      <c r="A141" s="208" t="s">
        <v>2885</v>
      </c>
      <c r="B141" s="189" t="str">
        <f>IFERROR(__xludf.DUMMYFUNCTION("FILTER ('Research Papers'!D:D,'Research Papers'!A:A=C141)"),"It's not Easy: Applying Supervised Machine Learning to Detect Malicious Extensions in the Chrome Web Store ")</f>
        <v>It's not Easy: Applying Supervised Machine Learning to Detect Malicious Extensions in the Chrome Web Store </v>
      </c>
      <c r="C141" s="212" t="s">
        <v>2932</v>
      </c>
      <c r="D141" s="209" t="str">
        <f t="shared" si="1"/>
        <v>It's not Easy: Applying Supervised Machine Learning to Detect Malicious Extensions in the Chrome Web Store 
Ben Rosenzweig, Valentino Dalla Valle, Giovanni Apruzzese and Aurore Fass
</v>
      </c>
      <c r="E141" s="209" t="str">
        <f>IFERROR(__xludf.DUMMYFUNCTION("TEXTJOIN(CHAR(10), TRUE,FILTER('Research Papers'!$C:$C,'Research Papers'!$A:$A=C141))"),"Ben Rosenzweig, Valentino Dalla Valle, Giovanni Apruzzese and Aurore Fass")</f>
        <v>Ben Rosenzweig, Valentino Dalla Valle, Giovanni Apruzzese and Aurore Fass</v>
      </c>
      <c r="F141" s="209" t="str">
        <f>IFERROR(__xludf.DUMMYFUNCTION("TEXTJOIN(CHAR(10), TRUE,FILTER (TWEB!E:E,TWEB!A:A=C141))"),"giovanni.apruzzese@uni.li")</f>
        <v>giovanni.apruzzese@uni.li</v>
      </c>
      <c r="G141" s="210" t="str">
        <f>IFERROR(__xludf.DUMMYFUNCTION("CONCATENATE(""https://dl.acm.org/doi/"",FILTER(TWEB!F:F,TWEB!A:A=C141))"),"https://dl.acm.org/doi/10.1145/3770852")</f>
        <v>https://dl.acm.org/doi/10.1145/3770852</v>
      </c>
      <c r="H141" s="189" t="s">
        <v>212</v>
      </c>
      <c r="I141" s="209"/>
      <c r="J141" s="209"/>
      <c r="K141" s="147"/>
      <c r="L141" s="147"/>
      <c r="M141" s="209"/>
      <c r="N141" s="209"/>
      <c r="O141" s="209"/>
      <c r="P141" s="209"/>
      <c r="Q141" s="209"/>
      <c r="R141" s="209"/>
      <c r="S141" s="209"/>
      <c r="T141" s="209"/>
      <c r="U141" s="209"/>
      <c r="V141" s="209"/>
      <c r="W141" s="209"/>
      <c r="X141" s="209"/>
      <c r="Y141" s="209"/>
      <c r="Z141" s="209"/>
      <c r="AA141" s="209"/>
      <c r="AB141" s="209"/>
      <c r="AC141" s="209"/>
      <c r="AD141" s="209"/>
      <c r="AE141" s="209"/>
    </row>
    <row r="142">
      <c r="A142" s="208" t="s">
        <v>2885</v>
      </c>
      <c r="B142" s="189" t="str">
        <f>IFERROR(__xludf.DUMMYFUNCTION("FILTER ('Research Papers'!D:D,'Research Papers'!A:A=C142)"),"Does This Button Work? Investigating YouTube's Ineffective User Controls")</f>
        <v>Does This Button Work? Investigating YouTube's Ineffective User Controls</v>
      </c>
      <c r="C142" s="189" t="s">
        <v>682</v>
      </c>
      <c r="D142" s="209" t="str">
        <f t="shared" si="1"/>
        <v>Does This Button Work? Investigating YouTube's Ineffective User Controls
Jesse McCrosky, Ranadheer Malla, Aapo Tanskanen and Chico
Camargo
</v>
      </c>
      <c r="E142" s="209" t="str">
        <f>IFERROR(__xludf.DUMMYFUNCTION("TEXTJOIN(CHAR(10), TRUE,FILTER('Research Papers'!$C:$C,'Research Papers'!$A:$A=C142))"),"Jesse McCrosky, Ranadheer Malla, Aapo Tanskanen and Chico
Camargo")</f>
        <v>Jesse McCrosky, Ranadheer Malla, Aapo Tanskanen and Chico
Camargo</v>
      </c>
      <c r="F142" s="209" t="str">
        <f>IFERROR(__xludf.DUMMYFUNCTION("TEXTJOIN(CHAR(10), TRUE,FILTER ('Sheridan Main'!E:E,'Sheridan Main'!B:B=C142))"),"f.camargo@exeter.ac.uk")</f>
        <v>f.camargo@exeter.ac.uk</v>
      </c>
      <c r="G142" s="210" t="str">
        <f>IFERROR(__xludf.DUMMYFUNCTION("CONCATENATE(""https://dl.acm.org/doi/"",INDEX(FILTER('Sheridan Main'!A:A,'Sheridan Main'!B:B=C142),1))"),"https://dl.acm.org/doi/10.1145/3774904.3792183")</f>
        <v>https://dl.acm.org/doi/10.1145/3774904.3792183</v>
      </c>
      <c r="H142" s="189" t="s">
        <v>173</v>
      </c>
      <c r="I142" s="209"/>
      <c r="J142" s="209"/>
      <c r="K142" s="147"/>
      <c r="L142" s="147"/>
      <c r="M142" s="209"/>
      <c r="N142" s="209"/>
      <c r="O142" s="209"/>
      <c r="P142" s="209"/>
      <c r="Q142" s="209"/>
      <c r="R142" s="209"/>
      <c r="S142" s="209"/>
      <c r="T142" s="209"/>
      <c r="U142" s="209"/>
      <c r="V142" s="209"/>
      <c r="W142" s="209"/>
      <c r="X142" s="209"/>
      <c r="Y142" s="209"/>
      <c r="Z142" s="209"/>
      <c r="AA142" s="209"/>
      <c r="AB142" s="209"/>
      <c r="AC142" s="209"/>
      <c r="AD142" s="209"/>
      <c r="AE142" s="209"/>
    </row>
    <row r="143">
      <c r="A143" s="208" t="s">
        <v>2885</v>
      </c>
      <c r="B143" s="189" t="str">
        <f>IFERROR(__xludf.DUMMYFUNCTION("FILTER ('Research Papers'!D:D,'Research Papers'!A:A=C143)"),"Users Pay Twice: The Hidden Energy Cost of Web Advertising")</f>
        <v>Users Pay Twice: The Hidden Energy Cost of Web Advertising</v>
      </c>
      <c r="C143" s="189" t="s">
        <v>1144</v>
      </c>
      <c r="D143" s="209" t="str">
        <f t="shared" si="1"/>
        <v>Users Pay Twice: The Hidden Energy Cost of Web Advertising
Samuel Pélissier, Naif Mehanna, Sterenn Roux, Quentin
Perez, Walter Rudametkin, Johann Bourcier and Pierre
Laperdrix
</v>
      </c>
      <c r="E143" s="209" t="str">
        <f>IFERROR(__xludf.DUMMYFUNCTION("TEXTJOIN(CHAR(10), TRUE,FILTER('Research Papers'!$C:$C,'Research Papers'!$A:$A=C143))"),"Samuel Pélissier, Naif Mehanna, Sterenn Roux, Quentin
Perez, Walter Rudametkin, Johann Bourcier and Pierre
Laperdrix")</f>
        <v>Samuel Pélissier, Naif Mehanna, Sterenn Roux, Quentin
Perez, Walter Rudametkin, Johann Bourcier and Pierre
Laperdrix</v>
      </c>
      <c r="F143" s="209" t="str">
        <f>IFERROR(__xludf.DUMMYFUNCTION("TEXTJOIN(CHAR(10), TRUE,FILTER ('Sheridan Main'!E:E,'Sheridan Main'!B:B=C143))"),"samuel.pelissier@inria.fr
naif.meh@gmail.com")</f>
        <v>samuel.pelissier@inria.fr
naif.meh@gmail.com</v>
      </c>
      <c r="G143" s="210" t="str">
        <f>IFERROR(__xludf.DUMMYFUNCTION("CONCATENATE(""https://dl.acm.org/doi/"",INDEX(FILTER('Sheridan Main'!A:A,'Sheridan Main'!B:B=C143),1))"),"https://dl.acm.org/doi/10.1145/3774904.3792414")</f>
        <v>https://dl.acm.org/doi/10.1145/3774904.3792414</v>
      </c>
      <c r="H143" s="189" t="s">
        <v>173</v>
      </c>
      <c r="I143" s="209"/>
      <c r="J143" s="209"/>
      <c r="K143" s="147"/>
      <c r="L143" s="147"/>
      <c r="M143" s="209"/>
      <c r="N143" s="209"/>
      <c r="O143" s="209"/>
      <c r="P143" s="209"/>
      <c r="Q143" s="209"/>
      <c r="R143" s="209"/>
      <c r="S143" s="209"/>
      <c r="T143" s="209"/>
      <c r="U143" s="209"/>
      <c r="V143" s="209"/>
      <c r="W143" s="209"/>
      <c r="X143" s="209"/>
      <c r="Y143" s="209"/>
      <c r="Z143" s="209"/>
      <c r="AA143" s="209"/>
      <c r="AB143" s="209"/>
      <c r="AC143" s="209"/>
      <c r="AD143" s="209"/>
      <c r="AE143" s="209"/>
    </row>
    <row r="144">
      <c r="A144" s="208" t="s">
        <v>2885</v>
      </c>
      <c r="B144" s="189" t="str">
        <f>IFERROR(__xludf.DUMMYFUNCTION("FILTER ('Research Papers'!D:D,'Research Papers'!A:A=C144)"),"Towards LLM-centric Affective Visual Customization via Efficient and Precise Emotion Manipulating")</f>
        <v>Towards LLM-centric Affective Visual Customization via Efficient and Precise Emotion Manipulating</v>
      </c>
      <c r="C144" s="189" t="s">
        <v>1486</v>
      </c>
      <c r="D144" s="209" t="str">
        <f t="shared" si="1"/>
        <v>Towards LLM-centric Affective Visual Customization via Efficient and Precise Emotion Manipulating
Jiamin Luo, Xuqian Gu, Jingjing Wang and Jiahong Lu
</v>
      </c>
      <c r="E144" s="209" t="str">
        <f>IFERROR(__xludf.DUMMYFUNCTION("TEXTJOIN(CHAR(10), TRUE,FILTER('Research Papers'!$C:$C,'Research Papers'!$A:$A=C144))"),"Jiamin Luo, Xuqian Gu, Jingjing Wang and Jiahong Lu")</f>
        <v>Jiamin Luo, Xuqian Gu, Jingjing Wang and Jiahong Lu</v>
      </c>
      <c r="F144" s="209" t="str">
        <f>IFERROR(__xludf.DUMMYFUNCTION("TEXTJOIN(CHAR(10), TRUE,FILTER ('Sheridan Main'!E:E,'Sheridan Main'!B:B=C144))"),"djingwang@suda.edu.cn")</f>
        <v>djingwang@suda.edu.cn</v>
      </c>
      <c r="G144" s="210" t="str">
        <f>IFERROR(__xludf.DUMMYFUNCTION("CONCATENATE(""https://dl.acm.org/doi/"",INDEX(FILTER('Sheridan Main'!A:A,'Sheridan Main'!B:B=C144),1))"),"https://dl.acm.org/doi/10.1145/3774904.3792585")</f>
        <v>https://dl.acm.org/doi/10.1145/3774904.3792585</v>
      </c>
      <c r="H144" s="189" t="s">
        <v>173</v>
      </c>
      <c r="I144" s="209"/>
      <c r="J144" s="209"/>
      <c r="K144" s="147"/>
      <c r="L144" s="147"/>
      <c r="M144" s="209"/>
      <c r="N144" s="209"/>
      <c r="O144" s="209"/>
      <c r="P144" s="209"/>
      <c r="Q144" s="209"/>
      <c r="R144" s="209"/>
      <c r="S144" s="209"/>
      <c r="T144" s="209"/>
      <c r="U144" s="209"/>
      <c r="V144" s="209"/>
      <c r="W144" s="209"/>
      <c r="X144" s="209"/>
      <c r="Y144" s="209"/>
      <c r="Z144" s="209"/>
      <c r="AA144" s="209"/>
      <c r="AB144" s="209"/>
      <c r="AC144" s="209"/>
      <c r="AD144" s="209"/>
      <c r="AE144" s="209"/>
    </row>
    <row r="145">
      <c r="A145" s="208" t="s">
        <v>2885</v>
      </c>
      <c r="B145" s="189" t="str">
        <f>IFERROR(__xludf.DUMMYFUNCTION("FILTER ('Research Papers'!D:D,'Research Papers'!A:A=C145)"),"D-Models and E-Models: Diversity-Stability Trade-offs in the Sampling Behavior of Large Language Models")</f>
        <v>D-Models and E-Models: Diversity-Stability Trade-offs in the Sampling Behavior of Large Language Models</v>
      </c>
      <c r="C145" s="189" t="s">
        <v>1588</v>
      </c>
      <c r="D145" s="209" t="str">
        <f t="shared" si="1"/>
        <v>D-Models and E-Models: Diversity-Stability Trade-offs in the Sampling Behavior of Large Language Models
Jia Gu, Liang Pang, Huawei Shen and Xueqi Cheng
</v>
      </c>
      <c r="E145" s="209" t="str">
        <f>IFERROR(__xludf.DUMMYFUNCTION("TEXTJOIN(CHAR(10), TRUE,FILTER('Research Papers'!$C:$C,'Research Papers'!$A:$A=C145))"),"Jia Gu, Liang Pang, Huawei Shen and Xueqi Cheng")</f>
        <v>Jia Gu, Liang Pang, Huawei Shen and Xueqi Cheng</v>
      </c>
      <c r="F145" s="209" t="str">
        <f>IFERROR(__xludf.DUMMYFUNCTION("TEXTJOIN(CHAR(10), TRUE,FILTER ('Sheridan Main'!E:E,'Sheridan Main'!B:B=C145))"),"pangliang@ict.ac.cn")</f>
        <v>pangliang@ict.ac.cn</v>
      </c>
      <c r="G145" s="210" t="str">
        <f>IFERROR(__xludf.DUMMYFUNCTION("CONCATENATE(""https://dl.acm.org/doi/"",INDEX(FILTER('Sheridan Main'!A:A,'Sheridan Main'!B:B=C145),1))"),"https://dl.acm.org/doi/10.1145/3774904.3792636")</f>
        <v>https://dl.acm.org/doi/10.1145/3774904.3792636</v>
      </c>
      <c r="H145" s="189" t="s">
        <v>173</v>
      </c>
      <c r="I145" s="209"/>
      <c r="J145" s="209"/>
      <c r="K145" s="147"/>
      <c r="L145" s="147"/>
      <c r="M145" s="209"/>
      <c r="N145" s="209"/>
      <c r="O145" s="209"/>
      <c r="P145" s="209"/>
      <c r="Q145" s="209"/>
      <c r="R145" s="209"/>
      <c r="S145" s="209"/>
      <c r="T145" s="209"/>
      <c r="U145" s="209"/>
      <c r="V145" s="209"/>
      <c r="W145" s="209"/>
      <c r="X145" s="209"/>
      <c r="Y145" s="209"/>
      <c r="Z145" s="209"/>
      <c r="AA145" s="209"/>
      <c r="AB145" s="209"/>
      <c r="AC145" s="209"/>
      <c r="AD145" s="209"/>
      <c r="AE145" s="209"/>
    </row>
    <row r="146">
      <c r="A146" s="208" t="s">
        <v>2885</v>
      </c>
      <c r="B146" s="189" t="str">
        <f>IFERROR(__xludf.DUMMYFUNCTION("FILTER ('Research Papers'!D:D,'Research Papers'!A:A=C146)"),"Dynamics of Human-AI Collective Knowledge on the Web: A Scalable Model and Insights for Sustainable Growth")</f>
        <v>Dynamics of Human-AI Collective Knowledge on the Web: A Scalable Model and Insights for Sustainable Growth</v>
      </c>
      <c r="C146" s="189" t="s">
        <v>1646</v>
      </c>
      <c r="D146" s="209" t="str">
        <f t="shared" si="1"/>
        <v>Dynamics of Human-AI Collective Knowledge on the Web: A Scalable Model and Insights for Sustainable Growth
Buddhika Nettasinghe and Kang Zhao
</v>
      </c>
      <c r="E146" s="209" t="str">
        <f>IFERROR(__xludf.DUMMYFUNCTION("TEXTJOIN(CHAR(10), TRUE,FILTER('Research Papers'!$C:$C,'Research Papers'!$A:$A=C146))"),"Buddhika Nettasinghe and Kang Zhao")</f>
        <v>Buddhika Nettasinghe and Kang Zhao</v>
      </c>
      <c r="F146" s="209" t="str">
        <f>IFERROR(__xludf.DUMMYFUNCTION("TEXTJOIN(CHAR(10), TRUE,FILTER ('Sheridan Main'!E:E,'Sheridan Main'!B:B=C146))"),"buddhika-nettasinghe@uiowa.edu")</f>
        <v>buddhika-nettasinghe@uiowa.edu</v>
      </c>
      <c r="G146" s="210" t="str">
        <f>IFERROR(__xludf.DUMMYFUNCTION("CONCATENATE(""https://dl.acm.org/doi/"",INDEX(FILTER('Sheridan Main'!A:A,'Sheridan Main'!B:B=C146),1))"),"https://dl.acm.org/doi/10.1145/3774904.3792665")</f>
        <v>https://dl.acm.org/doi/10.1145/3774904.3792665</v>
      </c>
      <c r="H146" s="189" t="s">
        <v>173</v>
      </c>
      <c r="I146" s="209"/>
      <c r="J146" s="209"/>
      <c r="K146" s="147"/>
      <c r="L146" s="147"/>
      <c r="M146" s="209"/>
      <c r="N146" s="209"/>
      <c r="O146" s="209"/>
      <c r="P146" s="209"/>
      <c r="Q146" s="209"/>
      <c r="R146" s="209"/>
      <c r="S146" s="209"/>
      <c r="T146" s="209"/>
      <c r="U146" s="209"/>
      <c r="V146" s="209"/>
      <c r="W146" s="209"/>
      <c r="X146" s="209"/>
      <c r="Y146" s="209"/>
      <c r="Z146" s="209"/>
      <c r="AA146" s="209"/>
      <c r="AB146" s="209"/>
      <c r="AC146" s="209"/>
      <c r="AD146" s="209"/>
      <c r="AE146" s="209"/>
    </row>
    <row r="147">
      <c r="A147" s="208" t="s">
        <v>2885</v>
      </c>
      <c r="B147" s="189" t="str">
        <f>IFERROR(__xludf.DUMMYFUNCTION("FILTER ('Research Papers'!D:D,'Research Papers'!A:A=C147)"),"Trireme: A Tripartite Regulation Scheme for Diffusion Models")</f>
        <v>Trireme: A Tripartite Regulation Scheme for Diffusion Models</v>
      </c>
      <c r="C147" s="189" t="s">
        <v>864</v>
      </c>
      <c r="D147" s="209" t="str">
        <f t="shared" si="1"/>
        <v>Trireme: A Tripartite Regulation Scheme for Diffusion Models
Hengtong Zhang, Chen Ye and Hongzhi Wang
</v>
      </c>
      <c r="E147" s="209" t="str">
        <f>IFERROR(__xludf.DUMMYFUNCTION("TEXTJOIN(CHAR(10), TRUE,FILTER('Research Papers'!$C:$C,'Research Papers'!$A:$A=C147))"),"Hengtong Zhang, Chen Ye and Hongzhi Wang")</f>
        <v>Hengtong Zhang, Chen Ye and Hongzhi Wang</v>
      </c>
      <c r="F147" s="209" t="str">
        <f>IFERROR(__xludf.DUMMYFUNCTION("TEXTJOIN(CHAR(10), TRUE,FILTER ('Sheridan Main'!E:E,'Sheridan Main'!B:B=C147))"),"hengtong@hit.edu.cn")</f>
        <v>hengtong@hit.edu.cn</v>
      </c>
      <c r="G147" s="210" t="str">
        <f>IFERROR(__xludf.DUMMYFUNCTION("CONCATENATE(""https://dl.acm.org/doi/"",INDEX(FILTER('Sheridan Main'!A:A,'Sheridan Main'!B:B=C147),1))"),"https://dl.acm.org/doi/10.1145/3774904.3792274")</f>
        <v>https://dl.acm.org/doi/10.1145/3774904.3792274</v>
      </c>
      <c r="H147" s="189" t="s">
        <v>153</v>
      </c>
      <c r="I147" s="209"/>
      <c r="J147" s="209"/>
      <c r="K147" s="147"/>
      <c r="L147" s="147"/>
      <c r="M147" s="209"/>
      <c r="N147" s="209"/>
      <c r="O147" s="209"/>
      <c r="P147" s="209"/>
      <c r="Q147" s="209"/>
      <c r="R147" s="209"/>
      <c r="S147" s="209"/>
      <c r="T147" s="209"/>
      <c r="U147" s="209"/>
      <c r="V147" s="209"/>
      <c r="W147" s="209"/>
      <c r="X147" s="209"/>
      <c r="Y147" s="209"/>
      <c r="Z147" s="209"/>
      <c r="AA147" s="209"/>
      <c r="AB147" s="209"/>
      <c r="AC147" s="209"/>
      <c r="AD147" s="209"/>
      <c r="AE147" s="209"/>
    </row>
    <row r="148">
      <c r="A148" s="208" t="s">
        <v>2885</v>
      </c>
      <c r="B148" s="189" t="str">
        <f>IFERROR(__xludf.DUMMYFUNCTION("FILTER ('Research Papers'!D:D,'Research Papers'!A:A=C148)"),"BiasEdit: A Training-Free Bias-Detect-and-Edit Framework for Learning Fair Visual Classifiers")</f>
        <v>BiasEdit: A Training-Free Bias-Detect-and-Edit Framework for Learning Fair Visual Classifiers</v>
      </c>
      <c r="C148" s="189" t="s">
        <v>1138</v>
      </c>
      <c r="D148" s="209" t="str">
        <f t="shared" si="1"/>
        <v>BiasEdit: A Training-Free Bias-Detect-and-Edit Framework for Learning Fair Visual Classifiers
Jungwook Seo, Yoonsik Park, Changmin Lee and Sungyong Baik
</v>
      </c>
      <c r="E148" s="209" t="str">
        <f>IFERROR(__xludf.DUMMYFUNCTION("TEXTJOIN(CHAR(10), TRUE,FILTER('Research Papers'!$C:$C,'Research Papers'!$A:$A=C148))"),"Jungwook Seo, Yoonsik Park, Changmin Lee and Sungyong Baik")</f>
        <v>Jungwook Seo, Yoonsik Park, Changmin Lee and Sungyong Baik</v>
      </c>
      <c r="F148" s="209" t="str">
        <f>IFERROR(__xludf.DUMMYFUNCTION("TEXTJOIN(CHAR(10), TRUE,FILTER ('Sheridan Main'!E:E,'Sheridan Main'!B:B=C148))"),"dsybaik@hanyang.ac.kr")</f>
        <v>dsybaik@hanyang.ac.kr</v>
      </c>
      <c r="G148" s="210" t="str">
        <f>IFERROR(__xludf.DUMMYFUNCTION("CONCATENATE(""https://dl.acm.org/doi/"",INDEX(FILTER('Sheridan Main'!A:A,'Sheridan Main'!B:B=C148),1))"),"https://dl.acm.org/doi/10.1145/3774904.3792411")</f>
        <v>https://dl.acm.org/doi/10.1145/3774904.3792411</v>
      </c>
      <c r="H148" s="189" t="s">
        <v>153</v>
      </c>
      <c r="I148" s="209"/>
      <c r="J148" s="209"/>
      <c r="K148" s="147"/>
      <c r="L148" s="147"/>
      <c r="M148" s="209"/>
      <c r="N148" s="209"/>
      <c r="O148" s="209"/>
      <c r="P148" s="209"/>
      <c r="Q148" s="209"/>
      <c r="R148" s="209"/>
      <c r="S148" s="209"/>
      <c r="T148" s="209"/>
      <c r="U148" s="209"/>
      <c r="V148" s="209"/>
      <c r="W148" s="209"/>
      <c r="X148" s="209"/>
      <c r="Y148" s="209"/>
      <c r="Z148" s="209"/>
      <c r="AA148" s="209"/>
      <c r="AB148" s="209"/>
      <c r="AC148" s="209"/>
      <c r="AD148" s="209"/>
      <c r="AE148" s="209"/>
    </row>
    <row r="149">
      <c r="A149" s="208" t="s">
        <v>2885</v>
      </c>
      <c r="B149" s="189" t="str">
        <f>IFERROR(__xludf.DUMMYFUNCTION("FILTER ('Research Papers'!D:D,'Research Papers'!A:A=C149)"),"Question the Questions: Auditing Representation in Online Deliberative Processes")</f>
        <v>Question the Questions: Auditing Representation in Online Deliberative Processes</v>
      </c>
      <c r="C149" s="189" t="s">
        <v>1264</v>
      </c>
      <c r="D149" s="209" t="str">
        <f t="shared" si="1"/>
        <v>Question the Questions: Auditing Representation in Online Deliberative Processes
Soham De, Lodewijk Gelauff, Ashish Goel, Smitha Milli,
Ariel Procaccia and Alice Siu
</v>
      </c>
      <c r="E149" s="209" t="str">
        <f>IFERROR(__xludf.DUMMYFUNCTION("TEXTJOIN(CHAR(10), TRUE,FILTER('Research Papers'!$C:$C,'Research Papers'!$A:$A=C149))"),"Soham De, Lodewijk Gelauff, Ashish Goel, Smitha Milli,
Ariel Procaccia and Alice Siu")</f>
        <v>Soham De, Lodewijk Gelauff, Ashish Goel, Smitha Milli,
Ariel Procaccia and Alice Siu</v>
      </c>
      <c r="F149" s="209" t="str">
        <f>IFERROR(__xludf.DUMMYFUNCTION("TEXTJOIN(CHAR(10), TRUE,FILTER ('Sheridan Main'!E:E,'Sheridan Main'!B:B=C149))"),"sohamde@uw.edu")</f>
        <v>sohamde@uw.edu</v>
      </c>
      <c r="G149" s="210" t="str">
        <f>IFERROR(__xludf.DUMMYFUNCTION("CONCATENATE(""https://dl.acm.org/doi/"",INDEX(FILTER('Sheridan Main'!A:A,'Sheridan Main'!B:B=C149),1))"),"https://dl.acm.org/doi/10.1145/3774904.3792474")</f>
        <v>https://dl.acm.org/doi/10.1145/3774904.3792474</v>
      </c>
      <c r="H149" s="189" t="s">
        <v>153</v>
      </c>
      <c r="I149" s="209"/>
      <c r="J149" s="209"/>
      <c r="K149" s="147"/>
      <c r="L149" s="147"/>
      <c r="M149" s="209"/>
      <c r="N149" s="209"/>
      <c r="O149" s="209"/>
      <c r="P149" s="209"/>
      <c r="Q149" s="209"/>
      <c r="R149" s="209"/>
      <c r="S149" s="209"/>
      <c r="T149" s="209"/>
      <c r="U149" s="209"/>
      <c r="V149" s="209"/>
      <c r="W149" s="209"/>
      <c r="X149" s="209"/>
      <c r="Y149" s="209"/>
      <c r="Z149" s="209"/>
      <c r="AA149" s="209"/>
      <c r="AB149" s="209"/>
      <c r="AC149" s="209"/>
      <c r="AD149" s="209"/>
      <c r="AE149" s="209"/>
    </row>
    <row r="150">
      <c r="A150" s="208" t="s">
        <v>2885</v>
      </c>
      <c r="B150" s="189" t="str">
        <f>IFERROR(__xludf.DUMMYFUNCTION("FILTER ('Research Papers'!D:D,'Research Papers'!A:A=C150)"),"Digital Skin, Digital Bias: Uncovering Tone-Based Biases in LLMs and Emoji Embeddings")</f>
        <v>Digital Skin, Digital Bias: Uncovering Tone-Based Biases in LLMs and Emoji Embeddings</v>
      </c>
      <c r="C150" s="189" t="s">
        <v>1332</v>
      </c>
      <c r="D150" s="209" t="str">
        <f t="shared" si="1"/>
        <v>Digital Skin, Digital Bias: Uncovering Tone-Based Biases in LLMs and Emoji Embeddings
Mingchen Li, Wajdi Aljedaani, Yingjie Liu, Navyasri Meka,
Xuan Lu, Xinyue Ye, Junhua Ding and Yunhe Feng
</v>
      </c>
      <c r="E150" s="209" t="str">
        <f>IFERROR(__xludf.DUMMYFUNCTION("TEXTJOIN(CHAR(10), TRUE,FILTER('Research Papers'!$C:$C,'Research Papers'!$A:$A=C150))"),"Mingchen Li, Wajdi Aljedaani, Yingjie Liu, Navyasri Meka,
Xuan Lu, Xinyue Ye, Junhua Ding and Yunhe Feng")</f>
        <v>Mingchen Li, Wajdi Aljedaani, Yingjie Liu, Navyasri Meka,
Xuan Lu, Xinyue Ye, Junhua Ding and Yunhe Feng</v>
      </c>
      <c r="F150" s="209" t="str">
        <f>IFERROR(__xludf.DUMMYFUNCTION("TEXTJOIN(CHAR(10), TRUE,FILTER ('Sheridan Main'!E:E,'Sheridan Main'!B:B=C150))"),"MingchenLi@my.unt.edu")</f>
        <v>MingchenLi@my.unt.edu</v>
      </c>
      <c r="G150" s="210" t="str">
        <f>IFERROR(__xludf.DUMMYFUNCTION("CONCATENATE(""https://dl.acm.org/doi/"",INDEX(FILTER('Sheridan Main'!A:A,'Sheridan Main'!B:B=C150),1))"),"https://dl.acm.org/doi/10.1145/3774904.3792508")</f>
        <v>https://dl.acm.org/doi/10.1145/3774904.3792508</v>
      </c>
      <c r="H150" s="189" t="s">
        <v>153</v>
      </c>
      <c r="I150" s="209"/>
      <c r="J150" s="209"/>
      <c r="K150" s="147"/>
      <c r="L150" s="147"/>
      <c r="M150" s="209"/>
      <c r="N150" s="209"/>
      <c r="O150" s="209"/>
      <c r="P150" s="209"/>
      <c r="Q150" s="209"/>
      <c r="R150" s="209"/>
      <c r="S150" s="209"/>
      <c r="T150" s="209"/>
      <c r="U150" s="209"/>
      <c r="V150" s="209"/>
      <c r="W150" s="209"/>
      <c r="X150" s="209"/>
      <c r="Y150" s="209"/>
      <c r="Z150" s="209"/>
      <c r="AA150" s="209"/>
      <c r="AB150" s="209"/>
      <c r="AC150" s="209"/>
      <c r="AD150" s="209"/>
      <c r="AE150" s="209"/>
    </row>
    <row r="151">
      <c r="A151" s="208" t="s">
        <v>2885</v>
      </c>
      <c r="B151" s="189" t="str">
        <f>IFERROR(__xludf.DUMMYFUNCTION("FILTER ('Research Papers'!D:D,'Research Papers'!A:A=C151)"),"Be Responsible in Your Answers! Monitoring Out-of-Domain Behaviors in Domain-Specific LLMs")</f>
        <v>Be Responsible in Your Answers! Monitoring Out-of-Domain Behaviors in Domain-Specific LLMs</v>
      </c>
      <c r="C151" s="189" t="s">
        <v>1558</v>
      </c>
      <c r="D151" s="209" t="str">
        <f t="shared" si="1"/>
        <v>Be Responsible in Your Answers! Monitoring Out-of-Domain Behaviors in Domain-Specific LLMs
Boquan Li, Chenzhe Lou, Zhe Ren, Peixin Zhang, Zirui Fu,
Jun Sun and Yaowen Zheng
</v>
      </c>
      <c r="E151" s="209" t="str">
        <f>IFERROR(__xludf.DUMMYFUNCTION("TEXTJOIN(CHAR(10), TRUE,FILTER('Research Papers'!$C:$C,'Research Papers'!$A:$A=C151))"),"Boquan Li, Chenzhe Lou, Zhe Ren, Peixin Zhang, Zirui Fu,
Jun Sun and Yaowen Zheng")</f>
        <v>Boquan Li, Chenzhe Lou, Zhe Ren, Peixin Zhang, Zirui Fu,
Jun Sun and Yaowen Zheng</v>
      </c>
      <c r="F151" s="209" t="str">
        <f>IFERROR(__xludf.DUMMYFUNCTION("TEXTJOIN(CHAR(10), TRUE,FILTER ('Sheridan Main'!E:E,'Sheridan Main'!B:B=C151))"),"pxzhang@smu.edu.sg")</f>
        <v>pxzhang@smu.edu.sg</v>
      </c>
      <c r="G151" s="210" t="str">
        <f>IFERROR(__xludf.DUMMYFUNCTION("CONCATENATE(""https://dl.acm.org/doi/"",INDEX(FILTER('Sheridan Main'!A:A,'Sheridan Main'!B:B=C151),1))"),"https://dl.acm.org/doi/10.1145/3774904.3792621")</f>
        <v>https://dl.acm.org/doi/10.1145/3774904.3792621</v>
      </c>
      <c r="H151" s="189" t="s">
        <v>153</v>
      </c>
      <c r="I151" s="209"/>
      <c r="J151" s="209"/>
      <c r="K151" s="147"/>
      <c r="L151" s="147"/>
      <c r="M151" s="209"/>
      <c r="N151" s="209"/>
      <c r="O151" s="209"/>
      <c r="P151" s="209"/>
      <c r="Q151" s="209"/>
      <c r="R151" s="209"/>
      <c r="S151" s="209"/>
      <c r="T151" s="209"/>
      <c r="U151" s="209"/>
      <c r="V151" s="209"/>
      <c r="W151" s="209"/>
      <c r="X151" s="209"/>
      <c r="Y151" s="209"/>
      <c r="Z151" s="209"/>
      <c r="AA151" s="209"/>
      <c r="AB151" s="209"/>
      <c r="AC151" s="209"/>
      <c r="AD151" s="209"/>
      <c r="AE151" s="209"/>
    </row>
    <row r="152">
      <c r="A152" s="208" t="s">
        <v>2885</v>
      </c>
      <c r="B152" s="189" t="str">
        <f>IFERROR(__xludf.DUMMYFUNCTION("FILTER ('Research Papers'!D:D,'Research Papers'!A:A=C152)"),"Rethinking Implicit Hate Speech Detection: Focusing on Latent Hate Components via Dual-Process Argumentation")</f>
        <v>Rethinking Implicit Hate Speech Detection: Focusing on Latent Hate Components via Dual-Process Argumentation</v>
      </c>
      <c r="C152" s="189" t="s">
        <v>634</v>
      </c>
      <c r="D152" s="209" t="str">
        <f t="shared" si="1"/>
        <v>Rethinking Implicit Hate Speech Detection: Focusing on Latent Hate Components via Dual-Process Argumentation
Shiqi Sun, Du Su, Wei Chen and Xueqi Cheng
</v>
      </c>
      <c r="E152" s="209" t="str">
        <f>IFERROR(__xludf.DUMMYFUNCTION("TEXTJOIN(CHAR(10), TRUE,FILTER('Research Papers'!$C:$C,'Research Papers'!$A:$A=C152))"),"Shiqi Sun, Du Su, Wei Chen and Xueqi Cheng")</f>
        <v>Shiqi Sun, Du Su, Wei Chen and Xueqi Cheng</v>
      </c>
      <c r="F152" s="209" t="str">
        <f>IFERROR(__xludf.DUMMYFUNCTION("TEXTJOIN(CHAR(10), TRUE,FILTER ('Sheridan Main'!E:E,'Sheridan Main'!B:B=C152))"),"sudu@ict.ac.cn")</f>
        <v>sudu@ict.ac.cn</v>
      </c>
      <c r="G152" s="210" t="str">
        <f>IFERROR(__xludf.DUMMYFUNCTION("CONCATENATE(""https://dl.acm.org/doi/"",INDEX(FILTER('Sheridan Main'!A:A,'Sheridan Main'!B:B=C152),1))"),"https://dl.acm.org/doi/10.1145/3774904.3792159")</f>
        <v>https://dl.acm.org/doi/10.1145/3774904.3792159</v>
      </c>
      <c r="H152" s="189" t="s">
        <v>2849</v>
      </c>
      <c r="I152" s="189" t="s">
        <v>2886</v>
      </c>
      <c r="J152" s="209"/>
      <c r="K152" s="205" t="s">
        <v>2930</v>
      </c>
      <c r="L152" s="174">
        <f>COUNTIF(H:H,H152)</f>
        <v>13</v>
      </c>
      <c r="M152" s="209"/>
      <c r="N152" s="209"/>
      <c r="O152" s="209"/>
      <c r="P152" s="209"/>
      <c r="Q152" s="209"/>
      <c r="R152" s="209"/>
      <c r="S152" s="209"/>
      <c r="T152" s="209"/>
      <c r="U152" s="209"/>
      <c r="V152" s="209"/>
      <c r="W152" s="209"/>
      <c r="X152" s="209"/>
      <c r="Y152" s="209"/>
      <c r="Z152" s="209"/>
      <c r="AA152" s="209"/>
      <c r="AB152" s="209"/>
      <c r="AC152" s="209"/>
      <c r="AD152" s="209"/>
      <c r="AE152" s="209"/>
    </row>
    <row r="153">
      <c r="A153" s="208" t="s">
        <v>2885</v>
      </c>
      <c r="B153" s="189" t="str">
        <f>IFERROR(__xludf.DUMMYFUNCTION("FILTER ('Research Papers'!D:D,'Research Papers'!A:A=C153)"),"PIXEL: Adaptive Steering Via Position-wise Injection with eXact Estimated Levels under a Subspace Calibration")</f>
        <v>PIXEL: Adaptive Steering Via Position-wise Injection with eXact Estimated Levels under a Subspace Calibration</v>
      </c>
      <c r="C153" s="189" t="s">
        <v>862</v>
      </c>
      <c r="D153" s="209" t="str">
        <f t="shared" si="1"/>
        <v>PIXEL: Adaptive Steering Via Position-wise Injection with eXact Estimated Levels under a Subspace Calibration
Manjiang Yu, Hongji Li, Priyanka Singh, Xue Li, Di Wang and
Lijie Hu
</v>
      </c>
      <c r="E153" s="209" t="str">
        <f>IFERROR(__xludf.DUMMYFUNCTION("TEXTJOIN(CHAR(10), TRUE,FILTER('Research Papers'!$C:$C,'Research Papers'!$A:$A=C153))"),"Manjiang Yu, Hongji Li, Priyanka Singh, Xue Li, Di Wang and
Lijie Hu")</f>
        <v>Manjiang Yu, Hongji Li, Priyanka Singh, Xue Li, Di Wang and
Lijie Hu</v>
      </c>
      <c r="F153" s="209" t="str">
        <f>IFERROR(__xludf.DUMMYFUNCTION("TEXTJOIN(CHAR(10), TRUE,FILTER ('Sheridan Main'!E:E,'Sheridan Main'!B:B=C153))"),"lijie.hu@mbzuai.ac.ae")</f>
        <v>lijie.hu@mbzuai.ac.ae</v>
      </c>
      <c r="G153" s="210" t="str">
        <f>IFERROR(__xludf.DUMMYFUNCTION("CONCATENATE(""https://dl.acm.org/doi/"",INDEX(FILTER('Sheridan Main'!A:A,'Sheridan Main'!B:B=C153),1))"),"https://dl.acm.org/doi/10.1145/3774904.3792273")</f>
        <v>https://dl.acm.org/doi/10.1145/3774904.3792273</v>
      </c>
      <c r="H153" s="189" t="s">
        <v>2849</v>
      </c>
      <c r="I153" s="189" t="s">
        <v>2886</v>
      </c>
      <c r="J153" s="209"/>
      <c r="K153" s="147"/>
      <c r="L153" s="147"/>
      <c r="M153" s="209"/>
      <c r="N153" s="209"/>
      <c r="O153" s="209"/>
      <c r="P153" s="209"/>
      <c r="Q153" s="209"/>
      <c r="R153" s="209"/>
      <c r="S153" s="209"/>
      <c r="T153" s="209"/>
      <c r="U153" s="209"/>
      <c r="V153" s="209"/>
      <c r="W153" s="209"/>
      <c r="X153" s="209"/>
      <c r="Y153" s="209"/>
      <c r="Z153" s="209"/>
      <c r="AA153" s="209"/>
      <c r="AB153" s="209"/>
      <c r="AC153" s="209"/>
      <c r="AD153" s="209"/>
      <c r="AE153" s="209"/>
    </row>
    <row r="154">
      <c r="A154" s="208" t="s">
        <v>2885</v>
      </c>
      <c r="B154" s="189" t="str">
        <f>IFERROR(__xludf.DUMMYFUNCTION("FILTER ('Research Papers'!D:D,'Research Papers'!A:A=C154)"),"Doxing-as-a-Service: Demystifying the Chinese Online Doxing Ecosystem")</f>
        <v>Doxing-as-a-Service: Demystifying the Chinese Online Doxing Ecosystem</v>
      </c>
      <c r="C154" s="189" t="s">
        <v>908</v>
      </c>
      <c r="D154" s="209" t="str">
        <f t="shared" si="1"/>
        <v>Doxing-as-a-Service: Demystifying the Chinese Online Doxing Ecosystem
Yiran Gao, Pengcheng Xia, Liu Wang, Tianming Liu and Haoyu
Wang
</v>
      </c>
      <c r="E154" s="209" t="str">
        <f>IFERROR(__xludf.DUMMYFUNCTION("TEXTJOIN(CHAR(10), TRUE,FILTER('Research Papers'!$C:$C,'Research Papers'!$A:$A=C154))"),"Yiran Gao, Pengcheng Xia, Liu Wang, Tianming Liu and Haoyu
Wang")</f>
        <v>Yiran Gao, Pengcheng Xia, Liu Wang, Tianming Liu and Haoyu
Wang</v>
      </c>
      <c r="F154" s="209" t="str">
        <f>IFERROR(__xludf.DUMMYFUNCTION("TEXTJOIN(CHAR(10), TRUE,FILTER ('Sheridan Main'!E:E,'Sheridan Main'!B:B=C154))"),"tmliu@hust.edu.cn")</f>
        <v>tmliu@hust.edu.cn</v>
      </c>
      <c r="G154" s="210" t="str">
        <f>IFERROR(__xludf.DUMMYFUNCTION("CONCATENATE(""https://dl.acm.org/doi/"",INDEX(FILTER('Sheridan Main'!A:A,'Sheridan Main'!B:B=C154),1))"),"https://dl.acm.org/doi/10.1145/3774904.3792296")</f>
        <v>https://dl.acm.org/doi/10.1145/3774904.3792296</v>
      </c>
      <c r="H154" s="189" t="s">
        <v>2849</v>
      </c>
      <c r="I154" s="189" t="s">
        <v>2886</v>
      </c>
      <c r="J154" s="209"/>
      <c r="K154" s="147"/>
      <c r="L154" s="147"/>
      <c r="M154" s="209"/>
      <c r="N154" s="209"/>
      <c r="O154" s="209"/>
      <c r="P154" s="209"/>
      <c r="Q154" s="209"/>
      <c r="R154" s="209"/>
      <c r="S154" s="209"/>
      <c r="T154" s="209"/>
      <c r="U154" s="209"/>
      <c r="V154" s="209"/>
      <c r="W154" s="209"/>
      <c r="X154" s="209"/>
      <c r="Y154" s="209"/>
      <c r="Z154" s="209"/>
      <c r="AA154" s="209"/>
      <c r="AB154" s="209"/>
      <c r="AC154" s="209"/>
      <c r="AD154" s="209"/>
      <c r="AE154" s="209"/>
    </row>
    <row r="155">
      <c r="A155" s="208" t="s">
        <v>2885</v>
      </c>
      <c r="B155" s="189" t="str">
        <f>IFERROR(__xludf.DUMMYFUNCTION("FILTER ('Research Papers'!D:D,'Research Papers'!A:A=C155)"),"From Navigation to Intention: Reframing the Web Experience through Goal-Driven Interfaces")</f>
        <v>From Navigation to Intention: Reframing the Web Experience through Goal-Driven Interfaces</v>
      </c>
      <c r="C155" s="189" t="s">
        <v>1274</v>
      </c>
      <c r="D155" s="209" t="str">
        <f t="shared" si="1"/>
        <v>From Navigation to Intention: Reframing the Web Experience through Goal-Driven Interfaces
Luca Cordioli and Maristella Matera
</v>
      </c>
      <c r="E155" s="209" t="str">
        <f>IFERROR(__xludf.DUMMYFUNCTION("TEXTJOIN(CHAR(10), TRUE,FILTER('Research Papers'!$C:$C,'Research Papers'!$A:$A=C155))"),"Luca Cordioli and Maristella Matera")</f>
        <v>Luca Cordioli and Maristella Matera</v>
      </c>
      <c r="F155" s="209" t="str">
        <f>IFERROR(__xludf.DUMMYFUNCTION("TEXTJOIN(CHAR(10), TRUE,FILTER ('Sheridan Main'!E:E,'Sheridan Main'!B:B=C155))"),"luca.cordioli@polimi.it")</f>
        <v>luca.cordioli@polimi.it</v>
      </c>
      <c r="G155" s="210" t="str">
        <f>IFERROR(__xludf.DUMMYFUNCTION("CONCATENATE(""https://dl.acm.org/doi/"",INDEX(FILTER('Sheridan Main'!A:A,'Sheridan Main'!B:B=C155),1))"),"https://dl.acm.org/doi/10.1145/3774904.3792479")</f>
        <v>https://dl.acm.org/doi/10.1145/3774904.3792479</v>
      </c>
      <c r="H155" s="189" t="s">
        <v>2849</v>
      </c>
      <c r="I155" s="189" t="s">
        <v>2886</v>
      </c>
      <c r="J155" s="209"/>
      <c r="K155" s="147"/>
      <c r="L155" s="147"/>
      <c r="M155" s="209"/>
      <c r="N155" s="209"/>
      <c r="O155" s="209"/>
      <c r="P155" s="209"/>
      <c r="Q155" s="209"/>
      <c r="R155" s="209"/>
      <c r="S155" s="209"/>
      <c r="T155" s="209"/>
      <c r="U155" s="209"/>
      <c r="V155" s="209"/>
      <c r="W155" s="209"/>
      <c r="X155" s="209"/>
      <c r="Y155" s="209"/>
      <c r="Z155" s="209"/>
      <c r="AA155" s="209"/>
      <c r="AB155" s="209"/>
      <c r="AC155" s="209"/>
      <c r="AD155" s="209"/>
      <c r="AE155" s="209"/>
    </row>
    <row r="156">
      <c r="A156" s="208" t="s">
        <v>2885</v>
      </c>
      <c r="B156" s="189" t="str">
        <f>IFERROR(__xludf.DUMMYFUNCTION("FILTER ('Research Papers'!D:D,'Research Papers'!A:A=C156)"),"Read as You See: Guiding Unimodal LLMs for Low-Resource Explainable Harmful Meme Detection")</f>
        <v>Read as You See: Guiding Unimodal LLMs for Low-Resource Explainable Harmful Meme Detection</v>
      </c>
      <c r="C156" s="189" t="s">
        <v>1456</v>
      </c>
      <c r="D156" s="209" t="str">
        <f t="shared" si="1"/>
        <v>Read as You See: Guiding Unimodal LLMs for Low-Resource Explainable Harmful Meme Detection
Fengjun Pan, Xiaobao Wu, Tho Quan and Anh Tuan Luu
</v>
      </c>
      <c r="E156" s="209" t="str">
        <f>IFERROR(__xludf.DUMMYFUNCTION("TEXTJOIN(CHAR(10), TRUE,FILTER('Research Papers'!$C:$C,'Research Papers'!$A:$A=C156))"),"Fengjun Pan, Xiaobao Wu, Tho Quan and Anh Tuan Luu")</f>
        <v>Fengjun Pan, Xiaobao Wu, Tho Quan and Anh Tuan Luu</v>
      </c>
      <c r="F156" s="209" t="str">
        <f>IFERROR(__xludf.DUMMYFUNCTION("TEXTJOIN(CHAR(10), TRUE,FILTER ('Sheridan Main'!E:E,'Sheridan Main'!B:B=C156))"),"fengjun001@e.ntu.edu.sg")</f>
        <v>fengjun001@e.ntu.edu.sg</v>
      </c>
      <c r="G156" s="210" t="str">
        <f>IFERROR(__xludf.DUMMYFUNCTION("CONCATENATE(""https://dl.acm.org/doi/"",INDEX(FILTER('Sheridan Main'!A:A,'Sheridan Main'!B:B=C156),1))"),"https://dl.acm.org/doi/10.1145/3774904.3792570")</f>
        <v>https://dl.acm.org/doi/10.1145/3774904.3792570</v>
      </c>
      <c r="H156" s="189" t="s">
        <v>2849</v>
      </c>
      <c r="I156" s="189" t="s">
        <v>2886</v>
      </c>
      <c r="J156" s="209"/>
      <c r="K156" s="147"/>
      <c r="L156" s="147"/>
      <c r="M156" s="209"/>
      <c r="N156" s="209"/>
      <c r="O156" s="209"/>
      <c r="P156" s="209"/>
      <c r="Q156" s="209"/>
      <c r="R156" s="209"/>
      <c r="S156" s="209"/>
      <c r="T156" s="209"/>
      <c r="U156" s="209"/>
      <c r="V156" s="209"/>
      <c r="W156" s="209"/>
      <c r="X156" s="209"/>
      <c r="Y156" s="209"/>
      <c r="Z156" s="209"/>
      <c r="AA156" s="209"/>
      <c r="AB156" s="209"/>
      <c r="AC156" s="209"/>
      <c r="AD156" s="209"/>
      <c r="AE156" s="209"/>
    </row>
    <row r="157">
      <c r="A157" s="208" t="s">
        <v>2885</v>
      </c>
      <c r="B157" s="189" t="str">
        <f>IFERROR(__xludf.DUMMYFUNCTION("FILTER ('Research Papers'!D:D,'Research Papers'!A:A=C157)"),"BIND: A Bidirectionally Aligned Next-token Denoising Framework for Fast and Lightweight Deobfuscation of Harmful Web Text")</f>
        <v>BIND: A Bidirectionally Aligned Next-token Denoising Framework for Fast and Lightweight Deobfuscation of Harmful Web Text</v>
      </c>
      <c r="C157" s="189" t="s">
        <v>1508</v>
      </c>
      <c r="D157" s="209" t="str">
        <f t="shared" si="1"/>
        <v>BIND: A Bidirectionally Aligned Next-token Denoising Framework for Fast and Lightweight Deobfuscation of Harmful Web Text
Jinwoo Jung and Misuk Kim
</v>
      </c>
      <c r="E157" s="209" t="str">
        <f>IFERROR(__xludf.DUMMYFUNCTION("TEXTJOIN(CHAR(10), TRUE,FILTER('Research Papers'!$C:$C,'Research Papers'!$A:$A=C157))"),"Jinwoo Jung and Misuk Kim")</f>
        <v>Jinwoo Jung and Misuk Kim</v>
      </c>
      <c r="F157" s="209" t="str">
        <f>IFERROR(__xludf.DUMMYFUNCTION("TEXTJOIN(CHAR(10), TRUE,FILTER ('Sheridan Main'!E:E,'Sheridan Main'!B:B=C157))"),"misukkim@hanyang.ac.kr")</f>
        <v>misukkim@hanyang.ac.kr</v>
      </c>
      <c r="G157" s="210" t="str">
        <f>IFERROR(__xludf.DUMMYFUNCTION("CONCATENATE(""https://dl.acm.org/doi/"",INDEX(FILTER('Sheridan Main'!A:A,'Sheridan Main'!B:B=C157),1))"),"https://dl.acm.org/doi/10.1145/3774904.3792596")</f>
        <v>https://dl.acm.org/doi/10.1145/3774904.3792596</v>
      </c>
      <c r="H157" s="189" t="s">
        <v>2849</v>
      </c>
      <c r="I157" s="189" t="s">
        <v>2886</v>
      </c>
      <c r="J157" s="209"/>
      <c r="K157" s="147"/>
      <c r="L157" s="147"/>
      <c r="M157" s="209"/>
      <c r="N157" s="209"/>
      <c r="O157" s="209"/>
      <c r="P157" s="209"/>
      <c r="Q157" s="209"/>
      <c r="R157" s="209"/>
      <c r="S157" s="209"/>
      <c r="T157" s="209"/>
      <c r="U157" s="209"/>
      <c r="V157" s="209"/>
      <c r="W157" s="209"/>
      <c r="X157" s="209"/>
      <c r="Y157" s="209"/>
      <c r="Z157" s="209"/>
      <c r="AA157" s="209"/>
      <c r="AB157" s="209"/>
      <c r="AC157" s="209"/>
      <c r="AD157" s="209"/>
      <c r="AE157" s="209"/>
    </row>
    <row r="158">
      <c r="A158" s="208" t="s">
        <v>2885</v>
      </c>
      <c r="B158" s="189" t="str">
        <f>IFERROR(__xludf.DUMMYFUNCTION("FILTER ('Research Papers'!D:D,'Research Papers'!A:A=C158)"),"Robust Fake News Detection using Large Language Models under Adversarial Sentiment Attacks")</f>
        <v>Robust Fake News Detection using Large Language Models under Adversarial Sentiment Attacks</v>
      </c>
      <c r="C158" s="189" t="s">
        <v>1528</v>
      </c>
      <c r="D158" s="209" t="str">
        <f t="shared" si="1"/>
        <v>Robust Fake News Detection using Large Language Models under Adversarial Sentiment Attacks
Sahar Tahmasebi, Eric Müller-Budack and Ralph Ewerth
</v>
      </c>
      <c r="E158" s="209" t="str">
        <f>IFERROR(__xludf.DUMMYFUNCTION("TEXTJOIN(CHAR(10), TRUE,FILTER('Research Papers'!$C:$C,'Research Papers'!$A:$A=C158))"),"Sahar Tahmasebi, Eric Müller-Budack and Ralph Ewerth")</f>
        <v>Sahar Tahmasebi, Eric Müller-Budack and Ralph Ewerth</v>
      </c>
      <c r="F158" s="209" t="str">
        <f>IFERROR(__xludf.DUMMYFUNCTION("TEXTJOIN(CHAR(10), TRUE,FILTER ('Sheridan Main'!E:E,'Sheridan Main'!B:B=C158))"),"sahar.tahmasebi@tib.eu")</f>
        <v>sahar.tahmasebi@tib.eu</v>
      </c>
      <c r="G158" s="210" t="str">
        <f>IFERROR(__xludf.DUMMYFUNCTION("CONCATENATE(""https://dl.acm.org/doi/"",INDEX(FILTER('Sheridan Main'!A:A,'Sheridan Main'!B:B=C158),1))"),"https://dl.acm.org/doi/10.1145/3774904.3792606")</f>
        <v>https://dl.acm.org/doi/10.1145/3774904.3792606</v>
      </c>
      <c r="H158" s="189" t="s">
        <v>2849</v>
      </c>
      <c r="I158" s="189" t="s">
        <v>190</v>
      </c>
      <c r="J158" s="209"/>
      <c r="K158" s="147"/>
      <c r="L158" s="147"/>
      <c r="M158" s="209"/>
      <c r="N158" s="209"/>
      <c r="O158" s="209"/>
      <c r="P158" s="209"/>
      <c r="Q158" s="209"/>
      <c r="R158" s="209"/>
      <c r="S158" s="209"/>
      <c r="T158" s="209"/>
      <c r="U158" s="209"/>
      <c r="V158" s="209"/>
      <c r="W158" s="209"/>
      <c r="X158" s="209"/>
      <c r="Y158" s="209"/>
      <c r="Z158" s="209"/>
      <c r="AA158" s="209"/>
      <c r="AB158" s="209"/>
      <c r="AC158" s="209"/>
      <c r="AD158" s="209"/>
      <c r="AE158" s="209"/>
    </row>
    <row r="159">
      <c r="A159" s="208" t="s">
        <v>2885</v>
      </c>
      <c r="B159" s="189" t="str">
        <f>IFERROR(__xludf.DUMMYFUNCTION("FILTER ('Research Papers'!D:D,'Research Papers'!A:A=C159)"),"MultiFPT: Towards Multi-Attribute Fairness in Pre-Trained Graph Neural Networks via Prompt Tuning")</f>
        <v>MultiFPT: Towards Multi-Attribute Fairness in Pre-Trained Graph Neural Networks via Prompt Tuning</v>
      </c>
      <c r="C159" s="189" t="s">
        <v>1534</v>
      </c>
      <c r="D159" s="209" t="str">
        <f t="shared" si="1"/>
        <v>MultiFPT: Towards Multi-Attribute Fairness in Pre-Trained Graph Neural Networks via Prompt Tuning
Meng Cao, Mingcai Chen, Shuangjie Li, Hualei Yu, Shuai Feng
and Demin Gao
</v>
      </c>
      <c r="E159" s="209" t="str">
        <f>IFERROR(__xludf.DUMMYFUNCTION("TEXTJOIN(CHAR(10), TRUE,FILTER('Research Papers'!$C:$C,'Research Papers'!$A:$A=C159))"),"Meng Cao, Mingcai Chen, Shuangjie Li, Hualei Yu, Shuai Feng
and Demin Gao")</f>
        <v>Meng Cao, Mingcai Chen, Shuangjie Li, Hualei Yu, Shuai Feng
and Demin Gao</v>
      </c>
      <c r="F159" s="209" t="str">
        <f>IFERROR(__xludf.DUMMYFUNCTION("TEXTJOIN(CHAR(10), TRUE,FILTER ('Sheridan Main'!E:E,'Sheridan Main'!B:B=C159))"),"dmgao@njfu.edu.cn")</f>
        <v>dmgao@njfu.edu.cn</v>
      </c>
      <c r="G159" s="210" t="str">
        <f>IFERROR(__xludf.DUMMYFUNCTION("CONCATENATE(""https://dl.acm.org/doi/"",INDEX(FILTER('Sheridan Main'!A:A,'Sheridan Main'!B:B=C159),1))"),"https://dl.acm.org/doi/10.1145/3774904.3792609")</f>
        <v>https://dl.acm.org/doi/10.1145/3774904.3792609</v>
      </c>
      <c r="H159" s="189" t="s">
        <v>2849</v>
      </c>
      <c r="I159" s="189" t="s">
        <v>190</v>
      </c>
      <c r="J159" s="209"/>
      <c r="K159" s="147"/>
      <c r="L159" s="147"/>
      <c r="M159" s="209"/>
      <c r="N159" s="209"/>
      <c r="O159" s="209"/>
      <c r="P159" s="209"/>
      <c r="Q159" s="209"/>
      <c r="R159" s="209"/>
      <c r="S159" s="209"/>
      <c r="T159" s="209"/>
      <c r="U159" s="209"/>
      <c r="V159" s="209"/>
      <c r="W159" s="209"/>
      <c r="X159" s="209"/>
      <c r="Y159" s="209"/>
      <c r="Z159" s="209"/>
      <c r="AA159" s="209"/>
      <c r="AB159" s="209"/>
      <c r="AC159" s="209"/>
      <c r="AD159" s="209"/>
      <c r="AE159" s="209"/>
    </row>
    <row r="160">
      <c r="A160" s="208" t="s">
        <v>2885</v>
      </c>
      <c r="B160" s="189" t="str">
        <f>IFERROR(__xludf.DUMMYFUNCTION("FILTER ('Research Papers'!D:D,'Research Papers'!A:A=C160)"),"Is Contextual Advertising Safe? Analyzing Systemic Risks with Ads on YouTube")</f>
        <v>Is Contextual Advertising Safe? Analyzing Systemic Risks with Ads on YouTube</v>
      </c>
      <c r="C160" s="189" t="s">
        <v>1556</v>
      </c>
      <c r="D160" s="209" t="str">
        <f t="shared" si="1"/>
        <v>Is Contextual Advertising Safe? Analyzing Systemic Risks with Ads on YouTube
Asmaa El Fraihi, Ines Abdelaziz and Oana Goga
</v>
      </c>
      <c r="E160" s="209" t="str">
        <f>IFERROR(__xludf.DUMMYFUNCTION("TEXTJOIN(CHAR(10), TRUE,FILTER('Research Papers'!$C:$C,'Research Papers'!$A:$A=C160))"),"Asmaa El Fraihi, Ines Abdelaziz and Oana Goga")</f>
        <v>Asmaa El Fraihi, Ines Abdelaziz and Oana Goga</v>
      </c>
      <c r="F160" s="209" t="str">
        <f>IFERROR(__xludf.DUMMYFUNCTION("TEXTJOIN(CHAR(10), TRUE,FILTER ('Sheridan Main'!E:E,'Sheridan Main'!B:B=C160))"),"asmaa.el-fraihi@inria.fr")</f>
        <v>asmaa.el-fraihi@inria.fr</v>
      </c>
      <c r="G160" s="210" t="str">
        <f>IFERROR(__xludf.DUMMYFUNCTION("CONCATENATE(""https://dl.acm.org/doi/"",INDEX(FILTER('Sheridan Main'!A:A,'Sheridan Main'!B:B=C160),1))"),"https://dl.acm.org/doi/10.1145/3774904.3792620")</f>
        <v>https://dl.acm.org/doi/10.1145/3774904.3792620</v>
      </c>
      <c r="H160" s="189" t="s">
        <v>2849</v>
      </c>
      <c r="I160" s="189" t="s">
        <v>190</v>
      </c>
      <c r="J160" s="209"/>
      <c r="K160" s="147"/>
      <c r="L160" s="147"/>
      <c r="M160" s="209"/>
      <c r="N160" s="209"/>
      <c r="O160" s="209"/>
      <c r="P160" s="209"/>
      <c r="Q160" s="209"/>
      <c r="R160" s="209"/>
      <c r="S160" s="209"/>
      <c r="T160" s="209"/>
      <c r="U160" s="209"/>
      <c r="V160" s="209"/>
      <c r="W160" s="209"/>
      <c r="X160" s="209"/>
      <c r="Y160" s="209"/>
      <c r="Z160" s="209"/>
      <c r="AA160" s="209"/>
      <c r="AB160" s="209"/>
      <c r="AC160" s="209"/>
      <c r="AD160" s="209"/>
      <c r="AE160" s="209"/>
    </row>
    <row r="161">
      <c r="A161" s="208" t="s">
        <v>2885</v>
      </c>
      <c r="B161" s="189" t="str">
        <f>IFERROR(__xludf.DUMMYFUNCTION("FILTER ('Research Papers'!D:D,'Research Papers'!A:A=C161)"),"Unifying Diversity and Fairness in Re-ranking via Economic Growth Theory")</f>
        <v>Unifying Diversity and Fairness in Re-ranking via Economic Growth Theory</v>
      </c>
      <c r="C161" s="189" t="s">
        <v>1604</v>
      </c>
      <c r="D161" s="209" t="str">
        <f t="shared" si="1"/>
        <v>Unifying Diversity and Fairness in Re-ranking via Economic Growth Theory
Zhaofeng Li, Chen Xu, Xinyu Lin, Wenjie Wang and Xiaokui
Xiao
</v>
      </c>
      <c r="E161" s="209" t="str">
        <f>IFERROR(__xludf.DUMMYFUNCTION("TEXTJOIN(CHAR(10), TRUE,FILTER('Research Papers'!$C:$C,'Research Papers'!$A:$A=C161))"),"Zhaofeng Li, Chen Xu, Xinyu Lin, Wenjie Wang and Xiaokui
Xiao")</f>
        <v>Zhaofeng Li, Chen Xu, Xinyu Lin, Wenjie Wang and Xiaokui
Xiao</v>
      </c>
      <c r="F161" s="209" t="str">
        <f>IFERROR(__xludf.DUMMYFUNCTION("TEXTJOIN(CHAR(10), TRUE,FILTER ('Sheridan Main'!E:E,'Sheridan Main'!B:B=C161))"),"zhaofengli65@gmail.com")</f>
        <v>zhaofengli65@gmail.com</v>
      </c>
      <c r="G161" s="210" t="str">
        <f>IFERROR(__xludf.DUMMYFUNCTION("CONCATENATE(""https://dl.acm.org/doi/"",INDEX(FILTER('Sheridan Main'!A:A,'Sheridan Main'!B:B=C161),1))"),"https://dl.acm.org/doi/10.1145/3774904.3792644")</f>
        <v>https://dl.acm.org/doi/10.1145/3774904.3792644</v>
      </c>
      <c r="H161" s="189" t="s">
        <v>2849</v>
      </c>
      <c r="I161" s="189" t="s">
        <v>190</v>
      </c>
      <c r="J161" s="209"/>
      <c r="K161" s="147"/>
      <c r="L161" s="147"/>
      <c r="M161" s="209"/>
      <c r="N161" s="209"/>
      <c r="O161" s="209"/>
      <c r="P161" s="209"/>
      <c r="Q161" s="209"/>
      <c r="R161" s="209"/>
      <c r="S161" s="209"/>
      <c r="T161" s="209"/>
      <c r="U161" s="209"/>
      <c r="V161" s="209"/>
      <c r="W161" s="209"/>
      <c r="X161" s="209"/>
      <c r="Y161" s="209"/>
      <c r="Z161" s="209"/>
      <c r="AA161" s="209"/>
      <c r="AB161" s="209"/>
      <c r="AC161" s="209"/>
      <c r="AD161" s="209"/>
      <c r="AE161" s="209"/>
    </row>
    <row r="162">
      <c r="A162" s="208" t="s">
        <v>2885</v>
      </c>
      <c r="B162" s="189" t="str">
        <f>IFERROR(__xludf.DUMMYFUNCTION("FILTER ('Research Papers'!D:D,'Research Papers'!A:A=C162)"),"Emergence of Structural Disparities in the Web of Scientific Citations")</f>
        <v>Emergence of Structural Disparities in the Web of Scientific Citations</v>
      </c>
      <c r="C162" s="189" t="s">
        <v>1644</v>
      </c>
      <c r="D162" s="209" t="str">
        <f t="shared" si="1"/>
        <v>Emergence of Structural Disparities in the Web of Scientific Citations
Buddhika Nettasinghe, Nazanin Alipourfard, Vikram
Krishnamurthy and Kristina Lerman
</v>
      </c>
      <c r="E162" s="209" t="str">
        <f>IFERROR(__xludf.DUMMYFUNCTION("TEXTJOIN(CHAR(10), TRUE,FILTER('Research Papers'!$C:$C,'Research Papers'!$A:$A=C162))"),"Buddhika Nettasinghe, Nazanin Alipourfard, Vikram
Krishnamurthy and Kristina Lerman")</f>
        <v>Buddhika Nettasinghe, Nazanin Alipourfard, Vikram
Krishnamurthy and Kristina Lerman</v>
      </c>
      <c r="F162" s="209" t="str">
        <f>IFERROR(__xludf.DUMMYFUNCTION("TEXTJOIN(CHAR(10), TRUE,FILTER ('Sheridan Main'!E:E,'Sheridan Main'!B:B=C162))"),"buddhika-nettasinghe@uiowa.edu")</f>
        <v>buddhika-nettasinghe@uiowa.edu</v>
      </c>
      <c r="G162" s="210" t="str">
        <f>IFERROR(__xludf.DUMMYFUNCTION("CONCATENATE(""https://dl.acm.org/doi/"",INDEX(FILTER('Sheridan Main'!A:A,'Sheridan Main'!B:B=C162),1))"),"https://dl.acm.org/doi/10.1145/3774904.3792664")</f>
        <v>https://dl.acm.org/doi/10.1145/3774904.3792664</v>
      </c>
      <c r="H162" s="189" t="s">
        <v>2849</v>
      </c>
      <c r="I162" s="189" t="s">
        <v>190</v>
      </c>
      <c r="J162" s="209"/>
      <c r="K162" s="147"/>
      <c r="L162" s="147"/>
      <c r="M162" s="209"/>
      <c r="N162" s="209"/>
      <c r="O162" s="209"/>
      <c r="P162" s="209"/>
      <c r="Q162" s="209"/>
      <c r="R162" s="209"/>
      <c r="S162" s="209"/>
      <c r="T162" s="209"/>
      <c r="U162" s="209"/>
      <c r="V162" s="209"/>
      <c r="W162" s="209"/>
      <c r="X162" s="209"/>
      <c r="Y162" s="209"/>
      <c r="Z162" s="209"/>
      <c r="AA162" s="209"/>
      <c r="AB162" s="209"/>
      <c r="AC162" s="209"/>
      <c r="AD162" s="209"/>
      <c r="AE162" s="209"/>
    </row>
    <row r="163">
      <c r="A163" s="208" t="s">
        <v>2885</v>
      </c>
      <c r="B163" s="189" t="str">
        <f>IFERROR(__xludf.DUMMYFUNCTION("FILTER ('Research Papers'!D:D,'Research Papers'!A:A=C163)"),"IO-X: Detecting and Attributing Content-Duplicating Influence Operations on X (Twitter)")</f>
        <v>IO-X: Detecting and Attributing Content-Duplicating Influence Operations on X (Twitter)</v>
      </c>
      <c r="C163" s="189" t="s">
        <v>1648</v>
      </c>
      <c r="D163" s="209" t="str">
        <f t="shared" si="1"/>
        <v>IO-X: Detecting and Attributing Content-Duplicating Influence Operations on X (Twitter)
Ashfaq Ali Shafin, Md Nahid Siddique and Bogdan Carbunar
</v>
      </c>
      <c r="E163" s="209" t="str">
        <f>IFERROR(__xludf.DUMMYFUNCTION("TEXTJOIN(CHAR(10), TRUE,FILTER('Research Papers'!$C:$C,'Research Papers'!$A:$A=C163))"),"Ashfaq Ali Shafin, Md Nahid Siddique and Bogdan Carbunar")</f>
        <v>Ashfaq Ali Shafin, Md Nahid Siddique and Bogdan Carbunar</v>
      </c>
      <c r="F163" s="209" t="str">
        <f>IFERROR(__xludf.DUMMYFUNCTION("TEXTJOIN(CHAR(10), TRUE,FILTER ('Sheridan Main'!E:E,'Sheridan Main'!B:B=C163))"),"shafinashfaqali21@gmail.com")</f>
        <v>shafinashfaqali21@gmail.com</v>
      </c>
      <c r="G163" s="210" t="str">
        <f>IFERROR(__xludf.DUMMYFUNCTION("CONCATENATE(""https://dl.acm.org/doi/"",INDEX(FILTER('Sheridan Main'!A:A,'Sheridan Main'!B:B=C163),1))"),"https://dl.acm.org/doi/10.1145/3774904.3792666")</f>
        <v>https://dl.acm.org/doi/10.1145/3774904.3792666</v>
      </c>
      <c r="H163" s="189" t="s">
        <v>2849</v>
      </c>
      <c r="I163" s="189" t="s">
        <v>190</v>
      </c>
      <c r="J163" s="209"/>
      <c r="K163" s="147"/>
      <c r="L163" s="147"/>
      <c r="M163" s="209"/>
      <c r="N163" s="209"/>
      <c r="O163" s="209"/>
      <c r="P163" s="209"/>
      <c r="Q163" s="209"/>
      <c r="R163" s="209"/>
      <c r="S163" s="209"/>
      <c r="T163" s="209"/>
      <c r="U163" s="209"/>
      <c r="V163" s="209"/>
      <c r="W163" s="209"/>
      <c r="X163" s="209"/>
      <c r="Y163" s="209"/>
      <c r="Z163" s="209"/>
      <c r="AA163" s="209"/>
      <c r="AB163" s="209"/>
      <c r="AC163" s="209"/>
      <c r="AD163" s="209"/>
      <c r="AE163" s="209"/>
    </row>
    <row r="164">
      <c r="A164" s="208" t="s">
        <v>2885</v>
      </c>
      <c r="B164" s="189" t="str">
        <f>IFERROR(__xludf.DUMMYFUNCTION("FILTER ('Research Papers'!D:D,'Research Papers'!A:A=C164)"),"Characterizing Iran's Phased National Internet Shutdown in 2025: A Progressive and Distributed Action")</f>
        <v>Characterizing Iran's Phased National Internet Shutdown in 2025: A Progressive and Distributed Action</v>
      </c>
      <c r="C164" s="189" t="s">
        <v>1714</v>
      </c>
      <c r="D164" s="209" t="str">
        <f t="shared" si="1"/>
        <v>Characterizing Iran's Phased National Internet Shutdown in 2025: A Progressive and Distributed Action
Shibo Cui, Mingxuan Liu, Baojun Liu, Haixin Duan, Ruixuan
Li, Chaoyi Lu, Jin Zhang, Zhicheng Wang and Jinghua Bai
</v>
      </c>
      <c r="E164" s="209" t="str">
        <f>IFERROR(__xludf.DUMMYFUNCTION("TEXTJOIN(CHAR(10), TRUE,FILTER('Research Papers'!$C:$C,'Research Papers'!$A:$A=C164))"),"Shibo Cui, Mingxuan Liu, Baojun Liu, Haixin Duan, Ruixuan
Li, Chaoyi Lu, Jin Zhang, Zhicheng Wang and Jinghua Bai")</f>
        <v>Shibo Cui, Mingxuan Liu, Baojun Liu, Haixin Duan, Ruixuan
Li, Chaoyi Lu, Jin Zhang, Zhicheng Wang and Jinghua Bai</v>
      </c>
      <c r="F164" s="209" t="str">
        <f>IFERROR(__xludf.DUMMYFUNCTION("TEXTJOIN(CHAR(10), TRUE,FILTER ('Sheridan Main'!E:E,'Sheridan Main'!B:B=C164))"),"csb24@mails.tsinghua.edu.cn")</f>
        <v>csb24@mails.tsinghua.edu.cn</v>
      </c>
      <c r="G164" s="210" t="str">
        <f>IFERROR(__xludf.DUMMYFUNCTION("CONCATENATE(""https://dl.acm.org/doi/"",INDEX(FILTER('Sheridan Main'!A:A,'Sheridan Main'!B:B=C164),1))"),"https://dl.acm.org/doi/10.1145/3774904.3792699")</f>
        <v>https://dl.acm.org/doi/10.1145/3774904.3792699</v>
      </c>
      <c r="H164" s="189" t="s">
        <v>2849</v>
      </c>
      <c r="I164" s="189" t="s">
        <v>190</v>
      </c>
      <c r="J164" s="209"/>
      <c r="K164" s="147"/>
      <c r="L164" s="147"/>
      <c r="M164" s="209"/>
      <c r="N164" s="209"/>
      <c r="O164" s="209"/>
      <c r="P164" s="209"/>
      <c r="Q164" s="209"/>
      <c r="R164" s="209"/>
      <c r="S164" s="209"/>
      <c r="T164" s="209"/>
      <c r="U164" s="209"/>
      <c r="V164" s="209"/>
      <c r="W164" s="209"/>
      <c r="X164" s="209"/>
      <c r="Y164" s="209"/>
      <c r="Z164" s="209"/>
      <c r="AA164" s="209"/>
      <c r="AB164" s="209"/>
      <c r="AC164" s="209"/>
      <c r="AD164" s="209"/>
      <c r="AE164" s="209"/>
    </row>
    <row r="165">
      <c r="A165" s="208" t="s">
        <v>2887</v>
      </c>
      <c r="B165" s="189" t="str">
        <f>IFERROR(__xludf.DUMMYFUNCTION("FILTER ('Research Papers'!D:D,'Research Papers'!A:A=C165)"),"QuiZSF: A Retrieval-Augmented Framework for Zero-Shot Time Series Forecasting")</f>
        <v>QuiZSF: A Retrieval-Augmented Framework for Zero-Shot Time Series Forecasting</v>
      </c>
      <c r="C165" s="189" t="s">
        <v>598</v>
      </c>
      <c r="D165" s="209" t="str">
        <f t="shared" si="1"/>
        <v>QuiZSF: A Retrieval-Augmented Framework for Zero-Shot Time Series Forecasting
Shichao Ma, Zhengyang Zhou, Qihe Huang, Binwu Wang and Yang
Wang
</v>
      </c>
      <c r="E165" s="209" t="str">
        <f>IFERROR(__xludf.DUMMYFUNCTION("TEXTJOIN(CHAR(10), TRUE,FILTER('Research Papers'!$C:$C,'Research Papers'!$A:$A=C165))"),"Shichao Ma, Zhengyang Zhou, Qihe Huang, Binwu Wang and Yang
Wang")</f>
        <v>Shichao Ma, Zhengyang Zhou, Qihe Huang, Binwu Wang and Yang
Wang</v>
      </c>
      <c r="F165" s="209" t="str">
        <f>IFERROR(__xludf.DUMMYFUNCTION("TEXTJOIN(CHAR(10), TRUE,FILTER ('Sheridan Main'!E:E,'Sheridan Main'!B:B=C165))"),"zzy0929@ustc.edu.cn")</f>
        <v>zzy0929@ustc.edu.cn</v>
      </c>
      <c r="G165" s="210" t="str">
        <f>IFERROR(__xludf.DUMMYFUNCTION("CONCATENATE(""https://dl.acm.org/doi/"",INDEX(FILTER('Sheridan Main'!A:A,'Sheridan Main'!B:B=C165),1))"),"https://dl.acm.org/doi/10.1145/3774904.3792141")</f>
        <v>https://dl.acm.org/doi/10.1145/3774904.3792141</v>
      </c>
      <c r="H165" s="189" t="s">
        <v>77</v>
      </c>
      <c r="I165" s="209"/>
      <c r="J165" s="209"/>
      <c r="K165" s="147"/>
      <c r="L165" s="147"/>
      <c r="M165" s="209"/>
      <c r="N165" s="209"/>
      <c r="O165" s="209"/>
      <c r="P165" s="209"/>
      <c r="Q165" s="209"/>
      <c r="R165" s="209"/>
      <c r="S165" s="209"/>
      <c r="T165" s="209"/>
      <c r="U165" s="209"/>
      <c r="V165" s="209"/>
      <c r="W165" s="209"/>
      <c r="X165" s="209"/>
      <c r="Y165" s="209"/>
      <c r="Z165" s="209"/>
      <c r="AA165" s="209"/>
      <c r="AB165" s="209"/>
      <c r="AC165" s="209"/>
      <c r="AD165" s="209"/>
      <c r="AE165" s="209"/>
    </row>
    <row r="166">
      <c r="A166" s="208" t="s">
        <v>2887</v>
      </c>
      <c r="B166" s="189" t="str">
        <f>IFERROR(__xludf.DUMMYFUNCTION("FILTER ('Research Papers'!D:D,'Research Papers'!A:A=C166)"),"SDR-CIR: Semantic Debias Retrieval Framework for Training-Free Zero-Shot Composed Image Retrieval")</f>
        <v>SDR-CIR: Semantic Debias Retrieval Framework for Training-Free Zero-Shot Composed Image Retrieval</v>
      </c>
      <c r="C166" s="189" t="s">
        <v>994</v>
      </c>
      <c r="D166" s="209" t="str">
        <f t="shared" si="1"/>
        <v>SDR-CIR: Semantic Debias Retrieval Framework for Training-Free Zero-Shot Composed Image Retrieval
Yi Sun, Jinyu Xu, Qing Xie, Jiachen Li, Yanchun Ma and
Yongjian Liu
</v>
      </c>
      <c r="E166" s="209" t="str">
        <f>IFERROR(__xludf.DUMMYFUNCTION("TEXTJOIN(CHAR(10), TRUE,FILTER('Research Papers'!$C:$C,'Research Papers'!$A:$A=C166))"),"Yi Sun, Jinyu Xu, Qing Xie, Jiachen Li, Yanchun Ma and
Yongjian Liu")</f>
        <v>Yi Sun, Jinyu Xu, Qing Xie, Jiachen Li, Yanchun Ma and
Yongjian Liu</v>
      </c>
      <c r="F166" s="209" t="str">
        <f>IFERROR(__xludf.DUMMYFUNCTION("TEXTJOIN(CHAR(10), TRUE,FILTER ('Sheridan Main'!E:E,'Sheridan Main'!B:B=C166))"),"felixxq@whut.edu.cn")</f>
        <v>felixxq@whut.edu.cn</v>
      </c>
      <c r="G166" s="210" t="str">
        <f>IFERROR(__xludf.DUMMYFUNCTION("CONCATENATE(""https://dl.acm.org/doi/"",INDEX(FILTER('Sheridan Main'!A:A,'Sheridan Main'!B:B=C166),1))"),"https://dl.acm.org/doi/10.1145/3774904.3792339")</f>
        <v>https://dl.acm.org/doi/10.1145/3774904.3792339</v>
      </c>
      <c r="H166" s="189" t="s">
        <v>77</v>
      </c>
      <c r="I166" s="209"/>
      <c r="J166" s="209"/>
      <c r="K166" s="147"/>
      <c r="L166" s="147"/>
      <c r="M166" s="209"/>
      <c r="N166" s="209"/>
      <c r="O166" s="209"/>
      <c r="P166" s="209"/>
      <c r="Q166" s="209"/>
      <c r="R166" s="209"/>
      <c r="S166" s="209"/>
      <c r="T166" s="209"/>
      <c r="U166" s="209"/>
      <c r="V166" s="209"/>
      <c r="W166" s="209"/>
      <c r="X166" s="209"/>
      <c r="Y166" s="209"/>
      <c r="Z166" s="209"/>
      <c r="AA166" s="209"/>
      <c r="AB166" s="209"/>
      <c r="AC166" s="209"/>
      <c r="AD166" s="209"/>
      <c r="AE166" s="209"/>
    </row>
    <row r="167">
      <c r="A167" s="208" t="s">
        <v>2887</v>
      </c>
      <c r="B167" s="189" t="str">
        <f>IFERROR(__xludf.DUMMYFUNCTION("FILTER ('Research Papers'!D:D,'Research Papers'!A:A=C167)"),"FlowRAG: Continual Learning for Dynamic Retriever in Retrieval-Augmented Generation")</f>
        <v>FlowRAG: Continual Learning for Dynamic Retriever in Retrieval-Augmented Generation</v>
      </c>
      <c r="C167" s="189" t="s">
        <v>1038</v>
      </c>
      <c r="D167" s="209" t="str">
        <f t="shared" si="1"/>
        <v>FlowRAG: Continual Learning for Dynamic Retriever in Retrieval-Augmented Generation
Senlei Zhang, Tongjun Shi, Dandan Song, Luan Zhang, Shuhao
Zhang, Xiaofei Liao and Hai Jin
</v>
      </c>
      <c r="E167" s="209" t="str">
        <f>IFERROR(__xludf.DUMMYFUNCTION("TEXTJOIN(CHAR(10), TRUE,FILTER('Research Papers'!$C:$C,'Research Papers'!$A:$A=C167))"),"Senlei Zhang, Tongjun Shi, Dandan Song, Luan Zhang, Shuhao
Zhang, Xiaofei Liao and Hai Jin")</f>
        <v>Senlei Zhang, Tongjun Shi, Dandan Song, Luan Zhang, Shuhao
Zhang, Xiaofei Liao and Hai Jin</v>
      </c>
      <c r="F167" s="209" t="str">
        <f>IFERROR(__xludf.DUMMYFUNCTION("TEXTJOIN(CHAR(10), TRUE,FILTER ('Sheridan Main'!E:E,'Sheridan Main'!B:B=C167))"),"m202574111@hust.edu.cn")</f>
        <v>m202574111@hust.edu.cn</v>
      </c>
      <c r="G167" s="210" t="str">
        <f>IFERROR(__xludf.DUMMYFUNCTION("CONCATENATE(""https://dl.acm.org/doi/"",INDEX(FILTER('Sheridan Main'!A:A,'Sheridan Main'!B:B=C167),1))"),"https://dl.acm.org/doi/10.1145/3774904.3792361")</f>
        <v>https://dl.acm.org/doi/10.1145/3774904.3792361</v>
      </c>
      <c r="H167" s="189" t="s">
        <v>77</v>
      </c>
      <c r="I167" s="209"/>
      <c r="J167" s="209"/>
      <c r="K167" s="147"/>
      <c r="L167" s="147"/>
      <c r="M167" s="209"/>
      <c r="N167" s="209"/>
      <c r="O167" s="209"/>
      <c r="P167" s="209"/>
      <c r="Q167" s="209"/>
      <c r="R167" s="209"/>
      <c r="S167" s="209"/>
      <c r="T167" s="209"/>
      <c r="U167" s="209"/>
      <c r="V167" s="209"/>
      <c r="W167" s="209"/>
      <c r="X167" s="209"/>
      <c r="Y167" s="209"/>
      <c r="Z167" s="209"/>
      <c r="AA167" s="209"/>
      <c r="AB167" s="209"/>
      <c r="AC167" s="209"/>
      <c r="AD167" s="209"/>
      <c r="AE167" s="209"/>
    </row>
    <row r="168">
      <c r="A168" s="208" t="s">
        <v>2887</v>
      </c>
      <c r="B168" s="189" t="str">
        <f>IFERROR(__xludf.DUMMYFUNCTION("FILTER ('Research Papers'!D:D,'Research Papers'!A:A=C168)"),"DA-RAG: Dynamic Attributed Community Search for Retrieval-Augmented Generation")</f>
        <v>DA-RAG: Dynamic Attributed Community Search for Retrieval-Augmented Generation</v>
      </c>
      <c r="C168" s="189" t="s">
        <v>1176</v>
      </c>
      <c r="D168" s="209" t="str">
        <f t="shared" si="1"/>
        <v>DA-RAG: Dynamic Attributed Community Search for Retrieval-Augmented Generation
Xingyuan Zeng, Zuohan Wu, Yue Wang, Chen Zhang, Quanming
Yao, Libin Zheng and Jian Yin
</v>
      </c>
      <c r="E168" s="209" t="str">
        <f>IFERROR(__xludf.DUMMYFUNCTION("TEXTJOIN(CHAR(10), TRUE,FILTER('Research Papers'!$C:$C,'Research Papers'!$A:$A=C168))"),"Xingyuan Zeng, Zuohan Wu, Yue Wang, Chen Zhang, Quanming
Yao, Libin Zheng and Jian Yin")</f>
        <v>Xingyuan Zeng, Zuohan Wu, Yue Wang, Chen Zhang, Quanming
Yao, Libin Zheng and Jian Yin</v>
      </c>
      <c r="F168" s="209" t="str">
        <f>IFERROR(__xludf.DUMMYFUNCTION("TEXTJOIN(CHAR(10), TRUE,FILTER ('Sheridan Main'!E:E,'Sheridan Main'!B:B=C168))"),"zhenglb6@mail.sysu.edu.cn")</f>
        <v>zhenglb6@mail.sysu.edu.cn</v>
      </c>
      <c r="G168" s="210" t="str">
        <f>IFERROR(__xludf.DUMMYFUNCTION("CONCATENATE(""https://dl.acm.org/doi/"",INDEX(FILTER('Sheridan Main'!A:A,'Sheridan Main'!B:B=C168),1))"),"https://dl.acm.org/doi/10.1145/3774904.3792430")</f>
        <v>https://dl.acm.org/doi/10.1145/3774904.3792430</v>
      </c>
      <c r="H168" s="189" t="s">
        <v>77</v>
      </c>
      <c r="I168" s="209"/>
      <c r="J168" s="209"/>
      <c r="K168" s="147"/>
      <c r="L168" s="147"/>
      <c r="M168" s="209"/>
      <c r="N168" s="209"/>
      <c r="O168" s="209"/>
      <c r="P168" s="209"/>
      <c r="Q168" s="209"/>
      <c r="R168" s="209"/>
      <c r="S168" s="209"/>
      <c r="T168" s="209"/>
      <c r="U168" s="209"/>
      <c r="V168" s="209"/>
      <c r="W168" s="209"/>
      <c r="X168" s="209"/>
      <c r="Y168" s="209"/>
      <c r="Z168" s="209"/>
      <c r="AA168" s="209"/>
      <c r="AB168" s="209"/>
      <c r="AC168" s="209"/>
      <c r="AD168" s="209"/>
      <c r="AE168" s="209"/>
    </row>
    <row r="169">
      <c r="A169" s="208" t="s">
        <v>2887</v>
      </c>
      <c r="B169" s="189" t="str">
        <f>IFERROR(__xludf.DUMMYFUNCTION("FILTER ('Research Papers'!D:D,'Research Papers'!A:A=C169)"),"HyperRAG: Reasoning N-ary Facts over Hypergraphs for Retrieval Augmented Generation")</f>
        <v>HyperRAG: Reasoning N-ary Facts over Hypergraphs for Retrieval Augmented Generation</v>
      </c>
      <c r="C169" s="189" t="s">
        <v>1736</v>
      </c>
      <c r="D169" s="209" t="str">
        <f t="shared" si="1"/>
        <v>HyperRAG: Reasoning N-ary Facts over Hypergraphs for Retrieval Augmented Generation
Wen-Sheng Lien, Yu-Kai Chan, Hao-Lung Hsiao, Bo-Kai Ruan,
Meng-Fen Chiang, Chien-An Chen, Yi-Ren Yeh and Hong-Han
Shuai
</v>
      </c>
      <c r="E169" s="209" t="str">
        <f>IFERROR(__xludf.DUMMYFUNCTION("TEXTJOIN(CHAR(10), TRUE,FILTER('Research Papers'!$C:$C,'Research Papers'!$A:$A=C169))"),"Wen-Sheng Lien, Yu-Kai Chan, Hao-Lung Hsiao, Bo-Kai Ruan,
Meng-Fen Chiang, Chien-An Chen, Yi-Ren Yeh and Hong-Han
Shuai")</f>
        <v>Wen-Sheng Lien, Yu-Kai Chan, Hao-Lung Hsiao, Bo-Kai Ruan,
Meng-Fen Chiang, Chien-An Chen, Yi-Ren Yeh and Hong-Han
Shuai</v>
      </c>
      <c r="F169" s="209" t="str">
        <f>IFERROR(__xludf.DUMMYFUNCTION("TEXTJOIN(CHAR(10), TRUE,FILTER ('Sheridan Main'!E:E,'Sheridan Main'!B:B=C169))"),"hhshuai@nycu.edu.tw")</f>
        <v>hhshuai@nycu.edu.tw</v>
      </c>
      <c r="G169" s="210" t="str">
        <f>IFERROR(__xludf.DUMMYFUNCTION("CONCATENATE(""https://dl.acm.org/doi/"",INDEX(FILTER('Sheridan Main'!A:A,'Sheridan Main'!B:B=C169),1))"),"https://dl.acm.org/doi/10.1145/3774904.3792710")</f>
        <v>https://dl.acm.org/doi/10.1145/3774904.3792710</v>
      </c>
      <c r="H169" s="189" t="s">
        <v>77</v>
      </c>
      <c r="I169" s="209"/>
      <c r="J169" s="209"/>
      <c r="K169" s="147"/>
      <c r="L169" s="147"/>
      <c r="M169" s="209"/>
      <c r="N169" s="209"/>
      <c r="O169" s="209"/>
      <c r="P169" s="209"/>
      <c r="Q169" s="209"/>
      <c r="R169" s="209"/>
      <c r="S169" s="209"/>
      <c r="T169" s="209"/>
      <c r="U169" s="209"/>
      <c r="V169" s="209"/>
      <c r="W169" s="209"/>
      <c r="X169" s="209"/>
      <c r="Y169" s="209"/>
      <c r="Z169" s="209"/>
      <c r="AA169" s="209"/>
      <c r="AB169" s="209"/>
      <c r="AC169" s="209"/>
      <c r="AD169" s="209"/>
      <c r="AE169" s="209"/>
    </row>
    <row r="170">
      <c r="A170" s="208" t="s">
        <v>2887</v>
      </c>
      <c r="B170" s="189" t="str">
        <f>IFERROR(__xludf.DUMMYFUNCTION("FILTER ('Research Papers'!D:D,'Research Papers'!A:A=C170)"),"Difficulty-Aware Agentic Orchestration for Query-Specific Multi-Agent Workflows")</f>
        <v>Difficulty-Aware Agentic Orchestration for Query-Specific Multi-Agent Workflows</v>
      </c>
      <c r="C170" s="189" t="s">
        <v>796</v>
      </c>
      <c r="D170" s="209" t="str">
        <f t="shared" si="1"/>
        <v>Difficulty-Aware Agentic Orchestration for Query-Specific Multi-Agent Workflows
Jinwei Su, Qizhen Lan, Yinghui Xia, Lifan Sun, Weiyou Tian,
Tianyu Shi and Lewei He
</v>
      </c>
      <c r="E170" s="209" t="str">
        <f>IFERROR(__xludf.DUMMYFUNCTION("TEXTJOIN(CHAR(10), TRUE,FILTER('Research Papers'!$C:$C,'Research Papers'!$A:$A=C170))"),"Jinwei Su, Qizhen Lan, Yinghui Xia, Lifan Sun, Weiyou Tian,
Tianyu Shi and Lewei He")</f>
        <v>Jinwei Su, Qizhen Lan, Yinghui Xia, Lifan Sun, Weiyou Tian,
Tianyu Shi and Lewei He</v>
      </c>
      <c r="F170" s="209" t="str">
        <f>IFERROR(__xludf.DUMMYFUNCTION("TEXTJOIN(CHAR(10), TRUE,FILTER ('Sheridan Main'!E:E,'Sheridan Main'!B:B=C170))"),"2024024579@m.scnu.edu.cn")</f>
        <v>2024024579@m.scnu.edu.cn</v>
      </c>
      <c r="G170" s="210" t="str">
        <f>IFERROR(__xludf.DUMMYFUNCTION("CONCATENATE(""https://dl.acm.org/doi/"",INDEX(FILTER('Sheridan Main'!A:A,'Sheridan Main'!B:B=C170),1))"),"https://dl.acm.org/doi/10.1145/3774904.3792240")</f>
        <v>https://dl.acm.org/doi/10.1145/3774904.3792240</v>
      </c>
      <c r="H170" s="189" t="s">
        <v>100</v>
      </c>
      <c r="I170" s="209"/>
      <c r="J170" s="209"/>
      <c r="K170" s="147"/>
      <c r="L170" s="147"/>
      <c r="M170" s="209"/>
      <c r="N170" s="209"/>
      <c r="O170" s="209"/>
      <c r="P170" s="209"/>
      <c r="Q170" s="209"/>
      <c r="R170" s="209"/>
      <c r="S170" s="209"/>
      <c r="T170" s="209"/>
      <c r="U170" s="209"/>
      <c r="V170" s="209"/>
      <c r="W170" s="209"/>
      <c r="X170" s="209"/>
      <c r="Y170" s="209"/>
      <c r="Z170" s="209"/>
      <c r="AA170" s="209"/>
      <c r="AB170" s="209"/>
      <c r="AC170" s="209"/>
      <c r="AD170" s="209"/>
      <c r="AE170" s="209"/>
    </row>
    <row r="171">
      <c r="A171" s="208" t="s">
        <v>2887</v>
      </c>
      <c r="B171" s="189" t="str">
        <f>IFERROR(__xludf.DUMMYFUNCTION("FILTER ('Research Papers'!D:D,'Research Papers'!A:A=C171)"),"Toward Generalized Web Agent Training: A Deep Dive into Entropy-Balanced Reinforcement Learning")</f>
        <v>Toward Generalized Web Agent Training: A Deep Dive into Entropy-Balanced Reinforcement Learning</v>
      </c>
      <c r="C171" s="189" t="s">
        <v>918</v>
      </c>
      <c r="D171" s="209" t="str">
        <f t="shared" si="1"/>
        <v>Toward Generalized Web Agent Training: A Deep Dive into Entropy-Balanced Reinforcement Learning
Guanting Dong, Licheng Bao, Zhongyuan Wang, Kangzhi Zhao,
Xiaoxi Li, Jiajie Jin, Jinghan Yang, Hangyu Mao, Fuzheng
Zhang, Kun Gai, Guorui Zhou, Yutao Zhu, Ji-Rong Wen and
Zhicheng Dou
</v>
      </c>
      <c r="E171" s="209" t="str">
        <f>IFERROR(__xludf.DUMMYFUNCTION("TEXTJOIN(CHAR(10), TRUE,FILTER('Research Papers'!$C:$C,'Research Papers'!$A:$A=C171))"),"Guanting Dong, Licheng Bao, Zhongyuan Wang, Kangzhi Zhao,
Xiaoxi Li, Jiajie Jin, Jinghan Yang, Hangyu Mao, Fuzheng
Zhang, Kun Gai, Guorui Zhou, Yutao Zhu, Ji-Rong Wen and
Zhicheng Dou")</f>
        <v>Guanting Dong, Licheng Bao, Zhongyuan Wang, Kangzhi Zhao,
Xiaoxi Li, Jiajie Jin, Jinghan Yang, Hangyu Mao, Fuzheng
Zhang, Kun Gai, Guorui Zhou, Yutao Zhu, Ji-Rong Wen and
Zhicheng Dou</v>
      </c>
      <c r="F171" s="209" t="str">
        <f>IFERROR(__xludf.DUMMYFUNCTION("TEXTJOIN(CHAR(10), TRUE,FILTER ('Sheridan Main'!E:E,'Sheridan Main'!B:B=C171))"),"dou@ruc.edu.cn")</f>
        <v>dou@ruc.edu.cn</v>
      </c>
      <c r="G171" s="210" t="str">
        <f>IFERROR(__xludf.DUMMYFUNCTION("CONCATENATE(""https://dl.acm.org/doi/"",INDEX(FILTER('Sheridan Main'!A:A,'Sheridan Main'!B:B=C171),1))"),"https://dl.acm.org/doi/10.1145/3774904.3792301")</f>
        <v>https://dl.acm.org/doi/10.1145/3774904.3792301</v>
      </c>
      <c r="H171" s="189" t="s">
        <v>100</v>
      </c>
      <c r="I171" s="209"/>
      <c r="J171" s="209"/>
      <c r="K171" s="147"/>
      <c r="L171" s="147"/>
      <c r="M171" s="209"/>
      <c r="N171" s="209"/>
      <c r="O171" s="209"/>
      <c r="P171" s="209"/>
      <c r="Q171" s="209"/>
      <c r="R171" s="209"/>
      <c r="S171" s="209"/>
      <c r="T171" s="209"/>
      <c r="U171" s="209"/>
      <c r="V171" s="209"/>
      <c r="W171" s="209"/>
      <c r="X171" s="209"/>
      <c r="Y171" s="209"/>
      <c r="Z171" s="209"/>
      <c r="AA171" s="209"/>
      <c r="AB171" s="209"/>
      <c r="AC171" s="209"/>
      <c r="AD171" s="209"/>
      <c r="AE171" s="209"/>
    </row>
    <row r="172">
      <c r="A172" s="208" t="s">
        <v>2887</v>
      </c>
      <c r="B172" s="189" t="str">
        <f>IFERROR(__xludf.DUMMYFUNCTION("FILTER ('Research Papers'!D:D,'Research Papers'!A:A=C172)"),"QChunker: Learning Question-Aware Text Chunking for Domain RAG via Multi-Agent Debate")</f>
        <v>QChunker: Learning Question-Aware Text Chunking for Domain RAG via Multi-Agent Debate</v>
      </c>
      <c r="C172" s="189" t="s">
        <v>1182</v>
      </c>
      <c r="D172" s="209" t="str">
        <f t="shared" si="1"/>
        <v>QChunker: Learning Question-Aware Text Chunking for Domain RAG via Multi-Agent Debate
Jihao Zhao, Daixuan Li, Pengfei Li, Shuaishuai Zu, Biao Qin
and Hongyan Liu
</v>
      </c>
      <c r="E172" s="209" t="str">
        <f>IFERROR(__xludf.DUMMYFUNCTION("TEXTJOIN(CHAR(10), TRUE,FILTER('Research Papers'!$C:$C,'Research Papers'!$A:$A=C172))"),"Jihao Zhao, Daixuan Li, Pengfei Li, Shuaishuai Zu, Biao Qin
and Hongyan Liu")</f>
        <v>Jihao Zhao, Daixuan Li, Pengfei Li, Shuaishuai Zu, Biao Qin
and Hongyan Liu</v>
      </c>
      <c r="F172" s="209" t="str">
        <f>IFERROR(__xludf.DUMMYFUNCTION("TEXTJOIN(CHAR(10), TRUE,FILTER ('Sheridan Main'!E:E,'Sheridan Main'!B:B=C172))"),"qinbiao@ruc.edu.cn")</f>
        <v>qinbiao@ruc.edu.cn</v>
      </c>
      <c r="G172" s="210" t="str">
        <f>IFERROR(__xludf.DUMMYFUNCTION("CONCATENATE(""https://dl.acm.org/doi/"",INDEX(FILTER('Sheridan Main'!A:A,'Sheridan Main'!B:B=C172),1))"),"https://dl.acm.org/doi/10.1145/3774904.3792433")</f>
        <v>https://dl.acm.org/doi/10.1145/3774904.3792433</v>
      </c>
      <c r="H172" s="189" t="s">
        <v>100</v>
      </c>
      <c r="I172" s="209"/>
      <c r="J172" s="209"/>
      <c r="K172" s="147"/>
      <c r="L172" s="147"/>
      <c r="M172" s="209"/>
      <c r="N172" s="209"/>
      <c r="O172" s="209"/>
      <c r="P172" s="209"/>
      <c r="Q172" s="209"/>
      <c r="R172" s="209"/>
      <c r="S172" s="209"/>
      <c r="T172" s="209"/>
      <c r="U172" s="209"/>
      <c r="V172" s="209"/>
      <c r="W172" s="209"/>
      <c r="X172" s="209"/>
      <c r="Y172" s="209"/>
      <c r="Z172" s="209"/>
      <c r="AA172" s="209"/>
      <c r="AB172" s="209"/>
      <c r="AC172" s="209"/>
      <c r="AD172" s="209"/>
      <c r="AE172" s="209"/>
    </row>
    <row r="173">
      <c r="A173" s="208" t="s">
        <v>2887</v>
      </c>
      <c r="B173" s="189" t="str">
        <f>IFERROR(__xludf.DUMMYFUNCTION("FILTER ('Research Papers'!D:D,'Research Papers'!A:A=C173)"),"DeepAgent: A General Reasoning Agent with Scalable Toolsets")</f>
        <v>DeepAgent: A General Reasoning Agent with Scalable Toolsets</v>
      </c>
      <c r="C173" s="189" t="s">
        <v>1236</v>
      </c>
      <c r="D173" s="209" t="str">
        <f t="shared" si="1"/>
        <v>DeepAgent: A General Reasoning Agent with Scalable Toolsets
Xiaoxi Li, Wenxiang Jiao, Jiarui Jin, Guanting Dong, Jiajie
Jin, Yinuo Wang, Hao Wang, Yutao Zhu, Ji-Rong Wen, Yuan Lu
and Zhicheng Dou
</v>
      </c>
      <c r="E173" s="209" t="str">
        <f>IFERROR(__xludf.DUMMYFUNCTION("TEXTJOIN(CHAR(10), TRUE,FILTER('Research Papers'!$C:$C,'Research Papers'!$A:$A=C173))"),"Xiaoxi Li, Wenxiang Jiao, Jiarui Jin, Guanting Dong, Jiajie
Jin, Yinuo Wang, Hao Wang, Yutao Zhu, Ji-Rong Wen, Yuan Lu
and Zhicheng Dou")</f>
        <v>Xiaoxi Li, Wenxiang Jiao, Jiarui Jin, Guanting Dong, Jiajie
Jin, Yinuo Wang, Hao Wang, Yutao Zhu, Ji-Rong Wen, Yuan Lu
and Zhicheng Dou</v>
      </c>
      <c r="F173" s="209" t="str">
        <f>IFERROR(__xludf.DUMMYFUNCTION("TEXTJOIN(CHAR(10), TRUE,FILTER ('Sheridan Main'!E:E,'Sheridan Main'!B:B=C173))"),"dou@ruc.edu.cn")</f>
        <v>dou@ruc.edu.cn</v>
      </c>
      <c r="G173" s="210" t="str">
        <f>IFERROR(__xludf.DUMMYFUNCTION("CONCATENATE(""https://dl.acm.org/doi/"",INDEX(FILTER('Sheridan Main'!A:A,'Sheridan Main'!B:B=C173),1))"),"https://dl.acm.org/doi/10.1145/3774904.3792460")</f>
        <v>https://dl.acm.org/doi/10.1145/3774904.3792460</v>
      </c>
      <c r="H173" s="189" t="s">
        <v>100</v>
      </c>
      <c r="I173" s="209"/>
      <c r="J173" s="209"/>
      <c r="K173" s="147"/>
      <c r="L173" s="147"/>
      <c r="M173" s="209"/>
      <c r="N173" s="209"/>
      <c r="O173" s="209"/>
      <c r="P173" s="209"/>
      <c r="Q173" s="209"/>
      <c r="R173" s="209"/>
      <c r="S173" s="209"/>
      <c r="T173" s="209"/>
      <c r="U173" s="209"/>
      <c r="V173" s="209"/>
      <c r="W173" s="209"/>
      <c r="X173" s="209"/>
      <c r="Y173" s="209"/>
      <c r="Z173" s="209"/>
      <c r="AA173" s="209"/>
      <c r="AB173" s="209"/>
      <c r="AC173" s="209"/>
      <c r="AD173" s="209"/>
      <c r="AE173" s="209"/>
    </row>
    <row r="174">
      <c r="A174" s="208" t="s">
        <v>2887</v>
      </c>
      <c r="B174" s="189" t="str">
        <f>IFERROR(__xludf.DUMMYFUNCTION("FILTER ('Research Papers'!D:D,'Research Papers'!A:A=C174)"),"Reasoning by Exploration: A Unified Approach to Retrieval and Generation over Graphs")</f>
        <v>Reasoning by Exploration: A Unified Approach to Retrieval and Generation over Graphs</v>
      </c>
      <c r="C174" s="189" t="s">
        <v>1684</v>
      </c>
      <c r="D174" s="209" t="str">
        <f t="shared" si="1"/>
        <v>Reasoning by Exploration: A Unified Approach to Retrieval and Generation over Graphs
Haoyu Han, Kai Guo, Harry Shomer, Yu Wang, Yucheng Chu,
Hang Li, Li Ma and Jiliang Tang
</v>
      </c>
      <c r="E174" s="209" t="str">
        <f>IFERROR(__xludf.DUMMYFUNCTION("TEXTJOIN(CHAR(10), TRUE,FILTER('Research Papers'!$C:$C,'Research Papers'!$A:$A=C174))"),"Haoyu Han, Kai Guo, Harry Shomer, Yu Wang, Yucheng Chu,
Hang Li, Li Ma and Jiliang Tang")</f>
        <v>Haoyu Han, Kai Guo, Harry Shomer, Yu Wang, Yucheng Chu,
Hang Li, Li Ma and Jiliang Tang</v>
      </c>
      <c r="F174" s="209" t="str">
        <f>IFERROR(__xludf.DUMMYFUNCTION("TEXTJOIN(CHAR(10), TRUE,FILTER ('Sheridan Main'!E:E,'Sheridan Main'!B:B=C174))"),"hanhaoy1@msu.edu")</f>
        <v>hanhaoy1@msu.edu</v>
      </c>
      <c r="G174" s="210" t="str">
        <f>IFERROR(__xludf.DUMMYFUNCTION("CONCATENATE(""https://dl.acm.org/doi/"",INDEX(FILTER('Sheridan Main'!A:A,'Sheridan Main'!B:B=C174),1))"),"https://dl.acm.org/doi/10.1145/3774904.3792684")</f>
        <v>https://dl.acm.org/doi/10.1145/3774904.3792684</v>
      </c>
      <c r="H174" s="189" t="s">
        <v>100</v>
      </c>
      <c r="I174" s="209"/>
      <c r="J174" s="209"/>
      <c r="K174" s="147"/>
      <c r="L174" s="147"/>
      <c r="M174" s="209"/>
      <c r="N174" s="209"/>
      <c r="O174" s="209"/>
      <c r="P174" s="209"/>
      <c r="Q174" s="209"/>
      <c r="R174" s="209"/>
      <c r="S174" s="209"/>
      <c r="T174" s="209"/>
      <c r="U174" s="209"/>
      <c r="V174" s="209"/>
      <c r="W174" s="209"/>
      <c r="X174" s="209"/>
      <c r="Y174" s="209"/>
      <c r="Z174" s="209"/>
      <c r="AA174" s="209"/>
      <c r="AB174" s="209"/>
      <c r="AC174" s="209"/>
      <c r="AD174" s="209"/>
      <c r="AE174" s="209"/>
    </row>
    <row r="175">
      <c r="A175" s="208" t="s">
        <v>2887</v>
      </c>
      <c r="B175" s="189" t="str">
        <f>IFERROR(__xludf.DUMMYFUNCTION("FILTER ('Research Papers'!D:D,'Research Papers'!A:A=C175)"),"CompactRAG: Reducing LLM Calls and Token Overhead in Multi-Hop Question Answering")</f>
        <v>CompactRAG: Reducing LLM Calls and Token Overhead in Multi-Hop Question Answering</v>
      </c>
      <c r="C175" s="189" t="s">
        <v>1340</v>
      </c>
      <c r="D175" s="209" t="str">
        <f t="shared" si="1"/>
        <v>CompactRAG: Reducing LLM Calls and Token Overhead in Multi-Hop Question Answering
Hao Yang, Zhiyu Yang, Xvpeng Zhang, Wei Wei, Yunjie Zhang
and Lin Yang
</v>
      </c>
      <c r="E175" s="209" t="str">
        <f>IFERROR(__xludf.DUMMYFUNCTION("TEXTJOIN(CHAR(10), TRUE,FILTER('Research Papers'!$C:$C,'Research Papers'!$A:$A=C175))"),"Hao Yang, Zhiyu Yang, Xvpeng Zhang, Wei Wei, Yunjie Zhang
and Lin Yang")</f>
        <v>Hao Yang, Zhiyu Yang, Xvpeng Zhang, Wei Wei, Yunjie Zhang
and Lin Yang</v>
      </c>
      <c r="F175" s="209" t="str">
        <f>IFERROR(__xludf.DUMMYFUNCTION("TEXTJOIN(CHAR(10), TRUE,FILTER ('Sheridan Main'!E:E,'Sheridan Main'!B:B=C175))"),"linyang@nju.edu.cn")</f>
        <v>linyang@nju.edu.cn</v>
      </c>
      <c r="G175" s="210" t="str">
        <f>IFERROR(__xludf.DUMMYFUNCTION("CONCATENATE(""https://dl.acm.org/doi/"",INDEX(FILTER('Sheridan Main'!A:A,'Sheridan Main'!B:B=C175),1))"),"https://dl.acm.org/doi/10.1145/3774904.3792512")</f>
        <v>https://dl.acm.org/doi/10.1145/3774904.3792512</v>
      </c>
      <c r="H175" s="189" t="s">
        <v>134</v>
      </c>
      <c r="I175" s="209"/>
      <c r="J175" s="209"/>
      <c r="K175" s="147"/>
      <c r="L175" s="147"/>
      <c r="M175" s="209"/>
      <c r="N175" s="209"/>
      <c r="O175" s="209"/>
      <c r="P175" s="209"/>
      <c r="Q175" s="209"/>
      <c r="R175" s="209"/>
      <c r="S175" s="209"/>
      <c r="T175" s="209"/>
      <c r="U175" s="209"/>
      <c r="V175" s="209"/>
      <c r="W175" s="209"/>
      <c r="X175" s="209"/>
      <c r="Y175" s="209"/>
      <c r="Z175" s="209"/>
      <c r="AA175" s="209"/>
      <c r="AB175" s="209"/>
      <c r="AC175" s="209"/>
      <c r="AD175" s="209"/>
      <c r="AE175" s="209"/>
    </row>
    <row r="176">
      <c r="A176" s="208" t="s">
        <v>2887</v>
      </c>
      <c r="B176" s="189" t="str">
        <f>IFERROR(__xludf.DUMMYFUNCTION("FILTER ('Research Papers'!D:D,'Research Papers'!A:A=C176)"),"KEPo: Knowledge Evolution Poison on Graph-based Retrieval-Augmented Generation")</f>
        <v>KEPo: Knowledge Evolution Poison on Graph-based Retrieval-Augmented Generation</v>
      </c>
      <c r="C176" s="189" t="s">
        <v>1410</v>
      </c>
      <c r="D176" s="209" t="str">
        <f t="shared" si="1"/>
        <v>KEPo: Knowledge Evolution Poison on Graph-based Retrieval-Augmented Generation
Qizhi Chen, Chao Qi, Yihong Huang, Muquan Li, Rongzheng
Wang, Dongyang Zhang, Ke Qin and Shuang Liang
</v>
      </c>
      <c r="E176" s="209" t="str">
        <f>IFERROR(__xludf.DUMMYFUNCTION("TEXTJOIN(CHAR(10), TRUE,FILTER('Research Papers'!$C:$C,'Research Papers'!$A:$A=C176))"),"Qizhi Chen, Chao Qi, Yihong Huang, Muquan Li, Rongzheng
Wang, Dongyang Zhang, Ke Qin and Shuang Liang")</f>
        <v>Qizhi Chen, Chao Qi, Yihong Huang, Muquan Li, Rongzheng
Wang, Dongyang Zhang, Ke Qin and Shuang Liang</v>
      </c>
      <c r="F176" s="209" t="str">
        <f>IFERROR(__xludf.DUMMYFUNCTION("TEXTJOIN(CHAR(10), TRUE,FILTER ('Sheridan Main'!E:E,'Sheridan Main'!B:B=C176))"),"shuangliang@uestc.edu.cn")</f>
        <v>shuangliang@uestc.edu.cn</v>
      </c>
      <c r="G176" s="210" t="str">
        <f>IFERROR(__xludf.DUMMYFUNCTION("CONCATENATE(""https://dl.acm.org/doi/"",INDEX(FILTER('Sheridan Main'!A:A,'Sheridan Main'!B:B=C176),1))"),"https://dl.acm.org/doi/10.1145/3774904.3792547")</f>
        <v>https://dl.acm.org/doi/10.1145/3774904.3792547</v>
      </c>
      <c r="H176" s="189" t="s">
        <v>134</v>
      </c>
      <c r="I176" s="209"/>
      <c r="J176" s="209"/>
      <c r="K176" s="147"/>
      <c r="L176" s="147"/>
      <c r="M176" s="209"/>
      <c r="N176" s="209"/>
      <c r="O176" s="209"/>
      <c r="P176" s="209"/>
      <c r="Q176" s="209"/>
      <c r="R176" s="209"/>
      <c r="S176" s="209"/>
      <c r="T176" s="209"/>
      <c r="U176" s="209"/>
      <c r="V176" s="209"/>
      <c r="W176" s="209"/>
      <c r="X176" s="209"/>
      <c r="Y176" s="209"/>
      <c r="Z176" s="209"/>
      <c r="AA176" s="209"/>
      <c r="AB176" s="209"/>
      <c r="AC176" s="209"/>
      <c r="AD176" s="209"/>
      <c r="AE176" s="209"/>
    </row>
    <row r="177">
      <c r="A177" s="208" t="s">
        <v>2887</v>
      </c>
      <c r="B177" s="189" t="str">
        <f>IFERROR(__xludf.DUMMYFUNCTION("FILTER ('Research Papers'!D:D,'Research Papers'!A:A=C177)"),"Inferential Question Answering")</f>
        <v>Inferential Question Answering</v>
      </c>
      <c r="C177" s="189" t="s">
        <v>1622</v>
      </c>
      <c r="D177" s="209" t="str">
        <f t="shared" si="1"/>
        <v>Inferential Question Answering
Jamshid Mozafari, Hamed Zamani, Guido Zuccon and Adam Jatowt
</v>
      </c>
      <c r="E177" s="209" t="str">
        <f>IFERROR(__xludf.DUMMYFUNCTION("TEXTJOIN(CHAR(10), TRUE,FILTER('Research Papers'!$C:$C,'Research Papers'!$A:$A=C177))"),"Jamshid Mozafari, Hamed Zamani, Guido Zuccon and Adam Jatowt")</f>
        <v>Jamshid Mozafari, Hamed Zamani, Guido Zuccon and Adam Jatowt</v>
      </c>
      <c r="F177" s="209" t="str">
        <f>IFERROR(__xludf.DUMMYFUNCTION("TEXTJOIN(CHAR(10), TRUE,FILTER ('Sheridan Main'!E:E,'Sheridan Main'!B:B=C177))"),"jamshid.mozafari@uibk.ac.at")</f>
        <v>jamshid.mozafari@uibk.ac.at</v>
      </c>
      <c r="G177" s="210" t="str">
        <f>IFERROR(__xludf.DUMMYFUNCTION("CONCATENATE(""https://dl.acm.org/doi/"",INDEX(FILTER('Sheridan Main'!A:A,'Sheridan Main'!B:B=C177),1))"),"https://dl.acm.org/doi/10.1145/3774904.3792653")</f>
        <v>https://dl.acm.org/doi/10.1145/3774904.3792653</v>
      </c>
      <c r="H177" s="189" t="s">
        <v>134</v>
      </c>
      <c r="I177" s="209"/>
      <c r="J177" s="209"/>
      <c r="K177" s="147"/>
      <c r="L177" s="147"/>
      <c r="M177" s="209"/>
      <c r="N177" s="209"/>
      <c r="O177" s="209"/>
      <c r="P177" s="209"/>
      <c r="Q177" s="209"/>
      <c r="R177" s="209"/>
      <c r="S177" s="209"/>
      <c r="T177" s="209"/>
      <c r="U177" s="209"/>
      <c r="V177" s="209"/>
      <c r="W177" s="209"/>
      <c r="X177" s="209"/>
      <c r="Y177" s="209"/>
      <c r="Z177" s="209"/>
      <c r="AA177" s="209"/>
      <c r="AB177" s="209"/>
      <c r="AC177" s="209"/>
      <c r="AD177" s="209"/>
      <c r="AE177" s="209"/>
    </row>
    <row r="178">
      <c r="A178" s="208" t="s">
        <v>2887</v>
      </c>
      <c r="B178" s="189" t="str">
        <f>IFERROR(__xludf.DUMMYFUNCTION("FILTER ('Research Papers'!D:D,'Research Papers'!A:A=C178)"),"From Retrieval to Generation: Unifying External and Parametric Knowledge for Medical Question Answering")</f>
        <v>From Retrieval to Generation: Unifying External and Parametric Knowledge for Medical Question Answering</v>
      </c>
      <c r="C178" s="189" t="s">
        <v>1698</v>
      </c>
      <c r="D178" s="209" t="str">
        <f t="shared" si="1"/>
        <v>From Retrieval to Generation: Unifying External and Parametric Knowledge for Medical Question Answering
Lei Li, Xiao Zhou, Yingying Zhang and Xian Wu
</v>
      </c>
      <c r="E178" s="209" t="str">
        <f>IFERROR(__xludf.DUMMYFUNCTION("TEXTJOIN(CHAR(10), TRUE,FILTER('Research Papers'!$C:$C,'Research Papers'!$A:$A=C178))"),"Lei Li, Xiao Zhou, Yingying Zhang and Xian Wu")</f>
        <v>Lei Li, Xiao Zhou, Yingying Zhang and Xian Wu</v>
      </c>
      <c r="F178" s="209" t="str">
        <f>IFERROR(__xludf.DUMMYFUNCTION("TEXTJOIN(CHAR(10), TRUE,FILTER ('Sheridan Main'!E:E,'Sheridan Main'!B:B=C178))"),"xiaozhou@ruc.edu.cn")</f>
        <v>xiaozhou@ruc.edu.cn</v>
      </c>
      <c r="G178" s="210" t="str">
        <f>IFERROR(__xludf.DUMMYFUNCTION("CONCATENATE(""https://dl.acm.org/doi/"",INDEX(FILTER('Sheridan Main'!A:A,'Sheridan Main'!B:B=C178),1))"),"https://dl.acm.org/doi/10.1145/3774904.3792691")</f>
        <v>https://dl.acm.org/doi/10.1145/3774904.3792691</v>
      </c>
      <c r="H178" s="189" t="s">
        <v>2859</v>
      </c>
      <c r="I178" s="189" t="s">
        <v>199</v>
      </c>
      <c r="J178" s="209"/>
      <c r="K178" s="147"/>
      <c r="L178" s="147"/>
      <c r="M178" s="209"/>
      <c r="N178" s="209"/>
      <c r="O178" s="209"/>
      <c r="P178" s="209"/>
      <c r="Q178" s="209"/>
      <c r="R178" s="209"/>
      <c r="S178" s="209"/>
      <c r="T178" s="209"/>
      <c r="U178" s="209"/>
      <c r="V178" s="209"/>
      <c r="W178" s="209"/>
      <c r="X178" s="209"/>
      <c r="Y178" s="209"/>
      <c r="Z178" s="209"/>
      <c r="AA178" s="209"/>
      <c r="AB178" s="209"/>
      <c r="AC178" s="209"/>
      <c r="AD178" s="209"/>
      <c r="AE178" s="209"/>
    </row>
    <row r="179">
      <c r="A179" s="208" t="s">
        <v>2887</v>
      </c>
      <c r="B179" s="189" t="str">
        <f>IFERROR(__xludf.DUMMYFUNCTION("FILTER ('Research Papers'!D:D,'Research Papers'!A:A=C179)"),"RPO-RAG: Aligning Small LLMs with Relation-aware Preference Optimization for Knowledge Graph Question Answering")</f>
        <v>RPO-RAG: Aligning Small LLMs with Relation-aware Preference Optimization for Knowledge Graph Question Answering</v>
      </c>
      <c r="C179" s="189" t="s">
        <v>1776</v>
      </c>
      <c r="D179" s="209" t="str">
        <f t="shared" si="1"/>
        <v>RPO-RAG: Aligning Small LLMs with Relation-aware Preference Optimization for Knowledge Graph Question Answering
Kaehyun Um, Kyuhwan Yeom, Haerim Yang, Minyoung Choi,
Hyeongjun Yang and Kyong-Ho Lee
</v>
      </c>
      <c r="E179" s="209" t="str">
        <f>IFERROR(__xludf.DUMMYFUNCTION("TEXTJOIN(CHAR(10), TRUE,FILTER('Research Papers'!$C:$C,'Research Papers'!$A:$A=C179))"),"Kaehyun Um, Kyuhwan Yeom, Haerim Yang, Minyoung Choi,
Hyeongjun Yang and Kyong-Ho Lee")</f>
        <v>Kaehyun Um, Kyuhwan Yeom, Haerim Yang, Minyoung Choi,
Hyeongjun Yang and Kyong-Ho Lee</v>
      </c>
      <c r="F179" s="209" t="str">
        <f>IFERROR(__xludf.DUMMYFUNCTION("TEXTJOIN(CHAR(10), TRUE,FILTER ('Sheridan Main'!E:E,'Sheridan Main'!B:B=C179))"),"khlee89@yonsei.ac.kr")</f>
        <v>khlee89@yonsei.ac.kr</v>
      </c>
      <c r="G179" s="210" t="str">
        <f>IFERROR(__xludf.DUMMYFUNCTION("CONCATENATE(""https://dl.acm.org/doi/"",INDEX(FILTER('Sheridan Main'!A:A,'Sheridan Main'!B:B=C179),1))"),"https://dl.acm.org/doi/10.1145/3774904.3792730")</f>
        <v>https://dl.acm.org/doi/10.1145/3774904.3792730</v>
      </c>
      <c r="H179" s="189" t="s">
        <v>134</v>
      </c>
      <c r="I179" s="209"/>
      <c r="J179" s="209"/>
      <c r="K179" s="147"/>
      <c r="L179" s="147"/>
      <c r="M179" s="209"/>
      <c r="N179" s="209"/>
      <c r="O179" s="209"/>
      <c r="P179" s="209"/>
      <c r="Q179" s="209"/>
      <c r="R179" s="209"/>
      <c r="S179" s="209"/>
      <c r="T179" s="209"/>
      <c r="U179" s="209"/>
      <c r="V179" s="209"/>
      <c r="W179" s="209"/>
      <c r="X179" s="209"/>
      <c r="Y179" s="209"/>
      <c r="Z179" s="209"/>
      <c r="AA179" s="209"/>
      <c r="AB179" s="209"/>
      <c r="AC179" s="209"/>
      <c r="AD179" s="209"/>
      <c r="AE179" s="209"/>
    </row>
    <row r="180">
      <c r="A180" s="208" t="s">
        <v>2887</v>
      </c>
      <c r="B180" s="189" t="str">
        <f>IFERROR(__xludf.DUMMYFUNCTION("FILTER ('Research Papers'!D:D,'Research Papers'!A:A=C180)"),"PruneRAG: Confidence-Guided Query Decomposition Trees for Efficient Retrieval-Augmented Generation")</f>
        <v>PruneRAG: Confidence-Guided Query Decomposition Trees for Efficient Retrieval-Augmented Generation</v>
      </c>
      <c r="C180" s="189" t="s">
        <v>522</v>
      </c>
      <c r="D180" s="209" t="str">
        <f t="shared" si="1"/>
        <v>PruneRAG: Confidence-Guided Query Decomposition Trees for Efficient Retrieval-Augmented Generation
Shuguang Jiao, Xinyu Xiao, Yunfan Wei, Shuhan Qi, Chengkai
Huang, Quan Z. Michael Sheng and Lina Yao
</v>
      </c>
      <c r="E180" s="209" t="str">
        <f>IFERROR(__xludf.DUMMYFUNCTION("TEXTJOIN(CHAR(10), TRUE,FILTER('Research Papers'!$C:$C,'Research Papers'!$A:$A=C180))"),"Shuguang Jiao, Xinyu Xiao, Yunfan Wei, Shuhan Qi, Chengkai
Huang, Quan Z. Michael Sheng and Lina Yao")</f>
        <v>Shuguang Jiao, Xinyu Xiao, Yunfan Wei, Shuhan Qi, Chengkai
Huang, Quan Z. Michael Sheng and Lina Yao</v>
      </c>
      <c r="F180" s="209" t="str">
        <f>IFERROR(__xludf.DUMMYFUNCTION("TEXTJOIN(CHAR(10), TRUE,FILTER ('Sheridan Main'!E:E,'Sheridan Main'!B:B=C180))"),"chengkai.huang1@unsw.edu.au")</f>
        <v>chengkai.huang1@unsw.edu.au</v>
      </c>
      <c r="G180" s="210" t="str">
        <f>IFERROR(__xludf.DUMMYFUNCTION("CONCATENATE(""https://dl.acm.org/doi/"",INDEX(FILTER('Sheridan Main'!A:A,'Sheridan Main'!B:B=C180),1))"),"https://dl.acm.org/doi/10.1145/3774904.3792103")</f>
        <v>https://dl.acm.org/doi/10.1145/3774904.3792103</v>
      </c>
      <c r="H180" s="189" t="s">
        <v>156</v>
      </c>
      <c r="I180" s="209"/>
      <c r="J180" s="209"/>
      <c r="K180" s="147"/>
      <c r="L180" s="147"/>
      <c r="M180" s="209"/>
      <c r="N180" s="209"/>
      <c r="O180" s="209"/>
      <c r="P180" s="209"/>
      <c r="Q180" s="209"/>
      <c r="R180" s="209"/>
      <c r="S180" s="209"/>
      <c r="T180" s="209"/>
      <c r="U180" s="209"/>
      <c r="V180" s="209"/>
      <c r="W180" s="209"/>
      <c r="X180" s="209"/>
      <c r="Y180" s="209"/>
      <c r="Z180" s="209"/>
      <c r="AA180" s="209"/>
      <c r="AB180" s="209"/>
      <c r="AC180" s="209"/>
      <c r="AD180" s="209"/>
      <c r="AE180" s="209"/>
    </row>
    <row r="181">
      <c r="A181" s="208" t="s">
        <v>2887</v>
      </c>
      <c r="B181" s="189" t="str">
        <f>IFERROR(__xludf.DUMMYFUNCTION("FILTER ('Research Papers'!D:D,'Research Papers'!A:A=C181)"),"Model Editing for New Document Integration in Generative Information Retrieval")</f>
        <v>Model Editing for New Document Integration in Generative Information Retrieval</v>
      </c>
      <c r="C181" s="189" t="s">
        <v>672</v>
      </c>
      <c r="D181" s="209" t="str">
        <f t="shared" si="1"/>
        <v>Model Editing for New Document Integration in Generative Information Retrieval
Zhen Zhang, Zihan Wang, Xinyu Ma, Shuaiqiang Wang, Dawei
Yin, Xin Xin, Pengjie Ren, Maarten de Rijke and Zhaochun Ren
</v>
      </c>
      <c r="E181" s="209" t="str">
        <f>IFERROR(__xludf.DUMMYFUNCTION("TEXTJOIN(CHAR(10), TRUE,FILTER('Research Papers'!$C:$C,'Research Papers'!$A:$A=C181))"),"Zhen Zhang, Zihan Wang, Xinyu Ma, Shuaiqiang Wang, Dawei
Yin, Xin Xin, Pengjie Ren, Maarten de Rijke and Zhaochun Ren")</f>
        <v>Zhen Zhang, Zihan Wang, Xinyu Ma, Shuaiqiang Wang, Dawei
Yin, Xin Xin, Pengjie Ren, Maarten de Rijke and Zhaochun Ren</v>
      </c>
      <c r="F181" s="209" t="str">
        <f>IFERROR(__xludf.DUMMYFUNCTION("TEXTJOIN(CHAR(10), TRUE,FILTER ('Sheridan Main'!E:E,'Sheridan Main'!B:B=C181))"),"z.ren@liacs.leidenuniv.nl")</f>
        <v>z.ren@liacs.leidenuniv.nl</v>
      </c>
      <c r="G181" s="210" t="str">
        <f>IFERROR(__xludf.DUMMYFUNCTION("CONCATENATE(""https://dl.acm.org/doi/"",INDEX(FILTER('Sheridan Main'!A:A,'Sheridan Main'!B:B=C181),1))"),"https://dl.acm.org/doi/10.1145/3774904.3792178")</f>
        <v>https://dl.acm.org/doi/10.1145/3774904.3792178</v>
      </c>
      <c r="H181" s="189" t="s">
        <v>156</v>
      </c>
      <c r="I181" s="209"/>
      <c r="J181" s="209"/>
      <c r="K181" s="147"/>
      <c r="L181" s="147"/>
      <c r="M181" s="209"/>
      <c r="N181" s="209"/>
      <c r="O181" s="209"/>
      <c r="P181" s="209"/>
      <c r="Q181" s="209"/>
      <c r="R181" s="209"/>
      <c r="S181" s="209"/>
      <c r="T181" s="209"/>
      <c r="U181" s="209"/>
      <c r="V181" s="209"/>
      <c r="W181" s="209"/>
      <c r="X181" s="209"/>
      <c r="Y181" s="209"/>
      <c r="Z181" s="209"/>
      <c r="AA181" s="209"/>
      <c r="AB181" s="209"/>
      <c r="AC181" s="209"/>
      <c r="AD181" s="209"/>
      <c r="AE181" s="209"/>
    </row>
    <row r="182">
      <c r="A182" s="208" t="s">
        <v>2887</v>
      </c>
      <c r="B182" s="189" t="str">
        <f>IFERROR(__xludf.DUMMYFUNCTION("FILTER ('Research Papers'!D:D,'Research Papers'!A:A=C182)"),"DMAP: Human-Aligned Structural Document Map for Multimodal Document Understanding")</f>
        <v>DMAP: Human-Aligned Structural Document Map for Multimodal Document Understanding</v>
      </c>
      <c r="C182" s="189" t="s">
        <v>774</v>
      </c>
      <c r="D182" s="209" t="str">
        <f t="shared" si="1"/>
        <v>DMAP: Human-Aligned Structural Document Map for Multimodal Document Understanding
Shunliang Fu, Yanxin Zhang, Yixin Xiang, Xiaoyu Du and
Jinhui Tang
</v>
      </c>
      <c r="E182" s="209" t="str">
        <f>IFERROR(__xludf.DUMMYFUNCTION("TEXTJOIN(CHAR(10), TRUE,FILTER('Research Papers'!$C:$C,'Research Papers'!$A:$A=C182))"),"Shunliang Fu, Yanxin Zhang, Yixin Xiang, Xiaoyu Du and
Jinhui Tang")</f>
        <v>Shunliang Fu, Yanxin Zhang, Yixin Xiang, Xiaoyu Du and
Jinhui Tang</v>
      </c>
      <c r="F182" s="209" t="str">
        <f>IFERROR(__xludf.DUMMYFUNCTION("TEXTJOIN(CHAR(10), TRUE,FILTER ('Sheridan Main'!E:E,'Sheridan Main'!B:B=C182))"),"duxy@njust.edu.cn")</f>
        <v>duxy@njust.edu.cn</v>
      </c>
      <c r="G182" s="210" t="str">
        <f>IFERROR(__xludf.DUMMYFUNCTION("CONCATENATE(""https://dl.acm.org/doi/"",INDEX(FILTER('Sheridan Main'!A:A,'Sheridan Main'!B:B=C182),1))"),"https://dl.acm.org/doi/10.1145/3774904.3792229")</f>
        <v>https://dl.acm.org/doi/10.1145/3774904.3792229</v>
      </c>
      <c r="H182" s="189" t="s">
        <v>156</v>
      </c>
      <c r="I182" s="209"/>
      <c r="J182" s="209"/>
      <c r="K182" s="147"/>
      <c r="L182" s="147"/>
      <c r="M182" s="209"/>
      <c r="N182" s="209"/>
      <c r="O182" s="209"/>
      <c r="P182" s="209"/>
      <c r="Q182" s="209"/>
      <c r="R182" s="209"/>
      <c r="S182" s="209"/>
      <c r="T182" s="209"/>
      <c r="U182" s="209"/>
      <c r="V182" s="209"/>
      <c r="W182" s="209"/>
      <c r="X182" s="209"/>
      <c r="Y182" s="209"/>
      <c r="Z182" s="209"/>
      <c r="AA182" s="209"/>
      <c r="AB182" s="209"/>
      <c r="AC182" s="209"/>
      <c r="AD182" s="209"/>
      <c r="AE182" s="209"/>
    </row>
    <row r="183">
      <c r="A183" s="208" t="s">
        <v>2887</v>
      </c>
      <c r="B183" s="189" t="str">
        <f>IFERROR(__xludf.DUMMYFUNCTION("FILTER ('Research Papers'!D:D,'Research Papers'!A:A=C183)"),"Evidential Matching, Uncertainty Calibration: Towards Robust Composed Video Retrieval with Noisy Triplets")</f>
        <v>Evidential Matching, Uncertainty Calibration: Towards Robust Composed Video Retrieval with Noisy Triplets</v>
      </c>
      <c r="C183" s="189" t="s">
        <v>1598</v>
      </c>
      <c r="D183" s="209" t="str">
        <f t="shared" si="1"/>
        <v>Evidential Matching, Uncertainty Calibration: Towards Robust Composed Video Retrieval with Noisy Triplets
Zhangtao Cheng, Bozhu Zheng, Ting Zhong and Fan Zhou
</v>
      </c>
      <c r="E183" s="209" t="str">
        <f>IFERROR(__xludf.DUMMYFUNCTION("TEXTJOIN(CHAR(10), TRUE,FILTER('Research Papers'!$C:$C,'Research Papers'!$A:$A=C183))"),"Zhangtao Cheng, Bozhu Zheng, Ting Zhong and Fan Zhou")</f>
        <v>Zhangtao Cheng, Bozhu Zheng, Ting Zhong and Fan Zhou</v>
      </c>
      <c r="F183" s="209" t="str">
        <f>IFERROR(__xludf.DUMMYFUNCTION("TEXTJOIN(CHAR(10), TRUE,FILTER ('Sheridan Main'!E:E,'Sheridan Main'!B:B=C183))"),"fan.zhou@uestc.edu.cn")</f>
        <v>fan.zhou@uestc.edu.cn</v>
      </c>
      <c r="G183" s="210" t="str">
        <f>IFERROR(__xludf.DUMMYFUNCTION("CONCATENATE(""https://dl.acm.org/doi/"",INDEX(FILTER('Sheridan Main'!A:A,'Sheridan Main'!B:B=C183),1))"),"https://dl.acm.org/doi/10.1145/3774904.3792641")</f>
        <v>https://dl.acm.org/doi/10.1145/3774904.3792641</v>
      </c>
      <c r="H183" s="189" t="s">
        <v>156</v>
      </c>
      <c r="I183" s="209"/>
      <c r="J183" s="209"/>
      <c r="K183" s="147"/>
      <c r="L183" s="147"/>
      <c r="M183" s="209"/>
      <c r="N183" s="209"/>
      <c r="O183" s="209"/>
      <c r="P183" s="209"/>
      <c r="Q183" s="209"/>
      <c r="R183" s="209"/>
      <c r="S183" s="209"/>
      <c r="T183" s="209"/>
      <c r="U183" s="209"/>
      <c r="V183" s="209"/>
      <c r="W183" s="209"/>
      <c r="X183" s="209"/>
      <c r="Y183" s="209"/>
      <c r="Z183" s="209"/>
      <c r="AA183" s="209"/>
      <c r="AB183" s="209"/>
      <c r="AC183" s="209"/>
      <c r="AD183" s="209"/>
      <c r="AE183" s="209"/>
    </row>
    <row r="184">
      <c r="A184" s="208" t="s">
        <v>2887</v>
      </c>
      <c r="B184" s="189" t="str">
        <f>IFERROR(__xludf.DUMMYFUNCTION("FILTER ('Research Papers'!D:D,'Research Papers'!A:A=C184)"),"PairSem: LLM-Guided Pairwise Semantic Matching for Scientific Document Retrieval")</f>
        <v>PairSem: LLM-Guided Pairwise Semantic Matching for Scientific Document Retrieval</v>
      </c>
      <c r="C184" s="189" t="s">
        <v>1630</v>
      </c>
      <c r="D184" s="209" t="str">
        <f t="shared" si="1"/>
        <v>PairSem: LLM-Guided Pairwise Semantic Matching for Scientific Document Retrieval
Wonbin Kweon, Runchu Tian, Seongku Kang, Pengcheng Jiang,
Zhiyong Lu, Jiawei Han and Hwanjo Yu
</v>
      </c>
      <c r="E184" s="209" t="str">
        <f>IFERROR(__xludf.DUMMYFUNCTION("TEXTJOIN(CHAR(10), TRUE,FILTER('Research Papers'!$C:$C,'Research Papers'!$A:$A=C184))"),"Wonbin Kweon, Runchu Tian, Seongku Kang, Pengcheng Jiang,
Zhiyong Lu, Jiawei Han and Hwanjo Yu")</f>
        <v>Wonbin Kweon, Runchu Tian, Seongku Kang, Pengcheng Jiang,
Zhiyong Lu, Jiawei Han and Hwanjo Yu</v>
      </c>
      <c r="F184" s="209" t="str">
        <f>IFERROR(__xludf.DUMMYFUNCTION("TEXTJOIN(CHAR(10), TRUE,FILTER ('Sheridan Main'!E:E,'Sheridan Main'!B:B=C184))"),"wonbin@illinois.edu")</f>
        <v>wonbin@illinois.edu</v>
      </c>
      <c r="G184" s="210" t="str">
        <f>IFERROR(__xludf.DUMMYFUNCTION("CONCATENATE(""https://dl.acm.org/doi/"",INDEX(FILTER('Sheridan Main'!A:A,'Sheridan Main'!B:B=C184),1))"),"https://dl.acm.org/doi/10.1145/3774904.3792657")</f>
        <v>https://dl.acm.org/doi/10.1145/3774904.3792657</v>
      </c>
      <c r="H184" s="189" t="s">
        <v>156</v>
      </c>
      <c r="I184" s="209"/>
      <c r="J184" s="209"/>
      <c r="K184" s="147"/>
      <c r="L184" s="147"/>
      <c r="M184" s="209"/>
      <c r="N184" s="209"/>
      <c r="O184" s="209"/>
      <c r="P184" s="209"/>
      <c r="Q184" s="209"/>
      <c r="R184" s="209"/>
      <c r="S184" s="209"/>
      <c r="T184" s="209"/>
      <c r="U184" s="209"/>
      <c r="V184" s="209"/>
      <c r="W184" s="209"/>
      <c r="X184" s="209"/>
      <c r="Y184" s="209"/>
      <c r="Z184" s="209"/>
      <c r="AA184" s="209"/>
      <c r="AB184" s="209"/>
      <c r="AC184" s="209"/>
      <c r="AD184" s="209"/>
      <c r="AE184" s="209"/>
    </row>
    <row r="185">
      <c r="A185" s="208" t="s">
        <v>2887</v>
      </c>
      <c r="B185" s="189" t="str">
        <f>IFERROR(__xludf.DUMMYFUNCTION("FILTER ('Research Papers'!D:D,'Research Papers'!A:A=C185)"),"LoVR: A Benchmark for Long Video Retrieval in Multimodal Contexts")</f>
        <v>LoVR: A Benchmark for Long Video Retrieval in Multimodal Contexts</v>
      </c>
      <c r="C185" s="189" t="s">
        <v>514</v>
      </c>
      <c r="D185" s="209" t="str">
        <f t="shared" si="1"/>
        <v>LoVR: A Benchmark for Long Video Retrieval in Multimodal Contexts
Hao Liang, Qifeng Cai, Zhaoyang Han, Hejun Dong, Meiyi
Qiang, Ruichuan An, Quanqing Xu, Bin Cui and Wentao Zhang
</v>
      </c>
      <c r="E185" s="209" t="str">
        <f>IFERROR(__xludf.DUMMYFUNCTION("TEXTJOIN(CHAR(10), TRUE,FILTER('Research Papers'!$C:$C,'Research Papers'!$A:$A=C185))"),"Hao Liang, Qifeng Cai, Zhaoyang Han, Hejun Dong, Meiyi
Qiang, Ruichuan An, Quanqing Xu, Bin Cui and Wentao Zhang")</f>
        <v>Hao Liang, Qifeng Cai, Zhaoyang Han, Hejun Dong, Meiyi
Qiang, Ruichuan An, Quanqing Xu, Bin Cui and Wentao Zhang</v>
      </c>
      <c r="F185" s="209" t="str">
        <f>IFERROR(__xludf.DUMMYFUNCTION("TEXTJOIN(CHAR(10), TRUE,FILTER ('Sheridan Main'!E:E,'Sheridan Main'!B:B=C185))"),"hao.liang@stu.pku.edu.cn")</f>
        <v>hao.liang@stu.pku.edu.cn</v>
      </c>
      <c r="G185" s="210" t="str">
        <f>IFERROR(__xludf.DUMMYFUNCTION("CONCATENATE(""https://dl.acm.org/doi/"",INDEX(FILTER('Sheridan Main'!A:A,'Sheridan Main'!B:B=C185),1))"),"https://dl.acm.org/doi/10.1145/3774904.3792099")</f>
        <v>https://dl.acm.org/doi/10.1145/3774904.3792099</v>
      </c>
      <c r="H185" s="189" t="s">
        <v>176</v>
      </c>
      <c r="I185" s="209"/>
      <c r="J185" s="209"/>
      <c r="K185" s="147"/>
      <c r="L185" s="147"/>
      <c r="M185" s="209"/>
      <c r="N185" s="209"/>
      <c r="O185" s="209"/>
      <c r="P185" s="209"/>
      <c r="Q185" s="209"/>
      <c r="R185" s="209"/>
      <c r="S185" s="209"/>
      <c r="T185" s="209"/>
      <c r="U185" s="209"/>
      <c r="V185" s="209"/>
      <c r="W185" s="209"/>
      <c r="X185" s="209"/>
      <c r="Y185" s="209"/>
      <c r="Z185" s="209"/>
      <c r="AA185" s="209"/>
      <c r="AB185" s="209"/>
      <c r="AC185" s="209"/>
      <c r="AD185" s="209"/>
      <c r="AE185" s="209"/>
    </row>
    <row r="186">
      <c r="A186" s="208" t="s">
        <v>2887</v>
      </c>
      <c r="B186" s="189" t="str">
        <f>IFERROR(__xludf.DUMMYFUNCTION("FILTER ('Research Papers'!D:D,'Research Papers'!A:A=C186)"),"LongRanker: Efficient One-Pass Document Reranking with Long-Context Large Language Models")</f>
        <v>LongRanker: Efficient One-Pass Document Reranking with Long-Context Large Language Models</v>
      </c>
      <c r="C186" s="189" t="s">
        <v>674</v>
      </c>
      <c r="D186" s="209" t="str">
        <f t="shared" si="1"/>
        <v>LongRanker: Efficient One-Pass Document Reranking with Long-Context Large Language Models
Changjiang Zhou, Ruqing Zhang, Jiafeng Guo, Maarten de
Rijke, Fan Yixing and Xueqi Cheng
</v>
      </c>
      <c r="E186" s="209" t="str">
        <f>IFERROR(__xludf.DUMMYFUNCTION("TEXTJOIN(CHAR(10), TRUE,FILTER('Research Papers'!$C:$C,'Research Papers'!$A:$A=C186))"),"Changjiang Zhou, Ruqing Zhang, Jiafeng Guo, Maarten de
Rijke, Fan Yixing and Xueqi Cheng")</f>
        <v>Changjiang Zhou, Ruqing Zhang, Jiafeng Guo, Maarten de
Rijke, Fan Yixing and Xueqi Cheng</v>
      </c>
      <c r="F186" s="209" t="str">
        <f>IFERROR(__xludf.DUMMYFUNCTION("TEXTJOIN(CHAR(10), TRUE,FILTER ('Sheridan Main'!E:E,'Sheridan Main'!B:B=C186))"),"zhouchangjiang23s@ict.ac.cn")</f>
        <v>zhouchangjiang23s@ict.ac.cn</v>
      </c>
      <c r="G186" s="210" t="str">
        <f>IFERROR(__xludf.DUMMYFUNCTION("CONCATENATE(""https://dl.acm.org/doi/"",INDEX(FILTER('Sheridan Main'!A:A,'Sheridan Main'!B:B=C186),1))"),"https://dl.acm.org/doi/10.1145/3774904.3792179")</f>
        <v>https://dl.acm.org/doi/10.1145/3774904.3792179</v>
      </c>
      <c r="H186" s="189" t="s">
        <v>176</v>
      </c>
      <c r="I186" s="209"/>
      <c r="J186" s="209"/>
      <c r="K186" s="147"/>
      <c r="L186" s="147"/>
      <c r="M186" s="209"/>
      <c r="N186" s="209"/>
      <c r="O186" s="209"/>
      <c r="P186" s="209"/>
      <c r="Q186" s="209"/>
      <c r="R186" s="209"/>
      <c r="S186" s="209"/>
      <c r="T186" s="209"/>
      <c r="U186" s="209"/>
      <c r="V186" s="209"/>
      <c r="W186" s="209"/>
      <c r="X186" s="209"/>
      <c r="Y186" s="209"/>
      <c r="Z186" s="209"/>
      <c r="AA186" s="209"/>
      <c r="AB186" s="209"/>
      <c r="AC186" s="209"/>
      <c r="AD186" s="209"/>
      <c r="AE186" s="209"/>
    </row>
    <row r="187">
      <c r="A187" s="208" t="s">
        <v>2887</v>
      </c>
      <c r="B187" s="189" t="str">
        <f>IFERROR(__xludf.DUMMYFUNCTION("FILTER ('Research Papers'!D:D,'Research Papers'!A:A=C187)"),"Breaking the Single-Reference-Vector Barrier in Approximate Nearest Neighbor Search")</f>
        <v>Breaking the Single-Reference-Vector Barrier in Approximate Nearest Neighbor Search</v>
      </c>
      <c r="C187" s="189" t="s">
        <v>732</v>
      </c>
      <c r="D187" s="209" t="str">
        <f t="shared" si="1"/>
        <v>Breaking the Single-Reference-Vector Barrier in Approximate Nearest Neighbor Search
Jiadong Xie, Jeffrey Liang, Siyi Teng, Jeffrey Xu Yu and
Yingfan Liu
</v>
      </c>
      <c r="E187" s="209" t="str">
        <f>IFERROR(__xludf.DUMMYFUNCTION("TEXTJOIN(CHAR(10), TRUE,FILTER('Research Papers'!$C:$C,'Research Papers'!$A:$A=C187))"),"Jiadong Xie, Jeffrey Liang, Siyi Teng, Jeffrey Xu Yu and
Yingfan Liu")</f>
        <v>Jiadong Xie, Jeffrey Liang, Siyi Teng, Jeffrey Xu Yu and
Yingfan Liu</v>
      </c>
      <c r="F187" s="209" t="str">
        <f>IFERROR(__xludf.DUMMYFUNCTION("TEXTJOIN(CHAR(10), TRUE,FILTER ('Sheridan Main'!E:E,'Sheridan Main'!B:B=C187))"),"liuyingfan@xidian.edu.cn")</f>
        <v>liuyingfan@xidian.edu.cn</v>
      </c>
      <c r="G187" s="210" t="str">
        <f>IFERROR(__xludf.DUMMYFUNCTION("CONCATENATE(""https://dl.acm.org/doi/"",INDEX(FILTER('Sheridan Main'!A:A,'Sheridan Main'!B:B=C187),1))"),"https://dl.acm.org/doi/10.1145/3774904.3792208")</f>
        <v>https://dl.acm.org/doi/10.1145/3774904.3792208</v>
      </c>
      <c r="H187" s="189" t="s">
        <v>176</v>
      </c>
      <c r="I187" s="209"/>
      <c r="J187" s="209"/>
      <c r="K187" s="147"/>
      <c r="L187" s="147"/>
      <c r="M187" s="209"/>
      <c r="N187" s="209"/>
      <c r="O187" s="209"/>
      <c r="P187" s="209"/>
      <c r="Q187" s="209"/>
      <c r="R187" s="209"/>
      <c r="S187" s="209"/>
      <c r="T187" s="209"/>
      <c r="U187" s="209"/>
      <c r="V187" s="209"/>
      <c r="W187" s="209"/>
      <c r="X187" s="209"/>
      <c r="Y187" s="209"/>
      <c r="Z187" s="209"/>
      <c r="AA187" s="209"/>
      <c r="AB187" s="209"/>
      <c r="AC187" s="209"/>
      <c r="AD187" s="209"/>
      <c r="AE187" s="209"/>
    </row>
    <row r="188">
      <c r="A188" s="208" t="s">
        <v>2887</v>
      </c>
      <c r="B188" s="189" t="str">
        <f>IFERROR(__xludf.DUMMYFUNCTION("FILTER ('Research Papers'!D:D,'Research Papers'!A:A=C188)"),"OpenDecoder: Open Large Language Model Decoding to Incorporate Document Quality in RAG")</f>
        <v>OpenDecoder: Open Large Language Model Decoding to Incorporate Document Quality in RAG</v>
      </c>
      <c r="C188" s="189" t="s">
        <v>1364</v>
      </c>
      <c r="D188" s="209" t="str">
        <f t="shared" si="1"/>
        <v>OpenDecoder: Open Large Language Model Decoding to Incorporate Document Quality in RAG
Fengran Mo, Zhan Su, Yuchen Hui, Jinghan Zhang, Jia Ao Sun,
Zheyuan Liu, Chao Zhang, Tetsuya Sakai and Jian-Yun Nie
</v>
      </c>
      <c r="E188" s="209" t="str">
        <f>IFERROR(__xludf.DUMMYFUNCTION("TEXTJOIN(CHAR(10), TRUE,FILTER('Research Papers'!$C:$C,'Research Papers'!$A:$A=C188))"),"Fengran Mo, Zhan Su, Yuchen Hui, Jinghan Zhang, Jia Ao Sun,
Zheyuan Liu, Chao Zhang, Tetsuya Sakai and Jian-Yun Nie")</f>
        <v>Fengran Mo, Zhan Su, Yuchen Hui, Jinghan Zhang, Jia Ao Sun,
Zheyuan Liu, Chao Zhang, Tetsuya Sakai and Jian-Yun Nie</v>
      </c>
      <c r="F188" s="209" t="str">
        <f>IFERROR(__xludf.DUMMYFUNCTION("TEXTJOIN(CHAR(10), TRUE,FILTER ('Sheridan Main'!E:E,'Sheridan Main'!B:B=C188))"),"fengran.mo@umontreal.ca")</f>
        <v>fengran.mo@umontreal.ca</v>
      </c>
      <c r="G188" s="210" t="str">
        <f>IFERROR(__xludf.DUMMYFUNCTION("CONCATENATE(""https://dl.acm.org/doi/"",INDEX(FILTER('Sheridan Main'!A:A,'Sheridan Main'!B:B=C188),1))"),"https://dl.acm.org/doi/10.1145/3774904.3792524")</f>
        <v>https://dl.acm.org/doi/10.1145/3774904.3792524</v>
      </c>
      <c r="H188" s="189" t="s">
        <v>176</v>
      </c>
      <c r="I188" s="209"/>
      <c r="J188" s="209"/>
      <c r="K188" s="147"/>
      <c r="L188" s="147"/>
      <c r="M188" s="209"/>
      <c r="N188" s="209"/>
      <c r="O188" s="209"/>
      <c r="P188" s="209"/>
      <c r="Q188" s="209"/>
      <c r="R188" s="209"/>
      <c r="S188" s="209"/>
      <c r="T188" s="209"/>
      <c r="U188" s="209"/>
      <c r="V188" s="209"/>
      <c r="W188" s="209"/>
      <c r="X188" s="209"/>
      <c r="Y188" s="209"/>
      <c r="Z188" s="209"/>
      <c r="AA188" s="209"/>
      <c r="AB188" s="209"/>
      <c r="AC188" s="209"/>
      <c r="AD188" s="209"/>
      <c r="AE188" s="209"/>
    </row>
    <row r="189">
      <c r="A189" s="208" t="s">
        <v>2887</v>
      </c>
      <c r="B189" s="189" t="str">
        <f>IFERROR(__xludf.DUMMYFUNCTION("FILTER ('Research Papers'!D:D,'Research Papers'!A:A=C189)"),"DocResearcher: A Unified System for Multimodal Document Parsing and Deep Research")</f>
        <v>DocResearcher: A Unified System for Multimodal Document Parsing and Deep Research</v>
      </c>
      <c r="C189" s="189" t="s">
        <v>1514</v>
      </c>
      <c r="D189" s="209" t="str">
        <f t="shared" si="1"/>
        <v>DocResearcher: A Unified System for Multimodal Document Parsing and Deep Research
Kuicai Dong, Shurui Huang, Fangda Ye, Wei Han, Zhi Zhang,
Dexun Li, Wenjun Li, Qu Yang, Gang Wang, Yichao Wang, Chen
Zhang and Yong Liu
</v>
      </c>
      <c r="E189" s="209" t="str">
        <f>IFERROR(__xludf.DUMMYFUNCTION("TEXTJOIN(CHAR(10), TRUE,FILTER('Research Papers'!$C:$C,'Research Papers'!$A:$A=C189))"),"Kuicai Dong, Shurui Huang, Fangda Ye, Wei Han, Zhi Zhang,
Dexun Li, Wenjun Li, Qu Yang, Gang Wang, Yichao Wang, Chen
Zhang and Yong Liu")</f>
        <v>Kuicai Dong, Shurui Huang, Fangda Ye, Wei Han, Zhi Zhang,
Dexun Li, Wenjun Li, Qu Yang, Gang Wang, Yichao Wang, Chen
Zhang and Yong Liu</v>
      </c>
      <c r="F189" s="209" t="str">
        <f>IFERROR(__xludf.DUMMYFUNCTION("TEXTJOIN(CHAR(10), TRUE,FILTER ('Sheridan Main'!E:E,'Sheridan Main'!B:B=C189))"),"kuicai001@e.ntu.edu.sg")</f>
        <v>kuicai001@e.ntu.edu.sg</v>
      </c>
      <c r="G189" s="210" t="str">
        <f>IFERROR(__xludf.DUMMYFUNCTION("CONCATENATE(""https://dl.acm.org/doi/"",INDEX(FILTER('Sheridan Main'!A:A,'Sheridan Main'!B:B=C189),1))"),"https://dl.acm.org/doi/10.1145/3774904.3792599")</f>
        <v>https://dl.acm.org/doi/10.1145/3774904.3792599</v>
      </c>
      <c r="H189" s="189" t="s">
        <v>176</v>
      </c>
      <c r="I189" s="209"/>
      <c r="J189" s="209"/>
      <c r="K189" s="147"/>
      <c r="L189" s="147"/>
      <c r="M189" s="209"/>
      <c r="N189" s="209"/>
      <c r="O189" s="209"/>
      <c r="P189" s="209"/>
      <c r="Q189" s="209"/>
      <c r="R189" s="209"/>
      <c r="S189" s="209"/>
      <c r="T189" s="209"/>
      <c r="U189" s="209"/>
      <c r="V189" s="209"/>
      <c r="W189" s="209"/>
      <c r="X189" s="209"/>
      <c r="Y189" s="209"/>
      <c r="Z189" s="209"/>
      <c r="AA189" s="209"/>
      <c r="AB189" s="209"/>
      <c r="AC189" s="209"/>
      <c r="AD189" s="209"/>
      <c r="AE189" s="209"/>
    </row>
    <row r="190">
      <c r="A190" s="208" t="s">
        <v>2887</v>
      </c>
      <c r="B190" s="189" t="str">
        <f>IFERROR(__xludf.DUMMYFUNCTION("FILTER ('Research Papers'!D:D,'Research Papers'!A:A=C190)"),"MCoT-MVS: Multi-level Vision Selection by Multi-modal Chain-of-Thought Reasoning for Composed Image Retrieval")</f>
        <v>MCoT-MVS: Multi-level Vision Selection by Multi-modal Chain-of-Thought Reasoning for Composed Image Retrieval</v>
      </c>
      <c r="C190" s="189" t="s">
        <v>890</v>
      </c>
      <c r="D190" s="209" t="str">
        <f t="shared" si="1"/>
        <v>MCoT-MVS: Multi-level Vision Selection by Multi-modal Chain-of-Thought Reasoning for Composed Image Retrieval
Xuri Ge, Chunhao Wang, Xindi Wang, Zheyun Qin, Zhumin Chen
and Xin Xin
</v>
      </c>
      <c r="E190" s="209" t="str">
        <f>IFERROR(__xludf.DUMMYFUNCTION("TEXTJOIN(CHAR(10), TRUE,FILTER('Research Papers'!$C:$C,'Research Papers'!$A:$A=C190))"),"Xuri Ge, Chunhao Wang, Xindi Wang, Zheyun Qin, Zhumin Chen
and Xin Xin")</f>
        <v>Xuri Ge, Chunhao Wang, Xindi Wang, Zheyun Qin, Zhumin Chen
and Xin Xin</v>
      </c>
      <c r="F190" s="209" t="str">
        <f>IFERROR(__xludf.DUMMYFUNCTION("TEXTJOIN(CHAR(10), TRUE,FILTER ('Sheridan Main'!E:E,'Sheridan Main'!B:B=C190))"),"xinxin@sdu.edu.cn")</f>
        <v>xinxin@sdu.edu.cn</v>
      </c>
      <c r="G190" s="210" t="str">
        <f>IFERROR(__xludf.DUMMYFUNCTION("CONCATENATE(""https://dl.acm.org/doi/"",INDEX(FILTER('Sheridan Main'!A:A,'Sheridan Main'!B:B=C190),1))"),"https://dl.acm.org/doi/10.1145/3774904.3792287")</f>
        <v>https://dl.acm.org/doi/10.1145/3774904.3792287</v>
      </c>
      <c r="H190" s="189" t="s">
        <v>202</v>
      </c>
      <c r="I190" s="209"/>
      <c r="J190" s="209"/>
      <c r="K190" s="147"/>
      <c r="L190" s="147"/>
      <c r="M190" s="209"/>
      <c r="N190" s="209"/>
      <c r="O190" s="209"/>
      <c r="P190" s="209"/>
      <c r="Q190" s="209"/>
      <c r="R190" s="209"/>
      <c r="S190" s="209"/>
      <c r="T190" s="209"/>
      <c r="U190" s="209"/>
      <c r="V190" s="209"/>
      <c r="W190" s="209"/>
      <c r="X190" s="209"/>
      <c r="Y190" s="209"/>
      <c r="Z190" s="209"/>
      <c r="AA190" s="209"/>
      <c r="AB190" s="209"/>
      <c r="AC190" s="209"/>
      <c r="AD190" s="209"/>
      <c r="AE190" s="209"/>
    </row>
    <row r="191">
      <c r="A191" s="208" t="s">
        <v>2887</v>
      </c>
      <c r="B191" s="189" t="str">
        <f>IFERROR(__xludf.DUMMYFUNCTION("FILTER ('Research Papers'!D:D,'Research Papers'!A:A=C191)"),"BANCO: Drift-Aware Batched Bandits for Adaptive Proximity Graph Pruning")</f>
        <v>BANCO: Drift-Aware Batched Bandits for Adaptive Proximity Graph Pruning</v>
      </c>
      <c r="C191" s="189" t="s">
        <v>1108</v>
      </c>
      <c r="D191" s="209" t="str">
        <f t="shared" si="1"/>
        <v>BANCO: Drift-Aware Batched Bandits for Adaptive Proximity Graph Pruning
Jin Cheng, Xiangxiang Dai, Ningning Ding, John C.S. Lui and
Jianwei Huang
</v>
      </c>
      <c r="E191" s="209" t="str">
        <f>IFERROR(__xludf.DUMMYFUNCTION("TEXTJOIN(CHAR(10), TRUE,FILTER('Research Papers'!$C:$C,'Research Papers'!$A:$A=C191))"),"Jin Cheng, Xiangxiang Dai, Ningning Ding, John C.S. Lui and
Jianwei Huang")</f>
        <v>Jin Cheng, Xiangxiang Dai, Ningning Ding, John C.S. Lui and
Jianwei Huang</v>
      </c>
      <c r="F191" s="209" t="str">
        <f>IFERROR(__xludf.DUMMYFUNCTION("TEXTJOIN(CHAR(10), TRUE,FILTER ('Sheridan Main'!E:E,'Sheridan Main'!B:B=C191))"),"jincheng2@link.cuhk.edu.cn")</f>
        <v>jincheng2@link.cuhk.edu.cn</v>
      </c>
      <c r="G191" s="210" t="str">
        <f>IFERROR(__xludf.DUMMYFUNCTION("CONCATENATE(""https://dl.acm.org/doi/"",INDEX(FILTER('Sheridan Main'!A:A,'Sheridan Main'!B:B=C191),1))"),"https://dl.acm.org/doi/10.1145/3774904.3792396")</f>
        <v>https://dl.acm.org/doi/10.1145/3774904.3792396</v>
      </c>
      <c r="H191" s="189" t="s">
        <v>202</v>
      </c>
      <c r="I191" s="209"/>
      <c r="J191" s="209"/>
      <c r="K191" s="147"/>
      <c r="L191" s="147"/>
      <c r="M191" s="209"/>
      <c r="N191" s="209"/>
      <c r="O191" s="209"/>
      <c r="P191" s="209"/>
      <c r="Q191" s="209"/>
      <c r="R191" s="209"/>
      <c r="S191" s="209"/>
      <c r="T191" s="209"/>
      <c r="U191" s="209"/>
      <c r="V191" s="209"/>
      <c r="W191" s="209"/>
      <c r="X191" s="209"/>
      <c r="Y191" s="209"/>
      <c r="Z191" s="209"/>
      <c r="AA191" s="209"/>
      <c r="AB191" s="209"/>
      <c r="AC191" s="209"/>
      <c r="AD191" s="209"/>
      <c r="AE191" s="209"/>
    </row>
    <row r="192">
      <c r="A192" s="208" t="s">
        <v>2887</v>
      </c>
      <c r="B192" s="189" t="str">
        <f>IFERROR(__xludf.DUMMYFUNCTION("FILTER ('Research Papers'!D:D,'Research Papers'!A:A=C192)"),"Enhancing Domain-Adaptive Hashing via Evidential Learning and Progressive Alignment")</f>
        <v>Enhancing Domain-Adaptive Hashing via Evidential Learning and Progressive Alignment</v>
      </c>
      <c r="C192" s="189" t="s">
        <v>1314</v>
      </c>
      <c r="D192" s="209" t="str">
        <f t="shared" si="1"/>
        <v>Enhancing Domain-Adaptive Hashing via Evidential Learning and Progressive Alignment
Junsheng Wang, Tiantian Gong, Yeyun Wu and Liyan Zhang
</v>
      </c>
      <c r="E192" s="209" t="str">
        <f>IFERROR(__xludf.DUMMYFUNCTION("TEXTJOIN(CHAR(10), TRUE,FILTER('Research Papers'!$C:$C,'Research Papers'!$A:$A=C192))"),"Junsheng Wang, Tiantian Gong, Yeyun Wu and Liyan Zhang")</f>
        <v>Junsheng Wang, Tiantian Gong, Yeyun Wu and Liyan Zhang</v>
      </c>
      <c r="F192" s="209" t="str">
        <f>IFERROR(__xludf.DUMMYFUNCTION("TEXTJOIN(CHAR(10), TRUE,FILTER ('Sheridan Main'!E:E,'Sheridan Main'!B:B=C192))"),"js_wang@yzu.edu.cn")</f>
        <v>js_wang@yzu.edu.cn</v>
      </c>
      <c r="G192" s="210" t="str">
        <f>IFERROR(__xludf.DUMMYFUNCTION("CONCATENATE(""https://dl.acm.org/doi/"",INDEX(FILTER('Sheridan Main'!A:A,'Sheridan Main'!B:B=C192),1))"),"https://dl.acm.org/doi/10.1145/3774904.3792499")</f>
        <v>https://dl.acm.org/doi/10.1145/3774904.3792499</v>
      </c>
      <c r="H192" s="189" t="s">
        <v>202</v>
      </c>
      <c r="I192" s="209"/>
      <c r="J192" s="209"/>
      <c r="K192" s="147"/>
      <c r="L192" s="147"/>
      <c r="M192" s="209"/>
      <c r="N192" s="209"/>
      <c r="O192" s="209"/>
      <c r="P192" s="209"/>
      <c r="Q192" s="209"/>
      <c r="R192" s="209"/>
      <c r="S192" s="209"/>
      <c r="T192" s="209"/>
      <c r="U192" s="209"/>
      <c r="V192" s="209"/>
      <c r="W192" s="209"/>
      <c r="X192" s="209"/>
      <c r="Y192" s="209"/>
      <c r="Z192" s="209"/>
      <c r="AA192" s="209"/>
      <c r="AB192" s="209"/>
      <c r="AC192" s="209"/>
      <c r="AD192" s="209"/>
      <c r="AE192" s="209"/>
    </row>
    <row r="193">
      <c r="A193" s="208" t="s">
        <v>2887</v>
      </c>
      <c r="B193" s="189" t="str">
        <f>IFERROR(__xludf.DUMMYFUNCTION("FILTER ('Research Papers'!D:D,'Research Papers'!A:A=C193)"),"Diversifying Differentiable Graph Retrieval with Topic-Adaptive Multi-Intent Learning")</f>
        <v>Diversifying Differentiable Graph Retrieval with Topic-Adaptive Multi-Intent Learning</v>
      </c>
      <c r="C193" s="189" t="s">
        <v>1374</v>
      </c>
      <c r="D193" s="209" t="str">
        <f t="shared" si="1"/>
        <v>Diversifying Differentiable Graph Retrieval with Topic-Adaptive Multi-Intent Learning
Dongcheon Lee, Ji-Yeon Park, Hye-Yoon Baek, Jimyeung Seo,
Seyeong Kim and Byungkook Oh
</v>
      </c>
      <c r="E193" s="209" t="str">
        <f>IFERROR(__xludf.DUMMYFUNCTION("TEXTJOIN(CHAR(10), TRUE,FILTER('Research Papers'!$C:$C,'Research Papers'!$A:$A=C193))"),"Dongcheon Lee, Ji-Yeon Park, Hye-Yoon Baek, Jimyeung Seo,
Seyeong Kim and Byungkook Oh")</f>
        <v>Dongcheon Lee, Ji-Yeon Park, Hye-Yoon Baek, Jimyeung Seo,
Seyeong Kim and Byungkook Oh</v>
      </c>
      <c r="F193" s="209" t="str">
        <f>IFERROR(__xludf.DUMMYFUNCTION("TEXTJOIN(CHAR(10), TRUE,FILTER ('Sheridan Main'!E:E,'Sheridan Main'!B:B=C193))"),"bkoh@konkuk.ac.kr")</f>
        <v>bkoh@konkuk.ac.kr</v>
      </c>
      <c r="G193" s="210" t="str">
        <f>IFERROR(__xludf.DUMMYFUNCTION("CONCATENATE(""https://dl.acm.org/doi/"",INDEX(FILTER('Sheridan Main'!A:A,'Sheridan Main'!B:B=C193),1))"),"https://dl.acm.org/doi/10.1145/3774904.3792529")</f>
        <v>https://dl.acm.org/doi/10.1145/3774904.3792529</v>
      </c>
      <c r="H193" s="189" t="s">
        <v>202</v>
      </c>
      <c r="I193" s="209"/>
      <c r="J193" s="209"/>
      <c r="K193" s="147"/>
      <c r="L193" s="147"/>
      <c r="M193" s="209"/>
      <c r="N193" s="209"/>
      <c r="O193" s="209"/>
      <c r="P193" s="209"/>
      <c r="Q193" s="209"/>
      <c r="R193" s="209"/>
      <c r="S193" s="209"/>
      <c r="T193" s="209"/>
      <c r="U193" s="209"/>
      <c r="V193" s="209"/>
      <c r="W193" s="209"/>
      <c r="X193" s="209"/>
      <c r="Y193" s="209"/>
      <c r="Z193" s="209"/>
      <c r="AA193" s="209"/>
      <c r="AB193" s="209"/>
      <c r="AC193" s="209"/>
      <c r="AD193" s="209"/>
      <c r="AE193" s="209"/>
    </row>
    <row r="194">
      <c r="A194" s="208" t="s">
        <v>2887</v>
      </c>
      <c r="B194" s="189" t="str">
        <f>IFERROR(__xludf.DUMMYFUNCTION("FILTER ('Research Papers'!D:D,'Research Papers'!A:A=C194)"),"Cost-Aware Retrieval-Augmentation Reasoning Models with Adaptive Retrieval Depth")</f>
        <v>Cost-Aware Retrieval-Augmentation Reasoning Models with Adaptive Retrieval Depth</v>
      </c>
      <c r="C194" s="189" t="s">
        <v>1702</v>
      </c>
      <c r="D194" s="209" t="str">
        <f t="shared" si="1"/>
        <v>Cost-Aware Retrieval-Augmentation Reasoning Models with Adaptive Retrieval Depth
Helia Hashemi, Victor Rühle and Saravan Rajmohan
</v>
      </c>
      <c r="E194" s="209" t="str">
        <f>IFERROR(__xludf.DUMMYFUNCTION("TEXTJOIN(CHAR(10), TRUE,FILTER('Research Papers'!$C:$C,'Research Papers'!$A:$A=C194))"),"Helia Hashemi, Victor Rühle and Saravan Rajmohan")</f>
        <v>Helia Hashemi, Victor Rühle and Saravan Rajmohan</v>
      </c>
      <c r="F194" s="209" t="str">
        <f>IFERROR(__xludf.DUMMYFUNCTION("TEXTJOIN(CHAR(10), TRUE,FILTER ('Sheridan Main'!E:E,'Sheridan Main'!B:B=C194))"),"heliahashemi@microsoft.com")</f>
        <v>heliahashemi@microsoft.com</v>
      </c>
      <c r="G194" s="210" t="str">
        <f>IFERROR(__xludf.DUMMYFUNCTION("CONCATENATE(""https://dl.acm.org/doi/"",INDEX(FILTER('Sheridan Main'!A:A,'Sheridan Main'!B:B=C194),1))"),"https://dl.acm.org/doi/10.1145/3774904.3792693")</f>
        <v>https://dl.acm.org/doi/10.1145/3774904.3792693</v>
      </c>
      <c r="H194" s="189" t="s">
        <v>202</v>
      </c>
      <c r="I194" s="209"/>
      <c r="J194" s="209"/>
      <c r="K194" s="147"/>
      <c r="L194" s="147"/>
      <c r="M194" s="209"/>
      <c r="N194" s="209"/>
      <c r="O194" s="209"/>
      <c r="P194" s="209"/>
      <c r="Q194" s="209"/>
      <c r="R194" s="209"/>
      <c r="S194" s="209"/>
      <c r="T194" s="209"/>
      <c r="U194" s="209"/>
      <c r="V194" s="209"/>
      <c r="W194" s="209"/>
      <c r="X194" s="209"/>
      <c r="Y194" s="209"/>
      <c r="Z194" s="209"/>
      <c r="AA194" s="209"/>
      <c r="AB194" s="209"/>
      <c r="AC194" s="209"/>
      <c r="AD194" s="209"/>
      <c r="AE194" s="209"/>
    </row>
    <row r="195">
      <c r="A195" s="208" t="s">
        <v>2887</v>
      </c>
      <c r="B195" s="189" t="str">
        <f>IFERROR(__xludf.DUMMYFUNCTION("FILTER ('Research Papers'!D:D,'Research Papers'!A:A=C195)"),"What Should I Cite? A RAG Benchmark for Academic Citation Prediction")</f>
        <v>What Should I Cite? A RAG Benchmark for Academic Citation Prediction</v>
      </c>
      <c r="C195" s="189" t="s">
        <v>466</v>
      </c>
      <c r="D195" s="209" t="str">
        <f t="shared" si="1"/>
        <v>What Should I Cite? A RAG Benchmark for Academic Citation Prediction
Leqi Zheng, Jiajun Zhang, Canzhi Chen, Chaokun Wang,
Hongwei Li, Yuying Li, Yaoxin Mao, Shannan Yan, Zixin Song,
Zhiyuan Feng, Zhaolu Kang, Zirong Chen, Hang Zhang, Qiang
Liu, Liang Wang and Ziyang Liu
</v>
      </c>
      <c r="E195" s="209" t="str">
        <f>IFERROR(__xludf.DUMMYFUNCTION("TEXTJOIN(CHAR(10), TRUE,FILTER('Research Papers'!$C:$C,'Research Papers'!$A:$A=C195))"),"Leqi Zheng, Jiajun Zhang, Canzhi Chen, Chaokun Wang,
Hongwei Li, Yuying Li, Yaoxin Mao, Shannan Yan, Zixin Song,
Zhiyuan Feng, Zhaolu Kang, Zirong Chen, Hang Zhang, Qiang
Liu, Liang Wang and Ziyang Liu")</f>
        <v>Leqi Zheng, Jiajun Zhang, Canzhi Chen, Chaokun Wang,
Hongwei Li, Yuying Li, Yaoxin Mao, Shannan Yan, Zixin Song,
Zhiyuan Feng, Zhaolu Kang, Zirong Chen, Hang Zhang, Qiang
Liu, Liang Wang and Ziyang Liu</v>
      </c>
      <c r="F195" s="209" t="str">
        <f>IFERROR(__xludf.DUMMYFUNCTION("TEXTJOIN(CHAR(10), TRUE,FILTER ('Sheridan Main'!E:E,'Sheridan Main'!B:B=C195))"),"chaokun@tsinghua.edu.cn")</f>
        <v>chaokun@tsinghua.edu.cn</v>
      </c>
      <c r="G195" s="210" t="str">
        <f>IFERROR(__xludf.DUMMYFUNCTION("CONCATENATE(""https://dl.acm.org/doi/"",INDEX(FILTER('Sheridan Main'!A:A,'Sheridan Main'!B:B=C195),1))"),"https://dl.acm.org/doi/10.1145/3774904.3792075")</f>
        <v>https://dl.acm.org/doi/10.1145/3774904.3792075</v>
      </c>
      <c r="H195" s="189" t="s">
        <v>2850</v>
      </c>
      <c r="I195" s="189" t="s">
        <v>2888</v>
      </c>
      <c r="J195" s="209"/>
      <c r="K195" s="205" t="s">
        <v>2930</v>
      </c>
      <c r="L195" s="174">
        <f>COUNTIF(H:H,H195)</f>
        <v>30</v>
      </c>
      <c r="M195" s="209"/>
      <c r="N195" s="209"/>
      <c r="O195" s="209"/>
      <c r="P195" s="209"/>
      <c r="Q195" s="209"/>
      <c r="R195" s="209"/>
      <c r="S195" s="209"/>
      <c r="T195" s="209"/>
      <c r="U195" s="209"/>
      <c r="V195" s="209"/>
      <c r="W195" s="209"/>
      <c r="X195" s="209"/>
      <c r="Y195" s="209"/>
      <c r="Z195" s="209"/>
      <c r="AA195" s="209"/>
      <c r="AB195" s="209"/>
      <c r="AC195" s="209"/>
      <c r="AD195" s="209"/>
      <c r="AE195" s="209"/>
    </row>
    <row r="196">
      <c r="A196" s="208" t="s">
        <v>2887</v>
      </c>
      <c r="B196" s="189" t="str">
        <f>IFERROR(__xludf.DUMMYFUNCTION("FILTER ('Research Papers'!D:D,'Research Papers'!A:A=C196)"),"Med-R$^2$: Crafting Trustworthy LLM Physicians via Retrieval and Reasoning of Evidence-Based Medicine")</f>
        <v>Med-R$^2$: Crafting Trustworthy LLM Physicians via Retrieval and Reasoning of Evidence-Based Medicine</v>
      </c>
      <c r="C196" s="189" t="s">
        <v>468</v>
      </c>
      <c r="D196" s="209" t="str">
        <f t="shared" si="1"/>
        <v>Med-R$^2$: Crafting Trustworthy LLM Physicians via Retrieval and Reasoning of Evidence-Based Medicine
Lu Keer, Zheng Liang, Da Pan, Shusen Zhang, Guosheng Dong,
Huang Leng, Bin Cui, Zhonghai Wu and Wentao Zhang
</v>
      </c>
      <c r="E196" s="209" t="str">
        <f>IFERROR(__xludf.DUMMYFUNCTION("TEXTJOIN(CHAR(10), TRUE,FILTER('Research Papers'!$C:$C,'Research Papers'!$A:$A=C196))"),"Lu Keer, Zheng Liang, Da Pan, Shusen Zhang, Guosheng Dong,
Huang Leng, Bin Cui, Zhonghai Wu and Wentao Zhang")</f>
        <v>Lu Keer, Zheng Liang, Da Pan, Shusen Zhang, Guosheng Dong,
Huang Leng, Bin Cui, Zhonghai Wu and Wentao Zhang</v>
      </c>
      <c r="F196" s="209" t="str">
        <f>IFERROR(__xludf.DUMMYFUNCTION("TEXTJOIN(CHAR(10), TRUE,FILTER ('Sheridan Main'!E:E,'Sheridan Main'!B:B=C196))"),"keer.lu@stu.pku.edu.cn")</f>
        <v>keer.lu@stu.pku.edu.cn</v>
      </c>
      <c r="G196" s="210" t="str">
        <f>IFERROR(__xludf.DUMMYFUNCTION("CONCATENATE(""https://dl.acm.org/doi/"",INDEX(FILTER('Sheridan Main'!A:A,'Sheridan Main'!B:B=C196),1))"),"https://dl.acm.org/doi/10.1145/3774904.3792076")</f>
        <v>https://dl.acm.org/doi/10.1145/3774904.3792076</v>
      </c>
      <c r="H196" s="189" t="s">
        <v>2850</v>
      </c>
      <c r="I196" s="189" t="s">
        <v>2888</v>
      </c>
      <c r="J196" s="209"/>
      <c r="K196" s="147"/>
      <c r="L196" s="147"/>
      <c r="M196" s="209"/>
      <c r="N196" s="209"/>
      <c r="O196" s="209"/>
      <c r="P196" s="209"/>
      <c r="Q196" s="209"/>
      <c r="R196" s="209"/>
      <c r="S196" s="209"/>
      <c r="T196" s="209"/>
      <c r="U196" s="209"/>
      <c r="V196" s="209"/>
      <c r="W196" s="209"/>
      <c r="X196" s="209"/>
      <c r="Y196" s="209"/>
      <c r="Z196" s="209"/>
      <c r="AA196" s="209"/>
      <c r="AB196" s="209"/>
      <c r="AC196" s="209"/>
      <c r="AD196" s="209"/>
      <c r="AE196" s="209"/>
    </row>
    <row r="197">
      <c r="A197" s="208" t="s">
        <v>2887</v>
      </c>
      <c r="B197" s="189" t="str">
        <f>IFERROR(__xludf.DUMMYFUNCTION("FILTER ('Research Papers'!D:D,'Research Papers'!A:A=C197)"),"Generalized Pseudo-Relevance Feedback")</f>
        <v>Generalized Pseudo-Relevance Feedback</v>
      </c>
      <c r="C197" s="189" t="s">
        <v>472</v>
      </c>
      <c r="D197" s="209" t="str">
        <f t="shared" si="1"/>
        <v>Generalized Pseudo-Relevance Feedback
Yiteng Tu, Weihang Su, Yujia Zhou, Yiqun Liu, Fen Lin, Qin
Liu and Qingyao Ai
</v>
      </c>
      <c r="E197" s="209" t="str">
        <f>IFERROR(__xludf.DUMMYFUNCTION("TEXTJOIN(CHAR(10), TRUE,FILTER('Research Papers'!$C:$C,'Research Papers'!$A:$A=C197))"),"Yiteng Tu, Weihang Su, Yujia Zhou, Yiqun Liu, Fen Lin, Qin
Liu and Qingyao Ai")</f>
        <v>Yiteng Tu, Weihang Su, Yujia Zhou, Yiqun Liu, Fen Lin, Qin
Liu and Qingyao Ai</v>
      </c>
      <c r="F197" s="209" t="str">
        <f>IFERROR(__xludf.DUMMYFUNCTION("TEXTJOIN(CHAR(10), TRUE,FILTER ('Sheridan Main'!E:E,'Sheridan Main'!B:B=C197))"),"tyt24@mails.tsinghua.edu.cn")</f>
        <v>tyt24@mails.tsinghua.edu.cn</v>
      </c>
      <c r="G197" s="210" t="str">
        <f>IFERROR(__xludf.DUMMYFUNCTION("CONCATENATE(""https://dl.acm.org/doi/"",INDEX(FILTER('Sheridan Main'!A:A,'Sheridan Main'!B:B=C197),1))"),"https://dl.acm.org/doi/10.1145/3774904.3792078")</f>
        <v>https://dl.acm.org/doi/10.1145/3774904.3792078</v>
      </c>
      <c r="H197" s="189" t="s">
        <v>2850</v>
      </c>
      <c r="I197" s="189" t="s">
        <v>2888</v>
      </c>
      <c r="J197" s="209"/>
      <c r="K197" s="147"/>
      <c r="L197" s="147"/>
      <c r="M197" s="209"/>
      <c r="N197" s="209"/>
      <c r="O197" s="209"/>
      <c r="P197" s="209"/>
      <c r="Q197" s="209"/>
      <c r="R197" s="209"/>
      <c r="S197" s="209"/>
      <c r="T197" s="209"/>
      <c r="U197" s="209"/>
      <c r="V197" s="209"/>
      <c r="W197" s="209"/>
      <c r="X197" s="209"/>
      <c r="Y197" s="209"/>
      <c r="Z197" s="209"/>
      <c r="AA197" s="209"/>
      <c r="AB197" s="209"/>
      <c r="AC197" s="209"/>
      <c r="AD197" s="209"/>
      <c r="AE197" s="209"/>
    </row>
    <row r="198">
      <c r="A198" s="208" t="s">
        <v>2887</v>
      </c>
      <c r="B198" s="189" t="str">
        <f>IFERROR(__xludf.DUMMYFUNCTION("FILTER ('Research Papers'!D:D,'Research Papers'!A:A=C198)"),"Rethinking the Hidden Risk of Reranking: Achieving Risk-aware Reranking with Information Gain for RAG with LLMs")</f>
        <v>Rethinking the Hidden Risk of Reranking: Achieving Risk-aware Reranking with Information Gain for RAG with LLMs</v>
      </c>
      <c r="C198" s="189" t="s">
        <v>486</v>
      </c>
      <c r="D198" s="209" t="str">
        <f t="shared" si="1"/>
        <v>Rethinking the Hidden Risk of Reranking: Achieving Risk-aware Reranking with Information Gain for RAG with LLMs
Zhizhao Liu, Zhihua Wen, Zhiliang Tian, Zhen Huang,
Miaorong Zhu, Zimian Wei, Yifu Gao, Liang Ding and
Dongsheng Li
</v>
      </c>
      <c r="E198" s="209" t="str">
        <f>IFERROR(__xludf.DUMMYFUNCTION("TEXTJOIN(CHAR(10), TRUE,FILTER('Research Papers'!$C:$C,'Research Papers'!$A:$A=C198))"),"Zhizhao Liu, Zhihua Wen, Zhiliang Tian, Zhen Huang,
Miaorong Zhu, Zimian Wei, Yifu Gao, Liang Ding and
Dongsheng Li")</f>
        <v>Zhizhao Liu, Zhihua Wen, Zhiliang Tian, Zhen Huang,
Miaorong Zhu, Zimian Wei, Yifu Gao, Liang Ding and
Dongsheng Li</v>
      </c>
      <c r="F198" s="209" t="str">
        <f>IFERROR(__xludf.DUMMYFUNCTION("TEXTJOIN(CHAR(10), TRUE,FILTER ('Sheridan Main'!E:E,'Sheridan Main'!B:B=C198))"),"tianzhiliang@nudt.edu.cn")</f>
        <v>tianzhiliang@nudt.edu.cn</v>
      </c>
      <c r="G198" s="210" t="str">
        <f>IFERROR(__xludf.DUMMYFUNCTION("CONCATENATE(""https://dl.acm.org/doi/"",INDEX(FILTER('Sheridan Main'!A:A,'Sheridan Main'!B:B=C198),1))"),"https://dl.acm.org/doi/10.1145/3774904.3792085")</f>
        <v>https://dl.acm.org/doi/10.1145/3774904.3792085</v>
      </c>
      <c r="H198" s="189" t="s">
        <v>2850</v>
      </c>
      <c r="I198" s="189" t="s">
        <v>2888</v>
      </c>
      <c r="J198" s="209"/>
      <c r="K198" s="147"/>
      <c r="L198" s="147"/>
      <c r="M198" s="209"/>
      <c r="N198" s="209"/>
      <c r="O198" s="209"/>
      <c r="P198" s="209"/>
      <c r="Q198" s="209"/>
      <c r="R198" s="209"/>
      <c r="S198" s="209"/>
      <c r="T198" s="209"/>
      <c r="U198" s="209"/>
      <c r="V198" s="209"/>
      <c r="W198" s="209"/>
      <c r="X198" s="209"/>
      <c r="Y198" s="209"/>
      <c r="Z198" s="209"/>
      <c r="AA198" s="209"/>
      <c r="AB198" s="209"/>
      <c r="AC198" s="209"/>
      <c r="AD198" s="209"/>
      <c r="AE198" s="209"/>
    </row>
    <row r="199">
      <c r="A199" s="208" t="s">
        <v>2887</v>
      </c>
      <c r="B199" s="189" t="str">
        <f>IFERROR(__xludf.DUMMYFUNCTION("FILTER ('Research Papers'!D:D,'Research Papers'!A:A=C199)"),"NeocorRAG: Less Irrelevant Information, More Explicit Evidence, and More Effective Recall via Evidence Chains")</f>
        <v>NeocorRAG: Less Irrelevant Information, More Explicit Evidence, and More Effective Recall via Evidence Chains</v>
      </c>
      <c r="C199" s="189" t="s">
        <v>502</v>
      </c>
      <c r="D199" s="209" t="str">
        <f t="shared" si="1"/>
        <v>NeocorRAG: Less Irrelevant Information, More Explicit Evidence, and More Effective Recall via Evidence Chains
Shiyao Peng, Qianhe Zheng, Zhuodi Hao, Zichen Tang, Rongjin
Li, Qing Huang, Jiayu Huang, Jiacheng Liu, Yifan Zhu and
Haihong E
</v>
      </c>
      <c r="E199" s="209" t="str">
        <f>IFERROR(__xludf.DUMMYFUNCTION("TEXTJOIN(CHAR(10), TRUE,FILTER('Research Papers'!$C:$C,'Research Papers'!$A:$A=C199))"),"Shiyao Peng, Qianhe Zheng, Zhuodi Hao, Zichen Tang, Rongjin
Li, Qing Huang, Jiayu Huang, Jiacheng Liu, Yifan Zhu and
Haihong E")</f>
        <v>Shiyao Peng, Qianhe Zheng, Zhuodi Hao, Zichen Tang, Rongjin
Li, Qing Huang, Jiayu Huang, Jiacheng Liu, Yifan Zhu and
Haihong E</v>
      </c>
      <c r="F199" s="209" t="str">
        <f>IFERROR(__xludf.DUMMYFUNCTION("TEXTJOIN(CHAR(10), TRUE,FILTER ('Sheridan Main'!E:E,'Sheridan Main'!B:B=C199))"),"ehaihong@bupt.edu.cn")</f>
        <v>ehaihong@bupt.edu.cn</v>
      </c>
      <c r="G199" s="210" t="str">
        <f>IFERROR(__xludf.DUMMYFUNCTION("CONCATENATE(""https://dl.acm.org/doi/"",INDEX(FILTER('Sheridan Main'!A:A,'Sheridan Main'!B:B=C199),1))"),"https://dl.acm.org/doi/10.1145/3774904.3792093")</f>
        <v>https://dl.acm.org/doi/10.1145/3774904.3792093</v>
      </c>
      <c r="H199" s="189" t="s">
        <v>2850</v>
      </c>
      <c r="I199" s="189" t="s">
        <v>2888</v>
      </c>
      <c r="J199" s="209"/>
      <c r="K199" s="147"/>
      <c r="L199" s="147"/>
      <c r="M199" s="209"/>
      <c r="N199" s="209"/>
      <c r="O199" s="209"/>
      <c r="P199" s="209"/>
      <c r="Q199" s="209"/>
      <c r="R199" s="209"/>
      <c r="S199" s="209"/>
      <c r="T199" s="209"/>
      <c r="U199" s="209"/>
      <c r="V199" s="209"/>
      <c r="W199" s="209"/>
      <c r="X199" s="209"/>
      <c r="Y199" s="209"/>
      <c r="Z199" s="209"/>
      <c r="AA199" s="209"/>
      <c r="AB199" s="209"/>
      <c r="AC199" s="209"/>
      <c r="AD199" s="209"/>
      <c r="AE199" s="209"/>
    </row>
    <row r="200">
      <c r="A200" s="208" t="s">
        <v>2887</v>
      </c>
      <c r="B200" s="189" t="str">
        <f>IFERROR(__xludf.DUMMYFUNCTION("FILTER ('Research Papers'!D:D,'Research Papers'!A:A=C200)"),"Pedestrian-Centric Discriminative and Fine-grained Semantic Mining for Text-based Person Retrieval")</f>
        <v>Pedestrian-Centric Discriminative and Fine-grained Semantic Mining for Text-based Person Retrieval</v>
      </c>
      <c r="C200" s="189" t="s">
        <v>584</v>
      </c>
      <c r="D200" s="209" t="str">
        <f t="shared" si="1"/>
        <v>Pedestrian-Centric Discriminative and Fine-grained Semantic Mining for Text-based Person Retrieval
Yuheng Liang, Haipeng Chen, Yu Liu, Yingda Lyu and Xue Wang
</v>
      </c>
      <c r="E200" s="209" t="str">
        <f>IFERROR(__xludf.DUMMYFUNCTION("TEXTJOIN(CHAR(10), TRUE,FILTER('Research Papers'!$C:$C,'Research Papers'!$A:$A=C200))"),"Yuheng Liang, Haipeng Chen, Yu Liu, Yingda Lyu and Xue Wang")</f>
        <v>Yuheng Liang, Haipeng Chen, Yu Liu, Yingda Lyu and Xue Wang</v>
      </c>
      <c r="F200" s="209" t="str">
        <f>IFERROR(__xludf.DUMMYFUNCTION("TEXTJOIN(CHAR(10), TRUE,FILTER ('Sheridan Main'!E:E,'Sheridan Main'!B:B=C200))"),"ydlv@jlu.edu.cn")</f>
        <v>ydlv@jlu.edu.cn</v>
      </c>
      <c r="G200" s="210" t="str">
        <f>IFERROR(__xludf.DUMMYFUNCTION("CONCATENATE(""https://dl.acm.org/doi/"",INDEX(FILTER('Sheridan Main'!A:A,'Sheridan Main'!B:B=C200),1))"),"https://dl.acm.org/doi/10.1145/3774904.3792134")</f>
        <v>https://dl.acm.org/doi/10.1145/3774904.3792134</v>
      </c>
      <c r="H200" s="189" t="s">
        <v>2850</v>
      </c>
      <c r="I200" s="189" t="s">
        <v>2888</v>
      </c>
      <c r="J200" s="209"/>
      <c r="K200" s="147"/>
      <c r="L200" s="147"/>
      <c r="M200" s="209"/>
      <c r="N200" s="209"/>
      <c r="O200" s="209"/>
      <c r="P200" s="209"/>
      <c r="Q200" s="209"/>
      <c r="R200" s="209"/>
      <c r="S200" s="209"/>
      <c r="T200" s="209"/>
      <c r="U200" s="209"/>
      <c r="V200" s="209"/>
      <c r="W200" s="209"/>
      <c r="X200" s="209"/>
      <c r="Y200" s="209"/>
      <c r="Z200" s="209"/>
      <c r="AA200" s="209"/>
      <c r="AB200" s="209"/>
      <c r="AC200" s="209"/>
      <c r="AD200" s="209"/>
      <c r="AE200" s="209"/>
    </row>
    <row r="201">
      <c r="A201" s="208" t="s">
        <v>2887</v>
      </c>
      <c r="B201" s="189" t="str">
        <f>IFERROR(__xludf.DUMMYFUNCTION("FILTER ('Research Papers'!D:D,'Research Papers'!A:A=C201)"),"Dual-Branch Multi-Granularity Network with Structured Contrastive Ranking for Cross-Modal Retrieval")</f>
        <v>Dual-Branch Multi-Granularity Network with Structured Contrastive Ranking for Cross-Modal Retrieval</v>
      </c>
      <c r="C201" s="189" t="s">
        <v>624</v>
      </c>
      <c r="D201" s="209" t="str">
        <f t="shared" si="1"/>
        <v>Dual-Branch Multi-Granularity Network with Structured Contrastive Ranking for Cross-Modal Retrieval
Zihao Chen, Chenyang Bu, Shengwei Ji and Xindong Wu
</v>
      </c>
      <c r="E201" s="209" t="str">
        <f>IFERROR(__xludf.DUMMYFUNCTION("TEXTJOIN(CHAR(10), TRUE,FILTER('Research Papers'!$C:$C,'Research Papers'!$A:$A=C201))"),"Zihao Chen, Chenyang Bu, Shengwei Ji and Xindong Wu")</f>
        <v>Zihao Chen, Chenyang Bu, Shengwei Ji and Xindong Wu</v>
      </c>
      <c r="F201" s="209" t="str">
        <f>IFERROR(__xludf.DUMMYFUNCTION("TEXTJOIN(CHAR(10), TRUE,FILTER ('Sheridan Main'!E:E,'Sheridan Main'!B:B=C201))"),"xwu@hfut.edu.cn")</f>
        <v>xwu@hfut.edu.cn</v>
      </c>
      <c r="G201" s="210" t="str">
        <f>IFERROR(__xludf.DUMMYFUNCTION("CONCATENATE(""https://dl.acm.org/doi/"",INDEX(FILTER('Sheridan Main'!A:A,'Sheridan Main'!B:B=C201),1))"),"https://dl.acm.org/doi/10.1145/3774904.3792154")</f>
        <v>https://dl.acm.org/doi/10.1145/3774904.3792154</v>
      </c>
      <c r="H201" s="189" t="s">
        <v>2850</v>
      </c>
      <c r="I201" s="189" t="s">
        <v>116</v>
      </c>
      <c r="J201" s="209"/>
      <c r="K201" s="147"/>
      <c r="L201" s="147"/>
      <c r="M201" s="209"/>
      <c r="N201" s="209"/>
      <c r="O201" s="209"/>
      <c r="P201" s="209"/>
      <c r="Q201" s="209"/>
      <c r="R201" s="209"/>
      <c r="S201" s="209"/>
      <c r="T201" s="209"/>
      <c r="U201" s="209"/>
      <c r="V201" s="209"/>
      <c r="W201" s="209"/>
      <c r="X201" s="209"/>
      <c r="Y201" s="209"/>
      <c r="Z201" s="209"/>
      <c r="AA201" s="209"/>
      <c r="AB201" s="209"/>
      <c r="AC201" s="209"/>
      <c r="AD201" s="209"/>
      <c r="AE201" s="209"/>
    </row>
    <row r="202">
      <c r="A202" s="208" t="s">
        <v>2887</v>
      </c>
      <c r="B202" s="189" t="str">
        <f>IFERROR(__xludf.DUMMYFUNCTION("FILTER ('Research Papers'!D:D,'Research Papers'!A:A=C202)"),"Less is More: Compact Clue Selection for Efficient Retrieval-Augmented Generation Reasoning")</f>
        <v>Less is More: Compact Clue Selection for Efficient Retrieval-Augmented Generation Reasoning</v>
      </c>
      <c r="C202" s="189" t="s">
        <v>632</v>
      </c>
      <c r="D202" s="209" t="str">
        <f t="shared" si="1"/>
        <v>Less is More: Compact Clue Selection for Efficient Retrieval-Augmented Generation Reasoning
Qianchi Zhang, Hainan Zhang, Liang Pang, Yongxin Tong,
Hongwei Zheng and Zhiming Zheng
</v>
      </c>
      <c r="E202" s="209" t="str">
        <f>IFERROR(__xludf.DUMMYFUNCTION("TEXTJOIN(CHAR(10), TRUE,FILTER('Research Papers'!$C:$C,'Research Papers'!$A:$A=C202))"),"Qianchi Zhang, Hainan Zhang, Liang Pang, Yongxin Tong,
Hongwei Zheng and Zhiming Zheng")</f>
        <v>Qianchi Zhang, Hainan Zhang, Liang Pang, Yongxin Tong,
Hongwei Zheng and Zhiming Zheng</v>
      </c>
      <c r="F202" s="209" t="str">
        <f>IFERROR(__xludf.DUMMYFUNCTION("TEXTJOIN(CHAR(10), TRUE,FILTER ('Sheridan Main'!E:E,'Sheridan Main'!B:B=C202))"),"zhanghainan@buaa.edu.cn")</f>
        <v>zhanghainan@buaa.edu.cn</v>
      </c>
      <c r="G202" s="210" t="str">
        <f>IFERROR(__xludf.DUMMYFUNCTION("CONCATENATE(""https://dl.acm.org/doi/"",INDEX(FILTER('Sheridan Main'!A:A,'Sheridan Main'!B:B=C202),1))"),"https://dl.acm.org/doi/10.1145/3774904.3792158")</f>
        <v>https://dl.acm.org/doi/10.1145/3774904.3792158</v>
      </c>
      <c r="H202" s="189" t="s">
        <v>2850</v>
      </c>
      <c r="I202" s="189" t="s">
        <v>116</v>
      </c>
      <c r="J202" s="209"/>
      <c r="K202" s="147"/>
      <c r="L202" s="147"/>
      <c r="M202" s="209"/>
      <c r="N202" s="209"/>
      <c r="O202" s="209"/>
      <c r="P202" s="209"/>
      <c r="Q202" s="209"/>
      <c r="R202" s="209"/>
      <c r="S202" s="209"/>
      <c r="T202" s="209"/>
      <c r="U202" s="209"/>
      <c r="V202" s="209"/>
      <c r="W202" s="209"/>
      <c r="X202" s="209"/>
      <c r="Y202" s="209"/>
      <c r="Z202" s="209"/>
      <c r="AA202" s="209"/>
      <c r="AB202" s="209"/>
      <c r="AC202" s="209"/>
      <c r="AD202" s="209"/>
      <c r="AE202" s="209"/>
    </row>
    <row r="203">
      <c r="A203" s="208" t="s">
        <v>2887</v>
      </c>
      <c r="B203" s="189" t="str">
        <f>IFERROR(__xludf.DUMMYFUNCTION("FILTER ('Research Papers'!D:D,'Research Papers'!A:A=C203)"),"Déjà Vu of Strange Stickers! Enhancing Out-of-Distribution Robustness in Sticker Retrieval via Cross-Modal Intent Alignment")</f>
        <v>Déjà Vu of Strange Stickers! Enhancing Out-of-Distribution Robustness in Sticker Retrieval via Cross-Modal Intent Alignment</v>
      </c>
      <c r="C203" s="189" t="s">
        <v>670</v>
      </c>
      <c r="D203" s="209" t="str">
        <f t="shared" si="1"/>
        <v>Déjà Vu of Strange Stickers! Enhancing Out-of-Distribution Robustness in Sticker Retrieval via Cross-Modal Intent Alignment
Yu-An Liu, Ruqing Zhang, Jiafeng Guo, Changjiang Zhou, Fan
Zhang and Yinhu Zhao
</v>
      </c>
      <c r="E203" s="209" t="str">
        <f>IFERROR(__xludf.DUMMYFUNCTION("TEXTJOIN(CHAR(10), TRUE,FILTER('Research Papers'!$C:$C,'Research Papers'!$A:$A=C203))"),"Yu-An Liu, Ruqing Zhang, Jiafeng Guo, Changjiang Zhou, Fan
Zhang and Yinhu Zhao")</f>
        <v>Yu-An Liu, Ruqing Zhang, Jiafeng Guo, Changjiang Zhou, Fan
Zhang and Yinhu Zhao</v>
      </c>
      <c r="F203" s="209" t="str">
        <f>IFERROR(__xludf.DUMMYFUNCTION("TEXTJOIN(CHAR(10), TRUE,FILTER ('Sheridan Main'!E:E,'Sheridan Main'!B:B=C203))"),"liuyuan21@mails.ucas.ac.cn")</f>
        <v>liuyuan21@mails.ucas.ac.cn</v>
      </c>
      <c r="G203" s="210" t="str">
        <f>IFERROR(__xludf.DUMMYFUNCTION("CONCATENATE(""https://dl.acm.org/doi/"",INDEX(FILTER('Sheridan Main'!A:A,'Sheridan Main'!B:B=C203),1))"),"https://dl.acm.org/doi/10.1145/3774904.3792177")</f>
        <v>https://dl.acm.org/doi/10.1145/3774904.3792177</v>
      </c>
      <c r="H203" s="189" t="s">
        <v>2850</v>
      </c>
      <c r="I203" s="189" t="s">
        <v>116</v>
      </c>
      <c r="J203" s="209"/>
      <c r="K203" s="147"/>
      <c r="L203" s="147"/>
      <c r="M203" s="209"/>
      <c r="N203" s="209"/>
      <c r="O203" s="209"/>
      <c r="P203" s="209"/>
      <c r="Q203" s="209"/>
      <c r="R203" s="209"/>
      <c r="S203" s="209"/>
      <c r="T203" s="209"/>
      <c r="U203" s="209"/>
      <c r="V203" s="209"/>
      <c r="W203" s="209"/>
      <c r="X203" s="209"/>
      <c r="Y203" s="209"/>
      <c r="Z203" s="209"/>
      <c r="AA203" s="209"/>
      <c r="AB203" s="209"/>
      <c r="AC203" s="209"/>
      <c r="AD203" s="209"/>
      <c r="AE203" s="209"/>
    </row>
    <row r="204">
      <c r="A204" s="208" t="s">
        <v>2887</v>
      </c>
      <c r="B204" s="189" t="str">
        <f>IFERROR(__xludf.DUMMYFUNCTION("FILTER ('Research Papers'!D:D,'Research Papers'!A:A=C204)"),"SQL-Checker: Error Detection and Labeling for Text-to-SQL with Interpretability Analysis")</f>
        <v>SQL-Checker: Error Detection and Labeling for Text-to-SQL with Interpretability Analysis</v>
      </c>
      <c r="C204" s="189" t="s">
        <v>740</v>
      </c>
      <c r="D204" s="209" t="str">
        <f t="shared" si="1"/>
        <v>SQL-Checker: Error Detection and Labeling for Text-to-SQL with Interpretability Analysis
Xingyu Ma, Xin Tian, Lingxiang Wu, Xuepeng Wang, Xueming
Tang and Jinqiao Wang
</v>
      </c>
      <c r="E204" s="209" t="str">
        <f>IFERROR(__xludf.DUMMYFUNCTION("TEXTJOIN(CHAR(10), TRUE,FILTER('Research Papers'!$C:$C,'Research Papers'!$A:$A=C204))"),"Xingyu Ma, Xin Tian, Lingxiang Wu, Xuepeng Wang, Xueming
Tang and Jinqiao Wang")</f>
        <v>Xingyu Ma, Xin Tian, Lingxiang Wu, Xuepeng Wang, Xueming
Tang and Jinqiao Wang</v>
      </c>
      <c r="F204" s="209" t="str">
        <f>IFERROR(__xludf.DUMMYFUNCTION("TEXTJOIN(CHAR(10), TRUE,FILTER ('Sheridan Main'!E:E,'Sheridan Main'!B:B=C204))"),"xuepeng.wang@ia.ac.cn")</f>
        <v>xuepeng.wang@ia.ac.cn</v>
      </c>
      <c r="G204" s="210" t="str">
        <f>IFERROR(__xludf.DUMMYFUNCTION("CONCATENATE(""https://dl.acm.org/doi/"",INDEX(FILTER('Sheridan Main'!A:A,'Sheridan Main'!B:B=C204),1))"),"https://dl.acm.org/doi/10.1145/3774904.3792212")</f>
        <v>https://dl.acm.org/doi/10.1145/3774904.3792212</v>
      </c>
      <c r="H204" s="189" t="s">
        <v>2850</v>
      </c>
      <c r="I204" s="189" t="s">
        <v>116</v>
      </c>
      <c r="J204" s="209"/>
      <c r="K204" s="147"/>
      <c r="L204" s="147"/>
      <c r="M204" s="209"/>
      <c r="N204" s="209"/>
      <c r="O204" s="209"/>
      <c r="P204" s="209"/>
      <c r="Q204" s="209"/>
      <c r="R204" s="209"/>
      <c r="S204" s="209"/>
      <c r="T204" s="209"/>
      <c r="U204" s="209"/>
      <c r="V204" s="209"/>
      <c r="W204" s="209"/>
      <c r="X204" s="209"/>
      <c r="Y204" s="209"/>
      <c r="Z204" s="209"/>
      <c r="AA204" s="209"/>
      <c r="AB204" s="209"/>
      <c r="AC204" s="209"/>
      <c r="AD204" s="209"/>
      <c r="AE204" s="209"/>
    </row>
    <row r="205">
      <c r="A205" s="208" t="s">
        <v>2887</v>
      </c>
      <c r="B205" s="189" t="str">
        <f>IFERROR(__xludf.DUMMYFUNCTION("FILTER ('Research Papers'!D:D,'Research Papers'!A:A=C205)"),"To Search or Not to Search: Aligning the Decision Boundary of Deep Search Agents via Causal Intervention")</f>
        <v>To Search or Not to Search: Aligning the Decision Boundary of Deep Search Agents via Causal Intervention</v>
      </c>
      <c r="C205" s="189" t="s">
        <v>786</v>
      </c>
      <c r="D205" s="209" t="str">
        <f t="shared" si="1"/>
        <v>To Search or Not to Search: Aligning the Decision Boundary of Deep Search Agents via Causal Intervention
Wenlin Zhang, Kuicai Dong, Junyi Li, Yingyi Zhang, Xiaopeng
Li, Pengyue Jia, Yi Wen, Derong Xu, Maolin Wang, Yichao
Wang, Yong Liu and Xiangyu Zhao
</v>
      </c>
      <c r="E205" s="209" t="str">
        <f>IFERROR(__xludf.DUMMYFUNCTION("TEXTJOIN(CHAR(10), TRUE,FILTER('Research Papers'!$C:$C,'Research Papers'!$A:$A=C205))"),"Wenlin Zhang, Kuicai Dong, Junyi Li, Yingyi Zhang, Xiaopeng
Li, Pengyue Jia, Yi Wen, Derong Xu, Maolin Wang, Yichao
Wang, Yong Liu and Xiangyu Zhao")</f>
        <v>Wenlin Zhang, Kuicai Dong, Junyi Li, Yingyi Zhang, Xiaopeng
Li, Pengyue Jia, Yi Wen, Derong Xu, Maolin Wang, Yichao
Wang, Yong Liu and Xiangyu Zhao</v>
      </c>
      <c r="F205" s="209" t="str">
        <f>IFERROR(__xludf.DUMMYFUNCTION("TEXTJOIN(CHAR(10), TRUE,FILTER ('Sheridan Main'!E:E,'Sheridan Main'!B:B=C205))"),"xianzhao@cityu.edu.hk")</f>
        <v>xianzhao@cityu.edu.hk</v>
      </c>
      <c r="G205" s="210" t="str">
        <f>IFERROR(__xludf.DUMMYFUNCTION("CONCATENATE(""https://dl.acm.org/doi/"",INDEX(FILTER('Sheridan Main'!A:A,'Sheridan Main'!B:B=C205),1))"),"https://dl.acm.org/doi/10.1145/3774904.3792235")</f>
        <v>https://dl.acm.org/doi/10.1145/3774904.3792235</v>
      </c>
      <c r="H205" s="189" t="s">
        <v>2850</v>
      </c>
      <c r="I205" s="189" t="s">
        <v>116</v>
      </c>
      <c r="J205" s="209"/>
      <c r="K205" s="147"/>
      <c r="L205" s="147"/>
      <c r="M205" s="209"/>
      <c r="N205" s="209"/>
      <c r="O205" s="209"/>
      <c r="P205" s="209"/>
      <c r="Q205" s="209"/>
      <c r="R205" s="209"/>
      <c r="S205" s="209"/>
      <c r="T205" s="209"/>
      <c r="U205" s="209"/>
      <c r="V205" s="209"/>
      <c r="W205" s="209"/>
      <c r="X205" s="209"/>
      <c r="Y205" s="209"/>
      <c r="Z205" s="209"/>
      <c r="AA205" s="209"/>
      <c r="AB205" s="209"/>
      <c r="AC205" s="209"/>
      <c r="AD205" s="209"/>
      <c r="AE205" s="209"/>
    </row>
    <row r="206">
      <c r="A206" s="208" t="s">
        <v>2887</v>
      </c>
      <c r="B206" s="189" t="str">
        <f>IFERROR(__xludf.DUMMYFUNCTION("FILTER ('Research Papers'!D:D,'Research Papers'!A:A=C206)"),"XR: Cross-Modal Agents for Composed Image Retrieval")</f>
        <v>XR: Cross-Modal Agents for Composed Image Retrieval</v>
      </c>
      <c r="C206" s="189" t="s">
        <v>868</v>
      </c>
      <c r="D206" s="209" t="str">
        <f t="shared" si="1"/>
        <v>XR: Cross-Modal Agents for Composed Image Retrieval
Zhongyu Yang, Wei Pang and Yingfang Yuan
</v>
      </c>
      <c r="E206" s="209" t="str">
        <f>IFERROR(__xludf.DUMMYFUNCTION("TEXTJOIN(CHAR(10), TRUE,FILTER('Research Papers'!$C:$C,'Research Papers'!$A:$A=C206))"),"Zhongyu Yang, Wei Pang and Yingfang Yuan")</f>
        <v>Zhongyu Yang, Wei Pang and Yingfang Yuan</v>
      </c>
      <c r="F206" s="209" t="str">
        <f>IFERROR(__xludf.DUMMYFUNCTION("TEXTJOIN(CHAR(10), TRUE,FILTER ('Sheridan Main'!E:E,'Sheridan Main'!B:B=C206))"),"Y.Yuan@hw.ac.uk")</f>
        <v>Y.Yuan@hw.ac.uk</v>
      </c>
      <c r="G206" s="210" t="str">
        <f>IFERROR(__xludf.DUMMYFUNCTION("CONCATENATE(""https://dl.acm.org/doi/"",INDEX(FILTER('Sheridan Main'!A:A,'Sheridan Main'!B:B=C206),1))"),"https://dl.acm.org/doi/10.1145/3774904.3792276")</f>
        <v>https://dl.acm.org/doi/10.1145/3774904.3792276</v>
      </c>
      <c r="H206" s="189" t="s">
        <v>2850</v>
      </c>
      <c r="I206" s="189" t="s">
        <v>116</v>
      </c>
      <c r="J206" s="209"/>
      <c r="K206" s="147"/>
      <c r="L206" s="147"/>
      <c r="M206" s="209"/>
      <c r="N206" s="209"/>
      <c r="O206" s="209"/>
      <c r="P206" s="209"/>
      <c r="Q206" s="209"/>
      <c r="R206" s="209"/>
      <c r="S206" s="209"/>
      <c r="T206" s="209"/>
      <c r="U206" s="209"/>
      <c r="V206" s="209"/>
      <c r="W206" s="209"/>
      <c r="X206" s="209"/>
      <c r="Y206" s="209"/>
      <c r="Z206" s="209"/>
      <c r="AA206" s="209"/>
      <c r="AB206" s="209"/>
      <c r="AC206" s="209"/>
      <c r="AD206" s="209"/>
      <c r="AE206" s="209"/>
    </row>
    <row r="207">
      <c r="A207" s="208" t="s">
        <v>2887</v>
      </c>
      <c r="B207" s="189" t="str">
        <f>IFERROR(__xludf.DUMMYFUNCTION("FILTER ('Research Papers'!D:D,'Research Papers'!A:A=C207)"),"Are LLM Web Search Engines Sustainable? A Web-Measurement Study of Real-Time Fetching")</f>
        <v>Are LLM Web Search Engines Sustainable? A Web-Measurement Study of Real-Time Fetching</v>
      </c>
      <c r="C207" s="189" t="s">
        <v>872</v>
      </c>
      <c r="D207" s="209" t="str">
        <f t="shared" si="1"/>
        <v>Are LLM Web Search Engines Sustainable? A Web-Measurement Study of Real-Time Fetching
Abdur-Rahman Ibrahim Sayyid-Ali, Daanish Uddin Khan and
Naveed Bhatti
</v>
      </c>
      <c r="E207" s="209" t="str">
        <f>IFERROR(__xludf.DUMMYFUNCTION("TEXTJOIN(CHAR(10), TRUE,FILTER('Research Papers'!$C:$C,'Research Papers'!$A:$A=C207))"),"Abdur-Rahman Ibrahim Sayyid-Ali, Daanish Uddin Khan and
Naveed Bhatti")</f>
        <v>Abdur-Rahman Ibrahim Sayyid-Ali, Daanish Uddin Khan and
Naveed Bhatti</v>
      </c>
      <c r="F207" s="209" t="str">
        <f>IFERROR(__xludf.DUMMYFUNCTION("TEXTJOIN(CHAR(10), TRUE,FILTER ('Sheridan Main'!E:E,'Sheridan Main'!B:B=C207))"),"naveed.bhatti@lums.edu.pk")</f>
        <v>naveed.bhatti@lums.edu.pk</v>
      </c>
      <c r="G207" s="210" t="str">
        <f>IFERROR(__xludf.DUMMYFUNCTION("CONCATENATE(""https://dl.acm.org/doi/"",INDEX(FILTER('Sheridan Main'!A:A,'Sheridan Main'!B:B=C207),1))"),"https://dl.acm.org/doi/10.1145/3774904.3792278")</f>
        <v>https://dl.acm.org/doi/10.1145/3774904.3792278</v>
      </c>
      <c r="H207" s="189" t="s">
        <v>2850</v>
      </c>
      <c r="I207" s="189" t="s">
        <v>2889</v>
      </c>
      <c r="J207" s="209"/>
      <c r="K207" s="147"/>
      <c r="L207" s="147"/>
      <c r="M207" s="209"/>
      <c r="N207" s="209"/>
      <c r="O207" s="209"/>
      <c r="P207" s="209"/>
      <c r="Q207" s="209"/>
      <c r="R207" s="209"/>
      <c r="S207" s="209"/>
      <c r="T207" s="209"/>
      <c r="U207" s="209"/>
      <c r="V207" s="209"/>
      <c r="W207" s="209"/>
      <c r="X207" s="209"/>
      <c r="Y207" s="209"/>
      <c r="Z207" s="209"/>
      <c r="AA207" s="209"/>
      <c r="AB207" s="209"/>
      <c r="AC207" s="209"/>
      <c r="AD207" s="209"/>
      <c r="AE207" s="209"/>
    </row>
    <row r="208">
      <c r="A208" s="208" t="s">
        <v>2887</v>
      </c>
      <c r="B208" s="189" t="str">
        <f>IFERROR(__xludf.DUMMYFUNCTION("FILTER ('Research Papers'!D:D,'Research Papers'!A:A=C208)"),"A Fact-Checking Framework with Denoising Evidence Retrieval and LLM-Based Debate Verification")</f>
        <v>A Fact-Checking Framework with Denoising Evidence Retrieval and LLM-Based Debate Verification</v>
      </c>
      <c r="C208" s="189" t="s">
        <v>886</v>
      </c>
      <c r="D208" s="209" t="str">
        <f t="shared" si="1"/>
        <v>A Fact-Checking Framework with Denoising Evidence Retrieval and LLM-Based Debate Verification
Jun Yang, Bai Yuhan, Dandan Song, Zhijing Wu and Yuhang Tian
</v>
      </c>
      <c r="E208" s="209" t="str">
        <f>IFERROR(__xludf.DUMMYFUNCTION("TEXTJOIN(CHAR(10), TRUE,FILTER('Research Papers'!$C:$C,'Research Papers'!$A:$A=C208))"),"Jun Yang, Bai Yuhan, Dandan Song, Zhijing Wu and Yuhang Tian")</f>
        <v>Jun Yang, Bai Yuhan, Dandan Song, Zhijing Wu and Yuhang Tian</v>
      </c>
      <c r="F208" s="209" t="str">
        <f>IFERROR(__xludf.DUMMYFUNCTION("TEXTJOIN(CHAR(10), TRUE,FILTER ('Sheridan Main'!E:E,'Sheridan Main'!B:B=C208))"),"sdd@bit.edu.cn")</f>
        <v>sdd@bit.edu.cn</v>
      </c>
      <c r="G208" s="210" t="str">
        <f>IFERROR(__xludf.DUMMYFUNCTION("CONCATENATE(""https://dl.acm.org/doi/"",INDEX(FILTER('Sheridan Main'!A:A,'Sheridan Main'!B:B=C208),1))"),"https://dl.acm.org/doi/10.1145/3774904.3792285")</f>
        <v>https://dl.acm.org/doi/10.1145/3774904.3792285</v>
      </c>
      <c r="H208" s="189" t="s">
        <v>2850</v>
      </c>
      <c r="I208" s="189" t="s">
        <v>2889</v>
      </c>
      <c r="J208" s="209"/>
      <c r="K208" s="147"/>
      <c r="L208" s="147"/>
      <c r="M208" s="209"/>
      <c r="N208" s="209"/>
      <c r="O208" s="209"/>
      <c r="P208" s="209"/>
      <c r="Q208" s="209"/>
      <c r="R208" s="209"/>
      <c r="S208" s="209"/>
      <c r="T208" s="209"/>
      <c r="U208" s="209"/>
      <c r="V208" s="209"/>
      <c r="W208" s="209"/>
      <c r="X208" s="209"/>
      <c r="Y208" s="209"/>
      <c r="Z208" s="209"/>
      <c r="AA208" s="209"/>
      <c r="AB208" s="209"/>
      <c r="AC208" s="209"/>
      <c r="AD208" s="209"/>
      <c r="AE208" s="209"/>
    </row>
    <row r="209">
      <c r="A209" s="208" t="s">
        <v>2887</v>
      </c>
      <c r="B209" s="189" t="str">
        <f>IFERROR(__xludf.DUMMYFUNCTION("FILTER ('Research Papers'!D:D,'Research Papers'!A:A=C209)"),"Conflict-Aware RAG: Multi-Stage Learning with Conflict Signals for Robust Retrieval-Augmented Generation")</f>
        <v>Conflict-Aware RAG: Multi-Stage Learning with Conflict Signals for Robust Retrieval-Augmented Generation</v>
      </c>
      <c r="C209" s="189" t="s">
        <v>894</v>
      </c>
      <c r="D209" s="209" t="str">
        <f t="shared" si="1"/>
        <v>Conflict-Aware RAG: Multi-Stage Learning with Conflict Signals for Robust Retrieval-Augmented Generation
Haiyan Wu, Chenchen Wang, Chaoqun Sun, Chengxiong Lu,
Zhiqiang Zhang and Yanhong Chen
</v>
      </c>
      <c r="E209" s="209" t="str">
        <f>IFERROR(__xludf.DUMMYFUNCTION("TEXTJOIN(CHAR(10), TRUE,FILTER('Research Papers'!$C:$C,'Research Papers'!$A:$A=C209))"),"Haiyan Wu, Chenchen Wang, Chaoqun Sun, Chengxiong Lu,
Zhiqiang Zhang and Yanhong Chen")</f>
        <v>Haiyan Wu, Chenchen Wang, Chaoqun Sun, Chengxiong Lu,
Zhiqiang Zhang and Yanhong Chen</v>
      </c>
      <c r="F209" s="209" t="str">
        <f>IFERROR(__xludf.DUMMYFUNCTION("TEXTJOIN(CHAR(10), TRUE,FILTER ('Sheridan Main'!E:E,'Sheridan Main'!B:B=C209))"),"cyhong@zufe.edu.cn")</f>
        <v>cyhong@zufe.edu.cn</v>
      </c>
      <c r="G209" s="210" t="str">
        <f>IFERROR(__xludf.DUMMYFUNCTION("CONCATENATE(""https://dl.acm.org/doi/"",INDEX(FILTER('Sheridan Main'!A:A,'Sheridan Main'!B:B=C209),1))"),"https://dl.acm.org/doi/10.1145/3774904.3792289")</f>
        <v>https://dl.acm.org/doi/10.1145/3774904.3792289</v>
      </c>
      <c r="H209" s="189" t="s">
        <v>2850</v>
      </c>
      <c r="I209" s="189" t="s">
        <v>2889</v>
      </c>
      <c r="J209" s="209"/>
      <c r="K209" s="147"/>
      <c r="L209" s="147"/>
      <c r="M209" s="209"/>
      <c r="N209" s="209"/>
      <c r="O209" s="209"/>
      <c r="P209" s="209"/>
      <c r="Q209" s="209"/>
      <c r="R209" s="209"/>
      <c r="S209" s="209"/>
      <c r="T209" s="209"/>
      <c r="U209" s="209"/>
      <c r="V209" s="209"/>
      <c r="W209" s="209"/>
      <c r="X209" s="209"/>
      <c r="Y209" s="209"/>
      <c r="Z209" s="209"/>
      <c r="AA209" s="209"/>
      <c r="AB209" s="209"/>
      <c r="AC209" s="209"/>
      <c r="AD209" s="209"/>
      <c r="AE209" s="209"/>
    </row>
    <row r="210">
      <c r="A210" s="208" t="s">
        <v>2887</v>
      </c>
      <c r="B210" s="189" t="str">
        <f>IFERROR(__xludf.DUMMYFUNCTION("FILTER ('Research Papers'!D:D,'Research Papers'!A:A=C210)"),"IRAG: Robust Multimodal Retrieval-Augmented Generation via Hazard Separation")</f>
        <v>IRAG: Robust Multimodal Retrieval-Augmented Generation via Hazard Separation</v>
      </c>
      <c r="C210" s="189" t="s">
        <v>954</v>
      </c>
      <c r="D210" s="209" t="str">
        <f t="shared" si="1"/>
        <v>IRAG: Robust Multimodal Retrieval-Augmented Generation via Hazard Separation
Ruikun Luo, Zixiao Feng, Lin Gu and Xiaoyu Xia
</v>
      </c>
      <c r="E210" s="209" t="str">
        <f>IFERROR(__xludf.DUMMYFUNCTION("TEXTJOIN(CHAR(10), TRUE,FILTER('Research Papers'!$C:$C,'Research Papers'!$A:$A=C210))"),"Ruikun Luo, Zixiao Feng, Lin Gu and Xiaoyu Xia")</f>
        <v>Ruikun Luo, Zixiao Feng, Lin Gu and Xiaoyu Xia</v>
      </c>
      <c r="F210" s="209" t="str">
        <f>IFERROR(__xludf.DUMMYFUNCTION("TEXTJOIN(CHAR(10), TRUE,FILTER ('Sheridan Main'!E:E,'Sheridan Main'!B:B=C210))"),"xiaoyu.xia@rmit.edu.au")</f>
        <v>xiaoyu.xia@rmit.edu.au</v>
      </c>
      <c r="G210" s="210" t="str">
        <f>IFERROR(__xludf.DUMMYFUNCTION("CONCATENATE(""https://dl.acm.org/doi/"",INDEX(FILTER('Sheridan Main'!A:A,'Sheridan Main'!B:B=C210),1))"),"https://dl.acm.org/doi/10.1145/3774904.3792319")</f>
        <v>https://dl.acm.org/doi/10.1145/3774904.3792319</v>
      </c>
      <c r="H210" s="189" t="s">
        <v>2850</v>
      </c>
      <c r="I210" s="189" t="s">
        <v>2889</v>
      </c>
      <c r="J210" s="209"/>
      <c r="K210" s="147"/>
      <c r="L210" s="147"/>
      <c r="M210" s="209"/>
      <c r="N210" s="209"/>
      <c r="O210" s="209"/>
      <c r="P210" s="209"/>
      <c r="Q210" s="209"/>
      <c r="R210" s="209"/>
      <c r="S210" s="209"/>
      <c r="T210" s="209"/>
      <c r="U210" s="209"/>
      <c r="V210" s="209"/>
      <c r="W210" s="209"/>
      <c r="X210" s="209"/>
      <c r="Y210" s="209"/>
      <c r="Z210" s="209"/>
      <c r="AA210" s="209"/>
      <c r="AB210" s="209"/>
      <c r="AC210" s="209"/>
      <c r="AD210" s="209"/>
      <c r="AE210" s="209"/>
    </row>
    <row r="211">
      <c r="A211" s="208" t="s">
        <v>2887</v>
      </c>
      <c r="B211" s="189" t="str">
        <f>IFERROR(__xludf.DUMMYFUNCTION("FILTER ('Research Papers'!D:D,'Research Papers'!A:A=C211)"),"Towards Open-World Retrieval-Augmented Generation on Knowledge Graph: A Multi-Agent Collaboration Framework")</f>
        <v>Towards Open-World Retrieval-Augmented Generation on Knowledge Graph: A Multi-Agent Collaboration Framework</v>
      </c>
      <c r="C211" s="189" t="s">
        <v>1094</v>
      </c>
      <c r="D211" s="209" t="str">
        <f t="shared" si="1"/>
        <v>Towards Open-World Retrieval-Augmented Generation on Knowledge Graph: A Multi-Agent Collaboration Framework
Jiasheng Xu, Mingda Li, Yongqiang Tang, Peijie Wang and
Wensheng Zhang
</v>
      </c>
      <c r="E211" s="209" t="str">
        <f>IFERROR(__xludf.DUMMYFUNCTION("TEXTJOIN(CHAR(10), TRUE,FILTER('Research Papers'!$C:$C,'Research Papers'!$A:$A=C211))"),"Jiasheng Xu, Mingda Li, Yongqiang Tang, Peijie Wang and
Wensheng Zhang")</f>
        <v>Jiasheng Xu, Mingda Li, Yongqiang Tang, Peijie Wang and
Wensheng Zhang</v>
      </c>
      <c r="F211" s="209" t="str">
        <f>IFERROR(__xludf.DUMMYFUNCTION("TEXTJOIN(CHAR(10), TRUE,FILTER ('Sheridan Main'!E:E,'Sheridan Main'!B:B=C211))"),"yongqiang.tang@ia.ac.cn")</f>
        <v>yongqiang.tang@ia.ac.cn</v>
      </c>
      <c r="G211" s="210" t="str">
        <f>IFERROR(__xludf.DUMMYFUNCTION("CONCATENATE(""https://dl.acm.org/doi/"",INDEX(FILTER('Sheridan Main'!A:A,'Sheridan Main'!B:B=C211),1))"),"https://dl.acm.org/doi/10.1145/3774904.3792389")</f>
        <v>https://dl.acm.org/doi/10.1145/3774904.3792389</v>
      </c>
      <c r="H211" s="189" t="s">
        <v>2850</v>
      </c>
      <c r="I211" s="189" t="s">
        <v>2889</v>
      </c>
      <c r="J211" s="209"/>
      <c r="K211" s="147"/>
      <c r="L211" s="147"/>
      <c r="M211" s="209"/>
      <c r="N211" s="209"/>
      <c r="O211" s="209"/>
      <c r="P211" s="209"/>
      <c r="Q211" s="209"/>
      <c r="R211" s="209"/>
      <c r="S211" s="209"/>
      <c r="T211" s="209"/>
      <c r="U211" s="209"/>
      <c r="V211" s="209"/>
      <c r="W211" s="209"/>
      <c r="X211" s="209"/>
      <c r="Y211" s="209"/>
      <c r="Z211" s="209"/>
      <c r="AA211" s="209"/>
      <c r="AB211" s="209"/>
      <c r="AC211" s="209"/>
      <c r="AD211" s="209"/>
      <c r="AE211" s="209"/>
    </row>
    <row r="212">
      <c r="A212" s="208" t="s">
        <v>2887</v>
      </c>
      <c r="B212" s="189" t="str">
        <f>IFERROR(__xludf.DUMMYFUNCTION("FILTER ('Research Papers'!D:D,'Research Papers'!A:A=C212)"),"HL-CMR: Hypergraph Learning for Cross-Modal Retrieval")</f>
        <v>HL-CMR: Hypergraph Learning for Cross-Modal Retrieval</v>
      </c>
      <c r="C212" s="189" t="s">
        <v>1368</v>
      </c>
      <c r="D212" s="209" t="str">
        <f t="shared" si="1"/>
        <v>HL-CMR: Hypergraph Learning for Cross-Modal Retrieval
Guohui Ding, Jing Li, Yimin Xu and Rui Zhou
</v>
      </c>
      <c r="E212" s="209" t="str">
        <f>IFERROR(__xludf.DUMMYFUNCTION("TEXTJOIN(CHAR(10), TRUE,FILTER('Research Papers'!$C:$C,'Research Papers'!$A:$A=C212))"),"Guohui Ding, Jing Li, Yimin Xu and Rui Zhou")</f>
        <v>Guohui Ding, Jing Li, Yimin Xu and Rui Zhou</v>
      </c>
      <c r="F212" s="209" t="str">
        <f>IFERROR(__xludf.DUMMYFUNCTION("TEXTJOIN(CHAR(10), TRUE,FILTER ('Sheridan Main'!E:E,'Sheridan Main'!B:B=C212))"),"rzhou@swin.edu.au")</f>
        <v>rzhou@swin.edu.au</v>
      </c>
      <c r="G212" s="210" t="str">
        <f>IFERROR(__xludf.DUMMYFUNCTION("CONCATENATE(""https://dl.acm.org/doi/"",INDEX(FILTER('Sheridan Main'!A:A,'Sheridan Main'!B:B=C212),1))"),"https://dl.acm.org/doi/10.1145/3774904.3792526")</f>
        <v>https://dl.acm.org/doi/10.1145/3774904.3792526</v>
      </c>
      <c r="H212" s="189" t="s">
        <v>2850</v>
      </c>
      <c r="I212" s="189" t="s">
        <v>2889</v>
      </c>
      <c r="J212" s="209"/>
      <c r="K212" s="147"/>
      <c r="L212" s="147"/>
      <c r="M212" s="209"/>
      <c r="N212" s="209"/>
      <c r="O212" s="209"/>
      <c r="P212" s="209"/>
      <c r="Q212" s="209"/>
      <c r="R212" s="209"/>
      <c r="S212" s="209"/>
      <c r="T212" s="209"/>
      <c r="U212" s="209"/>
      <c r="V212" s="209"/>
      <c r="W212" s="209"/>
      <c r="X212" s="209"/>
      <c r="Y212" s="209"/>
      <c r="Z212" s="209"/>
      <c r="AA212" s="209"/>
      <c r="AB212" s="209"/>
      <c r="AC212" s="209"/>
      <c r="AD212" s="209"/>
      <c r="AE212" s="209"/>
    </row>
    <row r="213">
      <c r="A213" s="208" t="s">
        <v>2887</v>
      </c>
      <c r="B213" s="189" t="str">
        <f>IFERROR(__xludf.DUMMYFUNCTION("FILTER ('Research Papers'!D:D,'Research Papers'!A:A=C213)"),"ToolBox-RL: Learning to Generalize Tool Use Across Massive Repositories")</f>
        <v>ToolBox-RL: Learning to Generalize Tool Use Across Massive Repositories</v>
      </c>
      <c r="C213" s="189" t="s">
        <v>1392</v>
      </c>
      <c r="D213" s="209" t="str">
        <f t="shared" si="1"/>
        <v>ToolBox-RL: Learning to Generalize Tool Use Across Massive Repositories
Xinyan Shi, Renzhi Wang, Haodong Liu and Piji Li
</v>
      </c>
      <c r="E213" s="209" t="str">
        <f>IFERROR(__xludf.DUMMYFUNCTION("TEXTJOIN(CHAR(10), TRUE,FILTER('Research Papers'!$C:$C,'Research Papers'!$A:$A=C213))"),"Xinyan Shi, Renzhi Wang, Haodong Liu and Piji Li")</f>
        <v>Xinyan Shi, Renzhi Wang, Haodong Liu and Piji Li</v>
      </c>
      <c r="F213" s="209" t="str">
        <f>IFERROR(__xludf.DUMMYFUNCTION("TEXTJOIN(CHAR(10), TRUE,FILTER ('Sheridan Main'!E:E,'Sheridan Main'!B:B=C213))"),"lipiji.pz@gmail.com")</f>
        <v>lipiji.pz@gmail.com</v>
      </c>
      <c r="G213" s="210" t="str">
        <f>IFERROR(__xludf.DUMMYFUNCTION("CONCATENATE(""https://dl.acm.org/doi/"",INDEX(FILTER('Sheridan Main'!A:A,'Sheridan Main'!B:B=C213),1))"),"https://dl.acm.org/doi/10.1145/3774904.3792538")</f>
        <v>https://dl.acm.org/doi/10.1145/3774904.3792538</v>
      </c>
      <c r="H213" s="189" t="s">
        <v>2850</v>
      </c>
      <c r="I213" s="189" t="s">
        <v>2890</v>
      </c>
      <c r="J213" s="209"/>
      <c r="K213" s="147"/>
      <c r="L213" s="147"/>
      <c r="M213" s="209"/>
      <c r="N213" s="209"/>
      <c r="O213" s="209"/>
      <c r="P213" s="209"/>
      <c r="Q213" s="209"/>
      <c r="R213" s="209"/>
      <c r="S213" s="209"/>
      <c r="T213" s="209"/>
      <c r="U213" s="209"/>
      <c r="V213" s="209"/>
      <c r="W213" s="209"/>
      <c r="X213" s="209"/>
      <c r="Y213" s="209"/>
      <c r="Z213" s="209"/>
      <c r="AA213" s="209"/>
      <c r="AB213" s="209"/>
      <c r="AC213" s="209"/>
      <c r="AD213" s="209"/>
      <c r="AE213" s="209"/>
    </row>
    <row r="214">
      <c r="A214" s="208" t="s">
        <v>2887</v>
      </c>
      <c r="B214" s="189" t="str">
        <f>IFERROR(__xludf.DUMMYFUNCTION("FILTER ('Research Papers'!D:D,'Research Papers'!A:A=C214)"),"Facilitating Generative Retrieval with Logical Denoising for Interpretable Conversational Search")</f>
        <v>Facilitating Generative Retrieval with Logical Denoising for Interpretable Conversational Search</v>
      </c>
      <c r="C214" s="189" t="s">
        <v>1404</v>
      </c>
      <c r="D214" s="209" t="str">
        <f t="shared" si="1"/>
        <v>Facilitating Generative Retrieval with Logical Denoising for Interpretable Conversational Search
Qichuan Liu, Chentao Zhang, Yuxuan Hu, Chenfeng Zheng,
Qinggang Zhang and Zhihong Zhang
</v>
      </c>
      <c r="E214" s="209" t="str">
        <f>IFERROR(__xludf.DUMMYFUNCTION("TEXTJOIN(CHAR(10), TRUE,FILTER('Research Papers'!$C:$C,'Research Papers'!$A:$A=C214))"),"Qichuan Liu, Chentao Zhang, Yuxuan Hu, Chenfeng Zheng,
Qinggang Zhang and Zhihong Zhang")</f>
        <v>Qichuan Liu, Chentao Zhang, Yuxuan Hu, Chenfeng Zheng,
Qinggang Zhang and Zhihong Zhang</v>
      </c>
      <c r="F214" s="209" t="str">
        <f>IFERROR(__xludf.DUMMYFUNCTION("TEXTJOIN(CHAR(10), TRUE,FILTER ('Sheridan Main'!E:E,'Sheridan Main'!B:B=C214))"),"zhihong@xmu.edu.cn")</f>
        <v>zhihong@xmu.edu.cn</v>
      </c>
      <c r="G214" s="210" t="str">
        <f>IFERROR(__xludf.DUMMYFUNCTION("CONCATENATE(""https://dl.acm.org/doi/"",INDEX(FILTER('Sheridan Main'!A:A,'Sheridan Main'!B:B=C214),1))"),"https://dl.acm.org/doi/10.1145/3774904.3792544")</f>
        <v>https://dl.acm.org/doi/10.1145/3774904.3792544</v>
      </c>
      <c r="H214" s="189" t="s">
        <v>2850</v>
      </c>
      <c r="I214" s="189" t="s">
        <v>2890</v>
      </c>
      <c r="J214" s="209"/>
      <c r="K214" s="147"/>
      <c r="L214" s="147"/>
      <c r="M214" s="209"/>
      <c r="N214" s="209"/>
      <c r="O214" s="209"/>
      <c r="P214" s="209"/>
      <c r="Q214" s="209"/>
      <c r="R214" s="209"/>
      <c r="S214" s="209"/>
      <c r="T214" s="209"/>
      <c r="U214" s="209"/>
      <c r="V214" s="209"/>
      <c r="W214" s="209"/>
      <c r="X214" s="209"/>
      <c r="Y214" s="209"/>
      <c r="Z214" s="209"/>
      <c r="AA214" s="209"/>
      <c r="AB214" s="209"/>
      <c r="AC214" s="209"/>
      <c r="AD214" s="209"/>
      <c r="AE214" s="209"/>
    </row>
    <row r="215">
      <c r="A215" s="208" t="s">
        <v>2887</v>
      </c>
      <c r="B215" s="189" t="str">
        <f>IFERROR(__xludf.DUMMYFUNCTION("FILTER ('Research Papers'!D:D,'Research Papers'!A:A=C215)"),"Beyond More Context: Retrieval Diversity Boosts Multi-Turn Intent Understanding")</f>
        <v>Beyond More Context: Retrieval Diversity Boosts Multi-Turn Intent Understanding</v>
      </c>
      <c r="C215" s="189" t="s">
        <v>1450</v>
      </c>
      <c r="D215" s="209" t="str">
        <f t="shared" si="1"/>
        <v>Beyond More Context: Retrieval Diversity Boosts Multi-Turn Intent Understanding
Zhiming Lin, Canran Xiao and Kai Zhao
</v>
      </c>
      <c r="E215" s="209" t="str">
        <f>IFERROR(__xludf.DUMMYFUNCTION("TEXTJOIN(CHAR(10), TRUE,FILTER('Research Papers'!$C:$C,'Research Papers'!$A:$A=C215))"),"Zhiming Lin, Canran Xiao and Kai Zhao")</f>
        <v>Zhiming Lin, Canran Xiao and Kai Zhao</v>
      </c>
      <c r="F215" s="209" t="str">
        <f>IFERROR(__xludf.DUMMYFUNCTION("TEXTJOIN(CHAR(10), TRUE,FILTER ('Sheridan Main'!E:E,'Sheridan Main'!B:B=C215))"),"xiaocr3@mail.sysu.edu.cn")</f>
        <v>xiaocr3@mail.sysu.edu.cn</v>
      </c>
      <c r="G215" s="210" t="str">
        <f>IFERROR(__xludf.DUMMYFUNCTION("CONCATENATE(""https://dl.acm.org/doi/"",INDEX(FILTER('Sheridan Main'!A:A,'Sheridan Main'!B:B=C215),1))"),"https://dl.acm.org/doi/10.1145/3774904.3792567")</f>
        <v>https://dl.acm.org/doi/10.1145/3774904.3792567</v>
      </c>
      <c r="H215" s="189" t="s">
        <v>2850</v>
      </c>
      <c r="I215" s="189" t="s">
        <v>2890</v>
      </c>
      <c r="J215" s="209"/>
      <c r="K215" s="147"/>
      <c r="L215" s="147"/>
      <c r="M215" s="209"/>
      <c r="N215" s="209"/>
      <c r="O215" s="209"/>
      <c r="P215" s="209"/>
      <c r="Q215" s="209"/>
      <c r="R215" s="209"/>
      <c r="S215" s="209"/>
      <c r="T215" s="209"/>
      <c r="U215" s="209"/>
      <c r="V215" s="209"/>
      <c r="W215" s="209"/>
      <c r="X215" s="209"/>
      <c r="Y215" s="209"/>
      <c r="Z215" s="209"/>
      <c r="AA215" s="209"/>
      <c r="AB215" s="209"/>
      <c r="AC215" s="209"/>
      <c r="AD215" s="209"/>
      <c r="AE215" s="209"/>
    </row>
    <row r="216">
      <c r="A216" s="208" t="s">
        <v>2887</v>
      </c>
      <c r="B216" s="189" t="str">
        <f>IFERROR(__xludf.DUMMYFUNCTION("FILTER ('Research Papers'!D:D,'Research Papers'!A:A=C216)"),"PaperAsk: A Benchmark for Reliability Evaluation of LLMs in Paper Search and Reading")</f>
        <v>PaperAsk: A Benchmark for Reliability Evaluation of LLMs in Paper Search and Reading</v>
      </c>
      <c r="C216" s="189" t="s">
        <v>1510</v>
      </c>
      <c r="D216" s="209" t="str">
        <f t="shared" si="1"/>
        <v>PaperAsk: A Benchmark for Reliability Evaluation of LLMs in Paper Search and Reading
Yutao Wu, Xiao Liu, Yunhao Feng, Jiale Ding and Xingjun Ma
</v>
      </c>
      <c r="E216" s="209" t="str">
        <f>IFERROR(__xludf.DUMMYFUNCTION("TEXTJOIN(CHAR(10), TRUE,FILTER('Research Papers'!$C:$C,'Research Papers'!$A:$A=C216))"),"Yutao Wu, Xiao Liu, Yunhao Feng, Jiale Ding and Xingjun Ma")</f>
        <v>Yutao Wu, Xiao Liu, Yunhao Feng, Jiale Ding and Xingjun Ma</v>
      </c>
      <c r="F216" s="209" t="str">
        <f>IFERROR(__xludf.DUMMYFUNCTION("TEXTJOIN(CHAR(10), TRUE,FILTER ('Sheridan Main'!E:E,'Sheridan Main'!B:B=C216))"),"wuy7117@gmail.com")</f>
        <v>wuy7117@gmail.com</v>
      </c>
      <c r="G216" s="210" t="str">
        <f>IFERROR(__xludf.DUMMYFUNCTION("CONCATENATE(""https://dl.acm.org/doi/"",INDEX(FILTER('Sheridan Main'!A:A,'Sheridan Main'!B:B=C216),1))"),"https://dl.acm.org/doi/10.1145/3774904.3792597")</f>
        <v>https://dl.acm.org/doi/10.1145/3774904.3792597</v>
      </c>
      <c r="H216" s="189" t="s">
        <v>2850</v>
      </c>
      <c r="I216" s="189" t="s">
        <v>2890</v>
      </c>
      <c r="J216" s="209"/>
      <c r="K216" s="147"/>
      <c r="L216" s="147"/>
      <c r="M216" s="209"/>
      <c r="N216" s="209"/>
      <c r="O216" s="209"/>
      <c r="P216" s="209"/>
      <c r="Q216" s="209"/>
      <c r="R216" s="209"/>
      <c r="S216" s="209"/>
      <c r="T216" s="209"/>
      <c r="U216" s="209"/>
      <c r="V216" s="209"/>
      <c r="W216" s="209"/>
      <c r="X216" s="209"/>
      <c r="Y216" s="209"/>
      <c r="Z216" s="209"/>
      <c r="AA216" s="209"/>
      <c r="AB216" s="209"/>
      <c r="AC216" s="209"/>
      <c r="AD216" s="209"/>
      <c r="AE216" s="209"/>
    </row>
    <row r="217">
      <c r="A217" s="208" t="s">
        <v>2887</v>
      </c>
      <c r="B217" s="189" t="str">
        <f>IFERROR(__xludf.DUMMYFUNCTION("FILTER ('Research Papers'!D:D,'Research Papers'!A:A=C217)"),"SeaRAG: Reducing Hallucination in Retrieval-Augmented Generation via Statement-Entity Adaptive Ranking")</f>
        <v>SeaRAG: Reducing Hallucination in Retrieval-Augmented Generation via Statement-Entity Adaptive Ranking</v>
      </c>
      <c r="C217" s="189" t="s">
        <v>1512</v>
      </c>
      <c r="D217" s="209" t="str">
        <f t="shared" si="1"/>
        <v>SeaRAG: Reducing Hallucination in Retrieval-Augmented Generation via Statement-Entity Adaptive Ranking
Xiaosong Yuan, Xiaofeng Zhang, Di Zhao, Yijia Zhang and
Ying Wang
</v>
      </c>
      <c r="E217" s="209" t="str">
        <f>IFERROR(__xludf.DUMMYFUNCTION("TEXTJOIN(CHAR(10), TRUE,FILTER('Research Papers'!$C:$C,'Research Papers'!$A:$A=C217))"),"Xiaosong Yuan, Xiaofeng Zhang, Di Zhao, Yijia Zhang and
Ying Wang")</f>
        <v>Xiaosong Yuan, Xiaofeng Zhang, Di Zhao, Yijia Zhang and
Ying Wang</v>
      </c>
      <c r="F217" s="209" t="str">
        <f>IFERROR(__xludf.DUMMYFUNCTION("TEXTJOIN(CHAR(10), TRUE,FILTER ('Sheridan Main'!E:E,'Sheridan Main'!B:B=C217))"),"wangying2010@jlu.edu.cn")</f>
        <v>wangying2010@jlu.edu.cn</v>
      </c>
      <c r="G217" s="210" t="str">
        <f>IFERROR(__xludf.DUMMYFUNCTION("CONCATENATE(""https://dl.acm.org/doi/"",INDEX(FILTER('Sheridan Main'!A:A,'Sheridan Main'!B:B=C217),1))"),"https://dl.acm.org/doi/10.1145/3774904.3792598")</f>
        <v>https://dl.acm.org/doi/10.1145/3774904.3792598</v>
      </c>
      <c r="H217" s="189" t="s">
        <v>2850</v>
      </c>
      <c r="I217" s="189" t="s">
        <v>2890</v>
      </c>
      <c r="J217" s="209"/>
      <c r="K217" s="147"/>
      <c r="L217" s="147"/>
      <c r="M217" s="209"/>
      <c r="N217" s="209"/>
      <c r="O217" s="209"/>
      <c r="P217" s="209"/>
      <c r="Q217" s="209"/>
      <c r="R217" s="209"/>
      <c r="S217" s="209"/>
      <c r="T217" s="209"/>
      <c r="U217" s="209"/>
      <c r="V217" s="209"/>
      <c r="W217" s="209"/>
      <c r="X217" s="209"/>
      <c r="Y217" s="209"/>
      <c r="Z217" s="209"/>
      <c r="AA217" s="209"/>
      <c r="AB217" s="209"/>
      <c r="AC217" s="209"/>
      <c r="AD217" s="209"/>
      <c r="AE217" s="209"/>
    </row>
    <row r="218">
      <c r="A218" s="208" t="s">
        <v>2887</v>
      </c>
      <c r="B218" s="189" t="str">
        <f>IFERROR(__xludf.DUMMYFUNCTION("FILTER ('Research Papers'!D:D,'Research Papers'!A:A=C218)"),"Experience is the Best Teacher: Augmenting LLM Reasoning with Knowledge Learned from the Past")</f>
        <v>Experience is the Best Teacher: Augmenting LLM Reasoning with Knowledge Learned from the Past</v>
      </c>
      <c r="C218" s="189" t="s">
        <v>1576</v>
      </c>
      <c r="D218" s="209" t="str">
        <f t="shared" si="1"/>
        <v>Experience is the Best Teacher: Augmenting LLM Reasoning with Knowledge Learned from the Past
Mingjun Zhou, Weixin Zeng and Xiang Zhao
</v>
      </c>
      <c r="E218" s="209" t="str">
        <f>IFERROR(__xludf.DUMMYFUNCTION("TEXTJOIN(CHAR(10), TRUE,FILTER('Research Papers'!$C:$C,'Research Papers'!$A:$A=C218))"),"Mingjun Zhou, Weixin Zeng and Xiang Zhao")</f>
        <v>Mingjun Zhou, Weixin Zeng and Xiang Zhao</v>
      </c>
      <c r="F218" s="209" t="str">
        <f>IFERROR(__xludf.DUMMYFUNCTION("TEXTJOIN(CHAR(10), TRUE,FILTER ('Sheridan Main'!E:E,'Sheridan Main'!B:B=C218))"),"zhoumingjun24@nudt.edu.cn")</f>
        <v>zhoumingjun24@nudt.edu.cn</v>
      </c>
      <c r="G218" s="210" t="str">
        <f>IFERROR(__xludf.DUMMYFUNCTION("CONCATENATE(""https://dl.acm.org/doi/"",INDEX(FILTER('Sheridan Main'!A:A,'Sheridan Main'!B:B=C218),1))"),"https://dl.acm.org/doi/10.1145/3774904.3792630")</f>
        <v>https://dl.acm.org/doi/10.1145/3774904.3792630</v>
      </c>
      <c r="H218" s="189" t="s">
        <v>2850</v>
      </c>
      <c r="I218" s="189" t="s">
        <v>2890</v>
      </c>
      <c r="J218" s="209"/>
      <c r="K218" s="147"/>
      <c r="L218" s="147"/>
      <c r="M218" s="209"/>
      <c r="N218" s="209"/>
      <c r="O218" s="209"/>
      <c r="P218" s="209"/>
      <c r="Q218" s="209"/>
      <c r="R218" s="209"/>
      <c r="S218" s="209"/>
      <c r="T218" s="209"/>
      <c r="U218" s="209"/>
      <c r="V218" s="209"/>
      <c r="W218" s="209"/>
      <c r="X218" s="209"/>
      <c r="Y218" s="209"/>
      <c r="Z218" s="209"/>
      <c r="AA218" s="209"/>
      <c r="AB218" s="209"/>
      <c r="AC218" s="209"/>
      <c r="AD218" s="209"/>
      <c r="AE218" s="209"/>
    </row>
    <row r="219">
      <c r="A219" s="208" t="s">
        <v>2887</v>
      </c>
      <c r="B219" s="189" t="str">
        <f>IFERROR(__xludf.DUMMYFUNCTION("FILTER ('Research Papers'!D:D,'Research Papers'!A:A=C219)"),"Rethinking Soft Compression in Retrieval-Augmented Generation: A Query-Conditioned Selector Perspective")</f>
        <v>Rethinking Soft Compression in Retrieval-Augmented Generation: A Query-Conditioned Selector Perspective</v>
      </c>
      <c r="C219" s="189" t="s">
        <v>1716</v>
      </c>
      <c r="D219" s="209" t="str">
        <f t="shared" si="1"/>
        <v>Rethinking Soft Compression in Retrieval-Augmented Generation: A Query-Conditioned Selector Perspective
Yunhao Liu, Zian Jia, Xinyu Gao, Kanjun Xu and Yun Xiong
</v>
      </c>
      <c r="E219" s="209" t="str">
        <f>IFERROR(__xludf.DUMMYFUNCTION("TEXTJOIN(CHAR(10), TRUE,FILTER('Research Papers'!$C:$C,'Research Papers'!$A:$A=C219))"),"Yunhao Liu, Zian Jia, Xinyu Gao, Kanjun Xu and Yun Xiong")</f>
        <v>Yunhao Liu, Zian Jia, Xinyu Gao, Kanjun Xu and Yun Xiong</v>
      </c>
      <c r="F219" s="209" t="str">
        <f>IFERROR(__xludf.DUMMYFUNCTION("TEXTJOIN(CHAR(10), TRUE,FILTER ('Sheridan Main'!E:E,'Sheridan Main'!B:B=C219))"),"24210240237@m.fudan.edu.cn")</f>
        <v>24210240237@m.fudan.edu.cn</v>
      </c>
      <c r="G219" s="210" t="str">
        <f>IFERROR(__xludf.DUMMYFUNCTION("CONCATENATE(""https://dl.acm.org/doi/"",INDEX(FILTER('Sheridan Main'!A:A,'Sheridan Main'!B:B=C219),1))"),"https://dl.acm.org/doi/10.1145/3774904.3792700")</f>
        <v>https://dl.acm.org/doi/10.1145/3774904.3792700</v>
      </c>
      <c r="H219" s="189" t="s">
        <v>2850</v>
      </c>
      <c r="I219" s="189" t="s">
        <v>191</v>
      </c>
      <c r="J219" s="209"/>
      <c r="K219" s="147"/>
      <c r="L219" s="147"/>
      <c r="M219" s="209"/>
      <c r="N219" s="209"/>
      <c r="O219" s="209"/>
      <c r="P219" s="209"/>
      <c r="Q219" s="209"/>
      <c r="R219" s="209"/>
      <c r="S219" s="209"/>
      <c r="T219" s="209"/>
      <c r="U219" s="209"/>
      <c r="V219" s="209"/>
      <c r="W219" s="209"/>
      <c r="X219" s="209"/>
      <c r="Y219" s="209"/>
      <c r="Z219" s="209"/>
      <c r="AA219" s="209"/>
      <c r="AB219" s="209"/>
      <c r="AC219" s="209"/>
      <c r="AD219" s="209"/>
      <c r="AE219" s="209"/>
    </row>
    <row r="220">
      <c r="A220" s="208" t="s">
        <v>2887</v>
      </c>
      <c r="B220" s="189" t="str">
        <f>IFERROR(__xludf.DUMMYFUNCTION("FILTER ('Research Papers'!D:D,'Research Papers'!A:A=C220)"),"SketchMind: Understanding Abstract Sketches with MLLMs for Fine-Grained Sketch-Based Image Retrieval")</f>
        <v>SketchMind: Understanding Abstract Sketches with MLLMs for Fine-Grained Sketch-Based Image Retrieval</v>
      </c>
      <c r="C220" s="189" t="s">
        <v>1726</v>
      </c>
      <c r="D220" s="209" t="str">
        <f t="shared" si="1"/>
        <v>SketchMind: Understanding Abstract Sketches with MLLMs for Fine-Grained Sketch-Based Image Retrieval
Li Changxing, Donglin Zhang, Zhikai Hu, Xiao-Jun Wu and
Josef Kittler
</v>
      </c>
      <c r="E220" s="209" t="str">
        <f>IFERROR(__xludf.DUMMYFUNCTION("TEXTJOIN(CHAR(10), TRUE,FILTER('Research Papers'!$C:$C,'Research Papers'!$A:$A=C220))"),"Li Changxing, Donglin Zhang, Zhikai Hu, Xiao-Jun Wu and
Josef Kittler")</f>
        <v>Li Changxing, Donglin Zhang, Zhikai Hu, Xiao-Jun Wu and
Josef Kittler</v>
      </c>
      <c r="F220" s="209" t="str">
        <f>IFERROR(__xludf.DUMMYFUNCTION("TEXTJOIN(CHAR(10), TRUE,FILTER ('Sheridan Main'!E:E,'Sheridan Main'!B:B=C220))"),"dlinzzhang@gmail.com")</f>
        <v>dlinzzhang@gmail.com</v>
      </c>
      <c r="G220" s="210" t="str">
        <f>IFERROR(__xludf.DUMMYFUNCTION("CONCATENATE(""https://dl.acm.org/doi/"",INDEX(FILTER('Sheridan Main'!A:A,'Sheridan Main'!B:B=C220),1))"),"https://dl.acm.org/doi/10.1145/3774904.3792705")</f>
        <v>https://dl.acm.org/doi/10.1145/3774904.3792705</v>
      </c>
      <c r="H220" s="189" t="s">
        <v>2850</v>
      </c>
      <c r="I220" s="189" t="s">
        <v>191</v>
      </c>
      <c r="J220" s="209"/>
      <c r="K220" s="147"/>
      <c r="L220" s="147"/>
      <c r="M220" s="209"/>
      <c r="N220" s="209"/>
      <c r="O220" s="209"/>
      <c r="P220" s="209"/>
      <c r="Q220" s="209"/>
      <c r="R220" s="209"/>
      <c r="S220" s="209"/>
      <c r="T220" s="209"/>
      <c r="U220" s="209"/>
      <c r="V220" s="209"/>
      <c r="W220" s="209"/>
      <c r="X220" s="209"/>
      <c r="Y220" s="209"/>
      <c r="Z220" s="209"/>
      <c r="AA220" s="209"/>
      <c r="AB220" s="209"/>
      <c r="AC220" s="209"/>
      <c r="AD220" s="209"/>
      <c r="AE220" s="209"/>
    </row>
    <row r="221">
      <c r="A221" s="208" t="s">
        <v>2887</v>
      </c>
      <c r="B221" s="189" t="str">
        <f>IFERROR(__xludf.DUMMYFUNCTION("FILTER ('Research Papers'!D:D,'Research Papers'!A:A=C221)"),"A Unified Framework for Context-Aware and Relation-Aware Graph Retrieval-Augmented Generation")</f>
        <v>A Unified Framework for Context-Aware and Relation-Aware Graph Retrieval-Augmented Generation</v>
      </c>
      <c r="C221" s="189" t="s">
        <v>1756</v>
      </c>
      <c r="D221" s="209" t="str">
        <f t="shared" si="1"/>
        <v>A Unified Framework for Context-Aware and Relation-Aware Graph Retrieval-Augmented Generation
Haoyang Zhong, Yifei Sun, Antong Zhang, Chunping Wang, Lei
Chen and Yang Yang
</v>
      </c>
      <c r="E221" s="209" t="str">
        <f>IFERROR(__xludf.DUMMYFUNCTION("TEXTJOIN(CHAR(10), TRUE,FILTER('Research Papers'!$C:$C,'Research Papers'!$A:$A=C221))"),"Haoyang Zhong, Yifei Sun, Antong Zhang, Chunping Wang, Lei
Chen and Yang Yang")</f>
        <v>Haoyang Zhong, Yifei Sun, Antong Zhang, Chunping Wang, Lei
Chen and Yang Yang</v>
      </c>
      <c r="F221" s="209" t="str">
        <f>IFERROR(__xludf.DUMMYFUNCTION("TEXTJOIN(CHAR(10), TRUE,FILTER ('Sheridan Main'!E:E,'Sheridan Main'!B:B=C221))"),"yifeisun@zju.edu.cn")</f>
        <v>yifeisun@zju.edu.cn</v>
      </c>
      <c r="G221" s="210" t="str">
        <f>IFERROR(__xludf.DUMMYFUNCTION("CONCATENATE(""https://dl.acm.org/doi/"",INDEX(FILTER('Sheridan Main'!A:A,'Sheridan Main'!B:B=C221),1))"),"https://dl.acm.org/doi/10.1145/3774904.3792720")</f>
        <v>https://dl.acm.org/doi/10.1145/3774904.3792720</v>
      </c>
      <c r="H221" s="189" t="s">
        <v>2850</v>
      </c>
      <c r="I221" s="189" t="s">
        <v>191</v>
      </c>
      <c r="J221" s="209"/>
      <c r="K221" s="147"/>
      <c r="L221" s="147"/>
      <c r="M221" s="209"/>
      <c r="N221" s="209"/>
      <c r="O221" s="209"/>
      <c r="P221" s="209"/>
      <c r="Q221" s="209"/>
      <c r="R221" s="209"/>
      <c r="S221" s="209"/>
      <c r="T221" s="209"/>
      <c r="U221" s="209"/>
      <c r="V221" s="209"/>
      <c r="W221" s="209"/>
      <c r="X221" s="209"/>
      <c r="Y221" s="209"/>
      <c r="Z221" s="209"/>
      <c r="AA221" s="209"/>
      <c r="AB221" s="209"/>
      <c r="AC221" s="209"/>
      <c r="AD221" s="209"/>
      <c r="AE221" s="209"/>
    </row>
    <row r="222">
      <c r="A222" s="208" t="s">
        <v>2887</v>
      </c>
      <c r="B222" s="189" t="str">
        <f>IFERROR(__xludf.DUMMYFUNCTION("FILTER ('Research Papers'!D:D,'Research Papers'!A:A=C222)"),"AgenticShop: Benchmarking Agentic Product Curation for Personalized Web Shopping")</f>
        <v>AgenticShop: Benchmarking Agentic Product Curation for Personalized Web Shopping</v>
      </c>
      <c r="C222" s="189" t="s">
        <v>1764</v>
      </c>
      <c r="D222" s="209" t="str">
        <f t="shared" si="1"/>
        <v>AgenticShop: Benchmarking Agentic Product Curation for Personalized Web Shopping
Sunghwan Kim, Ryang Heo, Yongsik Seo, Jinyoung Yeo and
Dongha Lee
</v>
      </c>
      <c r="E222" s="209" t="str">
        <f>IFERROR(__xludf.DUMMYFUNCTION("TEXTJOIN(CHAR(10), TRUE,FILTER('Research Papers'!$C:$C,'Research Papers'!$A:$A=C222))"),"Sunghwan Kim, Ryang Heo, Yongsik Seo, Jinyoung Yeo and
Dongha Lee")</f>
        <v>Sunghwan Kim, Ryang Heo, Yongsik Seo, Jinyoung Yeo and
Dongha Lee</v>
      </c>
      <c r="F222" s="209" t="str">
        <f>IFERROR(__xludf.DUMMYFUNCTION("TEXTJOIN(CHAR(10), TRUE,FILTER ('Sheridan Main'!E:E,'Sheridan Main'!B:B=C222))"),"donalee@yonsei.ac.kr")</f>
        <v>donalee@yonsei.ac.kr</v>
      </c>
      <c r="G222" s="210" t="str">
        <f>IFERROR(__xludf.DUMMYFUNCTION("CONCATENATE(""https://dl.acm.org/doi/"",INDEX(FILTER('Sheridan Main'!A:A,'Sheridan Main'!B:B=C222),1))"),"https://dl.acm.org/doi/10.1145/3774904.3792724")</f>
        <v>https://dl.acm.org/doi/10.1145/3774904.3792724</v>
      </c>
      <c r="H222" s="189" t="s">
        <v>2850</v>
      </c>
      <c r="I222" s="189" t="s">
        <v>191</v>
      </c>
      <c r="J222" s="209"/>
      <c r="K222" s="147"/>
      <c r="L222" s="147"/>
      <c r="M222" s="209"/>
      <c r="N222" s="209"/>
      <c r="O222" s="209"/>
      <c r="P222" s="209"/>
      <c r="Q222" s="209"/>
      <c r="R222" s="209"/>
      <c r="S222" s="209"/>
      <c r="T222" s="209"/>
      <c r="U222" s="209"/>
      <c r="V222" s="209"/>
      <c r="W222" s="209"/>
      <c r="X222" s="209"/>
      <c r="Y222" s="209"/>
      <c r="Z222" s="209"/>
      <c r="AA222" s="209"/>
      <c r="AB222" s="209"/>
      <c r="AC222" s="209"/>
      <c r="AD222" s="209"/>
      <c r="AE222" s="209"/>
    </row>
    <row r="223">
      <c r="A223" s="208" t="s">
        <v>2887</v>
      </c>
      <c r="B223" s="189" t="str">
        <f>IFERROR(__xludf.DUMMYFUNCTION("FILTER ('Research Papers'!D:D,'Research Papers'!A:A=C223)"),"CFVBench: A Comprehensive Video Benchmark for Fine-grained Multimodal Retrieval-Augmented Generation")</f>
        <v>CFVBench: A Comprehensive Video Benchmark for Fine-grained Multimodal Retrieval-Augmented Generation</v>
      </c>
      <c r="C223" s="189" t="s">
        <v>1768</v>
      </c>
      <c r="D223" s="209" t="str">
        <f t="shared" si="1"/>
        <v>CFVBench: A Comprehensive Video Benchmark for Fine-grained Multimodal Retrieval-Augmented Generation
Kaiwen Wei, Xiao Liu, Jie Zhang, Zijian Wang, Ruida Liu,
Yuming Yang, Xin Xiao, Xiao Sun, Haoyang Zeng, Changzai
Pan, Yidan Zhang, Jiang Zhong, Peijin Wang and Yingchao Feng
</v>
      </c>
      <c r="E223" s="209" t="str">
        <f>IFERROR(__xludf.DUMMYFUNCTION("TEXTJOIN(CHAR(10), TRUE,FILTER('Research Papers'!$C:$C,'Research Papers'!$A:$A=C223))"),"Kaiwen Wei, Xiao Liu, Jie Zhang, Zijian Wang, Ruida Liu,
Yuming Yang, Xin Xiao, Xiao Sun, Haoyang Zeng, Changzai
Pan, Yidan Zhang, Jiang Zhong, Peijin Wang and Yingchao Feng")</f>
        <v>Kaiwen Wei, Xiao Liu, Jie Zhang, Zijian Wang, Ruida Liu,
Yuming Yang, Xin Xiao, Xiao Sun, Haoyang Zeng, Changzai
Pan, Yidan Zhang, Jiang Zhong, Peijin Wang and Yingchao Feng</v>
      </c>
      <c r="F223" s="209" t="str">
        <f>IFERROR(__xludf.DUMMYFUNCTION("TEXTJOIN(CHAR(10), TRUE,FILTER ('Sheridan Main'!E:E,'Sheridan Main'!B:B=C223))"),"weikaiwen@cqu.edu.cn")</f>
        <v>weikaiwen@cqu.edu.cn</v>
      </c>
      <c r="G223" s="210" t="str">
        <f>IFERROR(__xludf.DUMMYFUNCTION("CONCATENATE(""https://dl.acm.org/doi/"",INDEX(FILTER('Sheridan Main'!A:A,'Sheridan Main'!B:B=C223),1))"),"https://dl.acm.org/doi/10.1145/3774904.3792726")</f>
        <v>https://dl.acm.org/doi/10.1145/3774904.3792726</v>
      </c>
      <c r="H223" s="189" t="s">
        <v>2850</v>
      </c>
      <c r="I223" s="189" t="s">
        <v>191</v>
      </c>
      <c r="J223" s="209"/>
      <c r="K223" s="147"/>
      <c r="L223" s="147"/>
      <c r="M223" s="209"/>
      <c r="N223" s="209"/>
      <c r="O223" s="209"/>
      <c r="P223" s="209"/>
      <c r="Q223" s="209"/>
      <c r="R223" s="209"/>
      <c r="S223" s="209"/>
      <c r="T223" s="209"/>
      <c r="U223" s="209"/>
      <c r="V223" s="209"/>
      <c r="W223" s="209"/>
      <c r="X223" s="209"/>
      <c r="Y223" s="209"/>
      <c r="Z223" s="209"/>
      <c r="AA223" s="209"/>
      <c r="AB223" s="209"/>
      <c r="AC223" s="209"/>
      <c r="AD223" s="209"/>
      <c r="AE223" s="209"/>
    </row>
    <row r="224">
      <c r="A224" s="208" t="s">
        <v>2887</v>
      </c>
      <c r="B224" s="189" t="str">
        <f>IFERROR(__xludf.DUMMYFUNCTION("FILTER ('Research Papers'!D:D,'Research Papers'!A:A=C224)"),"TRACE: Trajectory-Aware Comprehensive Evaluation for Deep Research Agents")</f>
        <v>TRACE: Trajectory-Aware Comprehensive Evaluation for Deep Research Agents</v>
      </c>
      <c r="C224" s="189" t="s">
        <v>1792</v>
      </c>
      <c r="D224" s="209" t="str">
        <f t="shared" si="1"/>
        <v>TRACE: Trajectory-Aware Comprehensive Evaluation for Deep Research Agents
Yanyu Chen, Jiyue Jiang, Jiahong Liu, Yifei Zhang, Xiao Guo
and Irwin King
</v>
      </c>
      <c r="E224" s="209" t="str">
        <f>IFERROR(__xludf.DUMMYFUNCTION("TEXTJOIN(CHAR(10), TRUE,FILTER('Research Papers'!$C:$C,'Research Papers'!$A:$A=C224))"),"Yanyu Chen, Jiyue Jiang, Jiahong Liu, Yifei Zhang, Xiao Guo
and Irwin King")</f>
        <v>Yanyu Chen, Jiyue Jiang, Jiahong Liu, Yifei Zhang, Xiao Guo
and Irwin King</v>
      </c>
      <c r="F224" s="209" t="str">
        <f>IFERROR(__xludf.DUMMYFUNCTION("TEXTJOIN(CHAR(10), TRUE,FILTER ('Sheridan Main'!E:E,'Sheridan Main'!B:B=C224))"),"1155241043@link.cuhk.edu.hk")</f>
        <v>1155241043@link.cuhk.edu.hk</v>
      </c>
      <c r="G224" s="210" t="str">
        <f>IFERROR(__xludf.DUMMYFUNCTION("CONCATENATE(""https://dl.acm.org/doi/"",INDEX(FILTER('Sheridan Main'!A:A,'Sheridan Main'!B:B=C224),1))"),"https://dl.acm.org/doi/10.1145/3774904.3792738")</f>
        <v>https://dl.acm.org/doi/10.1145/3774904.3792738</v>
      </c>
      <c r="H224" s="189" t="s">
        <v>2850</v>
      </c>
      <c r="I224" s="189" t="s">
        <v>191</v>
      </c>
      <c r="J224" s="209"/>
      <c r="K224" s="147"/>
      <c r="L224" s="147"/>
      <c r="M224" s="209"/>
      <c r="N224" s="209"/>
      <c r="O224" s="209"/>
      <c r="P224" s="209"/>
      <c r="Q224" s="209"/>
      <c r="R224" s="209"/>
      <c r="S224" s="209"/>
      <c r="T224" s="209"/>
      <c r="U224" s="209"/>
      <c r="V224" s="209"/>
      <c r="W224" s="209"/>
      <c r="X224" s="209"/>
      <c r="Y224" s="209"/>
      <c r="Z224" s="209"/>
      <c r="AA224" s="209"/>
      <c r="AB224" s="209"/>
      <c r="AC224" s="209"/>
      <c r="AD224" s="209"/>
      <c r="AE224" s="209"/>
    </row>
    <row r="225">
      <c r="A225" s="208" t="s">
        <v>2891</v>
      </c>
      <c r="B225" s="189" t="str">
        <f>IFERROR(__xludf.DUMMYFUNCTION("FILTER ('Research Papers'!D:D,'Research Papers'!A:A=C225)"),"Multimodal Graph Conditioned Diffusion Model for Video Captioning")</f>
        <v>Multimodal Graph Conditioned Diffusion Model for Video Captioning</v>
      </c>
      <c r="C225" s="189" t="s">
        <v>490</v>
      </c>
      <c r="D225" s="209" t="str">
        <f t="shared" si="1"/>
        <v>Multimodal Graph Conditioned Diffusion Model for Video Captioning
Benhui Zhang, Junyu Gao and Yuan Yuan
</v>
      </c>
      <c r="E225" s="209" t="str">
        <f>IFERROR(__xludf.DUMMYFUNCTION("TEXTJOIN(CHAR(10), TRUE,FILTER('Research Papers'!$C:$C,'Research Papers'!$A:$A=C225))"),"Benhui Zhang, Junyu Gao and Yuan Yuan")</f>
        <v>Benhui Zhang, Junyu Gao and Yuan Yuan</v>
      </c>
      <c r="F225" s="209" t="str">
        <f>IFERROR(__xludf.DUMMYFUNCTION("TEXTJOIN(CHAR(10), TRUE,FILTER ('Sheridan Main'!E:E,'Sheridan Main'!B:B=C225))"),"zhangbh0208@gmail.com")</f>
        <v>zhangbh0208@gmail.com</v>
      </c>
      <c r="G225" s="210" t="str">
        <f>IFERROR(__xludf.DUMMYFUNCTION("CONCATENATE(""https://dl.acm.org/doi/"",INDEX(FILTER('Sheridan Main'!A:A,'Sheridan Main'!B:B=C225),1))"),"https://dl.acm.org/doi/10.1145/3774904.3792087")</f>
        <v>https://dl.acm.org/doi/10.1145/3774904.3792087</v>
      </c>
      <c r="H225" s="189" t="s">
        <v>175</v>
      </c>
      <c r="I225" s="209"/>
      <c r="J225" s="209"/>
      <c r="K225" s="147"/>
      <c r="L225" s="147"/>
      <c r="M225" s="209"/>
      <c r="N225" s="209"/>
      <c r="O225" s="209"/>
      <c r="P225" s="209"/>
      <c r="Q225" s="209"/>
      <c r="R225" s="209"/>
      <c r="S225" s="209"/>
      <c r="T225" s="209"/>
      <c r="U225" s="209"/>
      <c r="V225" s="209"/>
      <c r="W225" s="209"/>
      <c r="X225" s="209"/>
      <c r="Y225" s="209"/>
      <c r="Z225" s="209"/>
      <c r="AA225" s="209"/>
      <c r="AB225" s="209"/>
      <c r="AC225" s="209"/>
      <c r="AD225" s="209"/>
      <c r="AE225" s="209"/>
    </row>
    <row r="226">
      <c r="A226" s="208" t="s">
        <v>2891</v>
      </c>
      <c r="B226" s="189" t="str">
        <f>IFERROR(__xludf.DUMMYFUNCTION("FILTER ('Research Papers'!D:D,'Research Papers'!A:A=C226)"),"MMTableBench: A Multi-level Multimodal Benchmark for Reasoning and Layout Complexity in Table QA")</f>
        <v>MMTableBench: A Multi-level Multimodal Benchmark for Reasoning and Layout Complexity in Table QA</v>
      </c>
      <c r="C226" s="189" t="s">
        <v>1050</v>
      </c>
      <c r="D226" s="209" t="str">
        <f t="shared" si="1"/>
        <v>MMTableBench: A Multi-level Multimodal Benchmark for Reasoning and Layout Complexity in Table QA
Xianjie Wu, Xiaohang Xu, Tingyu Jiang, Jian Yang, Di Liang,
Xianfu Cheng, Zhenhe Wu, Linzheng Chai, Wei Zhang, Jiaheng
Liu, Ge Zhang, Bob Simons, Tongliang Li and Zhoujun Li
</v>
      </c>
      <c r="E226" s="209" t="str">
        <f>IFERROR(__xludf.DUMMYFUNCTION("TEXTJOIN(CHAR(10), TRUE,FILTER('Research Papers'!$C:$C,'Research Papers'!$A:$A=C226))"),"Xianjie Wu, Xiaohang Xu, Tingyu Jiang, Jian Yang, Di Liang,
Xianfu Cheng, Zhenhe Wu, Linzheng Chai, Wei Zhang, Jiaheng
Liu, Ge Zhang, Bob Simons, Tongliang Li and Zhoujun Li")</f>
        <v>Xianjie Wu, Xiaohang Xu, Tingyu Jiang, Jian Yang, Di Liang,
Xianfu Cheng, Zhenhe Wu, Linzheng Chai, Wei Zhang, Jiaheng
Liu, Ge Zhang, Bob Simons, Tongliang Li and Zhoujun Li</v>
      </c>
      <c r="F226" s="209" t="str">
        <f>IFERROR(__xludf.DUMMYFUNCTION("TEXTJOIN(CHAR(10), TRUE,FILTER ('Sheridan Main'!E:E,'Sheridan Main'!B:B=C226))"),"jiaya@buaa.edu.cn")</f>
        <v>jiaya@buaa.edu.cn</v>
      </c>
      <c r="G226" s="210" t="str">
        <f>IFERROR(__xludf.DUMMYFUNCTION("CONCATENATE(""https://dl.acm.org/doi/"",INDEX(FILTER('Sheridan Main'!A:A,'Sheridan Main'!B:B=C226),1))"),"https://dl.acm.org/doi/10.1145/3774904.3792367")</f>
        <v>https://dl.acm.org/doi/10.1145/3774904.3792367</v>
      </c>
      <c r="H226" s="189" t="s">
        <v>175</v>
      </c>
      <c r="I226" s="209"/>
      <c r="J226" s="209"/>
      <c r="K226" s="147"/>
      <c r="L226" s="147"/>
      <c r="M226" s="209"/>
      <c r="N226" s="209"/>
      <c r="O226" s="209"/>
      <c r="P226" s="209"/>
      <c r="Q226" s="209"/>
      <c r="R226" s="209"/>
      <c r="S226" s="209"/>
      <c r="T226" s="209"/>
      <c r="U226" s="209"/>
      <c r="V226" s="209"/>
      <c r="W226" s="209"/>
      <c r="X226" s="209"/>
      <c r="Y226" s="209"/>
      <c r="Z226" s="209"/>
      <c r="AA226" s="209"/>
      <c r="AB226" s="209"/>
      <c r="AC226" s="209"/>
      <c r="AD226" s="209"/>
      <c r="AE226" s="209"/>
    </row>
    <row r="227">
      <c r="A227" s="208" t="s">
        <v>2891</v>
      </c>
      <c r="B227" s="189" t="str">
        <f>IFERROR(__xludf.DUMMYFUNCTION("FILTER ('Research Papers'!D:D,'Research Papers'!A:A=C227)"),"Adaptive Task Balancing for Visual Instruction Tuning via Inter-Task Contribution and Intra-Task Difficulty")</f>
        <v>Adaptive Task Balancing for Visual Instruction Tuning via Inter-Task Contribution and Intra-Task Difficulty</v>
      </c>
      <c r="C227" s="189" t="s">
        <v>1058</v>
      </c>
      <c r="D227" s="209" t="str">
        <f t="shared" si="1"/>
        <v>Adaptive Task Balancing for Visual Instruction Tuning via Inter-Task Contribution and Intra-Task Difficulty
Yanqi Dai, Yong Wang, Zebin You, Dong Jing, Xiangxiang Chu
and Zhiwu Lu
</v>
      </c>
      <c r="E227" s="209" t="str">
        <f>IFERROR(__xludf.DUMMYFUNCTION("TEXTJOIN(CHAR(10), TRUE,FILTER('Research Papers'!$C:$C,'Research Papers'!$A:$A=C227))"),"Yanqi Dai, Yong Wang, Zebin You, Dong Jing, Xiangxiang Chu
and Zhiwu Lu")</f>
        <v>Yanqi Dai, Yong Wang, Zebin You, Dong Jing, Xiangxiang Chu
and Zhiwu Lu</v>
      </c>
      <c r="F227" s="209" t="str">
        <f>IFERROR(__xludf.DUMMYFUNCTION("TEXTJOIN(CHAR(10), TRUE,FILTER ('Sheridan Main'!E:E,'Sheridan Main'!B:B=C227))"),"luzhiwu@ruc.edu.cn")</f>
        <v>luzhiwu@ruc.edu.cn</v>
      </c>
      <c r="G227" s="210" t="str">
        <f>IFERROR(__xludf.DUMMYFUNCTION("CONCATENATE(""https://dl.acm.org/doi/"",INDEX(FILTER('Sheridan Main'!A:A,'Sheridan Main'!B:B=C227),1))"),"https://dl.acm.org/doi/10.1145/3774904.3792371")</f>
        <v>https://dl.acm.org/doi/10.1145/3774904.3792371</v>
      </c>
      <c r="H227" s="189" t="s">
        <v>175</v>
      </c>
      <c r="I227" s="209"/>
      <c r="J227" s="209"/>
      <c r="K227" s="147"/>
      <c r="L227" s="147"/>
      <c r="M227" s="209"/>
      <c r="N227" s="209"/>
      <c r="O227" s="209"/>
      <c r="P227" s="209"/>
      <c r="Q227" s="209"/>
      <c r="R227" s="209"/>
      <c r="S227" s="209"/>
      <c r="T227" s="209"/>
      <c r="U227" s="209"/>
      <c r="V227" s="209"/>
      <c r="W227" s="209"/>
      <c r="X227" s="209"/>
      <c r="Y227" s="209"/>
      <c r="Z227" s="209"/>
      <c r="AA227" s="209"/>
      <c r="AB227" s="209"/>
      <c r="AC227" s="209"/>
      <c r="AD227" s="209"/>
      <c r="AE227" s="209"/>
    </row>
    <row r="228">
      <c r="A228" s="208" t="s">
        <v>2891</v>
      </c>
      <c r="B228" s="189" t="str">
        <f>IFERROR(__xludf.DUMMYFUNCTION("FILTER ('Research Papers'!D:D,'Research Papers'!A:A=C228)"),"Multimodal Trajectory Representation Learning for Travel Time Estimation")</f>
        <v>Multimodal Trajectory Representation Learning for Travel Time Estimation</v>
      </c>
      <c r="C228" s="189" t="s">
        <v>1092</v>
      </c>
      <c r="D228" s="209" t="str">
        <f t="shared" si="1"/>
        <v>Multimodal Trajectory Representation Learning for Travel Time Estimation
Zhi Liu, Xuyuan Hu, Xiao Han, Zhehao Dai, Zhaolin Deng,
Guojiang Shen and Xiangjie Kong
</v>
      </c>
      <c r="E228" s="209" t="str">
        <f>IFERROR(__xludf.DUMMYFUNCTION("TEXTJOIN(CHAR(10), TRUE,FILTER('Research Papers'!$C:$C,'Research Papers'!$A:$A=C228))"),"Zhi Liu, Xuyuan Hu, Xiao Han, Zhehao Dai, Zhaolin Deng,
Guojiang Shen and Xiangjie Kong")</f>
        <v>Zhi Liu, Xuyuan Hu, Xiao Han, Zhehao Dai, Zhaolin Deng,
Guojiang Shen and Xiangjie Kong</v>
      </c>
      <c r="F228" s="209" t="str">
        <f>IFERROR(__xludf.DUMMYFUNCTION("TEXTJOIN(CHAR(10), TRUE,FILTER ('Sheridan Main'!E:E,'Sheridan Main'!B:B=C228))"),"hahahenha@gmail.com")</f>
        <v>hahahenha@gmail.com</v>
      </c>
      <c r="G228" s="210" t="str">
        <f>IFERROR(__xludf.DUMMYFUNCTION("CONCATENATE(""https://dl.acm.org/doi/"",INDEX(FILTER('Sheridan Main'!A:A,'Sheridan Main'!B:B=C228),1))"),"https://dl.acm.org/doi/10.1145/3774904.3792388")</f>
        <v>https://dl.acm.org/doi/10.1145/3774904.3792388</v>
      </c>
      <c r="H228" s="189" t="s">
        <v>175</v>
      </c>
      <c r="I228" s="209"/>
      <c r="J228" s="209"/>
      <c r="K228" s="147"/>
      <c r="L228" s="147"/>
      <c r="M228" s="209"/>
      <c r="N228" s="209"/>
      <c r="O228" s="209"/>
      <c r="P228" s="209"/>
      <c r="Q228" s="209"/>
      <c r="R228" s="209"/>
      <c r="S228" s="209"/>
      <c r="T228" s="209"/>
      <c r="U228" s="209"/>
      <c r="V228" s="209"/>
      <c r="W228" s="209"/>
      <c r="X228" s="209"/>
      <c r="Y228" s="209"/>
      <c r="Z228" s="209"/>
      <c r="AA228" s="209"/>
      <c r="AB228" s="209"/>
      <c r="AC228" s="209"/>
      <c r="AD228" s="209"/>
      <c r="AE228" s="209"/>
    </row>
    <row r="229">
      <c r="A229" s="208" t="s">
        <v>2891</v>
      </c>
      <c r="B229" s="189" t="str">
        <f>IFERROR(__xludf.DUMMYFUNCTION("FILTER ('Research Papers'!D:D,'Research Papers'!A:A=C229)"),"Towards Foundation Models for MMKG: Multi-Task Inductive Generalization via Task-Aware Routing")</f>
        <v>Towards Foundation Models for MMKG: Multi-Task Inductive Generalization via Task-Aware Routing</v>
      </c>
      <c r="C229" s="189" t="s">
        <v>1754</v>
      </c>
      <c r="D229" s="209" t="str">
        <f t="shared" si="1"/>
        <v>Towards Foundation Models for MMKG: Multi-Task Inductive Generalization via Task-Aware Routing
Shundong Yang, Jing Yang, Xiaowen Jiang, Xiaofen Wang,
Laurence T. Yang, Yuan Gao, Xinfa Jiang, Jie Chen and
Chaojun Zhang
</v>
      </c>
      <c r="E229" s="209" t="str">
        <f>IFERROR(__xludf.DUMMYFUNCTION("TEXTJOIN(CHAR(10), TRUE,FILTER('Research Papers'!$C:$C,'Research Papers'!$A:$A=C229))"),"Shundong Yang, Jing Yang, Xiaowen Jiang, Xiaofen Wang,
Laurence T. Yang, Yuan Gao, Xinfa Jiang, Jie Chen and
Chaojun Zhang")</f>
        <v>Shundong Yang, Jing Yang, Xiaowen Jiang, Xiaofen Wang,
Laurence T. Yang, Yuan Gao, Xinfa Jiang, Jie Chen and
Chaojun Zhang</v>
      </c>
      <c r="F229" s="209" t="str">
        <f>IFERROR(__xludf.DUMMYFUNCTION("TEXTJOIN(CHAR(10), TRUE,FILTER ('Sheridan Main'!E:E,'Sheridan Main'!B:B=C229))"),"yangjinghust123@gmail.com")</f>
        <v>yangjinghust123@gmail.com</v>
      </c>
      <c r="G229" s="210" t="str">
        <f>IFERROR(__xludf.DUMMYFUNCTION("CONCATENATE(""https://dl.acm.org/doi/"",INDEX(FILTER('Sheridan Main'!A:A,'Sheridan Main'!B:B=C229),1))"),"https://dl.acm.org/doi/10.1145/3774904.3792719")</f>
        <v>https://dl.acm.org/doi/10.1145/3774904.3792719</v>
      </c>
      <c r="H229" s="189" t="s">
        <v>175</v>
      </c>
      <c r="I229" s="209"/>
      <c r="J229" s="209"/>
      <c r="K229" s="147"/>
      <c r="L229" s="147"/>
      <c r="M229" s="209"/>
      <c r="N229" s="209"/>
      <c r="O229" s="209"/>
      <c r="P229" s="209"/>
      <c r="Q229" s="209"/>
      <c r="R229" s="209"/>
      <c r="S229" s="209"/>
      <c r="T229" s="209"/>
      <c r="U229" s="209"/>
      <c r="V229" s="209"/>
      <c r="W229" s="209"/>
      <c r="X229" s="209"/>
      <c r="Y229" s="209"/>
      <c r="Z229" s="209"/>
      <c r="AA229" s="209"/>
      <c r="AB229" s="209"/>
      <c r="AC229" s="209"/>
      <c r="AD229" s="209"/>
      <c r="AE229" s="209"/>
    </row>
    <row r="230">
      <c r="A230" s="208" t="s">
        <v>2891</v>
      </c>
      <c r="B230" s="189" t="str">
        <f>IFERROR(__xludf.DUMMYFUNCTION("FILTER ('Research Papers'!D:D,'Research Papers'!A:A=C230)"),"ReaLM: Residual Quantization Bridges Knowledge Graph Embeddings and Large Language Models")</f>
        <v>ReaLM: Residual Quantization Bridges Knowledge Graph Embeddings and Large Language Models</v>
      </c>
      <c r="C230" s="189" t="s">
        <v>1190</v>
      </c>
      <c r="D230" s="209" t="str">
        <f t="shared" si="1"/>
        <v>ReaLM: Residual Quantization Bridges Knowledge Graph Embeddings and Large Language Models
Wenbin Guo, Xin Wang, Jiaoyan Chen, Lingbing Guo, Zhao Li
and Zirui Chen
</v>
      </c>
      <c r="E230" s="209" t="str">
        <f>IFERROR(__xludf.DUMMYFUNCTION("TEXTJOIN(CHAR(10), TRUE,FILTER('Research Papers'!$C:$C,'Research Papers'!$A:$A=C230))"),"Wenbin Guo, Xin Wang, Jiaoyan Chen, Lingbing Guo, Zhao Li
and Zirui Chen")</f>
        <v>Wenbin Guo, Xin Wang, Jiaoyan Chen, Lingbing Guo, Zhao Li
and Zirui Chen</v>
      </c>
      <c r="F230" s="209" t="str">
        <f>IFERROR(__xludf.DUMMYFUNCTION("TEXTJOIN(CHAR(10), TRUE,FILTER ('Sheridan Main'!E:E,'Sheridan Main'!B:B=C230))"),"wangx@tju.edu.cn")</f>
        <v>wangx@tju.edu.cn</v>
      </c>
      <c r="G230" s="210" t="str">
        <f>IFERROR(__xludf.DUMMYFUNCTION("CONCATENATE(""https://dl.acm.org/doi/"",INDEX(FILTER('Sheridan Main'!A:A,'Sheridan Main'!B:B=C230),1))"),"https://dl.acm.org/doi/10.1145/3774904.3792437")</f>
        <v>https://dl.acm.org/doi/10.1145/3774904.3792437</v>
      </c>
      <c r="H230" s="189" t="s">
        <v>201</v>
      </c>
      <c r="I230" s="209"/>
      <c r="J230" s="209"/>
      <c r="K230" s="147"/>
      <c r="L230" s="147"/>
      <c r="M230" s="209"/>
      <c r="N230" s="209"/>
      <c r="O230" s="209"/>
      <c r="P230" s="209"/>
      <c r="Q230" s="209"/>
      <c r="R230" s="209"/>
      <c r="S230" s="209"/>
      <c r="T230" s="209"/>
      <c r="U230" s="209"/>
      <c r="V230" s="209"/>
      <c r="W230" s="209"/>
      <c r="X230" s="209"/>
      <c r="Y230" s="209"/>
      <c r="Z230" s="209"/>
      <c r="AA230" s="209"/>
      <c r="AB230" s="209"/>
      <c r="AC230" s="209"/>
      <c r="AD230" s="209"/>
      <c r="AE230" s="209"/>
    </row>
    <row r="231">
      <c r="A231" s="208" t="s">
        <v>2891</v>
      </c>
      <c r="B231" s="189" t="str">
        <f>IFERROR(__xludf.DUMMYFUNCTION("FILTER ('Research Papers'!D:D,'Research Papers'!A:A=C231)"),"Language Model Representations for Efficient Few-Shot Tabular Classification")</f>
        <v>Language Model Representations for Efficient Few-Shot Tabular Classification</v>
      </c>
      <c r="C231" s="189" t="s">
        <v>1270</v>
      </c>
      <c r="D231" s="209" t="str">
        <f t="shared" si="1"/>
        <v>Language Model Representations for Efficient Few-Shot Tabular Classification
Inwon Kang, Parikshit Ram, Yi Zhou, Horst Samulowitz and
Oshani Seneviratne
</v>
      </c>
      <c r="E231" s="209" t="str">
        <f>IFERROR(__xludf.DUMMYFUNCTION("TEXTJOIN(CHAR(10), TRUE,FILTER('Research Papers'!$C:$C,'Research Papers'!$A:$A=C231))"),"Inwon Kang, Parikshit Ram, Yi Zhou, Horst Samulowitz and
Oshani Seneviratne")</f>
        <v>Inwon Kang, Parikshit Ram, Yi Zhou, Horst Samulowitz and
Oshani Seneviratne</v>
      </c>
      <c r="F231" s="209" t="str">
        <f>IFERROR(__xludf.DUMMYFUNCTION("TEXTJOIN(CHAR(10), TRUE,FILTER ('Sheridan Main'!E:E,'Sheridan Main'!B:B=C231))"),"kangi@rpi.edu")</f>
        <v>kangi@rpi.edu</v>
      </c>
      <c r="G231" s="210" t="str">
        <f>IFERROR(__xludf.DUMMYFUNCTION("CONCATENATE(""https://dl.acm.org/doi/"",INDEX(FILTER('Sheridan Main'!A:A,'Sheridan Main'!B:B=C231),1))"),"https://dl.acm.org/doi/10.1145/3774904.3792477")</f>
        <v>https://dl.acm.org/doi/10.1145/3774904.3792477</v>
      </c>
      <c r="H231" s="189" t="s">
        <v>201</v>
      </c>
      <c r="I231" s="209"/>
      <c r="J231" s="209"/>
      <c r="K231" s="147"/>
      <c r="L231" s="147"/>
      <c r="M231" s="209"/>
      <c r="N231" s="209"/>
      <c r="O231" s="209"/>
      <c r="P231" s="209"/>
      <c r="Q231" s="209"/>
      <c r="R231" s="209"/>
      <c r="S231" s="209"/>
      <c r="T231" s="209"/>
      <c r="U231" s="209"/>
      <c r="V231" s="209"/>
      <c r="W231" s="209"/>
      <c r="X231" s="209"/>
      <c r="Y231" s="209"/>
      <c r="Z231" s="209"/>
      <c r="AA231" s="209"/>
      <c r="AB231" s="209"/>
      <c r="AC231" s="209"/>
      <c r="AD231" s="209"/>
      <c r="AE231" s="209"/>
    </row>
    <row r="232">
      <c r="A232" s="208" t="s">
        <v>2891</v>
      </c>
      <c r="B232" s="189" t="str">
        <f>IFERROR(__xludf.DUMMYFUNCTION("FILTER ('Research Papers'!D:D,'Research Papers'!A:A=C232)"),"KG-BiLM: Knowledge Graph Embedding via Bidirectional Language Models")</f>
        <v>KG-BiLM: Knowledge Graph Embedding via Bidirectional Language Models</v>
      </c>
      <c r="C232" s="189" t="s">
        <v>1624</v>
      </c>
      <c r="D232" s="209" t="str">
        <f t="shared" si="1"/>
        <v>KG-BiLM: Knowledge Graph Embedding via Bidirectional Language Models
Zirui Chen, Xin Wang, Zhao Li, Wenbin Guo, Dongxiao He,
Yanbing Li and Wushour Silamu
</v>
      </c>
      <c r="E232" s="209" t="str">
        <f>IFERROR(__xludf.DUMMYFUNCTION("TEXTJOIN(CHAR(10), TRUE,FILTER('Research Papers'!$C:$C,'Research Papers'!$A:$A=C232))"),"Zirui Chen, Xin Wang, Zhao Li, Wenbin Guo, Dongxiao He,
Yanbing Li and Wushour Silamu")</f>
        <v>Zirui Chen, Xin Wang, Zhao Li, Wenbin Guo, Dongxiao He,
Yanbing Li and Wushour Silamu</v>
      </c>
      <c r="F232" s="209" t="str">
        <f>IFERROR(__xludf.DUMMYFUNCTION("TEXTJOIN(CHAR(10), TRUE,FILTER ('Sheridan Main'!E:E,'Sheridan Main'!B:B=C232))"),"zrchen@tju.edu.cn")</f>
        <v>zrchen@tju.edu.cn</v>
      </c>
      <c r="G232" s="210" t="str">
        <f>IFERROR(__xludf.DUMMYFUNCTION("CONCATENATE(""https://dl.acm.org/doi/"",INDEX(FILTER('Sheridan Main'!A:A,'Sheridan Main'!B:B=C232),1))"),"https://dl.acm.org/doi/10.1145/3774904.3792654")</f>
        <v>https://dl.acm.org/doi/10.1145/3774904.3792654</v>
      </c>
      <c r="H232" s="189" t="s">
        <v>201</v>
      </c>
      <c r="I232" s="209"/>
      <c r="J232" s="209"/>
      <c r="K232" s="147"/>
      <c r="L232" s="147"/>
      <c r="M232" s="209"/>
      <c r="N232" s="209"/>
      <c r="O232" s="209"/>
      <c r="P232" s="209"/>
      <c r="Q232" s="209"/>
      <c r="R232" s="209"/>
      <c r="S232" s="209"/>
      <c r="T232" s="209"/>
      <c r="U232" s="209"/>
      <c r="V232" s="209"/>
      <c r="W232" s="209"/>
      <c r="X232" s="209"/>
      <c r="Y232" s="209"/>
      <c r="Z232" s="209"/>
      <c r="AA232" s="209"/>
      <c r="AB232" s="209"/>
      <c r="AC232" s="209"/>
      <c r="AD232" s="209"/>
      <c r="AE232" s="209"/>
    </row>
    <row r="233">
      <c r="A233" s="208" t="s">
        <v>2891</v>
      </c>
      <c r="B233" s="189" t="str">
        <f>IFERROR(__xludf.DUMMYFUNCTION("FILTER ('Research Papers'!D:D,'Research Papers'!A:A=C233)"),"TaxoBell: Gaussian Box Embeddings for Self-Supervised Taxonomy Expansion")</f>
        <v>TaxoBell: Gaussian Box Embeddings for Self-Supervised Taxonomy Expansion</v>
      </c>
      <c r="C233" s="189" t="s">
        <v>1664</v>
      </c>
      <c r="D233" s="209" t="str">
        <f t="shared" si="1"/>
        <v>TaxoBell: Gaussian Box Embeddings for Self-Supervised Taxonomy Expansion
Sahil Mishra, Srinitish Srinivasan, Srikanta Bedathur and
Tanmoy Chakraborty
</v>
      </c>
      <c r="E233" s="209" t="str">
        <f>IFERROR(__xludf.DUMMYFUNCTION("TEXTJOIN(CHAR(10), TRUE,FILTER('Research Papers'!$C:$C,'Research Papers'!$A:$A=C233))"),"Sahil Mishra, Srinitish Srinivasan, Srikanta Bedathur and
Tanmoy Chakraborty")</f>
        <v>Sahil Mishra, Srinitish Srinivasan, Srikanta Bedathur and
Tanmoy Chakraborty</v>
      </c>
      <c r="F233" s="209" t="str">
        <f>IFERROR(__xludf.DUMMYFUNCTION("TEXTJOIN(CHAR(10), TRUE,FILTER ('Sheridan Main'!E:E,'Sheridan Main'!B:B=C233))"),"sahilmishra32@gmail.com")</f>
        <v>sahilmishra32@gmail.com</v>
      </c>
      <c r="G233" s="210" t="str">
        <f>IFERROR(__xludf.DUMMYFUNCTION("CONCATENATE(""https://dl.acm.org/doi/"",INDEX(FILTER('Sheridan Main'!A:A,'Sheridan Main'!B:B=C233),1))"),"https://dl.acm.org/doi/10.1145/3774904.3792674")</f>
        <v>https://dl.acm.org/doi/10.1145/3774904.3792674</v>
      </c>
      <c r="H233" s="189" t="s">
        <v>201</v>
      </c>
      <c r="I233" s="209"/>
      <c r="J233" s="209"/>
      <c r="K233" s="147"/>
      <c r="L233" s="147"/>
      <c r="M233" s="209"/>
      <c r="N233" s="209"/>
      <c r="O233" s="209"/>
      <c r="P233" s="209"/>
      <c r="Q233" s="209"/>
      <c r="R233" s="209"/>
      <c r="S233" s="209"/>
      <c r="T233" s="209"/>
      <c r="U233" s="209"/>
      <c r="V233" s="209"/>
      <c r="W233" s="209"/>
      <c r="X233" s="209"/>
      <c r="Y233" s="209"/>
      <c r="Z233" s="209"/>
      <c r="AA233" s="209"/>
      <c r="AB233" s="209"/>
      <c r="AC233" s="209"/>
      <c r="AD233" s="209"/>
      <c r="AE233" s="209"/>
    </row>
    <row r="234">
      <c r="A234" s="208" t="s">
        <v>2891</v>
      </c>
      <c r="B234" s="189" t="str">
        <f>IFERROR(__xludf.DUMMYFUNCTION("FILTER ('Research Papers'!D:D,'Research Papers'!A:A=C234)"),"Node Role-Guided LLMs for Dynamic Graph Clustering")</f>
        <v>Node Role-Guided LLMs for Dynamic Graph Clustering</v>
      </c>
      <c r="C234" s="189" t="s">
        <v>1724</v>
      </c>
      <c r="D234" s="209" t="str">
        <f t="shared" si="1"/>
        <v>Node Role-Guided LLMs for Dynamic Graph Clustering
Dongyuan Li, Ying Zhang, Yaozu Wu and Renhe Jiang
</v>
      </c>
      <c r="E234" s="209" t="str">
        <f>IFERROR(__xludf.DUMMYFUNCTION("TEXTJOIN(CHAR(10), TRUE,FILTER('Research Papers'!$C:$C,'Research Papers'!$A:$A=C234))"),"Dongyuan Li, Ying Zhang, Yaozu Wu and Renhe Jiang")</f>
        <v>Dongyuan Li, Ying Zhang, Yaozu Wu and Renhe Jiang</v>
      </c>
      <c r="F234" s="209" t="str">
        <f>IFERROR(__xludf.DUMMYFUNCTION("TEXTJOIN(CHAR(10), TRUE,FILTER ('Sheridan Main'!E:E,'Sheridan Main'!B:B=C234))"),"jiangrh@csis.u-tokyo.ac.jp")</f>
        <v>jiangrh@csis.u-tokyo.ac.jp</v>
      </c>
      <c r="G234" s="210" t="str">
        <f>IFERROR(__xludf.DUMMYFUNCTION("CONCATENATE(""https://dl.acm.org/doi/"",INDEX(FILTER('Sheridan Main'!A:A,'Sheridan Main'!B:B=C234),1))"),"https://dl.acm.org/doi/10.1145/3774904.3792704")</f>
        <v>https://dl.acm.org/doi/10.1145/3774904.3792704</v>
      </c>
      <c r="H234" s="189" t="s">
        <v>201</v>
      </c>
      <c r="I234" s="209"/>
      <c r="J234" s="209"/>
      <c r="K234" s="147"/>
      <c r="L234" s="147"/>
      <c r="M234" s="209"/>
      <c r="N234" s="209"/>
      <c r="O234" s="209"/>
      <c r="P234" s="209"/>
      <c r="Q234" s="209"/>
      <c r="R234" s="209"/>
      <c r="S234" s="209"/>
      <c r="T234" s="209"/>
      <c r="U234" s="209"/>
      <c r="V234" s="209"/>
      <c r="W234" s="209"/>
      <c r="X234" s="209"/>
      <c r="Y234" s="209"/>
      <c r="Z234" s="209"/>
      <c r="AA234" s="209"/>
      <c r="AB234" s="209"/>
      <c r="AC234" s="209"/>
      <c r="AD234" s="209"/>
      <c r="AE234" s="209"/>
    </row>
    <row r="235">
      <c r="A235" s="208" t="s">
        <v>2891</v>
      </c>
      <c r="B235" s="189" t="str">
        <f>IFERROR(__xludf.DUMMYFUNCTION("FILTER ('Research Papers'!D:D,'Research Papers'!A:A=C235)"),"Unifying Deductive and Abductive Reasoning in Knowledge Graphs with Masked Diffusion Model")</f>
        <v>Unifying Deductive and Abductive Reasoning in Knowledge Graphs with Masked Diffusion Model</v>
      </c>
      <c r="C235" s="189" t="s">
        <v>582</v>
      </c>
      <c r="D235" s="209" t="str">
        <f t="shared" si="1"/>
        <v>Unifying Deductive and Abductive Reasoning in Knowledge Graphs with Masked Diffusion Model
Yisen Gao, Jiaxin Bai, Yi Huang, Xingcheng Fu, Qingyun Sun
and Yangqiu Song
</v>
      </c>
      <c r="E235" s="209" t="str">
        <f>IFERROR(__xludf.DUMMYFUNCTION("TEXTJOIN(CHAR(10), TRUE,FILTER('Research Papers'!$C:$C,'Research Papers'!$A:$A=C235))"),"Yisen Gao, Jiaxin Bai, Yi Huang, Xingcheng Fu, Qingyun Sun
and Yangqiu Song")</f>
        <v>Yisen Gao, Jiaxin Bai, Yi Huang, Xingcheng Fu, Qingyun Sun
and Yangqiu Song</v>
      </c>
      <c r="F235" s="209" t="str">
        <f>IFERROR(__xludf.DUMMYFUNCTION("TEXTJOIN(CHAR(10), TRUE,FILTER ('Sheridan Main'!E:E,'Sheridan Main'!B:B=C235))"),"ygaodi@cse.ust.hk")</f>
        <v>ygaodi@cse.ust.hk</v>
      </c>
      <c r="G235" s="210" t="str">
        <f>IFERROR(__xludf.DUMMYFUNCTION("CONCATENATE(""https://dl.acm.org/doi/"",INDEX(FILTER('Sheridan Main'!A:A,'Sheridan Main'!B:B=C235),1))"),"https://dl.acm.org/doi/10.1145/3774904.3792133")</f>
        <v>https://dl.acm.org/doi/10.1145/3774904.3792133</v>
      </c>
      <c r="H235" s="189" t="s">
        <v>78</v>
      </c>
      <c r="I235" s="209"/>
      <c r="J235" s="209"/>
      <c r="K235" s="147"/>
      <c r="L235" s="147"/>
      <c r="M235" s="209"/>
      <c r="N235" s="209"/>
      <c r="O235" s="209"/>
      <c r="P235" s="209"/>
      <c r="Q235" s="209"/>
      <c r="R235" s="209"/>
      <c r="S235" s="209"/>
      <c r="T235" s="209"/>
      <c r="U235" s="209"/>
      <c r="V235" s="209"/>
      <c r="W235" s="209"/>
      <c r="X235" s="209"/>
      <c r="Y235" s="209"/>
      <c r="Z235" s="209"/>
      <c r="AA235" s="209"/>
      <c r="AB235" s="209"/>
      <c r="AC235" s="209"/>
      <c r="AD235" s="209"/>
      <c r="AE235" s="209"/>
    </row>
    <row r="236">
      <c r="A236" s="208" t="s">
        <v>2891</v>
      </c>
      <c r="B236" s="189" t="str">
        <f>IFERROR(__xludf.DUMMYFUNCTION("FILTER ('Research Papers'!D:D,'Research Papers'!A:A=C236)"),"Are LLMs Stable Formal Logic Translators in Logical Reasoning Across Linguistically Diversified Texts?")</f>
        <v>Are LLMs Stable Formal Logic Translators in Logical Reasoning Across Linguistically Diversified Texts?</v>
      </c>
      <c r="C236" s="189" t="s">
        <v>638</v>
      </c>
      <c r="D236" s="209" t="str">
        <f t="shared" si="1"/>
        <v>Are LLMs Stable Formal Logic Translators in Logical Reasoning Across Linguistically Diversified Texts?
Qingchuan Li, Jiatong Li, Zirui Liu, Mingyue Cheng, Yitong
Zhou, Yuting Zeng, Qi Liu and Tongxuan Liu
</v>
      </c>
      <c r="E236" s="209" t="str">
        <f>IFERROR(__xludf.DUMMYFUNCTION("TEXTJOIN(CHAR(10), TRUE,FILTER('Research Papers'!$C:$C,'Research Papers'!$A:$A=C236))"),"Qingchuan Li, Jiatong Li, Zirui Liu, Mingyue Cheng, Yitong
Zhou, Yuting Zeng, Qi Liu and Tongxuan Liu")</f>
        <v>Qingchuan Li, Jiatong Li, Zirui Liu, Mingyue Cheng, Yitong
Zhou, Yuting Zeng, Qi Liu and Tongxuan Liu</v>
      </c>
      <c r="F236" s="209" t="str">
        <f>IFERROR(__xludf.DUMMYFUNCTION("TEXTJOIN(CHAR(10), TRUE,FILTER ('Sheridan Main'!E:E,'Sheridan Main'!B:B=C236))"),"qiliuql@ustc.edu.cn")</f>
        <v>qiliuql@ustc.edu.cn</v>
      </c>
      <c r="G236" s="210" t="str">
        <f>IFERROR(__xludf.DUMMYFUNCTION("CONCATENATE(""https://dl.acm.org/doi/"",INDEX(FILTER('Sheridan Main'!A:A,'Sheridan Main'!B:B=C236),1))"),"https://dl.acm.org/doi/10.1145/3774904.3792161")</f>
        <v>https://dl.acm.org/doi/10.1145/3774904.3792161</v>
      </c>
      <c r="H236" s="189" t="s">
        <v>78</v>
      </c>
      <c r="I236" s="209"/>
      <c r="J236" s="209"/>
      <c r="K236" s="147"/>
      <c r="L236" s="147"/>
      <c r="M236" s="209"/>
      <c r="N236" s="209"/>
      <c r="O236" s="209"/>
      <c r="P236" s="209"/>
      <c r="Q236" s="209"/>
      <c r="R236" s="209"/>
      <c r="S236" s="209"/>
      <c r="T236" s="209"/>
      <c r="U236" s="209"/>
      <c r="V236" s="209"/>
      <c r="W236" s="209"/>
      <c r="X236" s="209"/>
      <c r="Y236" s="209"/>
      <c r="Z236" s="209"/>
      <c r="AA236" s="209"/>
      <c r="AB236" s="209"/>
      <c r="AC236" s="209"/>
      <c r="AD236" s="209"/>
      <c r="AE236" s="209"/>
    </row>
    <row r="237">
      <c r="A237" s="208" t="s">
        <v>2891</v>
      </c>
      <c r="B237" s="189" t="str">
        <f>IFERROR(__xludf.DUMMYFUNCTION("FILTER ('Research Papers'!D:D,'Research Papers'!A:A=C237)"),"Matrix as Plan: Structured Logical Reasoning with Feedback-Driven Replanning")</f>
        <v>Matrix as Plan: Structured Logical Reasoning with Feedback-Driven Replanning</v>
      </c>
      <c r="C237" s="189" t="s">
        <v>742</v>
      </c>
      <c r="D237" s="209" t="str">
        <f t="shared" si="1"/>
        <v>Matrix as Plan: Structured Logical Reasoning with Feedback-Driven Replanning
Ke Chen, Jiandian Zeng, Zihao Peng, Guo Li, Guangxue Zhang
and Tian Wang
</v>
      </c>
      <c r="E237" s="209" t="str">
        <f>IFERROR(__xludf.DUMMYFUNCTION("TEXTJOIN(CHAR(10), TRUE,FILTER('Research Papers'!$C:$C,'Research Papers'!$A:$A=C237))"),"Ke Chen, Jiandian Zeng, Zihao Peng, Guo Li, Guangxue Zhang
and Tian Wang")</f>
        <v>Ke Chen, Jiandian Zeng, Zihao Peng, Guo Li, Guangxue Zhang
and Tian Wang</v>
      </c>
      <c r="F237" s="209" t="str">
        <f>IFERROR(__xludf.DUMMYFUNCTION("TEXTJOIN(CHAR(10), TRUE,FILTER ('Sheridan Main'!E:E,'Sheridan Main'!B:B=C237))"),"tianwang@bnu.edu.cn")</f>
        <v>tianwang@bnu.edu.cn</v>
      </c>
      <c r="G237" s="210" t="str">
        <f>IFERROR(__xludf.DUMMYFUNCTION("CONCATENATE(""https://dl.acm.org/doi/"",INDEX(FILTER('Sheridan Main'!A:A,'Sheridan Main'!B:B=C237),1))"),"https://dl.acm.org/doi/10.1145/3774904.3792213")</f>
        <v>https://dl.acm.org/doi/10.1145/3774904.3792213</v>
      </c>
      <c r="H237" s="189" t="s">
        <v>78</v>
      </c>
      <c r="I237" s="209"/>
      <c r="J237" s="209"/>
      <c r="K237" s="147"/>
      <c r="L237" s="147"/>
      <c r="M237" s="209"/>
      <c r="N237" s="209"/>
      <c r="O237" s="209"/>
      <c r="P237" s="209"/>
      <c r="Q237" s="209"/>
      <c r="R237" s="209"/>
      <c r="S237" s="209"/>
      <c r="T237" s="209"/>
      <c r="U237" s="209"/>
      <c r="V237" s="209"/>
      <c r="W237" s="209"/>
      <c r="X237" s="209"/>
      <c r="Y237" s="209"/>
      <c r="Z237" s="209"/>
      <c r="AA237" s="209"/>
      <c r="AB237" s="209"/>
      <c r="AC237" s="209"/>
      <c r="AD237" s="209"/>
      <c r="AE237" s="209"/>
    </row>
    <row r="238">
      <c r="A238" s="208" t="s">
        <v>2891</v>
      </c>
      <c r="B238" s="189" t="str">
        <f>IFERROR(__xludf.DUMMYFUNCTION("FILTER ('Research Papers'!D:D,'Research Papers'!A:A=C238)"),"GraphCogent: Mitigating LLMs' Working Memory Constraints via Multi-Agent Collaboration in Complex Graph Understanding")</f>
        <v>GraphCogent: Mitigating LLMs' Working Memory Constraints via Multi-Agent Collaboration in Complex Graph Understanding</v>
      </c>
      <c r="C238" s="189" t="s">
        <v>944</v>
      </c>
      <c r="D238" s="209" t="str">
        <f t="shared" si="1"/>
        <v>GraphCogent: Mitigating LLMs' Working Memory Constraints via Multi-Agent Collaboration in Complex Graph Understanding
Rongzheng Wang, Shuang Liang, Qizhi Chen, Yihong Huang,
Muquan Li, Yizhuo Ma, Dongyang Zhang, Ke Qin and Man-Fai
Leung
</v>
      </c>
      <c r="E238" s="209" t="str">
        <f>IFERROR(__xludf.DUMMYFUNCTION("TEXTJOIN(CHAR(10), TRUE,FILTER('Research Papers'!$C:$C,'Research Papers'!$A:$A=C238))"),"Rongzheng Wang, Shuang Liang, Qizhi Chen, Yihong Huang,
Muquan Li, Yizhuo Ma, Dongyang Zhang, Ke Qin and Man-Fai
Leung")</f>
        <v>Rongzheng Wang, Shuang Liang, Qizhi Chen, Yihong Huang,
Muquan Li, Yizhuo Ma, Dongyang Zhang, Ke Qin and Man-Fai
Leung</v>
      </c>
      <c r="F238" s="209" t="str">
        <f>IFERROR(__xludf.DUMMYFUNCTION("TEXTJOIN(CHAR(10), TRUE,FILTER ('Sheridan Main'!E:E,'Sheridan Main'!B:B=C238))"),"shuangliang@uestc.edu.cn")</f>
        <v>shuangliang@uestc.edu.cn</v>
      </c>
      <c r="G238" s="210" t="str">
        <f>IFERROR(__xludf.DUMMYFUNCTION("CONCATENATE(""https://dl.acm.org/doi/"",INDEX(FILTER('Sheridan Main'!A:A,'Sheridan Main'!B:B=C238),1))"),"https://dl.acm.org/doi/10.1145/3774904.3792314")</f>
        <v>https://dl.acm.org/doi/10.1145/3774904.3792314</v>
      </c>
      <c r="H238" s="189" t="s">
        <v>78</v>
      </c>
      <c r="I238" s="209"/>
      <c r="J238" s="209"/>
      <c r="K238" s="147"/>
      <c r="L238" s="147"/>
      <c r="M238" s="209"/>
      <c r="N238" s="209"/>
      <c r="O238" s="209"/>
      <c r="P238" s="209"/>
      <c r="Q238" s="209"/>
      <c r="R238" s="209"/>
      <c r="S238" s="209"/>
      <c r="T238" s="209"/>
      <c r="U238" s="209"/>
      <c r="V238" s="209"/>
      <c r="W238" s="209"/>
      <c r="X238" s="209"/>
      <c r="Y238" s="209"/>
      <c r="Z238" s="209"/>
      <c r="AA238" s="209"/>
      <c r="AB238" s="209"/>
      <c r="AC238" s="209"/>
      <c r="AD238" s="209"/>
      <c r="AE238" s="209"/>
    </row>
    <row r="239">
      <c r="A239" s="208" t="s">
        <v>2891</v>
      </c>
      <c r="B239" s="189" t="str">
        <f>IFERROR(__xludf.DUMMYFUNCTION("FILTER ('Research Papers'!D:D,'Research Papers'!A:A=C239)"),"Large Language Model for OWL Proofs")</f>
        <v>Large Language Model for OWL Proofs</v>
      </c>
      <c r="C239" s="189" t="s">
        <v>1106</v>
      </c>
      <c r="D239" s="209" t="str">
        <f t="shared" si="1"/>
        <v>Large Language Model for OWL Proofs
Hui Yang, Jiaoyan Chen and Uli Sattler
</v>
      </c>
      <c r="E239" s="209" t="str">
        <f>IFERROR(__xludf.DUMMYFUNCTION("TEXTJOIN(CHAR(10), TRUE,FILTER('Research Papers'!$C:$C,'Research Papers'!$A:$A=C239))"),"Hui Yang, Jiaoyan Chen and Uli Sattler")</f>
        <v>Hui Yang, Jiaoyan Chen and Uli Sattler</v>
      </c>
      <c r="F239" s="209" t="str">
        <f>IFERROR(__xludf.DUMMYFUNCTION("TEXTJOIN(CHAR(10), TRUE,FILTER ('Sheridan Main'!E:E,'Sheridan Main'!B:B=C239))"),"hui.yang-2@manchester.ac.uk")</f>
        <v>hui.yang-2@manchester.ac.uk</v>
      </c>
      <c r="G239" s="210" t="str">
        <f>IFERROR(__xludf.DUMMYFUNCTION("CONCATENATE(""https://dl.acm.org/doi/"",INDEX(FILTER('Sheridan Main'!A:A,'Sheridan Main'!B:B=C239),1))"),"https://dl.acm.org/doi/10.1145/3774904.3792395")</f>
        <v>https://dl.acm.org/doi/10.1145/3774904.3792395</v>
      </c>
      <c r="H239" s="189" t="s">
        <v>78</v>
      </c>
      <c r="I239" s="209"/>
      <c r="J239" s="209"/>
      <c r="K239" s="147"/>
      <c r="L239" s="147"/>
      <c r="M239" s="209"/>
      <c r="N239" s="209"/>
      <c r="O239" s="209"/>
      <c r="P239" s="209"/>
      <c r="Q239" s="209"/>
      <c r="R239" s="209"/>
      <c r="S239" s="209"/>
      <c r="T239" s="209"/>
      <c r="U239" s="209"/>
      <c r="V239" s="209"/>
      <c r="W239" s="209"/>
      <c r="X239" s="209"/>
      <c r="Y239" s="209"/>
      <c r="Z239" s="209"/>
      <c r="AA239" s="209"/>
      <c r="AB239" s="209"/>
      <c r="AC239" s="209"/>
      <c r="AD239" s="209"/>
      <c r="AE239" s="209"/>
    </row>
    <row r="240">
      <c r="A240" s="208" t="s">
        <v>2891</v>
      </c>
      <c r="B240" s="189" t="str">
        <f>IFERROR(__xludf.DUMMYFUNCTION("FILTER ('Research Papers'!D:D,'Research Papers'!A:A=C240)"),"EMSEdit: Efficient Multi-Step Meta-Learning-based Model Editing")</f>
        <v>EMSEdit: Efficient Multi-Step Meta-Learning-based Model Editing</v>
      </c>
      <c r="C240" s="189" t="s">
        <v>1030</v>
      </c>
      <c r="D240" s="209" t="str">
        <f t="shared" si="1"/>
        <v>EMSEdit: Efficient Multi-Step Meta-Learning-based Model Editing
Xiaopeng Li, Shasha Li, Xi Wang, Shezheng Song, Bin Ji,
Shangwen Wang, Jun Ma, Xiaodong Liu, Mina Liu and Jie Yu
</v>
      </c>
      <c r="E240" s="209" t="str">
        <f>IFERROR(__xludf.DUMMYFUNCTION("TEXTJOIN(CHAR(10), TRUE,FILTER('Research Papers'!$C:$C,'Research Papers'!$A:$A=C240))"),"Xiaopeng Li, Shasha Li, Xi Wang, Shezheng Song, Bin Ji,
Shangwen Wang, Jun Ma, Xiaodong Liu, Mina Liu and Jie Yu")</f>
        <v>Xiaopeng Li, Shasha Li, Xi Wang, Shezheng Song, Bin Ji,
Shangwen Wang, Jun Ma, Xiaodong Liu, Mina Liu and Jie Yu</v>
      </c>
      <c r="F240" s="209" t="str">
        <f>IFERROR(__xludf.DUMMYFUNCTION("TEXTJOIN(CHAR(10), TRUE,FILTER ('Sheridan Main'!E:E,'Sheridan Main'!B:B=C240))"),"xiaopengli@nudt.edu.cn")</f>
        <v>xiaopengli@nudt.edu.cn</v>
      </c>
      <c r="G240" s="210" t="str">
        <f>IFERROR(__xludf.DUMMYFUNCTION("CONCATENATE(""https://dl.acm.org/doi/"",INDEX(FILTER('Sheridan Main'!A:A,'Sheridan Main'!B:B=C240),1))"),"https://dl.acm.org/doi/10.1145/3774904.3792357")</f>
        <v>https://dl.acm.org/doi/10.1145/3774904.3792357</v>
      </c>
      <c r="H240" s="189" t="s">
        <v>101</v>
      </c>
      <c r="I240" s="209"/>
      <c r="J240" s="209"/>
      <c r="K240" s="147"/>
      <c r="L240" s="147"/>
      <c r="M240" s="209"/>
      <c r="N240" s="209"/>
      <c r="O240" s="209"/>
      <c r="P240" s="209"/>
      <c r="Q240" s="209"/>
      <c r="R240" s="209"/>
      <c r="S240" s="209"/>
      <c r="T240" s="209"/>
      <c r="U240" s="209"/>
      <c r="V240" s="209"/>
      <c r="W240" s="209"/>
      <c r="X240" s="209"/>
      <c r="Y240" s="209"/>
      <c r="Z240" s="209"/>
      <c r="AA240" s="209"/>
      <c r="AB240" s="209"/>
      <c r="AC240" s="209"/>
      <c r="AD240" s="209"/>
      <c r="AE240" s="209"/>
    </row>
    <row r="241">
      <c r="A241" s="208" t="s">
        <v>2891</v>
      </c>
      <c r="B241" s="189" t="str">
        <f>IFERROR(__xludf.DUMMYFUNCTION("FILTER ('Research Papers'!D:D,'Research Papers'!A:A=C241)"),"CASE: Conflict-assessed Knowledge-sensitive Neuron Tuning for Lifelong Model Editing")</f>
        <v>CASE: Conflict-assessed Knowledge-sensitive Neuron Tuning for Lifelong Model Editing</v>
      </c>
      <c r="C241" s="189" t="s">
        <v>1170</v>
      </c>
      <c r="D241" s="209" t="str">
        <f t="shared" si="1"/>
        <v>CASE: Conflict-assessed Knowledge-sensitive Neuron Tuning for Lifelong Model Editing
Zhange Zhang, Yuqing Ma, Yulong Wang, Tianbo Wang, Jiakai
Wang, Simin Li and Xianglong Liu
</v>
      </c>
      <c r="E241" s="209" t="str">
        <f>IFERROR(__xludf.DUMMYFUNCTION("TEXTJOIN(CHAR(10), TRUE,FILTER('Research Papers'!$C:$C,'Research Papers'!$A:$A=C241))"),"Zhange Zhang, Yuqing Ma, Yulong Wang, Tianbo Wang, Jiakai
Wang, Simin Li and Xianglong Liu")</f>
        <v>Zhange Zhang, Yuqing Ma, Yulong Wang, Tianbo Wang, Jiakai
Wang, Simin Li and Xianglong Liu</v>
      </c>
      <c r="F241" s="209" t="str">
        <f>IFERROR(__xludf.DUMMYFUNCTION("TEXTJOIN(CHAR(10), TRUE,FILTER ('Sheridan Main'!E:E,'Sheridan Main'!B:B=C241))"),"mayuqing@buaa.edu.cn")</f>
        <v>mayuqing@buaa.edu.cn</v>
      </c>
      <c r="G241" s="210" t="str">
        <f>IFERROR(__xludf.DUMMYFUNCTION("CONCATENATE(""https://dl.acm.org/doi/"",INDEX(FILTER('Sheridan Main'!A:A,'Sheridan Main'!B:B=C241),1))"),"https://dl.acm.org/doi/10.1145/3774904.3792427")</f>
        <v>https://dl.acm.org/doi/10.1145/3774904.3792427</v>
      </c>
      <c r="H241" s="189" t="s">
        <v>101</v>
      </c>
      <c r="I241" s="209"/>
      <c r="J241" s="209"/>
      <c r="K241" s="147"/>
      <c r="L241" s="147"/>
      <c r="M241" s="209"/>
      <c r="N241" s="209"/>
      <c r="O241" s="209"/>
      <c r="P241" s="209"/>
      <c r="Q241" s="209"/>
      <c r="R241" s="209"/>
      <c r="S241" s="209"/>
      <c r="T241" s="209"/>
      <c r="U241" s="209"/>
      <c r="V241" s="209"/>
      <c r="W241" s="209"/>
      <c r="X241" s="209"/>
      <c r="Y241" s="209"/>
      <c r="Z241" s="209"/>
      <c r="AA241" s="209"/>
      <c r="AB241" s="209"/>
      <c r="AC241" s="209"/>
      <c r="AD241" s="209"/>
      <c r="AE241" s="209"/>
    </row>
    <row r="242">
      <c r="A242" s="208" t="s">
        <v>2891</v>
      </c>
      <c r="B242" s="189" t="str">
        <f>IFERROR(__xludf.DUMMYFUNCTION("FILTER ('Research Papers'!D:D,'Research Papers'!A:A=C242)"),"RAIE:Region-Aware Incremental Preference Editing with LoRA for LLM-based Recommendation")</f>
        <v>RAIE:Region-Aware Incremental Preference Editing with LoRA for LLM-based Recommendation</v>
      </c>
      <c r="C242" s="189" t="s">
        <v>1218</v>
      </c>
      <c r="D242" s="209" t="str">
        <f t="shared" si="1"/>
        <v>RAIE:Region-Aware Incremental Preference Editing with LoRA for LLM-based Recommendation
Jin Zeng, Yupeng Qi, Hui Li, Chengming Li, Ziyu Lyu, Lixin
Cui and Lu Bai
</v>
      </c>
      <c r="E242" s="209" t="str">
        <f>IFERROR(__xludf.DUMMYFUNCTION("TEXTJOIN(CHAR(10), TRUE,FILTER('Research Papers'!$C:$C,'Research Papers'!$A:$A=C242))"),"Jin Zeng, Yupeng Qi, Hui Li, Chengming Li, Ziyu Lyu, Lixin
Cui and Lu Bai")</f>
        <v>Jin Zeng, Yupeng Qi, Hui Li, Chengming Li, Ziyu Lyu, Lixin
Cui and Lu Bai</v>
      </c>
      <c r="F242" s="209" t="str">
        <f>IFERROR(__xludf.DUMMYFUNCTION("TEXTJOIN(CHAR(10), TRUE,FILTER ('Sheridan Main'!E:E,'Sheridan Main'!B:B=C242))"),"lvzy7@mail.sysu.edu.cn")</f>
        <v>lvzy7@mail.sysu.edu.cn</v>
      </c>
      <c r="G242" s="210" t="str">
        <f>IFERROR(__xludf.DUMMYFUNCTION("CONCATENATE(""https://dl.acm.org/doi/"",INDEX(FILTER('Sheridan Main'!A:A,'Sheridan Main'!B:B=C242),1))"),"https://dl.acm.org/doi/10.1145/3774904.3792451")</f>
        <v>https://dl.acm.org/doi/10.1145/3774904.3792451</v>
      </c>
      <c r="H242" s="189" t="s">
        <v>101</v>
      </c>
      <c r="I242" s="209"/>
      <c r="J242" s="209"/>
      <c r="K242" s="147"/>
      <c r="L242" s="147"/>
      <c r="M242" s="209"/>
      <c r="N242" s="209"/>
      <c r="O242" s="209"/>
      <c r="P242" s="209"/>
      <c r="Q242" s="209"/>
      <c r="R242" s="209"/>
      <c r="S242" s="209"/>
      <c r="T242" s="209"/>
      <c r="U242" s="209"/>
      <c r="V242" s="209"/>
      <c r="W242" s="209"/>
      <c r="X242" s="209"/>
      <c r="Y242" s="209"/>
      <c r="Z242" s="209"/>
      <c r="AA242" s="209"/>
      <c r="AB242" s="209"/>
      <c r="AC242" s="209"/>
      <c r="AD242" s="209"/>
      <c r="AE242" s="209"/>
    </row>
    <row r="243">
      <c r="A243" s="208" t="s">
        <v>2891</v>
      </c>
      <c r="B243" s="189" t="str">
        <f>IFERROR(__xludf.DUMMYFUNCTION("FILTER ('Research Papers'!D:D,'Research Papers'!A:A=C243)"),"Towards Meta-Cognitive Knowledge Editing for Multimodal LLMs")</f>
        <v>Towards Meta-Cognitive Knowledge Editing for Multimodal LLMs</v>
      </c>
      <c r="C243" s="189" t="s">
        <v>1378</v>
      </c>
      <c r="D243" s="209" t="str">
        <f t="shared" si="1"/>
        <v>Towards Meta-Cognitive Knowledge Editing for Multimodal LLMs
Zhaoyu Fan, Kaihang Pan, Mingze Zhou, Bosheng Qin, Juncheng
Li, Shengyu Zhang, Wenqiao Zhang, Siliang Tang, Fei Wu and
Yueting Zhuang
</v>
      </c>
      <c r="E243" s="209" t="str">
        <f>IFERROR(__xludf.DUMMYFUNCTION("TEXTJOIN(CHAR(10), TRUE,FILTER('Research Papers'!$C:$C,'Research Papers'!$A:$A=C243))"),"Zhaoyu Fan, Kaihang Pan, Mingze Zhou, Bosheng Qin, Juncheng
Li, Shengyu Zhang, Wenqiao Zhang, Siliang Tang, Fei Wu and
Yueting Zhuang")</f>
        <v>Zhaoyu Fan, Kaihang Pan, Mingze Zhou, Bosheng Qin, Juncheng
Li, Shengyu Zhang, Wenqiao Zhang, Siliang Tang, Fei Wu and
Yueting Zhuang</v>
      </c>
      <c r="F243" s="209" t="str">
        <f>IFERROR(__xludf.DUMMYFUNCTION("TEXTJOIN(CHAR(10), TRUE,FILTER ('Sheridan Main'!E:E,'Sheridan Main'!B:B=C243))"),"siliang@zju.edu.cn")</f>
        <v>siliang@zju.edu.cn</v>
      </c>
      <c r="G243" s="210" t="str">
        <f>IFERROR(__xludf.DUMMYFUNCTION("CONCATENATE(""https://dl.acm.org/doi/"",INDEX(FILTER('Sheridan Main'!A:A,'Sheridan Main'!B:B=C243),1))"),"https://dl.acm.org/doi/10.1145/3774904.3792531")</f>
        <v>https://dl.acm.org/doi/10.1145/3774904.3792531</v>
      </c>
      <c r="H243" s="189" t="s">
        <v>101</v>
      </c>
      <c r="I243" s="209"/>
      <c r="J243" s="209"/>
      <c r="K243" s="147"/>
      <c r="L243" s="147"/>
      <c r="M243" s="209"/>
      <c r="N243" s="209"/>
      <c r="O243" s="209"/>
      <c r="P243" s="209"/>
      <c r="Q243" s="209"/>
      <c r="R243" s="209"/>
      <c r="S243" s="209"/>
      <c r="T243" s="209"/>
      <c r="U243" s="209"/>
      <c r="V243" s="209"/>
      <c r="W243" s="209"/>
      <c r="X243" s="209"/>
      <c r="Y243" s="209"/>
      <c r="Z243" s="209"/>
      <c r="AA243" s="209"/>
      <c r="AB243" s="209"/>
      <c r="AC243" s="209"/>
      <c r="AD243" s="209"/>
      <c r="AE243" s="209"/>
    </row>
    <row r="244">
      <c r="A244" s="208" t="s">
        <v>2891</v>
      </c>
      <c r="B244" s="189" t="str">
        <f>IFERROR(__xludf.DUMMYFUNCTION("FILTER ('Research Papers'!D:D,'Research Papers'!A:A=C244)"),"WiNELL: Wikipedia Never-Ending Updating with LLM Agents")</f>
        <v>WiNELL: Wikipedia Never-Ending Updating with LLM Agents</v>
      </c>
      <c r="C244" s="189" t="s">
        <v>1706</v>
      </c>
      <c r="D244" s="209" t="str">
        <f t="shared" si="1"/>
        <v>WiNELL: Wikipedia Never-Ending Updating with LLM Agents
Revanth Gangi Reddy, Tanay Dixit, Jiaxin Qin, Cheng Qian,
Daniel Lee, Jiawei Han, Kevin Small, Xing Fan, Ruhi
Sarikaya and Heng Ji
</v>
      </c>
      <c r="E244" s="209" t="str">
        <f>IFERROR(__xludf.DUMMYFUNCTION("TEXTJOIN(CHAR(10), TRUE,FILTER('Research Papers'!$C:$C,'Research Papers'!$A:$A=C244))"),"Revanth Gangi Reddy, Tanay Dixit, Jiaxin Qin, Cheng Qian,
Daniel Lee, Jiawei Han, Kevin Small, Xing Fan, Ruhi
Sarikaya and Heng Ji")</f>
        <v>Revanth Gangi Reddy, Tanay Dixit, Jiaxin Qin, Cheng Qian,
Daniel Lee, Jiawei Han, Kevin Small, Xing Fan, Ruhi
Sarikaya and Heng Ji</v>
      </c>
      <c r="F244" s="209" t="str">
        <f>IFERROR(__xludf.DUMMYFUNCTION("TEXTJOIN(CHAR(10), TRUE,FILTER ('Sheridan Main'!E:E,'Sheridan Main'!B:B=C244))"),"g.revanthreddy111@gmail.com")</f>
        <v>g.revanthreddy111@gmail.com</v>
      </c>
      <c r="G244" s="210" t="str">
        <f>IFERROR(__xludf.DUMMYFUNCTION("CONCATENATE(""https://dl.acm.org/doi/"",INDEX(FILTER('Sheridan Main'!A:A,'Sheridan Main'!B:B=C244),1))"),"https://dl.acm.org/doi/10.1145/3774904.3792695")</f>
        <v>https://dl.acm.org/doi/10.1145/3774904.3792695</v>
      </c>
      <c r="H244" s="189" t="s">
        <v>101</v>
      </c>
      <c r="I244" s="209"/>
      <c r="J244" s="209"/>
      <c r="K244" s="147"/>
      <c r="L244" s="147"/>
      <c r="M244" s="209"/>
      <c r="N244" s="209"/>
      <c r="O244" s="209"/>
      <c r="P244" s="209"/>
      <c r="Q244" s="209"/>
      <c r="R244" s="209"/>
      <c r="S244" s="209"/>
      <c r="T244" s="209"/>
      <c r="U244" s="209"/>
      <c r="V244" s="209"/>
      <c r="W244" s="209"/>
      <c r="X244" s="209"/>
      <c r="Y244" s="209"/>
      <c r="Z244" s="209"/>
      <c r="AA244" s="209"/>
      <c r="AB244" s="209"/>
      <c r="AC244" s="209"/>
      <c r="AD244" s="209"/>
      <c r="AE244" s="209"/>
    </row>
    <row r="245">
      <c r="A245" s="208" t="s">
        <v>2891</v>
      </c>
      <c r="B245" s="189" t="str">
        <f>IFERROR(__xludf.DUMMYFUNCTION("FILTER ('Research Papers'!D:D,'Research Papers'!A:A=C245)"),"Dual History Enhancement with Hybrid Hypergraph-Graph Networks for Temporal Knowledge Graph Reasoning")</f>
        <v>Dual History Enhancement with Hybrid Hypergraph-Graph Networks for Temporal Knowledge Graph Reasoning</v>
      </c>
      <c r="C245" s="189" t="s">
        <v>936</v>
      </c>
      <c r="D245" s="209" t="str">
        <f t="shared" si="1"/>
        <v>Dual History Enhancement with Hybrid Hypergraph-Graph Networks for Temporal Knowledge Graph Reasoning
Kailun Ye, Xiangjie Kong, Yuchao Zhang, Xuan Wang, Linan
Zhu, Jiaxin Du, Guojiang Shen and Jianxin Li
</v>
      </c>
      <c r="E245" s="209" t="str">
        <f>IFERROR(__xludf.DUMMYFUNCTION("TEXTJOIN(CHAR(10), TRUE,FILTER('Research Papers'!$C:$C,'Research Papers'!$A:$A=C245))"),"Kailun Ye, Xiangjie Kong, Yuchao Zhang, Xuan Wang, Linan
Zhu, Jiaxin Du, Guojiang Shen and Jianxin Li")</f>
        <v>Kailun Ye, Xiangjie Kong, Yuchao Zhang, Xuan Wang, Linan
Zhu, Jiaxin Du, Guojiang Shen and Jianxin Li</v>
      </c>
      <c r="F245" s="209" t="str">
        <f>IFERROR(__xludf.DUMMYFUNCTION("TEXTJOIN(CHAR(10), TRUE,FILTER ('Sheridan Main'!E:E,'Sheridan Main'!B:B=C245))"),"xjkong@ieee.org")</f>
        <v>xjkong@ieee.org</v>
      </c>
      <c r="G245" s="210" t="str">
        <f>IFERROR(__xludf.DUMMYFUNCTION("CONCATENATE(""https://dl.acm.org/doi/"",INDEX(FILTER('Sheridan Main'!A:A,'Sheridan Main'!B:B=C245),1))"),"https://dl.acm.org/doi/10.1145/3774904.3792310")</f>
        <v>https://dl.acm.org/doi/10.1145/3774904.3792310</v>
      </c>
      <c r="H245" s="189" t="s">
        <v>177</v>
      </c>
      <c r="I245" s="209"/>
      <c r="J245" s="209"/>
      <c r="K245" s="147"/>
      <c r="L245" s="147"/>
      <c r="M245" s="209"/>
      <c r="N245" s="209"/>
      <c r="O245" s="209"/>
      <c r="P245" s="209"/>
      <c r="Q245" s="209"/>
      <c r="R245" s="209"/>
      <c r="S245" s="209"/>
      <c r="T245" s="209"/>
      <c r="U245" s="209"/>
      <c r="V245" s="209"/>
      <c r="W245" s="209"/>
      <c r="X245" s="209"/>
      <c r="Y245" s="209"/>
      <c r="Z245" s="209"/>
      <c r="AA245" s="209"/>
      <c r="AB245" s="209"/>
      <c r="AC245" s="209"/>
      <c r="AD245" s="209"/>
      <c r="AE245" s="209"/>
    </row>
    <row r="246">
      <c r="A246" s="208" t="s">
        <v>2891</v>
      </c>
      <c r="B246" s="189" t="str">
        <f>IFERROR(__xludf.DUMMYFUNCTION("FILTER ('Research Papers'!D:D,'Research Papers'!A:A=C246)"),"STARK: Structure-Aware and Adaptive Representation Learning for Continual Knowledge Graph Embedding")</f>
        <v>STARK: Structure-Aware and Adaptive Representation Learning for Continual Knowledge Graph Embedding</v>
      </c>
      <c r="C246" s="189" t="s">
        <v>1098</v>
      </c>
      <c r="D246" s="209" t="str">
        <f t="shared" si="1"/>
        <v>STARK: Structure-Aware and Adaptive Representation Learning for Continual Knowledge Graph Embedding
Kyunghwan Lee and Dong-Wan Choi
</v>
      </c>
      <c r="E246" s="209" t="str">
        <f>IFERROR(__xludf.DUMMYFUNCTION("TEXTJOIN(CHAR(10), TRUE,FILTER('Research Papers'!$C:$C,'Research Papers'!$A:$A=C246))"),"Kyunghwan Lee and Dong-Wan Choi")</f>
        <v>Kyunghwan Lee and Dong-Wan Choi</v>
      </c>
      <c r="F246" s="209" t="str">
        <f>IFERROR(__xludf.DUMMYFUNCTION("TEXTJOIN(CHAR(10), TRUE,FILTER ('Sheridan Main'!E:E,'Sheridan Main'!B:B=C246))"),"dchoi@inha.ac.kr")</f>
        <v>dchoi@inha.ac.kr</v>
      </c>
      <c r="G246" s="210" t="str">
        <f>IFERROR(__xludf.DUMMYFUNCTION("CONCATENATE(""https://dl.acm.org/doi/"",INDEX(FILTER('Sheridan Main'!A:A,'Sheridan Main'!B:B=C246),1))"),"https://dl.acm.org/doi/10.1145/3774904.3792391")</f>
        <v>https://dl.acm.org/doi/10.1145/3774904.3792391</v>
      </c>
      <c r="H246" s="189" t="s">
        <v>177</v>
      </c>
      <c r="I246" s="209"/>
      <c r="J246" s="209"/>
      <c r="K246" s="147"/>
      <c r="L246" s="147"/>
      <c r="M246" s="209"/>
      <c r="N246" s="209"/>
      <c r="O246" s="209"/>
      <c r="P246" s="209"/>
      <c r="Q246" s="209"/>
      <c r="R246" s="209"/>
      <c r="S246" s="209"/>
      <c r="T246" s="209"/>
      <c r="U246" s="209"/>
      <c r="V246" s="209"/>
      <c r="W246" s="209"/>
      <c r="X246" s="209"/>
      <c r="Y246" s="209"/>
      <c r="Z246" s="209"/>
      <c r="AA246" s="209"/>
      <c r="AB246" s="209"/>
      <c r="AC246" s="209"/>
      <c r="AD246" s="209"/>
      <c r="AE246" s="209"/>
    </row>
    <row r="247">
      <c r="A247" s="208" t="s">
        <v>2891</v>
      </c>
      <c r="B247" s="189" t="str">
        <f>IFERROR(__xludf.DUMMYFUNCTION("FILTER ('Research Papers'!D:D,'Research Papers'!A:A=C247)"),"Unlearning of Knowledge Graph Embedding via Preference Optimization")</f>
        <v>Unlearning of Knowledge Graph Embedding via Preference Optimization</v>
      </c>
      <c r="C247" s="189" t="s">
        <v>1110</v>
      </c>
      <c r="D247" s="209" t="str">
        <f t="shared" si="1"/>
        <v>Unlearning of Knowledge Graph Embedding via Preference Optimization
Jiajun Liu, Wenjun Ke, Peng Wang, Yao He, Ziyu Shang,
Guozheng Li, Zijie Xu and Ke Ji
</v>
      </c>
      <c r="E247" s="209" t="str">
        <f>IFERROR(__xludf.DUMMYFUNCTION("TEXTJOIN(CHAR(10), TRUE,FILTER('Research Papers'!$C:$C,'Research Papers'!$A:$A=C247))"),"Jiajun Liu, Wenjun Ke, Peng Wang, Yao He, Ziyu Shang,
Guozheng Li, Zijie Xu and Ke Ji")</f>
        <v>Jiajun Liu, Wenjun Ke, Peng Wang, Yao He, Ziyu Shang,
Guozheng Li, Zijie Xu and Ke Ji</v>
      </c>
      <c r="F247" s="209" t="str">
        <f>IFERROR(__xludf.DUMMYFUNCTION("TEXTJOIN(CHAR(10), TRUE,FILTER ('Sheridan Main'!E:E,'Sheridan Main'!B:B=C247))"),"pwang@seu.edu.cn")</f>
        <v>pwang@seu.edu.cn</v>
      </c>
      <c r="G247" s="210" t="str">
        <f>IFERROR(__xludf.DUMMYFUNCTION("CONCATENATE(""https://dl.acm.org/doi/"",INDEX(FILTER('Sheridan Main'!A:A,'Sheridan Main'!B:B=C247),1))"),"https://dl.acm.org/doi/10.1145/3774904.3792397")</f>
        <v>https://dl.acm.org/doi/10.1145/3774904.3792397</v>
      </c>
      <c r="H247" s="189" t="s">
        <v>177</v>
      </c>
      <c r="I247" s="209"/>
      <c r="J247" s="209"/>
      <c r="K247" s="147"/>
      <c r="L247" s="147"/>
      <c r="M247" s="209"/>
      <c r="N247" s="209"/>
      <c r="O247" s="209"/>
      <c r="P247" s="209"/>
      <c r="Q247" s="209"/>
      <c r="R247" s="209"/>
      <c r="S247" s="209"/>
      <c r="T247" s="209"/>
      <c r="U247" s="209"/>
      <c r="V247" s="209"/>
      <c r="W247" s="209"/>
      <c r="X247" s="209"/>
      <c r="Y247" s="209"/>
      <c r="Z247" s="209"/>
      <c r="AA247" s="209"/>
      <c r="AB247" s="209"/>
      <c r="AC247" s="209"/>
      <c r="AD247" s="209"/>
      <c r="AE247" s="209"/>
    </row>
    <row r="248">
      <c r="A248" s="208" t="s">
        <v>2891</v>
      </c>
      <c r="B248" s="189" t="str">
        <f>IFERROR(__xludf.DUMMYFUNCTION("FILTER ('Research Papers'!D:D,'Research Papers'!A:A=C248)"),"Conditional Information Extraction with Diffusion Model on Fact-Condition Star Graph")</f>
        <v>Conditional Information Extraction with Diffusion Model on Fact-Condition Star Graph</v>
      </c>
      <c r="C248" s="189" t="s">
        <v>1214</v>
      </c>
      <c r="D248" s="209" t="str">
        <f t="shared" si="1"/>
        <v>Conditional Information Extraction with Diffusion Model on Fact-Condition Star Graph
Yunxiao Yang, Jianting Chen, Xiaoying Gao, Zaiyuan Di and
Yang Xiang
</v>
      </c>
      <c r="E248" s="209" t="str">
        <f>IFERROR(__xludf.DUMMYFUNCTION("TEXTJOIN(CHAR(10), TRUE,FILTER('Research Papers'!$C:$C,'Research Papers'!$A:$A=C248))"),"Yunxiao Yang, Jianting Chen, Xiaoying Gao, Zaiyuan Di and
Yang Xiang")</f>
        <v>Yunxiao Yang, Jianting Chen, Xiaoying Gao, Zaiyuan Di and
Yang Xiang</v>
      </c>
      <c r="F248" s="209" t="str">
        <f>IFERROR(__xludf.DUMMYFUNCTION("TEXTJOIN(CHAR(10), TRUE,FILTER ('Sheridan Main'!E:E,'Sheridan Main'!B:B=C248))"),"tj_chenjt@tongji.edu.cn")</f>
        <v>tj_chenjt@tongji.edu.cn</v>
      </c>
      <c r="G248" s="210" t="str">
        <f>IFERROR(__xludf.DUMMYFUNCTION("CONCATENATE(""https://dl.acm.org/doi/"",INDEX(FILTER('Sheridan Main'!A:A,'Sheridan Main'!B:B=C248),1))"),"https://dl.acm.org/doi/10.1145/3774904.3792449")</f>
        <v>https://dl.acm.org/doi/10.1145/3774904.3792449</v>
      </c>
      <c r="H248" s="189" t="s">
        <v>177</v>
      </c>
      <c r="I248" s="209"/>
      <c r="J248" s="209"/>
      <c r="K248" s="147"/>
      <c r="L248" s="147"/>
      <c r="M248" s="209"/>
      <c r="N248" s="209"/>
      <c r="O248" s="209"/>
      <c r="P248" s="209"/>
      <c r="Q248" s="209"/>
      <c r="R248" s="209"/>
      <c r="S248" s="209"/>
      <c r="T248" s="209"/>
      <c r="U248" s="209"/>
      <c r="V248" s="209"/>
      <c r="W248" s="209"/>
      <c r="X248" s="209"/>
      <c r="Y248" s="209"/>
      <c r="Z248" s="209"/>
      <c r="AA248" s="209"/>
      <c r="AB248" s="209"/>
      <c r="AC248" s="209"/>
      <c r="AD248" s="209"/>
      <c r="AE248" s="209"/>
    </row>
    <row r="249">
      <c r="A249" s="208" t="s">
        <v>2891</v>
      </c>
      <c r="B249" s="189" t="str">
        <f>IFERROR(__xludf.DUMMYFUNCTION("FILTER ('Research Papers'!D:D,'Research Papers'!A:A=C249)"),"Learning to Evolve: Bayesian-Guided Continual Knowledge Graph Embedding")</f>
        <v>Learning to Evolve: Bayesian-Guided Continual Knowledge Graph Embedding</v>
      </c>
      <c r="C249" s="189" t="s">
        <v>1700</v>
      </c>
      <c r="D249" s="209" t="str">
        <f t="shared" si="1"/>
        <v>Learning to Evolve: Bayesian-Guided Continual Knowledge Graph Embedding
Linyu Li, Zhi Jin, Yuanpeng He, Dongming Jin, Yichi Zhang,
Haoran Duan, Xuan Zhang, Zhengwei Tao and Tashi Nyima
</v>
      </c>
      <c r="E249" s="209" t="str">
        <f>IFERROR(__xludf.DUMMYFUNCTION("TEXTJOIN(CHAR(10), TRUE,FILTER('Research Papers'!$C:$C,'Research Papers'!$A:$A=C249))"),"Linyu Li, Zhi Jin, Yuanpeng He, Dongming Jin, Yichi Zhang,
Haoran Duan, Xuan Zhang, Zhengwei Tao and Tashi Nyima")</f>
        <v>Linyu Li, Zhi Jin, Yuanpeng He, Dongming Jin, Yichi Zhang,
Haoran Duan, Xuan Zhang, Zhengwei Tao and Tashi Nyima</v>
      </c>
      <c r="F249" s="209" t="str">
        <f>IFERROR(__xludf.DUMMYFUNCTION("TEXTJOIN(CHAR(10), TRUE,FILTER ('Sheridan Main'!E:E,'Sheridan Main'!B:B=C249))"),"zhijin@pku.edu.cn")</f>
        <v>zhijin@pku.edu.cn</v>
      </c>
      <c r="G249" s="210" t="str">
        <f>IFERROR(__xludf.DUMMYFUNCTION("CONCATENATE(""https://dl.acm.org/doi/"",INDEX(FILTER('Sheridan Main'!A:A,'Sheridan Main'!B:B=C249),1))"),"https://dl.acm.org/doi/10.1145/3774904.3792692")</f>
        <v>https://dl.acm.org/doi/10.1145/3774904.3792692</v>
      </c>
      <c r="H249" s="189" t="s">
        <v>177</v>
      </c>
      <c r="I249" s="209"/>
      <c r="J249" s="209"/>
      <c r="K249" s="147"/>
      <c r="L249" s="147"/>
      <c r="M249" s="209"/>
      <c r="N249" s="209"/>
      <c r="O249" s="209"/>
      <c r="P249" s="209"/>
      <c r="Q249" s="209"/>
      <c r="R249" s="209"/>
      <c r="S249" s="209"/>
      <c r="T249" s="209"/>
      <c r="U249" s="209"/>
      <c r="V249" s="209"/>
      <c r="W249" s="209"/>
      <c r="X249" s="209"/>
      <c r="Y249" s="209"/>
      <c r="Z249" s="209"/>
      <c r="AA249" s="209"/>
      <c r="AB249" s="209"/>
      <c r="AC249" s="209"/>
      <c r="AD249" s="209"/>
      <c r="AE249" s="209"/>
    </row>
    <row r="250">
      <c r="A250" s="208" t="s">
        <v>2891</v>
      </c>
      <c r="B250" s="189" t="str">
        <f>IFERROR(__xludf.DUMMYFUNCTION("FILTER ('Research Papers'!D:D,'Research Papers'!A:A=C250)"),"Aligning Multiple Knowledge Graphs in A Single Pass")</f>
        <v>Aligning Multiple Knowledge Graphs in A Single Pass</v>
      </c>
      <c r="C250" s="189" t="s">
        <v>538</v>
      </c>
      <c r="D250" s="209" t="str">
        <f t="shared" si="1"/>
        <v>Aligning Multiple Knowledge Graphs in A Single Pass
Yaming Yang, Zhe Wang, Ziyu Guan, Wei Zhao, Weigang Lu,
Xinyan Huang, Jiangtao Cui and Xiaofei He
</v>
      </c>
      <c r="E250" s="209" t="str">
        <f>IFERROR(__xludf.DUMMYFUNCTION("TEXTJOIN(CHAR(10), TRUE,FILTER('Research Papers'!$C:$C,'Research Papers'!$A:$A=C250))"),"Yaming Yang, Zhe Wang, Ziyu Guan, Wei Zhao, Weigang Lu,
Xinyan Huang, Jiangtao Cui and Xiaofei He")</f>
        <v>Yaming Yang, Zhe Wang, Ziyu Guan, Wei Zhao, Weigang Lu,
Xinyan Huang, Jiangtao Cui and Xiaofei He</v>
      </c>
      <c r="F250" s="209" t="str">
        <f>IFERROR(__xludf.DUMMYFUNCTION("TEXTJOIN(CHAR(10), TRUE,FILTER ('Sheridan Main'!E:E,'Sheridan Main'!B:B=C250))"),"zyguan@xidian.edu.cn")</f>
        <v>zyguan@xidian.edu.cn</v>
      </c>
      <c r="G250" s="210" t="str">
        <f>IFERROR(__xludf.DUMMYFUNCTION("CONCATENATE(""https://dl.acm.org/doi/"",INDEX(FILTER('Sheridan Main'!A:A,'Sheridan Main'!B:B=C250),1))"),"https://dl.acm.org/doi/10.1145/3774904.3792111")</f>
        <v>https://dl.acm.org/doi/10.1145/3774904.3792111</v>
      </c>
      <c r="H250" s="189" t="s">
        <v>157</v>
      </c>
      <c r="I250" s="209"/>
      <c r="J250" s="209"/>
      <c r="K250" s="147"/>
      <c r="L250" s="147"/>
      <c r="M250" s="209"/>
      <c r="N250" s="209"/>
      <c r="O250" s="209"/>
      <c r="P250" s="209"/>
      <c r="Q250" s="209"/>
      <c r="R250" s="209"/>
      <c r="S250" s="209"/>
      <c r="T250" s="209"/>
      <c r="U250" s="209"/>
      <c r="V250" s="209"/>
      <c r="W250" s="209"/>
      <c r="X250" s="209"/>
      <c r="Y250" s="209"/>
      <c r="Z250" s="209"/>
      <c r="AA250" s="209"/>
      <c r="AB250" s="209"/>
      <c r="AC250" s="209"/>
      <c r="AD250" s="209"/>
      <c r="AE250" s="209"/>
    </row>
    <row r="251">
      <c r="A251" s="208" t="s">
        <v>2891</v>
      </c>
      <c r="B251" s="189" t="str">
        <f>IFERROR(__xludf.DUMMYFUNCTION("FILTER ('Research Papers'!D:D,'Research Papers'!A:A=C251)"),"CausalSKyHop: Knowledge-Aware Causal Explanation of Dynamic GNNs via Higher-Order Semantic Reasoning")</f>
        <v>CausalSKyHop: Knowledge-Aware Causal Explanation of Dynamic GNNs via Higher-Order Semantic Reasoning</v>
      </c>
      <c r="C251" s="189" t="s">
        <v>800</v>
      </c>
      <c r="D251" s="209" t="str">
        <f t="shared" si="1"/>
        <v>CausalSKyHop: Knowledge-Aware Causal Explanation of Dynamic GNNs via Higher-Order Semantic Reasoning
Jixuan Wu, Limei Lin, Xiaoding Wang, Kunpeng Xu and Jie Wu
</v>
      </c>
      <c r="E251" s="209" t="str">
        <f>IFERROR(__xludf.DUMMYFUNCTION("TEXTJOIN(CHAR(10), TRUE,FILTER('Research Papers'!$C:$C,'Research Papers'!$A:$A=C251))"),"Jixuan Wu, Limei Lin, Xiaoding Wang, Kunpeng Xu and Jie Wu")</f>
        <v>Jixuan Wu, Limei Lin, Xiaoding Wang, Kunpeng Xu and Jie Wu</v>
      </c>
      <c r="F251" s="209" t="str">
        <f>IFERROR(__xludf.DUMMYFUNCTION("TEXTJOIN(CHAR(10), TRUE,FILTER ('Sheridan Main'!E:E,'Sheridan Main'!B:B=C251))"),"linlimei@fjnu.edu.cn")</f>
        <v>linlimei@fjnu.edu.cn</v>
      </c>
      <c r="G251" s="210" t="str">
        <f>IFERROR(__xludf.DUMMYFUNCTION("CONCATENATE(""https://dl.acm.org/doi/"",INDEX(FILTER('Sheridan Main'!A:A,'Sheridan Main'!B:B=C251),1))"),"https://dl.acm.org/doi/10.1145/3774904.3792242")</f>
        <v>https://dl.acm.org/doi/10.1145/3774904.3792242</v>
      </c>
      <c r="H251" s="189" t="s">
        <v>157</v>
      </c>
      <c r="I251" s="209"/>
      <c r="J251" s="209"/>
      <c r="K251" s="147"/>
      <c r="L251" s="147"/>
      <c r="M251" s="209"/>
      <c r="N251" s="209"/>
      <c r="O251" s="209"/>
      <c r="P251" s="209"/>
      <c r="Q251" s="209"/>
      <c r="R251" s="209"/>
      <c r="S251" s="209"/>
      <c r="T251" s="209"/>
      <c r="U251" s="209"/>
      <c r="V251" s="209"/>
      <c r="W251" s="209"/>
      <c r="X251" s="209"/>
      <c r="Y251" s="209"/>
      <c r="Z251" s="209"/>
      <c r="AA251" s="209"/>
      <c r="AB251" s="209"/>
      <c r="AC251" s="209"/>
      <c r="AD251" s="209"/>
      <c r="AE251" s="209"/>
    </row>
    <row r="252">
      <c r="A252" s="208" t="s">
        <v>2891</v>
      </c>
      <c r="B252" s="189" t="str">
        <f>IFERROR(__xludf.DUMMYFUNCTION("FILTER ('Research Papers'!D:D,'Research Papers'!A:A=C252)"),"Conditional Diffusion Guided Knowledge Transfer for Multi-Domain Knowledge Graph Completion")</f>
        <v>Conditional Diffusion Guided Knowledge Transfer for Multi-Domain Knowledge Graph Completion</v>
      </c>
      <c r="C252" s="189" t="s">
        <v>820</v>
      </c>
      <c r="D252" s="209" t="str">
        <f t="shared" si="1"/>
        <v>Conditional Diffusion Guided Knowledge Transfer for Multi-Domain Knowledge Graph Completion
Jiawei Sheng, Taoyu Su, Xixun Lin, Xiaodong Li and Tingwen
Liu
</v>
      </c>
      <c r="E252" s="209" t="str">
        <f>IFERROR(__xludf.DUMMYFUNCTION("TEXTJOIN(CHAR(10), TRUE,FILTER('Research Papers'!$C:$C,'Research Papers'!$A:$A=C252))"),"Jiawei Sheng, Taoyu Su, Xixun Lin, Xiaodong Li and Tingwen
Liu")</f>
        <v>Jiawei Sheng, Taoyu Su, Xixun Lin, Xiaodong Li and Tingwen
Liu</v>
      </c>
      <c r="F252" s="209" t="str">
        <f>IFERROR(__xludf.DUMMYFUNCTION("TEXTJOIN(CHAR(10), TRUE,FILTER ('Sheridan Main'!E:E,'Sheridan Main'!B:B=C252))"),"shengjiawei@iie.ac.cn")</f>
        <v>shengjiawei@iie.ac.cn</v>
      </c>
      <c r="G252" s="210" t="str">
        <f>IFERROR(__xludf.DUMMYFUNCTION("CONCATENATE(""https://dl.acm.org/doi/"",INDEX(FILTER('Sheridan Main'!A:A,'Sheridan Main'!B:B=C252),1))"),"https://dl.acm.org/doi/10.1145/3774904.3792252")</f>
        <v>https://dl.acm.org/doi/10.1145/3774904.3792252</v>
      </c>
      <c r="H252" s="189" t="s">
        <v>157</v>
      </c>
      <c r="I252" s="209"/>
      <c r="J252" s="209"/>
      <c r="K252" s="147"/>
      <c r="L252" s="147"/>
      <c r="M252" s="209"/>
      <c r="N252" s="209"/>
      <c r="O252" s="209"/>
      <c r="P252" s="209"/>
      <c r="Q252" s="209"/>
      <c r="R252" s="209"/>
      <c r="S252" s="209"/>
      <c r="T252" s="209"/>
      <c r="U252" s="209"/>
      <c r="V252" s="209"/>
      <c r="W252" s="209"/>
      <c r="X252" s="209"/>
      <c r="Y252" s="209"/>
      <c r="Z252" s="209"/>
      <c r="AA252" s="209"/>
      <c r="AB252" s="209"/>
      <c r="AC252" s="209"/>
      <c r="AD252" s="209"/>
      <c r="AE252" s="209"/>
    </row>
    <row r="253">
      <c r="A253" s="208" t="s">
        <v>2891</v>
      </c>
      <c r="B253" s="189" t="str">
        <f>IFERROR(__xludf.DUMMYFUNCTION("FILTER ('Research Papers'!D:D,'Research Papers'!A:A=C253)"),"How Human Experts Educate Specialized LLMs: Filling Knowledge Gaps in KG-Augmented Generation through Hallucination Detection")</f>
        <v>How Human Experts Educate Specialized LLMs: Filling Knowledge Gaps in KG-Augmented Generation through Hallucination Detection</v>
      </c>
      <c r="C253" s="189" t="s">
        <v>1416</v>
      </c>
      <c r="D253" s="209" t="str">
        <f t="shared" si="1"/>
        <v>How Human Experts Educate Specialized LLMs: Filling Knowledge Gaps in KG-Augmented Generation through Hallucination Detection
Chaofan Li, Lixing Chen, Junhua Tang, Yang Bai, Yutong
Zhang, Zhi Zheng, Pan Zhou and Zhe Qu
</v>
      </c>
      <c r="E253" s="209" t="str">
        <f>IFERROR(__xludf.DUMMYFUNCTION("TEXTJOIN(CHAR(10), TRUE,FILTER('Research Papers'!$C:$C,'Research Papers'!$A:$A=C253))"),"Chaofan Li, Lixing Chen, Junhua Tang, Yang Bai, Yutong
Zhang, Zhi Zheng, Pan Zhou and Zhe Qu")</f>
        <v>Chaofan Li, Lixing Chen, Junhua Tang, Yang Bai, Yutong
Zhang, Zhi Zheng, Pan Zhou and Zhe Qu</v>
      </c>
      <c r="F253" s="209" t="str">
        <f>IFERROR(__xludf.DUMMYFUNCTION("TEXTJOIN(CHAR(10), TRUE,FILTER ('Sheridan Main'!E:E,'Sheridan Main'!B:B=C253))"),"junhuatang@sjtu.edu.cn")</f>
        <v>junhuatang@sjtu.edu.cn</v>
      </c>
      <c r="G253" s="210" t="str">
        <f>IFERROR(__xludf.DUMMYFUNCTION("CONCATENATE(""https://dl.acm.org/doi/"",INDEX(FILTER('Sheridan Main'!A:A,'Sheridan Main'!B:B=C253),1))"),"https://dl.acm.org/doi/10.1145/3774904.3792550")</f>
        <v>https://dl.acm.org/doi/10.1145/3774904.3792550</v>
      </c>
      <c r="H253" s="189" t="s">
        <v>157</v>
      </c>
      <c r="I253" s="209"/>
      <c r="J253" s="209"/>
      <c r="K253" s="147"/>
      <c r="L253" s="147"/>
      <c r="M253" s="209"/>
      <c r="N253" s="209"/>
      <c r="O253" s="209"/>
      <c r="P253" s="209"/>
      <c r="Q253" s="209"/>
      <c r="R253" s="209"/>
      <c r="S253" s="209"/>
      <c r="T253" s="209"/>
      <c r="U253" s="209"/>
      <c r="V253" s="209"/>
      <c r="W253" s="209"/>
      <c r="X253" s="209"/>
      <c r="Y253" s="209"/>
      <c r="Z253" s="209"/>
      <c r="AA253" s="209"/>
      <c r="AB253" s="209"/>
      <c r="AC253" s="209"/>
      <c r="AD253" s="209"/>
      <c r="AE253" s="209"/>
    </row>
    <row r="254">
      <c r="A254" s="208" t="s">
        <v>2891</v>
      </c>
      <c r="B254" s="189" t="str">
        <f>IFERROR(__xludf.DUMMYFUNCTION("FILTER ('Research Papers'!D:D,'Research Papers'!A:A=C254)"),"A Unified Framework for Rule Learning: Integrating Commonsense Knowledge from LLMs with Structured Knowledge from Knowledge Graphs")</f>
        <v>A Unified Framework for Rule Learning: Integrating Commonsense Knowledge from LLMs with Structured Knowledge from Knowledge Graphs</v>
      </c>
      <c r="C254" s="189" t="s">
        <v>1662</v>
      </c>
      <c r="D254" s="209" t="str">
        <f t="shared" si="1"/>
        <v>A Unified Framework for Rule Learning: Integrating Commonsense Knowledge from LLMs with Structured Knowledge from Knowledge Graphs
Qirui Hao, Kewei Cheng, Tongze Zhang, Hongyuan Liu, Junming
Shao and Carl Yang
</v>
      </c>
      <c r="E254" s="209" t="str">
        <f>IFERROR(__xludf.DUMMYFUNCTION("TEXTJOIN(CHAR(10), TRUE,FILTER('Research Papers'!$C:$C,'Research Papers'!$A:$A=C254))"),"Qirui Hao, Kewei Cheng, Tongze Zhang, Hongyuan Liu, Junming
Shao and Carl Yang")</f>
        <v>Qirui Hao, Kewei Cheng, Tongze Zhang, Hongyuan Liu, Junming
Shao and Carl Yang</v>
      </c>
      <c r="F254" s="209" t="str">
        <f>IFERROR(__xludf.DUMMYFUNCTION("TEXTJOIN(CHAR(10), TRUE,FILTER ('Sheridan Main'!E:E,'Sheridan Main'!B:B=C254))"),"j.carlyang@emory.edu")</f>
        <v>j.carlyang@emory.edu</v>
      </c>
      <c r="G254" s="210" t="str">
        <f>IFERROR(__xludf.DUMMYFUNCTION("CONCATENATE(""https://dl.acm.org/doi/"",INDEX(FILTER('Sheridan Main'!A:A,'Sheridan Main'!B:B=C254),1))"),"https://dl.acm.org/doi/10.1145/3774904.3792673")</f>
        <v>https://dl.acm.org/doi/10.1145/3774904.3792673</v>
      </c>
      <c r="H254" s="189" t="s">
        <v>157</v>
      </c>
      <c r="I254" s="209"/>
      <c r="J254" s="209"/>
      <c r="K254" s="147"/>
      <c r="L254" s="147"/>
      <c r="M254" s="209"/>
      <c r="N254" s="209"/>
      <c r="O254" s="209"/>
      <c r="P254" s="209"/>
      <c r="Q254" s="209"/>
      <c r="R254" s="209"/>
      <c r="S254" s="209"/>
      <c r="T254" s="209"/>
      <c r="U254" s="209"/>
      <c r="V254" s="209"/>
      <c r="W254" s="209"/>
      <c r="X254" s="209"/>
      <c r="Y254" s="209"/>
      <c r="Z254" s="209"/>
      <c r="AA254" s="209"/>
      <c r="AB254" s="209"/>
      <c r="AC254" s="209"/>
      <c r="AD254" s="209"/>
      <c r="AE254" s="209"/>
    </row>
    <row r="255">
      <c r="A255" s="208" t="s">
        <v>2891</v>
      </c>
      <c r="B255" s="189" t="str">
        <f>IFERROR(__xludf.DUMMYFUNCTION("FILTER ('Research Papers'!D:D,'Research Papers'!A:A=C255)"),"Multi-Granularity Multi-Modal Knowledge Graph Representation Learning via Subgraph-Aware Adaptive Fusion and Hierarchical Relation Modeling")</f>
        <v>Multi-Granularity Multi-Modal Knowledge Graph Representation Learning via Subgraph-Aware Adaptive Fusion and Hierarchical Relation Modeling</v>
      </c>
      <c r="C255" s="189" t="s">
        <v>728</v>
      </c>
      <c r="D255" s="209" t="str">
        <f t="shared" si="1"/>
        <v>Multi-Granularity Multi-Modal Knowledge Graph Representation Learning via Subgraph-Aware Adaptive Fusion and Hierarchical Relation Modeling
Peining Li, Meiyu Liang, Wei Huang, Junping Du, Zhe Xue,
Guanhua Ye, Wu Liu and Lei Shi
</v>
      </c>
      <c r="E255" s="209" t="str">
        <f>IFERROR(__xludf.DUMMYFUNCTION("TEXTJOIN(CHAR(10), TRUE,FILTER('Research Papers'!$C:$C,'Research Papers'!$A:$A=C255))"),"Peining Li, Meiyu Liang, Wei Huang, Junping Du, Zhe Xue,
Guanhua Ye, Wu Liu and Lei Shi")</f>
        <v>Peining Li, Meiyu Liang, Wei Huang, Junping Du, Zhe Xue,
Guanhua Ye, Wu Liu and Lei Shi</v>
      </c>
      <c r="F255" s="209" t="str">
        <f>IFERROR(__xludf.DUMMYFUNCTION("TEXTJOIN(CHAR(10), TRUE,FILTER ('Sheridan Main'!E:E,'Sheridan Main'!B:B=C255))"),"meiyu1210@bupt.edu.cn")</f>
        <v>meiyu1210@bupt.edu.cn</v>
      </c>
      <c r="G255" s="210" t="str">
        <f>IFERROR(__xludf.DUMMYFUNCTION("CONCATENATE(""https://dl.acm.org/doi/"",INDEX(FILTER('Sheridan Main'!A:A,'Sheridan Main'!B:B=C255),1))"),"https://dl.acm.org/doi/10.1145/3774904.3792206")</f>
        <v>https://dl.acm.org/doi/10.1145/3774904.3792206</v>
      </c>
      <c r="H255" s="189" t="s">
        <v>135</v>
      </c>
      <c r="I255" s="209"/>
      <c r="J255" s="209"/>
      <c r="K255" s="147"/>
      <c r="L255" s="147"/>
      <c r="M255" s="209"/>
      <c r="N255" s="209"/>
      <c r="O255" s="209"/>
      <c r="P255" s="209"/>
      <c r="Q255" s="209"/>
      <c r="R255" s="209"/>
      <c r="S255" s="209"/>
      <c r="T255" s="209"/>
      <c r="U255" s="209"/>
      <c r="V255" s="209"/>
      <c r="W255" s="209"/>
      <c r="X255" s="209"/>
      <c r="Y255" s="209"/>
      <c r="Z255" s="209"/>
      <c r="AA255" s="209"/>
      <c r="AB255" s="209"/>
      <c r="AC255" s="209"/>
      <c r="AD255" s="209"/>
      <c r="AE255" s="209"/>
    </row>
    <row r="256">
      <c r="A256" s="208" t="s">
        <v>2891</v>
      </c>
      <c r="B256" s="189" t="str">
        <f>IFERROR(__xludf.DUMMYFUNCTION("FILTER ('Research Papers'!D:D,'Research Papers'!A:A=C256)"),"Grasp: Refining Semantic Graphs into Purified Knowledge for Cross-Modal Communication")</f>
        <v>Grasp: Refining Semantic Graphs into Purified Knowledge for Cross-Modal Communication</v>
      </c>
      <c r="C256" s="189" t="s">
        <v>792</v>
      </c>
      <c r="D256" s="209" t="str">
        <f t="shared" si="1"/>
        <v>Grasp: Refining Semantic Graphs into Purified Knowledge for Cross-Modal Communication
Liang Chen, Xiaoding Wang, Limei Lin, Dajin Wang, Zhiquan
Liu and Jie Wu
</v>
      </c>
      <c r="E256" s="209" t="str">
        <f>IFERROR(__xludf.DUMMYFUNCTION("TEXTJOIN(CHAR(10), TRUE,FILTER('Research Papers'!$C:$C,'Research Papers'!$A:$A=C256))"),"Liang Chen, Xiaoding Wang, Limei Lin, Dajin Wang, Zhiquan
Liu and Jie Wu")</f>
        <v>Liang Chen, Xiaoding Wang, Limei Lin, Dajin Wang, Zhiquan
Liu and Jie Wu</v>
      </c>
      <c r="F256" s="209" t="str">
        <f>IFERROR(__xludf.DUMMYFUNCTION("TEXTJOIN(CHAR(10), TRUE,FILTER ('Sheridan Main'!E:E,'Sheridan Main'!B:B=C256))"),"linlimei@fjnu.edu.cn")</f>
        <v>linlimei@fjnu.edu.cn</v>
      </c>
      <c r="G256" s="210" t="str">
        <f>IFERROR(__xludf.DUMMYFUNCTION("CONCATENATE(""https://dl.acm.org/doi/"",INDEX(FILTER('Sheridan Main'!A:A,'Sheridan Main'!B:B=C256),1))"),"https://dl.acm.org/doi/10.1145/3774904.3792238")</f>
        <v>https://dl.acm.org/doi/10.1145/3774904.3792238</v>
      </c>
      <c r="H256" s="189" t="s">
        <v>135</v>
      </c>
      <c r="I256" s="209"/>
      <c r="J256" s="209"/>
      <c r="K256" s="147"/>
      <c r="L256" s="147"/>
      <c r="M256" s="209"/>
      <c r="N256" s="209"/>
      <c r="O256" s="209"/>
      <c r="P256" s="209"/>
      <c r="Q256" s="209"/>
      <c r="R256" s="209"/>
      <c r="S256" s="209"/>
      <c r="T256" s="209"/>
      <c r="U256" s="209"/>
      <c r="V256" s="209"/>
      <c r="W256" s="209"/>
      <c r="X256" s="209"/>
      <c r="Y256" s="209"/>
      <c r="Z256" s="209"/>
      <c r="AA256" s="209"/>
      <c r="AB256" s="209"/>
      <c r="AC256" s="209"/>
      <c r="AD256" s="209"/>
      <c r="AE256" s="209"/>
    </row>
    <row r="257">
      <c r="A257" s="208" t="s">
        <v>2891</v>
      </c>
      <c r="B257" s="189" t="str">
        <f>IFERROR(__xludf.DUMMYFUNCTION("FILTER ('Research Papers'!D:D,'Research Papers'!A:A=C257)"),"Enhancing Multi-Modal Entity Alignment via Multi-Grained Decision Fusion")</f>
        <v>Enhancing Multi-Modal Entity Alignment via Multi-Grained Decision Fusion</v>
      </c>
      <c r="C257" s="189" t="s">
        <v>1220</v>
      </c>
      <c r="D257" s="209" t="str">
        <f t="shared" si="1"/>
        <v>Enhancing Multi-Modal Entity Alignment via Multi-Grained Decision Fusion
Yu Xing, Qizhuo Xie, You Lv, Ziyang Zhou, Qianzi Hou, Qing
Gu, Bin Chong and Tieke He
</v>
      </c>
      <c r="E257" s="209" t="str">
        <f>IFERROR(__xludf.DUMMYFUNCTION("TEXTJOIN(CHAR(10), TRUE,FILTER('Research Papers'!$C:$C,'Research Papers'!$A:$A=C257))"),"Yu Xing, Qizhuo Xie, You Lv, Ziyang Zhou, Qianzi Hou, Qing
Gu, Bin Chong and Tieke He")</f>
        <v>Yu Xing, Qizhuo Xie, You Lv, Ziyang Zhou, Qianzi Hou, Qing
Gu, Bin Chong and Tieke He</v>
      </c>
      <c r="F257" s="209" t="str">
        <f>IFERROR(__xludf.DUMMYFUNCTION("TEXTJOIN(CHAR(10), TRUE,FILTER ('Sheridan Main'!E:E,'Sheridan Main'!B:B=C257))"),"hetieke@gmail.com")</f>
        <v>hetieke@gmail.com</v>
      </c>
      <c r="G257" s="210" t="str">
        <f>IFERROR(__xludf.DUMMYFUNCTION("CONCATENATE(""https://dl.acm.org/doi/"",INDEX(FILTER('Sheridan Main'!A:A,'Sheridan Main'!B:B=C257),1))"),"https://dl.acm.org/doi/10.1145/3774904.3792452")</f>
        <v>https://dl.acm.org/doi/10.1145/3774904.3792452</v>
      </c>
      <c r="H257" s="189" t="s">
        <v>135</v>
      </c>
      <c r="I257" s="209"/>
      <c r="J257" s="209"/>
      <c r="K257" s="147"/>
      <c r="L257" s="147"/>
      <c r="M257" s="209"/>
      <c r="N257" s="209"/>
      <c r="O257" s="209"/>
      <c r="P257" s="209"/>
      <c r="Q257" s="209"/>
      <c r="R257" s="209"/>
      <c r="S257" s="209"/>
      <c r="T257" s="209"/>
      <c r="U257" s="209"/>
      <c r="V257" s="209"/>
      <c r="W257" s="209"/>
      <c r="X257" s="209"/>
      <c r="Y257" s="209"/>
      <c r="Z257" s="209"/>
      <c r="AA257" s="209"/>
      <c r="AB257" s="209"/>
      <c r="AC257" s="209"/>
      <c r="AD257" s="209"/>
      <c r="AE257" s="209"/>
    </row>
    <row r="258">
      <c r="A258" s="208" t="s">
        <v>2891</v>
      </c>
      <c r="B258" s="189" t="str">
        <f>IFERROR(__xludf.DUMMYFUNCTION("FILTER ('Research Papers'!D:D,'Research Papers'!A:A=C258)"),"Relation-Aware Multimodal Analogical Reasoning with Modality Fingerprints and Adaptive Gating")</f>
        <v>Relation-Aware Multimodal Analogical Reasoning with Modality Fingerprints and Adaptive Gating</v>
      </c>
      <c r="C258" s="189" t="s">
        <v>1278</v>
      </c>
      <c r="D258" s="209" t="str">
        <f t="shared" si="1"/>
        <v>Relation-Aware Multimodal Analogical Reasoning with Modality Fingerprints and Adaptive Gating
Ruofan Wang, Zijian Huang, Qiqi Wang, Yuchen Su, Robert
Amor, Kaiqi Zhao and Meng-Fen Chiang
</v>
      </c>
      <c r="E258" s="209" t="str">
        <f>IFERROR(__xludf.DUMMYFUNCTION("TEXTJOIN(CHAR(10), TRUE,FILTER('Research Papers'!$C:$C,'Research Papers'!$A:$A=C258))"),"Ruofan Wang, Zijian Huang, Qiqi Wang, Yuchen Su, Robert
Amor, Kaiqi Zhao and Meng-Fen Chiang")</f>
        <v>Ruofan Wang, Zijian Huang, Qiqi Wang, Yuchen Su, Robert
Amor, Kaiqi Zhao and Meng-Fen Chiang</v>
      </c>
      <c r="F258" s="209" t="str">
        <f>IFERROR(__xludf.DUMMYFUNCTION("TEXTJOIN(CHAR(10), TRUE,FILTER ('Sheridan Main'!E:E,'Sheridan Main'!B:B=C258))"),"meng.chiang@nycu.edu.tw")</f>
        <v>meng.chiang@nycu.edu.tw</v>
      </c>
      <c r="G258" s="210" t="str">
        <f>IFERROR(__xludf.DUMMYFUNCTION("CONCATENATE(""https://dl.acm.org/doi/"",INDEX(FILTER('Sheridan Main'!A:A,'Sheridan Main'!B:B=C258),1))"),"https://dl.acm.org/doi/10.1145/3774904.3792481")</f>
        <v>https://dl.acm.org/doi/10.1145/3774904.3792481</v>
      </c>
      <c r="H258" s="189" t="s">
        <v>135</v>
      </c>
      <c r="I258" s="209"/>
      <c r="J258" s="209"/>
      <c r="K258" s="147"/>
      <c r="L258" s="147"/>
      <c r="M258" s="209"/>
      <c r="N258" s="209"/>
      <c r="O258" s="209"/>
      <c r="P258" s="209"/>
      <c r="Q258" s="209"/>
      <c r="R258" s="209"/>
      <c r="S258" s="209"/>
      <c r="T258" s="209"/>
      <c r="U258" s="209"/>
      <c r="V258" s="209"/>
      <c r="W258" s="209"/>
      <c r="X258" s="209"/>
      <c r="Y258" s="209"/>
      <c r="Z258" s="209"/>
      <c r="AA258" s="209"/>
      <c r="AB258" s="209"/>
      <c r="AC258" s="209"/>
      <c r="AD258" s="209"/>
      <c r="AE258" s="209"/>
    </row>
    <row r="259">
      <c r="A259" s="208" t="s">
        <v>2891</v>
      </c>
      <c r="B259" s="189" t="str">
        <f>IFERROR(__xludf.DUMMYFUNCTION("FILTER ('Research Papers'!D:D,'Research Papers'!A:A=C259)"),"DyMRL: Dynamic Multispace Representation Learning for Multimodal Event Forecasting in Knowledge Graph")</f>
        <v>DyMRL: Dynamic Multispace Representation Learning for Multimodal Event Forecasting in Knowledge Graph</v>
      </c>
      <c r="C259" s="189" t="s">
        <v>1516</v>
      </c>
      <c r="D259" s="209" t="str">
        <f t="shared" si="1"/>
        <v>DyMRL: Dynamic Multispace Representation Learning for Multimodal Event Forecasting in Knowledge Graph
Feng Zhao, Kangzheng Liu, Teng Peng, Yu Yang and Guandong Xu
</v>
      </c>
      <c r="E259" s="209" t="str">
        <f>IFERROR(__xludf.DUMMYFUNCTION("TEXTJOIN(CHAR(10), TRUE,FILTER('Research Papers'!$C:$C,'Research Papers'!$A:$A=C259))"),"Feng Zhao, Kangzheng Liu, Teng Peng, Yu Yang and Guandong Xu")</f>
        <v>Feng Zhao, Kangzheng Liu, Teng Peng, Yu Yang and Guandong Xu</v>
      </c>
      <c r="F259" s="209" t="str">
        <f>IFERROR(__xludf.DUMMYFUNCTION("TEXTJOIN(CHAR(10), TRUE,FILTER ('Sheridan Main'!E:E,'Sheridan Main'!B:B=C259))"),"zhaof@hust.edu.cn")</f>
        <v>zhaof@hust.edu.cn</v>
      </c>
      <c r="G259" s="210" t="str">
        <f>IFERROR(__xludf.DUMMYFUNCTION("CONCATENATE(""https://dl.acm.org/doi/"",INDEX(FILTER('Sheridan Main'!A:A,'Sheridan Main'!B:B=C259),1))"),"https://dl.acm.org/doi/10.1145/3774904.3792600")</f>
        <v>https://dl.acm.org/doi/10.1145/3774904.3792600</v>
      </c>
      <c r="H259" s="189" t="s">
        <v>135</v>
      </c>
      <c r="I259" s="209"/>
      <c r="J259" s="209"/>
      <c r="K259" s="147"/>
      <c r="L259" s="147"/>
      <c r="M259" s="209"/>
      <c r="N259" s="209"/>
      <c r="O259" s="209"/>
      <c r="P259" s="209"/>
      <c r="Q259" s="209"/>
      <c r="R259" s="209"/>
      <c r="S259" s="209"/>
      <c r="T259" s="209"/>
      <c r="U259" s="209"/>
      <c r="V259" s="209"/>
      <c r="W259" s="209"/>
      <c r="X259" s="209"/>
      <c r="Y259" s="209"/>
      <c r="Z259" s="209"/>
      <c r="AA259" s="209"/>
      <c r="AB259" s="209"/>
      <c r="AC259" s="209"/>
      <c r="AD259" s="209"/>
      <c r="AE259" s="209"/>
    </row>
    <row r="260">
      <c r="A260" s="208" t="s">
        <v>2891</v>
      </c>
      <c r="B260" s="189" t="str">
        <f>IFERROR(__xludf.DUMMYFUNCTION("FILTER ('Research Papers'!D:D,'Research Papers'!A:A=C260)"),"DSTAG: A Semantic Tag-Enhanced Dual-Graph Convolutional Network for Temporal Knowledge Graph Completion")</f>
        <v>DSTAG: A Semantic Tag-Enhanced Dual-Graph Convolutional Network for Temporal Knowledge Graph Completion</v>
      </c>
      <c r="C260" s="189" t="s">
        <v>646</v>
      </c>
      <c r="D260" s="209" t="str">
        <f t="shared" si="1"/>
        <v>DSTAG: A Semantic Tag-Enhanced Dual-Graph Convolutional Network for Temporal Knowledge Graph Completion
Yuchao Zhang, Xiangjie Kong, Kailun Ye, Shangfei Zheng and
Guojiang Shen
</v>
      </c>
      <c r="E260" s="209" t="str">
        <f>IFERROR(__xludf.DUMMYFUNCTION("TEXTJOIN(CHAR(10), TRUE,FILTER('Research Papers'!$C:$C,'Research Papers'!$A:$A=C260))"),"Yuchao Zhang, Xiangjie Kong, Kailun Ye, Shangfei Zheng and
Guojiang Shen")</f>
        <v>Yuchao Zhang, Xiangjie Kong, Kailun Ye, Shangfei Zheng and
Guojiang Shen</v>
      </c>
      <c r="F260" s="209" t="str">
        <f>IFERROR(__xludf.DUMMYFUNCTION("TEXTJOIN(CHAR(10), TRUE,FILTER ('Sheridan Main'!E:E,'Sheridan Main'!B:B=C260))"),"xjkong@ieee.org")</f>
        <v>xjkong@ieee.org</v>
      </c>
      <c r="G260" s="210" t="str">
        <f>IFERROR(__xludf.DUMMYFUNCTION("CONCATENATE(""https://dl.acm.org/doi/"",INDEX(FILTER('Sheridan Main'!A:A,'Sheridan Main'!B:B=C260),1))"),"https://dl.acm.org/doi/10.1145/3774904.3792165")</f>
        <v>https://dl.acm.org/doi/10.1145/3774904.3792165</v>
      </c>
      <c r="H260" s="189" t="s">
        <v>203</v>
      </c>
      <c r="I260" s="209"/>
      <c r="J260" s="209"/>
      <c r="K260" s="147"/>
      <c r="L260" s="147"/>
      <c r="M260" s="209"/>
      <c r="N260" s="209"/>
      <c r="O260" s="209"/>
      <c r="P260" s="209"/>
      <c r="Q260" s="209"/>
      <c r="R260" s="209"/>
      <c r="S260" s="209"/>
      <c r="T260" s="209"/>
      <c r="U260" s="209"/>
      <c r="V260" s="209"/>
      <c r="W260" s="209"/>
      <c r="X260" s="209"/>
      <c r="Y260" s="209"/>
      <c r="Z260" s="209"/>
      <c r="AA260" s="209"/>
      <c r="AB260" s="209"/>
      <c r="AC260" s="209"/>
      <c r="AD260" s="209"/>
      <c r="AE260" s="209"/>
    </row>
    <row r="261">
      <c r="A261" s="208" t="s">
        <v>2891</v>
      </c>
      <c r="B261" s="189" t="str">
        <f>IFERROR(__xludf.DUMMYFUNCTION("FILTER ('Research Papers'!D:D,'Research Papers'!A:A=C261)"),"Plan Then Retrieve: Reinforcement Learning-Guided Complex Reasoning over Knowledge Graphs")</f>
        <v>Plan Then Retrieve: Reinforcement Learning-Guided Complex Reasoning over Knowledge Graphs</v>
      </c>
      <c r="C261" s="189" t="s">
        <v>698</v>
      </c>
      <c r="D261" s="209" t="str">
        <f t="shared" si="1"/>
        <v>Plan Then Retrieve: Reinforcement Learning-Guided Complex Reasoning over Knowledge Graphs
Yanlin Song, Ben Liu, Víctor Gutiérrez-Basulto, Zhiwei Hu,
Qianqian Xie, Min Peng, Sophia Ananiadou and Jeff Z. Pan
</v>
      </c>
      <c r="E261" s="209" t="str">
        <f>IFERROR(__xludf.DUMMYFUNCTION("TEXTJOIN(CHAR(10), TRUE,FILTER('Research Papers'!$C:$C,'Research Papers'!$A:$A=C261))"),"Yanlin Song, Ben Liu, Víctor Gutiérrez-Basulto, Zhiwei Hu,
Qianqian Xie, Min Peng, Sophia Ananiadou and Jeff Z. Pan")</f>
        <v>Yanlin Song, Ben Liu, Víctor Gutiérrez-Basulto, Zhiwei Hu,
Qianqian Xie, Min Peng, Sophia Ananiadou and Jeff Z. Pan</v>
      </c>
      <c r="F261" s="209" t="str">
        <f>IFERROR(__xludf.DUMMYFUNCTION("TEXTJOIN(CHAR(10), TRUE,FILTER ('Sheridan Main'!E:E,'Sheridan Main'!B:B=C261))"),"songyanlin@whu.edu.cn")</f>
        <v>songyanlin@whu.edu.cn</v>
      </c>
      <c r="G261" s="210" t="str">
        <f>IFERROR(__xludf.DUMMYFUNCTION("CONCATENATE(""https://dl.acm.org/doi/"",INDEX(FILTER('Sheridan Main'!A:A,'Sheridan Main'!B:B=C261),1))"),"https://dl.acm.org/doi/10.1145/3774904.3792191")</f>
        <v>https://dl.acm.org/doi/10.1145/3774904.3792191</v>
      </c>
      <c r="H261" s="189" t="s">
        <v>203</v>
      </c>
      <c r="I261" s="209"/>
      <c r="J261" s="209"/>
      <c r="K261" s="147"/>
      <c r="L261" s="147"/>
      <c r="M261" s="209"/>
      <c r="N261" s="209"/>
      <c r="O261" s="209"/>
      <c r="P261" s="209"/>
      <c r="Q261" s="209"/>
      <c r="R261" s="209"/>
      <c r="S261" s="209"/>
      <c r="T261" s="209"/>
      <c r="U261" s="209"/>
      <c r="V261" s="209"/>
      <c r="W261" s="209"/>
      <c r="X261" s="209"/>
      <c r="Y261" s="209"/>
      <c r="Z261" s="209"/>
      <c r="AA261" s="209"/>
      <c r="AB261" s="209"/>
      <c r="AC261" s="209"/>
      <c r="AD261" s="209"/>
      <c r="AE261" s="209"/>
    </row>
    <row r="262">
      <c r="A262" s="208" t="s">
        <v>2891</v>
      </c>
      <c r="B262" s="189" t="str">
        <f>IFERROR(__xludf.DUMMYFUNCTION("FILTER ('Research Papers'!D:D,'Research Papers'!A:A=C262)"),"MemoTime: Memory-Augmented Temporal Knowledge Graph Enhanced Large Language Model Reasoning")</f>
        <v>MemoTime: Memory-Augmented Temporal Knowledge Graph Enhanced Large Language Model Reasoning</v>
      </c>
      <c r="C262" s="189" t="s">
        <v>1478</v>
      </c>
      <c r="D262" s="209" t="str">
        <f t="shared" si="1"/>
        <v>MemoTime: Memory-Augmented Temporal Knowledge Graph Enhanced Large Language Model Reasoning
Xingyu Tan, Xiaoyang Wang, Qing Liu, Xiwei Xu, Xin Yuan,
Liming Zhu and Wenjie Zhang
</v>
      </c>
      <c r="E262" s="209" t="str">
        <f>IFERROR(__xludf.DUMMYFUNCTION("TEXTJOIN(CHAR(10), TRUE,FILTER('Research Papers'!$C:$C,'Research Papers'!$A:$A=C262))"),"Xingyu Tan, Xiaoyang Wang, Qing Liu, Xiwei Xu, Xin Yuan,
Liming Zhu and Wenjie Zhang")</f>
        <v>Xingyu Tan, Xiaoyang Wang, Qing Liu, Xiwei Xu, Xin Yuan,
Liming Zhu and Wenjie Zhang</v>
      </c>
      <c r="F262" s="209" t="str">
        <f>IFERROR(__xludf.DUMMYFUNCTION("TEXTJOIN(CHAR(10), TRUE,FILTER ('Sheridan Main'!E:E,'Sheridan Main'!B:B=C262))"),"xiaoyang.wang1@unsw.edu.au")</f>
        <v>xiaoyang.wang1@unsw.edu.au</v>
      </c>
      <c r="G262" s="210" t="str">
        <f>IFERROR(__xludf.DUMMYFUNCTION("CONCATENATE(""https://dl.acm.org/doi/"",INDEX(FILTER('Sheridan Main'!A:A,'Sheridan Main'!B:B=C262),1))"),"https://dl.acm.org/doi/10.1145/3774904.3792581")</f>
        <v>https://dl.acm.org/doi/10.1145/3774904.3792581</v>
      </c>
      <c r="H262" s="189" t="s">
        <v>203</v>
      </c>
      <c r="I262" s="209"/>
      <c r="J262" s="209"/>
      <c r="K262" s="147"/>
      <c r="L262" s="147"/>
      <c r="M262" s="209"/>
      <c r="N262" s="209"/>
      <c r="O262" s="209"/>
      <c r="P262" s="209"/>
      <c r="Q262" s="209"/>
      <c r="R262" s="209"/>
      <c r="S262" s="209"/>
      <c r="T262" s="209"/>
      <c r="U262" s="209"/>
      <c r="V262" s="209"/>
      <c r="W262" s="209"/>
      <c r="X262" s="209"/>
      <c r="Y262" s="209"/>
      <c r="Z262" s="209"/>
      <c r="AA262" s="209"/>
      <c r="AB262" s="209"/>
      <c r="AC262" s="209"/>
      <c r="AD262" s="209"/>
      <c r="AE262" s="209"/>
    </row>
    <row r="263">
      <c r="A263" s="208" t="s">
        <v>2891</v>
      </c>
      <c r="B263" s="189" t="str">
        <f>IFERROR(__xludf.DUMMYFUNCTION("FILTER ('Research Papers'!D:D,'Research Papers'!A:A=C263)"),"PRoH: Dynamic Planning and Reasoning over Knowledge Hypergraphs for Retrieval-Augmented Generation")</f>
        <v>PRoH: Dynamic Planning and Reasoning over Knowledge Hypergraphs for Retrieval-Augmented Generation</v>
      </c>
      <c r="C263" s="189" t="s">
        <v>1538</v>
      </c>
      <c r="D263" s="209" t="str">
        <f t="shared" si="1"/>
        <v>PRoH: Dynamic Planning and Reasoning over Knowledge Hypergraphs for Retrieval-Augmented Generation
Xiangjun Zai, Xingyu Tan, Xiaoyang Wang, Qing Liu, Xiwei Xu
and Wenjie Zhang
</v>
      </c>
      <c r="E263" s="209" t="str">
        <f>IFERROR(__xludf.DUMMYFUNCTION("TEXTJOIN(CHAR(10), TRUE,FILTER('Research Papers'!$C:$C,'Research Papers'!$A:$A=C263))"),"Xiangjun Zai, Xingyu Tan, Xiaoyang Wang, Qing Liu, Xiwei Xu
and Wenjie Zhang")</f>
        <v>Xiangjun Zai, Xingyu Tan, Xiaoyang Wang, Qing Liu, Xiwei Xu
and Wenjie Zhang</v>
      </c>
      <c r="F263" s="209" t="str">
        <f>IFERROR(__xludf.DUMMYFUNCTION("TEXTJOIN(CHAR(10), TRUE,FILTER ('Sheridan Main'!E:E,'Sheridan Main'!B:B=C263))"),"xingyu.tan@unsw.edu.au")</f>
        <v>xingyu.tan@unsw.edu.au</v>
      </c>
      <c r="G263" s="210" t="str">
        <f>IFERROR(__xludf.DUMMYFUNCTION("CONCATENATE(""https://dl.acm.org/doi/"",INDEX(FILTER('Sheridan Main'!A:A,'Sheridan Main'!B:B=C263),1))"),"https://dl.acm.org/doi/10.1145/3774904.3792611")</f>
        <v>https://dl.acm.org/doi/10.1145/3774904.3792611</v>
      </c>
      <c r="H263" s="189" t="s">
        <v>203</v>
      </c>
      <c r="I263" s="209"/>
      <c r="J263" s="209"/>
      <c r="K263" s="147"/>
      <c r="L263" s="147"/>
      <c r="M263" s="209"/>
      <c r="N263" s="209"/>
      <c r="O263" s="209"/>
      <c r="P263" s="209"/>
      <c r="Q263" s="209"/>
      <c r="R263" s="209"/>
      <c r="S263" s="209"/>
      <c r="T263" s="209"/>
      <c r="U263" s="209"/>
      <c r="V263" s="209"/>
      <c r="W263" s="209"/>
      <c r="X263" s="209"/>
      <c r="Y263" s="209"/>
      <c r="Z263" s="209"/>
      <c r="AA263" s="209"/>
      <c r="AB263" s="209"/>
      <c r="AC263" s="209"/>
      <c r="AD263" s="209"/>
      <c r="AE263" s="209"/>
    </row>
    <row r="264">
      <c r="A264" s="208" t="s">
        <v>2891</v>
      </c>
      <c r="B264" s="189" t="str">
        <f>IFERROR(__xludf.DUMMYFUNCTION("FILTER ('Research Papers'!D:D,'Research Papers'!A:A=C264)"),"Beyond Single Pass, Looping Through Time: KG-IRAG with Iterative Knowledge Retrieval")</f>
        <v>Beyond Single Pass, Looping Through Time: KG-IRAG with Iterative Knowledge Retrieval</v>
      </c>
      <c r="C264" s="189" t="s">
        <v>1806</v>
      </c>
      <c r="D264" s="209" t="str">
        <f t="shared" si="1"/>
        <v>Beyond Single Pass, Looping Through Time: KG-IRAG with Iterative Knowledge Retrieval
Ruiyi Yang, Hao Xue, Imran Razzak and Flora D. Salim
</v>
      </c>
      <c r="E264" s="209" t="str">
        <f>IFERROR(__xludf.DUMMYFUNCTION("TEXTJOIN(CHAR(10), TRUE,FILTER('Research Papers'!$C:$C,'Research Papers'!$A:$A=C264))"),"Ruiyi Yang, Hao Xue, Imran Razzak and Flora D. Salim")</f>
        <v>Ruiyi Yang, Hao Xue, Imran Razzak and Flora D. Salim</v>
      </c>
      <c r="F264" s="209" t="str">
        <f>IFERROR(__xludf.DUMMYFUNCTION("TEXTJOIN(CHAR(10), TRUE,FILTER ('Sheridan Main'!E:E,'Sheridan Main'!B:B=C264))"),"ruiyi.yang@student.unsw.edu.au")</f>
        <v>ruiyi.yang@student.unsw.edu.au</v>
      </c>
      <c r="G264" s="210" t="str">
        <f>IFERROR(__xludf.DUMMYFUNCTION("CONCATENATE(""https://dl.acm.org/doi/"",INDEX(FILTER('Sheridan Main'!A:A,'Sheridan Main'!B:B=C264),1))"),"https://dl.acm.org/doi/10.1145/3774904.3792745")</f>
        <v>https://dl.acm.org/doi/10.1145/3774904.3792745</v>
      </c>
      <c r="H264" s="189" t="s">
        <v>203</v>
      </c>
      <c r="I264" s="209"/>
      <c r="J264" s="209"/>
      <c r="K264" s="147"/>
      <c r="L264" s="147"/>
      <c r="M264" s="209"/>
      <c r="N264" s="209"/>
      <c r="O264" s="209"/>
      <c r="P264" s="209"/>
      <c r="Q264" s="209"/>
      <c r="R264" s="209"/>
      <c r="S264" s="209"/>
      <c r="T264" s="209"/>
      <c r="U264" s="209"/>
      <c r="V264" s="209"/>
      <c r="W264" s="209"/>
      <c r="X264" s="209"/>
      <c r="Y264" s="209"/>
      <c r="Z264" s="209"/>
      <c r="AA264" s="209"/>
      <c r="AB264" s="209"/>
      <c r="AC264" s="209"/>
      <c r="AD264" s="209"/>
      <c r="AE264" s="209"/>
    </row>
    <row r="265">
      <c r="A265" s="208" t="s">
        <v>2891</v>
      </c>
      <c r="B265" s="189" t="str">
        <f>IFERROR(__xludf.DUMMYFUNCTION("FILTER ('Research Papers'!D:D,'Research Papers'!A:A=C265)"),"Bridging Expert Reasoning and LLM Detection: A Knowledge-Driven Framework for Malicious Packages")</f>
        <v>Bridging Expert Reasoning and LLM Detection: A Knowledge-Driven Framework for Malicious Packages</v>
      </c>
      <c r="C265" s="189" t="s">
        <v>482</v>
      </c>
      <c r="D265" s="209" t="str">
        <f t="shared" si="1"/>
        <v>Bridging Expert Reasoning and LLM Detection: A Knowledge-Driven Framework for Malicious Packages
Wenbo Guo, Shiwen Song, Jiaxun Guo, Zhengzi Xu, Chengwei
Liu, Haoran Ou, Mengmeng Ge and Yang Liu
</v>
      </c>
      <c r="E265" s="209" t="str">
        <f>IFERROR(__xludf.DUMMYFUNCTION("TEXTJOIN(CHAR(10), TRUE,FILTER('Research Papers'!$C:$C,'Research Papers'!$A:$A=C265))"),"Wenbo Guo, Shiwen Song, Jiaxun Guo, Zhengzi Xu, Chengwei
Liu, Haoran Ou, Mengmeng Ge and Yang Liu")</f>
        <v>Wenbo Guo, Shiwen Song, Jiaxun Guo, Zhengzi Xu, Chengwei
Liu, Haoran Ou, Mengmeng Ge and Yang Liu</v>
      </c>
      <c r="F265" s="209" t="str">
        <f>IFERROR(__xludf.DUMMYFUNCTION("TEXTJOIN(CHAR(10), TRUE,FILTER ('Sheridan Main'!E:E,'Sheridan Main'!B:B=C265))"),"z.xu@imperial.ac.uk")</f>
        <v>z.xu@imperial.ac.uk</v>
      </c>
      <c r="G265" s="210" t="str">
        <f>IFERROR(__xludf.DUMMYFUNCTION("CONCATENATE(""https://dl.acm.org/doi/"",INDEX(FILTER('Sheridan Main'!A:A,'Sheridan Main'!B:B=C265),1))"),"https://dl.acm.org/doi/10.1145/3774904.3792083")</f>
        <v>https://dl.acm.org/doi/10.1145/3774904.3792083</v>
      </c>
      <c r="H265" s="189" t="s">
        <v>2851</v>
      </c>
      <c r="I265" s="189" t="s">
        <v>2892</v>
      </c>
      <c r="J265" s="209"/>
      <c r="K265" s="205" t="s">
        <v>2930</v>
      </c>
      <c r="L265" s="174">
        <f>COUNTIF(H:H,H265)</f>
        <v>40</v>
      </c>
      <c r="M265" s="209"/>
      <c r="N265" s="209"/>
      <c r="O265" s="209"/>
      <c r="P265" s="209"/>
      <c r="Q265" s="209"/>
      <c r="R265" s="209"/>
      <c r="S265" s="209"/>
      <c r="T265" s="209"/>
      <c r="U265" s="209"/>
      <c r="V265" s="209"/>
      <c r="W265" s="209"/>
      <c r="X265" s="209"/>
      <c r="Y265" s="209"/>
      <c r="Z265" s="209"/>
      <c r="AA265" s="209"/>
      <c r="AB265" s="209"/>
      <c r="AC265" s="209"/>
      <c r="AD265" s="209"/>
      <c r="AE265" s="209"/>
    </row>
    <row r="266">
      <c r="A266" s="208" t="s">
        <v>2891</v>
      </c>
      <c r="B266" s="189" t="str">
        <f>IFERROR(__xludf.DUMMYFUNCTION("FILTER ('Research Papers'!D:D,'Research Papers'!A:A=C266)"),"HingeMem: Boundary Guided Long-Term Memory with Query Adaptive Retrieval for Scalable Dialogues")</f>
        <v>HingeMem: Boundary Guided Long-Term Memory with Query Adaptive Retrieval for Scalable Dialogues</v>
      </c>
      <c r="C266" s="189" t="s">
        <v>494</v>
      </c>
      <c r="D266" s="209" t="str">
        <f t="shared" si="1"/>
        <v>HingeMem: Boundary Guided Long-Term Memory with Query Adaptive Retrieval for Scalable Dialogues
Yijie Zhong, Yunfan Gao and Haofen Wang
</v>
      </c>
      <c r="E266" s="209" t="str">
        <f>IFERROR(__xludf.DUMMYFUNCTION("TEXTJOIN(CHAR(10), TRUE,FILTER('Research Papers'!$C:$C,'Research Papers'!$A:$A=C266))"),"Yijie Zhong, Yunfan Gao and Haofen Wang")</f>
        <v>Yijie Zhong, Yunfan Gao and Haofen Wang</v>
      </c>
      <c r="F266" s="209" t="str">
        <f>IFERROR(__xludf.DUMMYFUNCTION("TEXTJOIN(CHAR(10), TRUE,FILTER ('Sheridan Main'!E:E,'Sheridan Main'!B:B=C266))"),"carter.whfcarter@gmail.com")</f>
        <v>carter.whfcarter@gmail.com</v>
      </c>
      <c r="G266" s="210" t="str">
        <f>IFERROR(__xludf.DUMMYFUNCTION("CONCATENATE(""https://dl.acm.org/doi/"",INDEX(FILTER('Sheridan Main'!A:A,'Sheridan Main'!B:B=C266),1))"),"https://dl.acm.org/doi/10.1145/3774904.3792089")</f>
        <v>https://dl.acm.org/doi/10.1145/3774904.3792089</v>
      </c>
      <c r="H266" s="189" t="s">
        <v>2851</v>
      </c>
      <c r="I266" s="189" t="s">
        <v>2892</v>
      </c>
      <c r="J266" s="209"/>
      <c r="K266" s="147"/>
      <c r="L266" s="147"/>
      <c r="M266" s="209"/>
      <c r="N266" s="209"/>
      <c r="O266" s="209"/>
      <c r="P266" s="209"/>
      <c r="Q266" s="209"/>
      <c r="R266" s="209"/>
      <c r="S266" s="209"/>
      <c r="T266" s="209"/>
      <c r="U266" s="209"/>
      <c r="V266" s="209"/>
      <c r="W266" s="209"/>
      <c r="X266" s="209"/>
      <c r="Y266" s="209"/>
      <c r="Z266" s="209"/>
      <c r="AA266" s="209"/>
      <c r="AB266" s="209"/>
      <c r="AC266" s="209"/>
      <c r="AD266" s="209"/>
      <c r="AE266" s="209"/>
    </row>
    <row r="267">
      <c r="A267" s="208" t="s">
        <v>2891</v>
      </c>
      <c r="B267" s="189" t="str">
        <f>IFERROR(__xludf.DUMMYFUNCTION("FILTER ('Research Papers'!D:D,'Research Papers'!A:A=C267)"),"LHG: LLM-enhanced and Heterogeneous Graph-induced for Unsupervised Social Event Detection")</f>
        <v>LHG: LLM-enhanced and Heterogeneous Graph-induced for Unsupervised Social Event Detection</v>
      </c>
      <c r="C267" s="189" t="s">
        <v>590</v>
      </c>
      <c r="D267" s="209" t="str">
        <f t="shared" si="1"/>
        <v>LHG: LLM-enhanced and Heterogeneous Graph-induced for Unsupervised Social Event Detection
Zitai Qiu, Rongwei Xu, Congbo Ma, Shan Xue, Jian Yang,
Guanfeng Liu, Quan Z. Sheng, Amin Beheshti and Jia Wu
</v>
      </c>
      <c r="E267" s="209" t="str">
        <f>IFERROR(__xludf.DUMMYFUNCTION("TEXTJOIN(CHAR(10), TRUE,FILTER('Research Papers'!$C:$C,'Research Papers'!$A:$A=C267))"),"Zitai Qiu, Rongwei Xu, Congbo Ma, Shan Xue, Jian Yang,
Guanfeng Liu, Quan Z. Sheng, Amin Beheshti and Jia Wu")</f>
        <v>Zitai Qiu, Rongwei Xu, Congbo Ma, Shan Xue, Jian Yang,
Guanfeng Liu, Quan Z. Sheng, Amin Beheshti and Jia Wu</v>
      </c>
      <c r="F267" s="209" t="str">
        <f>IFERROR(__xludf.DUMMYFUNCTION("TEXTJOIN(CHAR(10), TRUE,FILTER ('Sheridan Main'!E:E,'Sheridan Main'!B:B=C267))"),"jia.wu@mq.edu.au")</f>
        <v>jia.wu@mq.edu.au</v>
      </c>
      <c r="G267" s="210" t="str">
        <f>IFERROR(__xludf.DUMMYFUNCTION("CONCATENATE(""https://dl.acm.org/doi/"",INDEX(FILTER('Sheridan Main'!A:A,'Sheridan Main'!B:B=C267),1))"),"https://dl.acm.org/doi/10.1145/3774904.3792137")</f>
        <v>https://dl.acm.org/doi/10.1145/3774904.3792137</v>
      </c>
      <c r="H267" s="189" t="s">
        <v>2851</v>
      </c>
      <c r="I267" s="189" t="s">
        <v>2892</v>
      </c>
      <c r="J267" s="209"/>
      <c r="K267" s="147"/>
      <c r="L267" s="147"/>
      <c r="M267" s="209"/>
      <c r="N267" s="209"/>
      <c r="O267" s="209"/>
      <c r="P267" s="209"/>
      <c r="Q267" s="209"/>
      <c r="R267" s="209"/>
      <c r="S267" s="209"/>
      <c r="T267" s="209"/>
      <c r="U267" s="209"/>
      <c r="V267" s="209"/>
      <c r="W267" s="209"/>
      <c r="X267" s="209"/>
      <c r="Y267" s="209"/>
      <c r="Z267" s="209"/>
      <c r="AA267" s="209"/>
      <c r="AB267" s="209"/>
      <c r="AC267" s="209"/>
      <c r="AD267" s="209"/>
      <c r="AE267" s="209"/>
    </row>
    <row r="268">
      <c r="A268" s="208" t="s">
        <v>2891</v>
      </c>
      <c r="B268" s="189" t="str">
        <f>IFERROR(__xludf.DUMMYFUNCTION("FILTER ('Research Papers'!D:D,'Research Papers'!A:A=C268)"),"Decoding Web Memorization: A Semantic Membership Inference Attack on LLMs")</f>
        <v>Decoding Web Memorization: A Semantic Membership Inference Attack on LLMs</v>
      </c>
      <c r="C268" s="189" t="s">
        <v>618</v>
      </c>
      <c r="D268" s="209" t="str">
        <f t="shared" si="1"/>
        <v>Decoding Web Memorization: A Semantic Membership Inference Attack on LLMs
Zhiyao Wu, Zi Liang and Haibo Hu
</v>
      </c>
      <c r="E268" s="209" t="str">
        <f>IFERROR(__xludf.DUMMYFUNCTION("TEXTJOIN(CHAR(10), TRUE,FILTER('Research Papers'!$C:$C,'Research Papers'!$A:$A=C268))"),"Zhiyao Wu, Zi Liang and Haibo Hu")</f>
        <v>Zhiyao Wu, Zi Liang and Haibo Hu</v>
      </c>
      <c r="F268" s="209" t="str">
        <f>IFERROR(__xludf.DUMMYFUNCTION("TEXTJOIN(CHAR(10), TRUE,FILTER ('Sheridan Main'!E:E,'Sheridan Main'!B:B=C268))"),"haibo.hu@polyu.edu.hk")</f>
        <v>haibo.hu@polyu.edu.hk</v>
      </c>
      <c r="G268" s="210" t="str">
        <f>IFERROR(__xludf.DUMMYFUNCTION("CONCATENATE(""https://dl.acm.org/doi/"",INDEX(FILTER('Sheridan Main'!A:A,'Sheridan Main'!B:B=C268),1))"),"https://dl.acm.org/doi/10.1145/3774904.3792151")</f>
        <v>https://dl.acm.org/doi/10.1145/3774904.3792151</v>
      </c>
      <c r="H268" s="189" t="s">
        <v>2851</v>
      </c>
      <c r="I268" s="189" t="s">
        <v>2892</v>
      </c>
      <c r="J268" s="209"/>
      <c r="K268" s="147"/>
      <c r="L268" s="147"/>
      <c r="M268" s="209"/>
      <c r="N268" s="209"/>
      <c r="O268" s="209"/>
      <c r="P268" s="209"/>
      <c r="Q268" s="209"/>
      <c r="R268" s="209"/>
      <c r="S268" s="209"/>
      <c r="T268" s="209"/>
      <c r="U268" s="209"/>
      <c r="V268" s="209"/>
      <c r="W268" s="209"/>
      <c r="X268" s="209"/>
      <c r="Y268" s="209"/>
      <c r="Z268" s="209"/>
      <c r="AA268" s="209"/>
      <c r="AB268" s="209"/>
      <c r="AC268" s="209"/>
      <c r="AD268" s="209"/>
      <c r="AE268" s="209"/>
    </row>
    <row r="269">
      <c r="A269" s="208" t="s">
        <v>2891</v>
      </c>
      <c r="B269" s="189" t="str">
        <f>IFERROR(__xludf.DUMMYFUNCTION("FILTER ('Research Papers'!D:D,'Research Papers'!A:A=C269)"),"Bridging Semantic Understanding and Popularity Bias with LLMs")</f>
        <v>Bridging Semantic Understanding and Popularity Bias with LLMs</v>
      </c>
      <c r="C269" s="189" t="s">
        <v>652</v>
      </c>
      <c r="D269" s="209" t="str">
        <f t="shared" si="1"/>
        <v>Bridging Semantic Understanding and Popularity Bias with LLMs
Renqiang Luo, Dong Zhang, Yupeng Gao, Wen Shi, Mingliang
Hou, Jiaying Liu, Zhe Wang and Shuo Yu
</v>
      </c>
      <c r="E269" s="209" t="str">
        <f>IFERROR(__xludf.DUMMYFUNCTION("TEXTJOIN(CHAR(10), TRUE,FILTER('Research Papers'!$C:$C,'Research Papers'!$A:$A=C269))"),"Renqiang Luo, Dong Zhang, Yupeng Gao, Wen Shi, Mingliang
Hou, Jiaying Liu, Zhe Wang and Shuo Yu")</f>
        <v>Renqiang Luo, Dong Zhang, Yupeng Gao, Wen Shi, Mingliang
Hou, Jiaying Liu, Zhe Wang and Shuo Yu</v>
      </c>
      <c r="F269" s="209" t="str">
        <f>IFERROR(__xludf.DUMMYFUNCTION("TEXTJOIN(CHAR(10), TRUE,FILTER ('Sheridan Main'!E:E,'Sheridan Main'!B:B=C269))"),"shuo.yu@ieee.org")</f>
        <v>shuo.yu@ieee.org</v>
      </c>
      <c r="G269" s="210" t="str">
        <f>IFERROR(__xludf.DUMMYFUNCTION("CONCATENATE(""https://dl.acm.org/doi/"",INDEX(FILTER('Sheridan Main'!A:A,'Sheridan Main'!B:B=C269),1))"),"https://dl.acm.org/doi/10.1145/3774904.3792168")</f>
        <v>https://dl.acm.org/doi/10.1145/3774904.3792168</v>
      </c>
      <c r="H269" s="189" t="s">
        <v>2851</v>
      </c>
      <c r="I269" s="189" t="s">
        <v>2892</v>
      </c>
      <c r="J269" s="209"/>
      <c r="K269" s="147"/>
      <c r="L269" s="147"/>
      <c r="M269" s="209"/>
      <c r="N269" s="209"/>
      <c r="O269" s="209"/>
      <c r="P269" s="209"/>
      <c r="Q269" s="209"/>
      <c r="R269" s="209"/>
      <c r="S269" s="209"/>
      <c r="T269" s="209"/>
      <c r="U269" s="209"/>
      <c r="V269" s="209"/>
      <c r="W269" s="209"/>
      <c r="X269" s="209"/>
      <c r="Y269" s="209"/>
      <c r="Z269" s="209"/>
      <c r="AA269" s="209"/>
      <c r="AB269" s="209"/>
      <c r="AC269" s="209"/>
      <c r="AD269" s="209"/>
      <c r="AE269" s="209"/>
    </row>
    <row r="270">
      <c r="A270" s="208" t="s">
        <v>2891</v>
      </c>
      <c r="B270" s="189" t="str">
        <f>IFERROR(__xludf.DUMMYFUNCTION("FILTER ('Research Papers'!D:D,'Research Papers'!A:A=C270)"),"Simple-Sampling and Hard-Mixup with Prototypes to Rebalance Contrastive Learning for Text Classification")</f>
        <v>Simple-Sampling and Hard-Mixup with Prototypes to Rebalance Contrastive Learning for Text Classification</v>
      </c>
      <c r="C270" s="189" t="s">
        <v>790</v>
      </c>
      <c r="D270" s="209" t="str">
        <f t="shared" si="1"/>
        <v>Simple-Sampling and Hard-Mixup with Prototypes to Rebalance Contrastive Learning for Text Classification
Mengyu Li, Yonghao Liu, Fausto Giunchiglia, Ximing Li,
Xiaoyue Feng and Renchu Guan
</v>
      </c>
      <c r="E270" s="209" t="str">
        <f>IFERROR(__xludf.DUMMYFUNCTION("TEXTJOIN(CHAR(10), TRUE,FILTER('Research Papers'!$C:$C,'Research Papers'!$A:$A=C270))"),"Mengyu Li, Yonghao Liu, Fausto Giunchiglia, Ximing Li,
Xiaoyue Feng and Renchu Guan")</f>
        <v>Mengyu Li, Yonghao Liu, Fausto Giunchiglia, Ximing Li,
Xiaoyue Feng and Renchu Guan</v>
      </c>
      <c r="F270" s="209" t="str">
        <f>IFERROR(__xludf.DUMMYFUNCTION("TEXTJOIN(CHAR(10), TRUE,FILTER ('Sheridan Main'!E:E,'Sheridan Main'!B:B=C270))"),"fengxy@jlu.edu.cn")</f>
        <v>fengxy@jlu.edu.cn</v>
      </c>
      <c r="G270" s="210" t="str">
        <f>IFERROR(__xludf.DUMMYFUNCTION("CONCATENATE(""https://dl.acm.org/doi/"",INDEX(FILTER('Sheridan Main'!A:A,'Sheridan Main'!B:B=C270),1))"),"https://dl.acm.org/doi/10.1145/3774904.3792237")</f>
        <v>https://dl.acm.org/doi/10.1145/3774904.3792237</v>
      </c>
      <c r="H270" s="189" t="s">
        <v>2851</v>
      </c>
      <c r="I270" s="189" t="s">
        <v>2892</v>
      </c>
      <c r="J270" s="209"/>
      <c r="K270" s="147"/>
      <c r="L270" s="147"/>
      <c r="M270" s="209"/>
      <c r="N270" s="209"/>
      <c r="O270" s="209"/>
      <c r="P270" s="209"/>
      <c r="Q270" s="209"/>
      <c r="R270" s="209"/>
      <c r="S270" s="209"/>
      <c r="T270" s="209"/>
      <c r="U270" s="209"/>
      <c r="V270" s="209"/>
      <c r="W270" s="209"/>
      <c r="X270" s="209"/>
      <c r="Y270" s="209"/>
      <c r="Z270" s="209"/>
      <c r="AA270" s="209"/>
      <c r="AB270" s="209"/>
      <c r="AC270" s="209"/>
      <c r="AD270" s="209"/>
      <c r="AE270" s="209"/>
    </row>
    <row r="271">
      <c r="A271" s="208" t="s">
        <v>2891</v>
      </c>
      <c r="B271" s="189" t="str">
        <f>IFERROR(__xludf.DUMMYFUNCTION("FILTER ('Research Papers'!D:D,'Research Papers'!A:A=C271)"),"Traceable Latent Variable Discovery Based on Multi-Agent Collaboration")</f>
        <v>Traceable Latent Variable Discovery Based on Multi-Agent Collaboration</v>
      </c>
      <c r="C271" s="189" t="s">
        <v>804</v>
      </c>
      <c r="D271" s="209" t="str">
        <f t="shared" si="1"/>
        <v>Traceable Latent Variable Discovery Based on Multi-Agent Collaboration
Huaming Du, Tao Hu, Yijie Huang, Yu Zhao, Guisong Liu, Tao
Gu, Gang Kou and Carl Yang
</v>
      </c>
      <c r="E271" s="209" t="str">
        <f>IFERROR(__xludf.DUMMYFUNCTION("TEXTJOIN(CHAR(10), TRUE,FILTER('Research Papers'!$C:$C,'Research Papers'!$A:$A=C271))"),"Huaming Du, Tao Hu, Yijie Huang, Yu Zhao, Guisong Liu, Tao
Gu, Gang Kou and Carl Yang")</f>
        <v>Huaming Du, Tao Hu, Yijie Huang, Yu Zhao, Guisong Liu, Tao
Gu, Gang Kou and Carl Yang</v>
      </c>
      <c r="F271" s="209" t="str">
        <f>IFERROR(__xludf.DUMMYFUNCTION("TEXTJOIN(CHAR(10), TRUE,FILTER ('Sheridan Main'!E:E,'Sheridan Main'!B:B=C271))"),"j.carlyang@emory.edu")</f>
        <v>j.carlyang@emory.edu</v>
      </c>
      <c r="G271" s="210" t="str">
        <f>IFERROR(__xludf.DUMMYFUNCTION("CONCATENATE(""https://dl.acm.org/doi/"",INDEX(FILTER('Sheridan Main'!A:A,'Sheridan Main'!B:B=C271),1))"),"https://dl.acm.org/doi/10.1145/3774904.3792244")</f>
        <v>https://dl.acm.org/doi/10.1145/3774904.3792244</v>
      </c>
      <c r="H271" s="189" t="s">
        <v>2851</v>
      </c>
      <c r="I271" s="189" t="s">
        <v>2892</v>
      </c>
      <c r="J271" s="209"/>
      <c r="K271" s="147"/>
      <c r="L271" s="147"/>
      <c r="M271" s="209"/>
      <c r="N271" s="209"/>
      <c r="O271" s="209"/>
      <c r="P271" s="209"/>
      <c r="Q271" s="209"/>
      <c r="R271" s="209"/>
      <c r="S271" s="209"/>
      <c r="T271" s="209"/>
      <c r="U271" s="209"/>
      <c r="V271" s="209"/>
      <c r="W271" s="209"/>
      <c r="X271" s="209"/>
      <c r="Y271" s="209"/>
      <c r="Z271" s="209"/>
      <c r="AA271" s="209"/>
      <c r="AB271" s="209"/>
      <c r="AC271" s="209"/>
      <c r="AD271" s="209"/>
      <c r="AE271" s="209"/>
    </row>
    <row r="272">
      <c r="A272" s="208" t="s">
        <v>2891</v>
      </c>
      <c r="B272" s="189" t="str">
        <f>IFERROR(__xludf.DUMMYFUNCTION("FILTER ('Research Papers'!D:D,'Research Papers'!A:A=C272)"),"DyLogNet: A Dynamic Multi-Relational Graph Framework for Log Anomaly Detection")</f>
        <v>DyLogNet: A Dynamic Multi-Relational Graph Framework for Log Anomaly Detection</v>
      </c>
      <c r="C272" s="189" t="s">
        <v>842</v>
      </c>
      <c r="D272" s="209" t="str">
        <f t="shared" si="1"/>
        <v>DyLogNet: A Dynamic Multi-Relational Graph Framework for Log Anomaly Detection
Xudong Zhao, Xiaolong Xu, Haolong Xiang, Tong Gao, Lianyong
Qi, Amin Beheshti, Xuyun Zhang and Wanchun Dou
</v>
      </c>
      <c r="E272" s="209" t="str">
        <f>IFERROR(__xludf.DUMMYFUNCTION("TEXTJOIN(CHAR(10), TRUE,FILTER('Research Papers'!$C:$C,'Research Papers'!$A:$A=C272))"),"Xudong Zhao, Xiaolong Xu, Haolong Xiang, Tong Gao, Lianyong
Qi, Amin Beheshti, Xuyun Zhang and Wanchun Dou")</f>
        <v>Xudong Zhao, Xiaolong Xu, Haolong Xiang, Tong Gao, Lianyong
Qi, Amin Beheshti, Xuyun Zhang and Wanchun Dou</v>
      </c>
      <c r="F272" s="209" t="str">
        <f>IFERROR(__xludf.DUMMYFUNCTION("TEXTJOIN(CHAR(10), TRUE,FILTER ('Sheridan Main'!E:E,'Sheridan Main'!B:B=C272))"),"xlxu@ieee.org")</f>
        <v>xlxu@ieee.org</v>
      </c>
      <c r="G272" s="210" t="str">
        <f>IFERROR(__xludf.DUMMYFUNCTION("CONCATENATE(""https://dl.acm.org/doi/"",INDEX(FILTER('Sheridan Main'!A:A,'Sheridan Main'!B:B=C272),1))"),"https://dl.acm.org/doi/10.1145/3774904.3792263")</f>
        <v>https://dl.acm.org/doi/10.1145/3774904.3792263</v>
      </c>
      <c r="H272" s="189" t="s">
        <v>2851</v>
      </c>
      <c r="I272" s="189" t="s">
        <v>2892</v>
      </c>
      <c r="J272" s="209"/>
      <c r="K272" s="147"/>
      <c r="L272" s="147"/>
      <c r="M272" s="209"/>
      <c r="N272" s="209"/>
      <c r="O272" s="209"/>
      <c r="P272" s="209"/>
      <c r="Q272" s="209"/>
      <c r="R272" s="209"/>
      <c r="S272" s="209"/>
      <c r="T272" s="209"/>
      <c r="U272" s="209"/>
      <c r="V272" s="209"/>
      <c r="W272" s="209"/>
      <c r="X272" s="209"/>
      <c r="Y272" s="209"/>
      <c r="Z272" s="209"/>
      <c r="AA272" s="209"/>
      <c r="AB272" s="209"/>
      <c r="AC272" s="209"/>
      <c r="AD272" s="209"/>
      <c r="AE272" s="209"/>
    </row>
    <row r="273">
      <c r="A273" s="208" t="s">
        <v>2891</v>
      </c>
      <c r="B273" s="189" t="str">
        <f>IFERROR(__xludf.DUMMYFUNCTION("FILTER ('Research Papers'!D:D,'Research Papers'!A:A=C273)"),"Lifting Manifolds to Mitigate Pseudo-Alignment in LLM4TS")</f>
        <v>Lifting Manifolds to Mitigate Pseudo-Alignment in LLM4TS</v>
      </c>
      <c r="C273" s="189" t="s">
        <v>876</v>
      </c>
      <c r="D273" s="209" t="str">
        <f t="shared" si="1"/>
        <v>Lifting Manifolds to Mitigate Pseudo-Alignment in LLM4TS
Liangwei Nathan Zheng, Wenhao Liang, Wei Emma Zhang, Miao
Xu, Olaf Maennel and Weitong Chen
</v>
      </c>
      <c r="E273" s="209" t="str">
        <f>IFERROR(__xludf.DUMMYFUNCTION("TEXTJOIN(CHAR(10), TRUE,FILTER('Research Papers'!$C:$C,'Research Papers'!$A:$A=C273))"),"Liangwei Nathan Zheng, Wenhao Liang, Wei Emma Zhang, Miao
Xu, Olaf Maennel and Weitong Chen")</f>
        <v>Liangwei Nathan Zheng, Wenhao Liang, Wei Emma Zhang, Miao
Xu, Olaf Maennel and Weitong Chen</v>
      </c>
      <c r="F273" s="209" t="str">
        <f>IFERROR(__xludf.DUMMYFUNCTION("TEXTJOIN(CHAR(10), TRUE,FILTER ('Sheridan Main'!E:E,'Sheridan Main'!B:B=C273))"),"T.Chen@Adelaide.edu.au")</f>
        <v>T.Chen@Adelaide.edu.au</v>
      </c>
      <c r="G273" s="210" t="str">
        <f>IFERROR(__xludf.DUMMYFUNCTION("CONCATENATE(""https://dl.acm.org/doi/"",INDEX(FILTER('Sheridan Main'!A:A,'Sheridan Main'!B:B=C273),1))"),"https://dl.acm.org/doi/10.1145/3774904.3792280")</f>
        <v>https://dl.acm.org/doi/10.1145/3774904.3792280</v>
      </c>
      <c r="H273" s="189" t="s">
        <v>2851</v>
      </c>
      <c r="I273" s="189" t="s">
        <v>117</v>
      </c>
      <c r="J273" s="209"/>
      <c r="K273" s="147"/>
      <c r="L273" s="147"/>
      <c r="M273" s="209"/>
      <c r="N273" s="209"/>
      <c r="O273" s="209"/>
      <c r="P273" s="209"/>
      <c r="Q273" s="209"/>
      <c r="R273" s="209"/>
      <c r="S273" s="209"/>
      <c r="T273" s="209"/>
      <c r="U273" s="209"/>
      <c r="V273" s="209"/>
      <c r="W273" s="209"/>
      <c r="X273" s="209"/>
      <c r="Y273" s="209"/>
      <c r="Z273" s="209"/>
      <c r="AA273" s="209"/>
      <c r="AB273" s="209"/>
      <c r="AC273" s="209"/>
      <c r="AD273" s="209"/>
      <c r="AE273" s="209"/>
    </row>
    <row r="274">
      <c r="A274" s="208" t="s">
        <v>2891</v>
      </c>
      <c r="B274" s="189" t="str">
        <f>IFERROR(__xludf.DUMMYFUNCTION("FILTER ('Research Papers'!D:D,'Research Papers'!A:A=C274)"),"MePe: Rethinking Multimodal Chinese Idiom Reading Comprehension from a Metaphorical Perspective")</f>
        <v>MePe: Rethinking Multimodal Chinese Idiom Reading Comprehension from a Metaphorical Perspective</v>
      </c>
      <c r="C274" s="189" t="s">
        <v>898</v>
      </c>
      <c r="D274" s="209" t="str">
        <f t="shared" si="1"/>
        <v>MePe: Rethinking Multimodal Chinese Idiom Reading Comprehension from a Metaphorical Perspective
Tongguan Wang, Junkai Li, Feiyue Xue, Hui Liu, Dongyu Su,
Wangjun Huang and Ying Sha
</v>
      </c>
      <c r="E274" s="209" t="str">
        <f>IFERROR(__xludf.DUMMYFUNCTION("TEXTJOIN(CHAR(10), TRUE,FILTER('Research Papers'!$C:$C,'Research Papers'!$A:$A=C274))"),"Tongguan Wang, Junkai Li, Feiyue Xue, Hui Liu, Dongyu Su,
Wangjun Huang and Ying Sha")</f>
        <v>Tongguan Wang, Junkai Li, Feiyue Xue, Hui Liu, Dongyu Su,
Wangjun Huang and Ying Sha</v>
      </c>
      <c r="F274" s="209" t="str">
        <f>IFERROR(__xludf.DUMMYFUNCTION("TEXTJOIN(CHAR(10), TRUE,FILTER ('Sheridan Main'!E:E,'Sheridan Main'!B:B=C274))"),"shaying@mail.hzau.edu.cn")</f>
        <v>shaying@mail.hzau.edu.cn</v>
      </c>
      <c r="G274" s="210" t="str">
        <f>IFERROR(__xludf.DUMMYFUNCTION("CONCATENATE(""https://dl.acm.org/doi/"",INDEX(FILTER('Sheridan Main'!A:A,'Sheridan Main'!B:B=C274),1))"),"https://dl.acm.org/doi/10.1145/3774904.3792291")</f>
        <v>https://dl.acm.org/doi/10.1145/3774904.3792291</v>
      </c>
      <c r="H274" s="189" t="s">
        <v>2851</v>
      </c>
      <c r="I274" s="189" t="s">
        <v>117</v>
      </c>
      <c r="J274" s="209"/>
      <c r="K274" s="147"/>
      <c r="L274" s="147"/>
      <c r="M274" s="209"/>
      <c r="N274" s="209"/>
      <c r="O274" s="209"/>
      <c r="P274" s="209"/>
      <c r="Q274" s="209"/>
      <c r="R274" s="209"/>
      <c r="S274" s="209"/>
      <c r="T274" s="209"/>
      <c r="U274" s="209"/>
      <c r="V274" s="209"/>
      <c r="W274" s="209"/>
      <c r="X274" s="209"/>
      <c r="Y274" s="209"/>
      <c r="Z274" s="209"/>
      <c r="AA274" s="209"/>
      <c r="AB274" s="209"/>
      <c r="AC274" s="209"/>
      <c r="AD274" s="209"/>
      <c r="AE274" s="209"/>
    </row>
    <row r="275">
      <c r="A275" s="208" t="s">
        <v>2891</v>
      </c>
      <c r="B275" s="189" t="str">
        <f>IFERROR(__xludf.DUMMYFUNCTION("FILTER ('Research Papers'!D:D,'Research Papers'!A:A=C275)"),"PLIKD: Prompt Learning with Instance-aware Knowledge Distillation for Web-scale Semantic Image Classification")</f>
        <v>PLIKD: Prompt Learning with Instance-aware Knowledge Distillation for Web-scale Semantic Image Classification</v>
      </c>
      <c r="C275" s="189" t="s">
        <v>902</v>
      </c>
      <c r="D275" s="209" t="str">
        <f t="shared" si="1"/>
        <v>PLIKD: Prompt Learning with Instance-aware Knowledge Distillation for Web-scale Semantic Image Classification
Jianye Xie, Chunhua Hu, Lianyong Qi, Fan Wang, Xiaolong Xu,
Haolong Xiang, Xuyun Zhang, Shichao Pei, Amin Beheshti,
Wanchun Dou and Xiaokang Zhou
</v>
      </c>
      <c r="E275" s="209" t="str">
        <f>IFERROR(__xludf.DUMMYFUNCTION("TEXTJOIN(CHAR(10), TRUE,FILTER('Research Papers'!$C:$C,'Research Papers'!$A:$A=C275))"),"Jianye Xie, Chunhua Hu, Lianyong Qi, Fan Wang, Xiaolong Xu,
Haolong Xiang, Xuyun Zhang, Shichao Pei, Amin Beheshti,
Wanchun Dou and Xiaokang Zhou")</f>
        <v>Jianye Xie, Chunhua Hu, Lianyong Qi, Fan Wang, Xiaolong Xu,
Haolong Xiang, Xuyun Zhang, Shichao Pei, Amin Beheshti,
Wanchun Dou and Xiaokang Zhou</v>
      </c>
      <c r="F275" s="209" t="str">
        <f>IFERROR(__xludf.DUMMYFUNCTION("TEXTJOIN(CHAR(10), TRUE,FILTER ('Sheridan Main'!E:E,'Sheridan Main'!B:B=C275))"),"lianyongqi@upc.edu.cn")</f>
        <v>lianyongqi@upc.edu.cn</v>
      </c>
      <c r="G275" s="210" t="str">
        <f>IFERROR(__xludf.DUMMYFUNCTION("CONCATENATE(""https://dl.acm.org/doi/"",INDEX(FILTER('Sheridan Main'!A:A,'Sheridan Main'!B:B=C275),1))"),"https://dl.acm.org/doi/10.1145/3774904.3792293")</f>
        <v>https://dl.acm.org/doi/10.1145/3774904.3792293</v>
      </c>
      <c r="H275" s="189" t="s">
        <v>2851</v>
      </c>
      <c r="I275" s="189" t="s">
        <v>117</v>
      </c>
      <c r="J275" s="209"/>
      <c r="K275" s="147"/>
      <c r="L275" s="147"/>
      <c r="M275" s="209"/>
      <c r="N275" s="209"/>
      <c r="O275" s="209"/>
      <c r="P275" s="209"/>
      <c r="Q275" s="209"/>
      <c r="R275" s="209"/>
      <c r="S275" s="209"/>
      <c r="T275" s="209"/>
      <c r="U275" s="209"/>
      <c r="V275" s="209"/>
      <c r="W275" s="209"/>
      <c r="X275" s="209"/>
      <c r="Y275" s="209"/>
      <c r="Z275" s="209"/>
      <c r="AA275" s="209"/>
      <c r="AB275" s="209"/>
      <c r="AC275" s="209"/>
      <c r="AD275" s="209"/>
      <c r="AE275" s="209"/>
    </row>
    <row r="276">
      <c r="A276" s="208" t="s">
        <v>2891</v>
      </c>
      <c r="B276" s="189" t="str">
        <f>IFERROR(__xludf.DUMMYFUNCTION("FILTER ('Research Papers'!D:D,'Research Papers'!A:A=C276)"),"Neuro-Sym Supporter: A Thoughtful Emotion Support Agent Integrating Neural and Symbolic Policy Learning")</f>
        <v>Neuro-Sym Supporter: A Thoughtful Emotion Support Agent Integrating Neural and Symbolic Policy Learning</v>
      </c>
      <c r="C276" s="189" t="s">
        <v>986</v>
      </c>
      <c r="D276" s="209" t="str">
        <f t="shared" si="1"/>
        <v>Neuro-Sym Supporter: A Thoughtful Emotion Support Agent Integrating Neural and Symbolic Policy Learning
Minghui Ma, Bin Guo, Mengqi Chen, Jingqi Liu, Yasan Ding,
Yan Liu and Han Wang
</v>
      </c>
      <c r="E276" s="209" t="str">
        <f>IFERROR(__xludf.DUMMYFUNCTION("TEXTJOIN(CHAR(10), TRUE,FILTER('Research Papers'!$C:$C,'Research Papers'!$A:$A=C276))"),"Minghui Ma, Bin Guo, Mengqi Chen, Jingqi Liu, Yasan Ding,
Yan Liu and Han Wang")</f>
        <v>Minghui Ma, Bin Guo, Mengqi Chen, Jingqi Liu, Yasan Ding,
Yan Liu and Han Wang</v>
      </c>
      <c r="F276" s="209" t="str">
        <f>IFERROR(__xludf.DUMMYFUNCTION("TEXTJOIN(CHAR(10), TRUE,FILTER ('Sheridan Main'!E:E,'Sheridan Main'!B:B=C276))"),"guob@nwpu.edu.cn")</f>
        <v>guob@nwpu.edu.cn</v>
      </c>
      <c r="G276" s="210" t="str">
        <f>IFERROR(__xludf.DUMMYFUNCTION("CONCATENATE(""https://dl.acm.org/doi/"",INDEX(FILTER('Sheridan Main'!A:A,'Sheridan Main'!B:B=C276),1))"),"https://dl.acm.org/doi/10.1145/3774904.3792335")</f>
        <v>https://dl.acm.org/doi/10.1145/3774904.3792335</v>
      </c>
      <c r="H276" s="189" t="s">
        <v>2851</v>
      </c>
      <c r="I276" s="189" t="s">
        <v>117</v>
      </c>
      <c r="J276" s="209"/>
      <c r="K276" s="147"/>
      <c r="L276" s="147"/>
      <c r="M276" s="209"/>
      <c r="N276" s="209"/>
      <c r="O276" s="209"/>
      <c r="P276" s="209"/>
      <c r="Q276" s="209"/>
      <c r="R276" s="209"/>
      <c r="S276" s="209"/>
      <c r="T276" s="209"/>
      <c r="U276" s="209"/>
      <c r="V276" s="209"/>
      <c r="W276" s="209"/>
      <c r="X276" s="209"/>
      <c r="Y276" s="209"/>
      <c r="Z276" s="209"/>
      <c r="AA276" s="209"/>
      <c r="AB276" s="209"/>
      <c r="AC276" s="209"/>
      <c r="AD276" s="209"/>
      <c r="AE276" s="209"/>
    </row>
    <row r="277">
      <c r="A277" s="208" t="s">
        <v>2891</v>
      </c>
      <c r="B277" s="189" t="str">
        <f>IFERROR(__xludf.DUMMYFUNCTION("FILTER ('Research Papers'!D:D,'Research Papers'!A:A=C277)"),"LoSemB: Logic-Guided Semantic Bridging for Inductive Tool Retrieval")</f>
        <v>LoSemB: Logic-Guided Semantic Bridging for Inductive Tool Retrieval</v>
      </c>
      <c r="C277" s="189" t="s">
        <v>988</v>
      </c>
      <c r="D277" s="209" t="str">
        <f t="shared" si="1"/>
        <v>LoSemB: Logic-Guided Semantic Bridging for Inductive Tool Retrieval
Luyao Zhuang, Qinggang Zhang, Huachi Zhou, Yujing Zhang and
Xiao Huang
</v>
      </c>
      <c r="E277" s="209" t="str">
        <f>IFERROR(__xludf.DUMMYFUNCTION("TEXTJOIN(CHAR(10), TRUE,FILTER('Research Papers'!$C:$C,'Research Papers'!$A:$A=C277))"),"Luyao Zhuang, Qinggang Zhang, Huachi Zhou, Yujing Zhang and
Xiao Huang")</f>
        <v>Luyao Zhuang, Qinggang Zhang, Huachi Zhou, Yujing Zhang and
Xiao Huang</v>
      </c>
      <c r="F277" s="209" t="str">
        <f>IFERROR(__xludf.DUMMYFUNCTION("TEXTJOIN(CHAR(10), TRUE,FILTER ('Sheridan Main'!E:E,'Sheridan Main'!B:B=C277))"),"qinggangg.zhang@connect.polyu.hk")</f>
        <v>qinggangg.zhang@connect.polyu.hk</v>
      </c>
      <c r="G277" s="210" t="str">
        <f>IFERROR(__xludf.DUMMYFUNCTION("CONCATENATE(""https://dl.acm.org/doi/"",INDEX(FILTER('Sheridan Main'!A:A,'Sheridan Main'!B:B=C277),1))"),"https://dl.acm.org/doi/10.1145/3774904.3792336")</f>
        <v>https://dl.acm.org/doi/10.1145/3774904.3792336</v>
      </c>
      <c r="H277" s="189" t="s">
        <v>2851</v>
      </c>
      <c r="I277" s="189" t="s">
        <v>117</v>
      </c>
      <c r="J277" s="209"/>
      <c r="K277" s="147"/>
      <c r="L277" s="147"/>
      <c r="M277" s="209"/>
      <c r="N277" s="209"/>
      <c r="O277" s="209"/>
      <c r="P277" s="209"/>
      <c r="Q277" s="209"/>
      <c r="R277" s="209"/>
      <c r="S277" s="209"/>
      <c r="T277" s="209"/>
      <c r="U277" s="209"/>
      <c r="V277" s="209"/>
      <c r="W277" s="209"/>
      <c r="X277" s="209"/>
      <c r="Y277" s="209"/>
      <c r="Z277" s="209"/>
      <c r="AA277" s="209"/>
      <c r="AB277" s="209"/>
      <c r="AC277" s="209"/>
      <c r="AD277" s="209"/>
      <c r="AE277" s="209"/>
    </row>
    <row r="278">
      <c r="A278" s="208" t="s">
        <v>2891</v>
      </c>
      <c r="B278" s="189" t="str">
        <f>IFERROR(__xludf.DUMMYFUNCTION("FILTER ('Research Papers'!D:D,'Research Papers'!A:A=C278)"),"When to Trust: A Causality-Aware Calibration Framework for Accurate Knowledge Graph Retrieval-Augmented Generation")</f>
        <v>When to Trust: A Causality-Aware Calibration Framework for Accurate Knowledge Graph Retrieval-Augmented Generation</v>
      </c>
      <c r="C278" s="189" t="s">
        <v>1032</v>
      </c>
      <c r="D278" s="209" t="str">
        <f t="shared" si="1"/>
        <v>When to Trust: A Causality-Aware Calibration Framework for Accurate Knowledge Graph Retrieval-Augmented Generation
Jing Ren, Bowen Li, Ziqi Xu, Xikun Zhang, Haytham Fayek and
Xiaodong Li
</v>
      </c>
      <c r="E278" s="209" t="str">
        <f>IFERROR(__xludf.DUMMYFUNCTION("TEXTJOIN(CHAR(10), TRUE,FILTER('Research Papers'!$C:$C,'Research Papers'!$A:$A=C278))"),"Jing Ren, Bowen Li, Ziqi Xu, Xikun Zhang, Haytham Fayek and
Xiaodong Li")</f>
        <v>Jing Ren, Bowen Li, Ziqi Xu, Xikun Zhang, Haytham Fayek and
Xiaodong Li</v>
      </c>
      <c r="F278" s="209" t="str">
        <f>IFERROR(__xludf.DUMMYFUNCTION("TEXTJOIN(CHAR(10), TRUE,FILTER ('Sheridan Main'!E:E,'Sheridan Main'!B:B=C278))"),"ziqi.xu@rmit.edu.au")</f>
        <v>ziqi.xu@rmit.edu.au</v>
      </c>
      <c r="G278" s="210" t="str">
        <f>IFERROR(__xludf.DUMMYFUNCTION("CONCATENATE(""https://dl.acm.org/doi/"",INDEX(FILTER('Sheridan Main'!A:A,'Sheridan Main'!B:B=C278),1))"),"https://dl.acm.org/doi/10.1145/3774904.3792358")</f>
        <v>https://dl.acm.org/doi/10.1145/3774904.3792358</v>
      </c>
      <c r="H278" s="189" t="s">
        <v>2859</v>
      </c>
      <c r="I278" s="189" t="s">
        <v>199</v>
      </c>
      <c r="J278" s="209"/>
      <c r="K278" s="147"/>
      <c r="L278" s="147"/>
      <c r="M278" s="209"/>
      <c r="N278" s="209"/>
      <c r="O278" s="209"/>
      <c r="P278" s="209"/>
      <c r="Q278" s="209"/>
      <c r="R278" s="209"/>
      <c r="S278" s="209"/>
      <c r="T278" s="209"/>
      <c r="U278" s="209"/>
      <c r="V278" s="209"/>
      <c r="W278" s="209"/>
      <c r="X278" s="209"/>
      <c r="Y278" s="209"/>
      <c r="Z278" s="209"/>
      <c r="AA278" s="209"/>
      <c r="AB278" s="209"/>
      <c r="AC278" s="209"/>
      <c r="AD278" s="209"/>
      <c r="AE278" s="209"/>
    </row>
    <row r="279">
      <c r="A279" s="208" t="s">
        <v>2891</v>
      </c>
      <c r="B279" s="189" t="str">
        <f>IFERROR(__xludf.DUMMYFUNCTION("FILTER ('Research Papers'!D:D,'Research Papers'!A:A=C279)"),"Beyond Factual Queries: A Novel Predictive Retrieval-Augmented Generation")</f>
        <v>Beyond Factual Queries: A Novel Predictive Retrieval-Augmented Generation</v>
      </c>
      <c r="C279" s="189" t="s">
        <v>1044</v>
      </c>
      <c r="D279" s="209" t="str">
        <f t="shared" si="1"/>
        <v>Beyond Factual Queries: A Novel Predictive Retrieval-Augmented Generation
Debo Cheng, Jianfeng Deng, Qingfeng Chen, Jinyi Jie and
Jiangzhang Gan
</v>
      </c>
      <c r="E279" s="209" t="str">
        <f>IFERROR(__xludf.DUMMYFUNCTION("TEXTJOIN(CHAR(10), TRUE,FILTER('Research Papers'!$C:$C,'Research Papers'!$A:$A=C279))"),"Debo Cheng, Jianfeng Deng, Qingfeng Chen, Jinyi Jie and
Jiangzhang Gan")</f>
        <v>Debo Cheng, Jianfeng Deng, Qingfeng Chen, Jinyi Jie and
Jiangzhang Gan</v>
      </c>
      <c r="F279" s="209" t="str">
        <f>IFERROR(__xludf.DUMMYFUNCTION("TEXTJOIN(CHAR(10), TRUE,FILTER ('Sheridan Main'!E:E,'Sheridan Main'!B:B=C279))"),"qingfeng@gxu.edu.cn")</f>
        <v>qingfeng@gxu.edu.cn</v>
      </c>
      <c r="G279" s="210" t="str">
        <f>IFERROR(__xludf.DUMMYFUNCTION("CONCATENATE(""https://dl.acm.org/doi/"",INDEX(FILTER('Sheridan Main'!A:A,'Sheridan Main'!B:B=C279),1))"),"https://dl.acm.org/doi/10.1145/3774904.3792364")</f>
        <v>https://dl.acm.org/doi/10.1145/3774904.3792364</v>
      </c>
      <c r="H279" s="189" t="s">
        <v>2851</v>
      </c>
      <c r="I279" s="189" t="s">
        <v>117</v>
      </c>
      <c r="J279" s="209"/>
      <c r="K279" s="147"/>
      <c r="L279" s="147"/>
      <c r="M279" s="209"/>
      <c r="N279" s="209"/>
      <c r="O279" s="209"/>
      <c r="P279" s="209"/>
      <c r="Q279" s="209"/>
      <c r="R279" s="209"/>
      <c r="S279" s="209"/>
      <c r="T279" s="209"/>
      <c r="U279" s="209"/>
      <c r="V279" s="209"/>
      <c r="W279" s="209"/>
      <c r="X279" s="209"/>
      <c r="Y279" s="209"/>
      <c r="Z279" s="209"/>
      <c r="AA279" s="209"/>
      <c r="AB279" s="209"/>
      <c r="AC279" s="209"/>
      <c r="AD279" s="209"/>
      <c r="AE279" s="209"/>
    </row>
    <row r="280">
      <c r="A280" s="208" t="s">
        <v>2891</v>
      </c>
      <c r="B280" s="189" t="str">
        <f>IFERROR(__xludf.DUMMYFUNCTION("FILTER ('Research Papers'!D:D,'Research Papers'!A:A=C280)"),"Generalized Incremental Learning under Concept Drift across Evolving Data Streams")</f>
        <v>Generalized Incremental Learning under Concept Drift across Evolving Data Streams</v>
      </c>
      <c r="C280" s="189" t="s">
        <v>1074</v>
      </c>
      <c r="D280" s="209" t="str">
        <f t="shared" si="1"/>
        <v>Generalized Incremental Learning under Concept Drift across Evolving Data Streams
En Yu, Jie Lu and Guangquan Zhang
</v>
      </c>
      <c r="E280" s="209" t="str">
        <f>IFERROR(__xludf.DUMMYFUNCTION("TEXTJOIN(CHAR(10), TRUE,FILTER('Research Papers'!$C:$C,'Research Papers'!$A:$A=C280))"),"En Yu, Jie Lu and Guangquan Zhang")</f>
        <v>En Yu, Jie Lu and Guangquan Zhang</v>
      </c>
      <c r="F280" s="209" t="str">
        <f>IFERROR(__xludf.DUMMYFUNCTION("TEXTJOIN(CHAR(10), TRUE,FILTER ('Sheridan Main'!E:E,'Sheridan Main'!B:B=C280))"),"isenn.yu@gmail.com")</f>
        <v>isenn.yu@gmail.com</v>
      </c>
      <c r="G280" s="210" t="str">
        <f>IFERROR(__xludf.DUMMYFUNCTION("CONCATENATE(""https://dl.acm.org/doi/"",INDEX(FILTER('Sheridan Main'!A:A,'Sheridan Main'!B:B=C280),1))"),"https://dl.acm.org/doi/10.1145/3774904.3792379")</f>
        <v>https://dl.acm.org/doi/10.1145/3774904.3792379</v>
      </c>
      <c r="H280" s="189" t="s">
        <v>2851</v>
      </c>
      <c r="I280" s="189" t="s">
        <v>117</v>
      </c>
      <c r="J280" s="209"/>
      <c r="K280" s="147"/>
      <c r="L280" s="147"/>
      <c r="M280" s="209"/>
      <c r="N280" s="209"/>
      <c r="O280" s="209"/>
      <c r="P280" s="209"/>
      <c r="Q280" s="209"/>
      <c r="R280" s="209"/>
      <c r="S280" s="209"/>
      <c r="T280" s="209"/>
      <c r="U280" s="209"/>
      <c r="V280" s="209"/>
      <c r="W280" s="209"/>
      <c r="X280" s="209"/>
      <c r="Y280" s="209"/>
      <c r="Z280" s="209"/>
      <c r="AA280" s="209"/>
      <c r="AB280" s="209"/>
      <c r="AC280" s="209"/>
      <c r="AD280" s="209"/>
      <c r="AE280" s="209"/>
    </row>
    <row r="281">
      <c r="A281" s="208" t="s">
        <v>2891</v>
      </c>
      <c r="B281" s="189" t="str">
        <f>IFERROR(__xludf.DUMMYFUNCTION("FILTER ('Research Papers'!D:D,'Research Papers'!A:A=C281)"),"MARCH: Multi-Teacher Contrastive Hypergraph Distillation")</f>
        <v>MARCH: Multi-Teacher Contrastive Hypergraph Distillation</v>
      </c>
      <c r="C281" s="189" t="s">
        <v>1076</v>
      </c>
      <c r="D281" s="209" t="str">
        <f t="shared" si="1"/>
        <v>MARCH: Multi-Teacher Contrastive Hypergraph Distillation
Rongwei Xu, Zitai Qiu, Pengfei Ding, Jia Wu, Yan Wang, Amin
Beheshti and Guanfeng Liu
</v>
      </c>
      <c r="E281" s="209" t="str">
        <f>IFERROR(__xludf.DUMMYFUNCTION("TEXTJOIN(CHAR(10), TRUE,FILTER('Research Papers'!$C:$C,'Research Papers'!$A:$A=C281))"),"Rongwei Xu, Zitai Qiu, Pengfei Ding, Jia Wu, Yan Wang, Amin
Beheshti and Guanfeng Liu")</f>
        <v>Rongwei Xu, Zitai Qiu, Pengfei Ding, Jia Wu, Yan Wang, Amin
Beheshti and Guanfeng Liu</v>
      </c>
      <c r="F281" s="209" t="str">
        <f>IFERROR(__xludf.DUMMYFUNCTION("TEXTJOIN(CHAR(10), TRUE,FILTER ('Sheridan Main'!E:E,'Sheridan Main'!B:B=C281))"),"guanfeng.liu@mq.edu.au")</f>
        <v>guanfeng.liu@mq.edu.au</v>
      </c>
      <c r="G281" s="210" t="str">
        <f>IFERROR(__xludf.DUMMYFUNCTION("CONCATENATE(""https://dl.acm.org/doi/"",INDEX(FILTER('Sheridan Main'!A:A,'Sheridan Main'!B:B=C281),1))"),"https://dl.acm.org/doi/10.1145/3774904.3792380")</f>
        <v>https://dl.acm.org/doi/10.1145/3774904.3792380</v>
      </c>
      <c r="H281" s="189" t="s">
        <v>2851</v>
      </c>
      <c r="I281" s="189" t="s">
        <v>2893</v>
      </c>
      <c r="J281" s="209"/>
      <c r="K281" s="147"/>
      <c r="L281" s="147"/>
      <c r="M281" s="209"/>
      <c r="N281" s="209"/>
      <c r="O281" s="209"/>
      <c r="P281" s="209"/>
      <c r="Q281" s="209"/>
      <c r="R281" s="209"/>
      <c r="S281" s="209"/>
      <c r="T281" s="209"/>
      <c r="U281" s="209"/>
      <c r="V281" s="209"/>
      <c r="W281" s="209"/>
      <c r="X281" s="209"/>
      <c r="Y281" s="209"/>
      <c r="Z281" s="209"/>
      <c r="AA281" s="209"/>
      <c r="AB281" s="209"/>
      <c r="AC281" s="209"/>
      <c r="AD281" s="209"/>
      <c r="AE281" s="209"/>
    </row>
    <row r="282">
      <c r="A282" s="208" t="s">
        <v>2891</v>
      </c>
      <c r="B282" s="189" t="str">
        <f>IFERROR(__xludf.DUMMYFUNCTION("FILTER ('Research Papers'!D:D,'Research Papers'!A:A=C282)"),"Missingness-aware Federated Contrastive Learning on Semantic Graphs")</f>
        <v>Missingness-aware Federated Contrastive Learning on Semantic Graphs</v>
      </c>
      <c r="C282" s="189" t="s">
        <v>1142</v>
      </c>
      <c r="D282" s="209" t="str">
        <f t="shared" si="1"/>
        <v>Missingness-aware Federated Contrastive Learning on Semantic Graphs
Shuo Yu, Zhuoyang Han, Guoqing Han, Tao Tang, Feng Ding and
Qiang Zhang
</v>
      </c>
      <c r="E282" s="209" t="str">
        <f>IFERROR(__xludf.DUMMYFUNCTION("TEXTJOIN(CHAR(10), TRUE,FILTER('Research Papers'!$C:$C,'Research Papers'!$A:$A=C282))"),"Shuo Yu, Zhuoyang Han, Guoqing Han, Tao Tang, Feng Ding and
Qiang Zhang")</f>
        <v>Shuo Yu, Zhuoyang Han, Guoqing Han, Tao Tang, Feng Ding and
Qiang Zhang</v>
      </c>
      <c r="F282" s="209" t="str">
        <f>IFERROR(__xludf.DUMMYFUNCTION("TEXTJOIN(CHAR(10), TRUE,FILTER ('Sheridan Main'!E:E,'Sheridan Main'!B:B=C282))"),"dingfeng@dlut.edu.cn")</f>
        <v>dingfeng@dlut.edu.cn</v>
      </c>
      <c r="G282" s="210" t="str">
        <f>IFERROR(__xludf.DUMMYFUNCTION("CONCATENATE(""https://dl.acm.org/doi/"",INDEX(FILTER('Sheridan Main'!A:A,'Sheridan Main'!B:B=C282),1))"),"https://dl.acm.org/doi/10.1145/3774904.3792413")</f>
        <v>https://dl.acm.org/doi/10.1145/3774904.3792413</v>
      </c>
      <c r="H282" s="189" t="s">
        <v>2851</v>
      </c>
      <c r="I282" s="189" t="s">
        <v>2893</v>
      </c>
      <c r="J282" s="209"/>
      <c r="K282" s="147"/>
      <c r="L282" s="147"/>
      <c r="M282" s="209"/>
      <c r="N282" s="209"/>
      <c r="O282" s="209"/>
      <c r="P282" s="209"/>
      <c r="Q282" s="209"/>
      <c r="R282" s="209"/>
      <c r="S282" s="209"/>
      <c r="T282" s="209"/>
      <c r="U282" s="209"/>
      <c r="V282" s="209"/>
      <c r="W282" s="209"/>
      <c r="X282" s="209"/>
      <c r="Y282" s="209"/>
      <c r="Z282" s="209"/>
      <c r="AA282" s="209"/>
      <c r="AB282" s="209"/>
      <c r="AC282" s="209"/>
      <c r="AD282" s="209"/>
      <c r="AE282" s="209"/>
    </row>
    <row r="283">
      <c r="A283" s="208" t="s">
        <v>2891</v>
      </c>
      <c r="B283" s="189" t="str">
        <f>IFERROR(__xludf.DUMMYFUNCTION("FILTER ('Research Papers'!D:D,'Research Papers'!A:A=C283)"),"Adaptive Multi-Interaction Web Semantic Graph Representation")</f>
        <v>Adaptive Multi-Interaction Web Semantic Graph Representation</v>
      </c>
      <c r="C283" s="189" t="s">
        <v>1204</v>
      </c>
      <c r="D283" s="209" t="str">
        <f t="shared" si="1"/>
        <v>Adaptive Multi-Interaction Web Semantic Graph Representation
Feng Ding, Tingting Wang, Ruolin Li, Ying Jin, Junxiang
Zhang, Shan Jin, Yicong Li and Xin Ye
</v>
      </c>
      <c r="E283" s="209" t="str">
        <f>IFERROR(__xludf.DUMMYFUNCTION("TEXTJOIN(CHAR(10), TRUE,FILTER('Research Papers'!$C:$C,'Research Papers'!$A:$A=C283))"),"Feng Ding, Tingting Wang, Ruolin Li, Ying Jin, Junxiang
Zhang, Shan Jin, Yicong Li and Xin Ye")</f>
        <v>Feng Ding, Tingting Wang, Ruolin Li, Ying Jin, Junxiang
Zhang, Shan Jin, Yicong Li and Xin Ye</v>
      </c>
      <c r="F283" s="209" t="str">
        <f>IFERROR(__xludf.DUMMYFUNCTION("TEXTJOIN(CHAR(10), TRUE,FILTER ('Sheridan Main'!E:E,'Sheridan Main'!B:B=C283))"),"yexin@dlut.edu.cn")</f>
        <v>yexin@dlut.edu.cn</v>
      </c>
      <c r="G283" s="210" t="str">
        <f>IFERROR(__xludf.DUMMYFUNCTION("CONCATENATE(""https://dl.acm.org/doi/"",INDEX(FILTER('Sheridan Main'!A:A,'Sheridan Main'!B:B=C283),1))"),"https://dl.acm.org/doi/10.1145/3774904.3792444")</f>
        <v>https://dl.acm.org/doi/10.1145/3774904.3792444</v>
      </c>
      <c r="H283" s="189" t="s">
        <v>2851</v>
      </c>
      <c r="I283" s="189" t="s">
        <v>2893</v>
      </c>
      <c r="J283" s="209"/>
      <c r="K283" s="147"/>
      <c r="L283" s="147"/>
      <c r="M283" s="209"/>
      <c r="N283" s="209"/>
      <c r="O283" s="209"/>
      <c r="P283" s="209"/>
      <c r="Q283" s="209"/>
      <c r="R283" s="209"/>
      <c r="S283" s="209"/>
      <c r="T283" s="209"/>
      <c r="U283" s="209"/>
      <c r="V283" s="209"/>
      <c r="W283" s="209"/>
      <c r="X283" s="209"/>
      <c r="Y283" s="209"/>
      <c r="Z283" s="209"/>
      <c r="AA283" s="209"/>
      <c r="AB283" s="209"/>
      <c r="AC283" s="209"/>
      <c r="AD283" s="209"/>
      <c r="AE283" s="209"/>
    </row>
    <row r="284">
      <c r="A284" s="208" t="s">
        <v>2891</v>
      </c>
      <c r="B284" s="189" t="str">
        <f>IFERROR(__xludf.DUMMYFUNCTION("FILTER ('Research Papers'!D:D,'Research Papers'!A:A=C284)"),"Counterfactual Augmented Causal Reasoning for Aspect-Based Sentiment Analysis")</f>
        <v>Counterfactual Augmented Causal Reasoning for Aspect-Based Sentiment Analysis</v>
      </c>
      <c r="C284" s="189" t="s">
        <v>1206</v>
      </c>
      <c r="D284" s="209" t="str">
        <f t="shared" si="1"/>
        <v>Counterfactual Augmented Causal Reasoning for Aspect-Based Sentiment Analysis
Yiming Wu, Liang Hu, Mingzhu Zhou, Tangwei Ye, Xuejie Yang,
Xun Yang, Zhongyuan Lai, Qi Zhang and Usman Naseem
</v>
      </c>
      <c r="E284" s="209" t="str">
        <f>IFERROR(__xludf.DUMMYFUNCTION("TEXTJOIN(CHAR(10), TRUE,FILTER('Research Papers'!$C:$C,'Research Papers'!$A:$A=C284))"),"Yiming Wu, Liang Hu, Mingzhu Zhou, Tangwei Ye, Xuejie Yang,
Xun Yang, Zhongyuan Lai, Qi Zhang and Usman Naseem")</f>
        <v>Yiming Wu, Liang Hu, Mingzhu Zhou, Tangwei Ye, Xuejie Yang,
Xun Yang, Zhongyuan Lai, Qi Zhang and Usman Naseem</v>
      </c>
      <c r="F284" s="209" t="str">
        <f>IFERROR(__xludf.DUMMYFUNCTION("TEXTJOIN(CHAR(10), TRUE,FILTER ('Sheridan Main'!E:E,'Sheridan Main'!B:B=C284))"),"lianghu@tongji.edu.cn")</f>
        <v>lianghu@tongji.edu.cn</v>
      </c>
      <c r="G284" s="210" t="str">
        <f>IFERROR(__xludf.DUMMYFUNCTION("CONCATENATE(""https://dl.acm.org/doi/"",INDEX(FILTER('Sheridan Main'!A:A,'Sheridan Main'!B:B=C284),1))"),"https://dl.acm.org/doi/10.1145/3774904.3792445")</f>
        <v>https://dl.acm.org/doi/10.1145/3774904.3792445</v>
      </c>
      <c r="H284" s="189" t="s">
        <v>2851</v>
      </c>
      <c r="I284" s="189" t="s">
        <v>2893</v>
      </c>
      <c r="J284" s="209"/>
      <c r="K284" s="147"/>
      <c r="L284" s="147"/>
      <c r="M284" s="209"/>
      <c r="N284" s="209"/>
      <c r="O284" s="209"/>
      <c r="P284" s="209"/>
      <c r="Q284" s="209"/>
      <c r="R284" s="209"/>
      <c r="S284" s="209"/>
      <c r="T284" s="209"/>
      <c r="U284" s="209"/>
      <c r="V284" s="209"/>
      <c r="W284" s="209"/>
      <c r="X284" s="209"/>
      <c r="Y284" s="209"/>
      <c r="Z284" s="209"/>
      <c r="AA284" s="209"/>
      <c r="AB284" s="209"/>
      <c r="AC284" s="209"/>
      <c r="AD284" s="209"/>
      <c r="AE284" s="209"/>
    </row>
    <row r="285">
      <c r="A285" s="208" t="s">
        <v>2891</v>
      </c>
      <c r="B285" s="189" t="str">
        <f>IFERROR(__xludf.DUMMYFUNCTION("FILTER ('Research Papers'!D:D,'Research Papers'!A:A=C285)"),"S-Path-RAG: Semantic-Aware Shortest-Path Retrieval Augmented Generation for Multi-Hop Knowledge Graph Question Answering")</f>
        <v>S-Path-RAG: Semantic-Aware Shortest-Path Retrieval Augmented Generation for Multi-Hop Knowledge Graph Question Answering</v>
      </c>
      <c r="C285" s="189" t="s">
        <v>1234</v>
      </c>
      <c r="D285" s="209" t="str">
        <f t="shared" si="1"/>
        <v>S-Path-RAG: Semantic-Aware Shortest-Path Retrieval Augmented Generation for Multi-Hop Knowledge Graph Question Answering
Rong Fu, Yemin Wang, Tianxiang Xu, Yongtai Liu, Weizhi
Tang, Wangyu Wu, Xiaowen Ma and Simon Fong
</v>
      </c>
      <c r="E285" s="209" t="str">
        <f>IFERROR(__xludf.DUMMYFUNCTION("TEXTJOIN(CHAR(10), TRUE,FILTER('Research Papers'!$C:$C,'Research Papers'!$A:$A=C285))"),"Rong Fu, Yemin Wang, Tianxiang Xu, Yongtai Liu, Weizhi
Tang, Wangyu Wu, Xiaowen Ma and Simon Fong")</f>
        <v>Rong Fu, Yemin Wang, Tianxiang Xu, Yongtai Liu, Weizhi
Tang, Wangyu Wu, Xiaowen Ma and Simon Fong</v>
      </c>
      <c r="F285" s="209" t="str">
        <f>IFERROR(__xludf.DUMMYFUNCTION("TEXTJOIN(CHAR(10), TRUE,FILTER ('Sheridan Main'!E:E,'Sheridan Main'!B:B=C285))"),"mc46603@um.edu.mo")</f>
        <v>mc46603@um.edu.mo</v>
      </c>
      <c r="G285" s="210" t="str">
        <f>IFERROR(__xludf.DUMMYFUNCTION("CONCATENATE(""https://dl.acm.org/doi/"",INDEX(FILTER('Sheridan Main'!A:A,'Sheridan Main'!B:B=C285),1))"),"https://dl.acm.org/doi/10.1145/3774904.3792459")</f>
        <v>https://dl.acm.org/doi/10.1145/3774904.3792459</v>
      </c>
      <c r="H285" s="189" t="s">
        <v>2851</v>
      </c>
      <c r="I285" s="189" t="s">
        <v>2893</v>
      </c>
      <c r="J285" s="209"/>
      <c r="K285" s="147"/>
      <c r="L285" s="147"/>
      <c r="M285" s="209"/>
      <c r="N285" s="209"/>
      <c r="O285" s="209"/>
      <c r="P285" s="209"/>
      <c r="Q285" s="209"/>
      <c r="R285" s="209"/>
      <c r="S285" s="209"/>
      <c r="T285" s="209"/>
      <c r="U285" s="209"/>
      <c r="V285" s="209"/>
      <c r="W285" s="209"/>
      <c r="X285" s="209"/>
      <c r="Y285" s="209"/>
      <c r="Z285" s="209"/>
      <c r="AA285" s="209"/>
      <c r="AB285" s="209"/>
      <c r="AC285" s="209"/>
      <c r="AD285" s="209"/>
      <c r="AE285" s="209"/>
    </row>
    <row r="286">
      <c r="A286" s="208" t="s">
        <v>2891</v>
      </c>
      <c r="B286" s="189" t="str">
        <f>IFERROR(__xludf.DUMMYFUNCTION("FILTER ('Research Papers'!D:D,'Research Papers'!A:A=C286)"),"Harnessing LLM for Noise-Robust Cognitive Diagnosis in Web-Based Intelligent Education Systems")</f>
        <v>Harnessing LLM for Noise-Robust Cognitive Diagnosis in Web-Based Intelligent Education Systems</v>
      </c>
      <c r="C286" s="189" t="s">
        <v>1302</v>
      </c>
      <c r="D286" s="209" t="str">
        <f t="shared" si="1"/>
        <v>Harnessing LLM for Noise-Robust Cognitive Diagnosis in Web-Based Intelligent Education Systems
Guixian Zhang, Guan Yuan, Ziqi Xu, Yanmei Zhang, Jing Ren,
Zhenyun Deng and Debo Cheng
</v>
      </c>
      <c r="E286" s="209" t="str">
        <f>IFERROR(__xludf.DUMMYFUNCTION("TEXTJOIN(CHAR(10), TRUE,FILTER('Research Papers'!$C:$C,'Research Papers'!$A:$A=C286))"),"Guixian Zhang, Guan Yuan, Ziqi Xu, Yanmei Zhang, Jing Ren,
Zhenyun Deng and Debo Cheng")</f>
        <v>Guixian Zhang, Guan Yuan, Ziqi Xu, Yanmei Zhang, Jing Ren,
Zhenyun Deng and Debo Cheng</v>
      </c>
      <c r="F286" s="209" t="str">
        <f>IFERROR(__xludf.DUMMYFUNCTION("TEXTJOIN(CHAR(10), TRUE,FILTER ('Sheridan Main'!E:E,'Sheridan Main'!B:B=C286))"),"ziqi.xu@rmit.edu.au")</f>
        <v>ziqi.xu@rmit.edu.au</v>
      </c>
      <c r="G286" s="210" t="str">
        <f>IFERROR(__xludf.DUMMYFUNCTION("CONCATENATE(""https://dl.acm.org/doi/"",INDEX(FILTER('Sheridan Main'!A:A,'Sheridan Main'!B:B=C286),1))"),"https://dl.acm.org/doi/10.1145/3774904.3792493")</f>
        <v>https://dl.acm.org/doi/10.1145/3774904.3792493</v>
      </c>
      <c r="H286" s="189" t="s">
        <v>2851</v>
      </c>
      <c r="I286" s="189" t="s">
        <v>2893</v>
      </c>
      <c r="J286" s="209"/>
      <c r="K286" s="147"/>
      <c r="L286" s="147"/>
      <c r="M286" s="209"/>
      <c r="N286" s="209"/>
      <c r="O286" s="209"/>
      <c r="P286" s="209"/>
      <c r="Q286" s="209"/>
      <c r="R286" s="209"/>
      <c r="S286" s="209"/>
      <c r="T286" s="209"/>
      <c r="U286" s="209"/>
      <c r="V286" s="209"/>
      <c r="W286" s="209"/>
      <c r="X286" s="209"/>
      <c r="Y286" s="209"/>
      <c r="Z286" s="209"/>
      <c r="AA286" s="209"/>
      <c r="AB286" s="209"/>
      <c r="AC286" s="209"/>
      <c r="AD286" s="209"/>
      <c r="AE286" s="209"/>
    </row>
    <row r="287">
      <c r="A287" s="208" t="s">
        <v>2891</v>
      </c>
      <c r="B287" s="189" t="str">
        <f>IFERROR(__xludf.DUMMYFUNCTION("FILTER ('Research Papers'!D:D,'Research Papers'!A:A=C287)"),"DTransKT: A Dual Transferable Knowledge Tracing Framework for Cross-Disciplinary Self-Adaptation")</f>
        <v>DTransKT: A Dual Transferable Knowledge Tracing Framework for Cross-Disciplinary Self-Adaptation</v>
      </c>
      <c r="C287" s="189" t="s">
        <v>1318</v>
      </c>
      <c r="D287" s="209" t="str">
        <f t="shared" si="1"/>
        <v>DTransKT: A Dual Transferable Knowledge Tracing Framework for Cross-Disciplinary Self-Adaptation
Kun Liang, Jiake Ge, Xin Wang and Yiying Zhang
</v>
      </c>
      <c r="E287" s="209" t="str">
        <f>IFERROR(__xludf.DUMMYFUNCTION("TEXTJOIN(CHAR(10), TRUE,FILTER('Research Papers'!$C:$C,'Research Papers'!$A:$A=C287))"),"Kun Liang, Jiake Ge, Xin Wang and Yiying Zhang")</f>
        <v>Kun Liang, Jiake Ge, Xin Wang and Yiying Zhang</v>
      </c>
      <c r="F287" s="209" t="str">
        <f>IFERROR(__xludf.DUMMYFUNCTION("TEXTJOIN(CHAR(10), TRUE,FILTER ('Sheridan Main'!E:E,'Sheridan Main'!B:B=C287))"),"wangx@tju.edu.cn")</f>
        <v>wangx@tju.edu.cn</v>
      </c>
      <c r="G287" s="210" t="str">
        <f>IFERROR(__xludf.DUMMYFUNCTION("CONCATENATE(""https://dl.acm.org/doi/"",INDEX(FILTER('Sheridan Main'!A:A,'Sheridan Main'!B:B=C287),1))"),"https://dl.acm.org/doi/10.1145/3774904.3792501")</f>
        <v>https://dl.acm.org/doi/10.1145/3774904.3792501</v>
      </c>
      <c r="H287" s="189" t="s">
        <v>2851</v>
      </c>
      <c r="I287" s="189" t="s">
        <v>2893</v>
      </c>
      <c r="J287" s="209"/>
      <c r="K287" s="147"/>
      <c r="L287" s="147"/>
      <c r="M287" s="209"/>
      <c r="N287" s="209"/>
      <c r="O287" s="209"/>
      <c r="P287" s="209"/>
      <c r="Q287" s="209"/>
      <c r="R287" s="209"/>
      <c r="S287" s="209"/>
      <c r="T287" s="209"/>
      <c r="U287" s="209"/>
      <c r="V287" s="209"/>
      <c r="W287" s="209"/>
      <c r="X287" s="209"/>
      <c r="Y287" s="209"/>
      <c r="Z287" s="209"/>
      <c r="AA287" s="209"/>
      <c r="AB287" s="209"/>
      <c r="AC287" s="209"/>
      <c r="AD287" s="209"/>
      <c r="AE287" s="209"/>
    </row>
    <row r="288">
      <c r="A288" s="208" t="s">
        <v>2891</v>
      </c>
      <c r="B288" s="189" t="str">
        <f>IFERROR(__xludf.DUMMYFUNCTION("FILTER ('Research Papers'!D:D,'Research Papers'!A:A=C288)"),"DRMD: Explainable Depression Detection Based on Metaphorical Conceptual Mapping")</f>
        <v>DRMD: Explainable Depression Detection Based on Metaphorical Conceptual Mapping</v>
      </c>
      <c r="C288" s="189" t="s">
        <v>1326</v>
      </c>
      <c r="D288" s="209" t="str">
        <f t="shared" si="1"/>
        <v>DRMD: Explainable Depression Detection Based on Metaphorical Conceptual Mapping
Dongyu Zhang, Wanqiu Liao, Weichen Hu and Hongfei Lin
</v>
      </c>
      <c r="E288" s="209" t="str">
        <f>IFERROR(__xludf.DUMMYFUNCTION("TEXTJOIN(CHAR(10), TRUE,FILTER('Research Papers'!$C:$C,'Research Papers'!$A:$A=C288))"),"Dongyu Zhang, Wanqiu Liao, Weichen Hu and Hongfei Lin")</f>
        <v>Dongyu Zhang, Wanqiu Liao, Weichen Hu and Hongfei Lin</v>
      </c>
      <c r="F288" s="209" t="str">
        <f>IFERROR(__xludf.DUMMYFUNCTION("TEXTJOIN(CHAR(10), TRUE,FILTER ('Sheridan Main'!E:E,'Sheridan Main'!B:B=C288))"),"zhangdongyu@dlut.edu.cn")</f>
        <v>zhangdongyu@dlut.edu.cn</v>
      </c>
      <c r="G288" s="210" t="str">
        <f>IFERROR(__xludf.DUMMYFUNCTION("CONCATENATE(""https://dl.acm.org/doi/"",INDEX(FILTER('Sheridan Main'!A:A,'Sheridan Main'!B:B=C288),1))"),"https://dl.acm.org/doi/10.1145/3774904.3792505")</f>
        <v>https://dl.acm.org/doi/10.1145/3774904.3792505</v>
      </c>
      <c r="H288" s="189" t="s">
        <v>2851</v>
      </c>
      <c r="I288" s="189" t="s">
        <v>2893</v>
      </c>
      <c r="J288" s="209"/>
      <c r="K288" s="147"/>
      <c r="L288" s="147"/>
      <c r="M288" s="209"/>
      <c r="N288" s="209"/>
      <c r="O288" s="209"/>
      <c r="P288" s="209"/>
      <c r="Q288" s="209"/>
      <c r="R288" s="209"/>
      <c r="S288" s="209"/>
      <c r="T288" s="209"/>
      <c r="U288" s="209"/>
      <c r="V288" s="209"/>
      <c r="W288" s="209"/>
      <c r="X288" s="209"/>
      <c r="Y288" s="209"/>
      <c r="Z288" s="209"/>
      <c r="AA288" s="209"/>
      <c r="AB288" s="209"/>
      <c r="AC288" s="209"/>
      <c r="AD288" s="209"/>
      <c r="AE288" s="209"/>
    </row>
    <row r="289">
      <c r="A289" s="208" t="s">
        <v>2891</v>
      </c>
      <c r="B289" s="189" t="str">
        <f>IFERROR(__xludf.DUMMYFUNCTION("FILTER ('Research Papers'!D:D,'Research Papers'!A:A=C289)"),"Spectral Disentanglement and Enhancement: A Dual-domain Contrastive Framework for Representation Learning")</f>
        <v>Spectral Disentanglement and Enhancement: A Dual-domain Contrastive Framework for Representation Learning</v>
      </c>
      <c r="C289" s="189" t="s">
        <v>1372</v>
      </c>
      <c r="D289" s="209" t="str">
        <f t="shared" si="1"/>
        <v>Spectral Disentanglement and Enhancement: A Dual-domain Contrastive Framework for Representation Learning
Jinjin Guo, Yexin Li, Zhichao Huang, Jun Fang, Zhiyuan Liu,
Chao Liu, Pengzhang Liu and Qixia Jiang
</v>
      </c>
      <c r="E289" s="209" t="str">
        <f>IFERROR(__xludf.DUMMYFUNCTION("TEXTJOIN(CHAR(10), TRUE,FILTER('Research Papers'!$C:$C,'Research Papers'!$A:$A=C289))"),"Jinjin Guo, Yexin Li, Zhichao Huang, Jun Fang, Zhiyuan Liu,
Chao Liu, Pengzhang Liu and Qixia Jiang")</f>
        <v>Jinjin Guo, Yexin Li, Zhichao Huang, Jun Fang, Zhiyuan Liu,
Chao Liu, Pengzhang Liu and Qixia Jiang</v>
      </c>
      <c r="F289" s="209" t="str">
        <f>IFERROR(__xludf.DUMMYFUNCTION("TEXTJOIN(CHAR(10), TRUE,FILTER ('Sheridan Main'!E:E,'Sheridan Main'!B:B=C289))"),"liyexin@bigai.ai")</f>
        <v>liyexin@bigai.ai</v>
      </c>
      <c r="G289" s="210" t="str">
        <f>IFERROR(__xludf.DUMMYFUNCTION("CONCATENATE(""https://dl.acm.org/doi/"",INDEX(FILTER('Sheridan Main'!A:A,'Sheridan Main'!B:B=C289),1))"),"https://dl.acm.org/doi/10.1145/3774904.3792528")</f>
        <v>https://dl.acm.org/doi/10.1145/3774904.3792528</v>
      </c>
      <c r="H289" s="189" t="s">
        <v>2851</v>
      </c>
      <c r="I289" s="189" t="s">
        <v>2894</v>
      </c>
      <c r="J289" s="209"/>
      <c r="K289" s="147"/>
      <c r="L289" s="147"/>
      <c r="M289" s="209"/>
      <c r="N289" s="209"/>
      <c r="O289" s="209"/>
      <c r="P289" s="209"/>
      <c r="Q289" s="209"/>
      <c r="R289" s="209"/>
      <c r="S289" s="209"/>
      <c r="T289" s="209"/>
      <c r="U289" s="209"/>
      <c r="V289" s="209"/>
      <c r="W289" s="209"/>
      <c r="X289" s="209"/>
      <c r="Y289" s="209"/>
      <c r="Z289" s="209"/>
      <c r="AA289" s="209"/>
      <c r="AB289" s="209"/>
      <c r="AC289" s="209"/>
      <c r="AD289" s="209"/>
      <c r="AE289" s="209"/>
    </row>
    <row r="290">
      <c r="A290" s="208" t="s">
        <v>2891</v>
      </c>
      <c r="B290" s="189" t="str">
        <f>IFERROR(__xludf.DUMMYFUNCTION("FILTER ('Research Papers'!D:D,'Research Papers'!A:A=C290)"),"Verifiable Federated Representation Learning for Cross-domain Sequential Recommendation")</f>
        <v>Verifiable Federated Representation Learning for Cross-domain Sequential Recommendation</v>
      </c>
      <c r="C290" s="189" t="s">
        <v>1382</v>
      </c>
      <c r="D290" s="209" t="str">
        <f t="shared" si="1"/>
        <v>Verifiable Federated Representation Learning for Cross-domain Sequential Recommendation
Tao Tang, Botao Liu, Ciyuan Peng, Ivan Lee and Xiangjie Kong
</v>
      </c>
      <c r="E290" s="209" t="str">
        <f>IFERROR(__xludf.DUMMYFUNCTION("TEXTJOIN(CHAR(10), TRUE,FILTER('Research Papers'!$C:$C,'Research Papers'!$A:$A=C290))"),"Tao Tang, Botao Liu, Ciyuan Peng, Ivan Lee and Xiangjie Kong")</f>
        <v>Tao Tang, Botao Liu, Ciyuan Peng, Ivan Lee and Xiangjie Kong</v>
      </c>
      <c r="F290" s="209" t="str">
        <f>IFERROR(__xludf.DUMMYFUNCTION("TEXTJOIN(CHAR(10), TRUE,FILTER ('Sheridan Main'!E:E,'Sheridan Main'!B:B=C290))"),"xjkong@ieee.org")</f>
        <v>xjkong@ieee.org</v>
      </c>
      <c r="G290" s="210" t="str">
        <f>IFERROR(__xludf.DUMMYFUNCTION("CONCATENATE(""https://dl.acm.org/doi/"",INDEX(FILTER('Sheridan Main'!A:A,'Sheridan Main'!B:B=C290),1))"),"https://dl.acm.org/doi/10.1145/3774904.3792533")</f>
        <v>https://dl.acm.org/doi/10.1145/3774904.3792533</v>
      </c>
      <c r="H290" s="189" t="s">
        <v>2851</v>
      </c>
      <c r="I290" s="189" t="s">
        <v>2894</v>
      </c>
      <c r="J290" s="209"/>
      <c r="K290" s="147"/>
      <c r="L290" s="147"/>
      <c r="M290" s="209"/>
      <c r="N290" s="209"/>
      <c r="O290" s="209"/>
      <c r="P290" s="209"/>
      <c r="Q290" s="209"/>
      <c r="R290" s="209"/>
      <c r="S290" s="209"/>
      <c r="T290" s="209"/>
      <c r="U290" s="209"/>
      <c r="V290" s="209"/>
      <c r="W290" s="209"/>
      <c r="X290" s="209"/>
      <c r="Y290" s="209"/>
      <c r="Z290" s="209"/>
      <c r="AA290" s="209"/>
      <c r="AB290" s="209"/>
      <c r="AC290" s="209"/>
      <c r="AD290" s="209"/>
      <c r="AE290" s="209"/>
    </row>
    <row r="291">
      <c r="A291" s="208" t="s">
        <v>2891</v>
      </c>
      <c r="B291" s="189" t="str">
        <f>IFERROR(__xludf.DUMMYFUNCTION("FILTER ('Research Papers'!D:D,'Research Papers'!A:A=C291)"),"Kleene Closure Property Path Query Optimization  Based on Node Clustered Index")</f>
        <v>Kleene Closure Property Path Query Optimization  Based on Node Clustered Index</v>
      </c>
      <c r="C291" s="189" t="s">
        <v>1384</v>
      </c>
      <c r="D291" s="209" t="str">
        <f t="shared" si="1"/>
        <v>Kleene Closure Property Path Query Optimization  Based on Node Clustered Index
Tenglong Ren, Lulu Yang, Xiaowang Zhang and Zhiyong Feng
</v>
      </c>
      <c r="E291" s="209" t="str">
        <f>IFERROR(__xludf.DUMMYFUNCTION("TEXTJOIN(CHAR(10), TRUE,FILTER('Research Papers'!$C:$C,'Research Papers'!$A:$A=C291))"),"Tenglong Ren, Lulu Yang, Xiaowang Zhang and Zhiyong Feng")</f>
        <v>Tenglong Ren, Lulu Yang, Xiaowang Zhang and Zhiyong Feng</v>
      </c>
      <c r="F291" s="209" t="str">
        <f>IFERROR(__xludf.DUMMYFUNCTION("TEXTJOIN(CHAR(10), TRUE,FILTER ('Sheridan Main'!E:E,'Sheridan Main'!B:B=C291))"),"xiaowangzhang@tju.edu.cn")</f>
        <v>xiaowangzhang@tju.edu.cn</v>
      </c>
      <c r="G291" s="210" t="str">
        <f>IFERROR(__xludf.DUMMYFUNCTION("CONCATENATE(""https://dl.acm.org/doi/"",INDEX(FILTER('Sheridan Main'!A:A,'Sheridan Main'!B:B=C291),1))"),"https://dl.acm.org/doi/10.1145/3774904.3792534")</f>
        <v>https://dl.acm.org/doi/10.1145/3774904.3792534</v>
      </c>
      <c r="H291" s="189" t="s">
        <v>2851</v>
      </c>
      <c r="I291" s="189" t="s">
        <v>2894</v>
      </c>
      <c r="J291" s="209"/>
      <c r="K291" s="147"/>
      <c r="L291" s="147"/>
      <c r="M291" s="209"/>
      <c r="N291" s="209"/>
      <c r="O291" s="209"/>
      <c r="P291" s="209"/>
      <c r="Q291" s="209"/>
      <c r="R291" s="209"/>
      <c r="S291" s="209"/>
      <c r="T291" s="209"/>
      <c r="U291" s="209"/>
      <c r="V291" s="209"/>
      <c r="W291" s="209"/>
      <c r="X291" s="209"/>
      <c r="Y291" s="209"/>
      <c r="Z291" s="209"/>
      <c r="AA291" s="209"/>
      <c r="AB291" s="209"/>
      <c r="AC291" s="209"/>
      <c r="AD291" s="209"/>
      <c r="AE291" s="209"/>
    </row>
    <row r="292">
      <c r="A292" s="208" t="s">
        <v>2891</v>
      </c>
      <c r="B292" s="189" t="str">
        <f>IFERROR(__xludf.DUMMYFUNCTION("FILTER ('Research Papers'!D:D,'Research Papers'!A:A=C292)"),"AgentPRM: Process Reward Models for LLM Agents via Step-Wise Promise and Progress")</f>
        <v>AgentPRM: Process Reward Models for LLM Agents via Step-Wise Promise and Progress</v>
      </c>
      <c r="C292" s="189" t="s">
        <v>1418</v>
      </c>
      <c r="D292" s="209" t="str">
        <f t="shared" si="1"/>
        <v>AgentPRM: Process Reward Models for LLM Agents via Step-Wise Promise and Progress
Zhiheng Xi, Chenyang Liao, Guanyu Li, Zhihao Zhang,
Wenxiang Chen, Binghai Wang, Senjie Jin, Yuhao Zhou, Jian
Guan, Wei Wu, Tao Ji, Tao Gui, Qi Zhang and Xuanjing Huang
</v>
      </c>
      <c r="E292" s="209" t="str">
        <f>IFERROR(__xludf.DUMMYFUNCTION("TEXTJOIN(CHAR(10), TRUE,FILTER('Research Papers'!$C:$C,'Research Papers'!$A:$A=C292))"),"Zhiheng Xi, Chenyang Liao, Guanyu Li, Zhihao Zhang,
Wenxiang Chen, Binghai Wang, Senjie Jin, Yuhao Zhou, Jian
Guan, Wei Wu, Tao Ji, Tao Gui, Qi Zhang and Xuanjing Huang")</f>
        <v>Zhiheng Xi, Chenyang Liao, Guanyu Li, Zhihao Zhang,
Wenxiang Chen, Binghai Wang, Senjie Jin, Yuhao Zhou, Jian
Guan, Wei Wu, Tao Ji, Tao Gui, Qi Zhang and Xuanjing Huang</v>
      </c>
      <c r="F292" s="209" t="str">
        <f>IFERROR(__xludf.DUMMYFUNCTION("TEXTJOIN(CHAR(10), TRUE,FILTER ('Sheridan Main'!E:E,'Sheridan Main'!B:B=C292))"),"qz@fudan.edu.cn")</f>
        <v>qz@fudan.edu.cn</v>
      </c>
      <c r="G292" s="210" t="str">
        <f>IFERROR(__xludf.DUMMYFUNCTION("CONCATENATE(""https://dl.acm.org/doi/"",INDEX(FILTER('Sheridan Main'!A:A,'Sheridan Main'!B:B=C292),1))"),"https://dl.acm.org/doi/10.1145/3774904.3792551")</f>
        <v>https://dl.acm.org/doi/10.1145/3774904.3792551</v>
      </c>
      <c r="H292" s="189" t="s">
        <v>2851</v>
      </c>
      <c r="I292" s="189" t="s">
        <v>2894</v>
      </c>
      <c r="J292" s="209"/>
      <c r="K292" s="147"/>
      <c r="L292" s="147"/>
      <c r="M292" s="209"/>
      <c r="N292" s="209"/>
      <c r="O292" s="209"/>
      <c r="P292" s="209"/>
      <c r="Q292" s="209"/>
      <c r="R292" s="209"/>
      <c r="S292" s="209"/>
      <c r="T292" s="209"/>
      <c r="U292" s="209"/>
      <c r="V292" s="209"/>
      <c r="W292" s="209"/>
      <c r="X292" s="209"/>
      <c r="Y292" s="209"/>
      <c r="Z292" s="209"/>
      <c r="AA292" s="209"/>
      <c r="AB292" s="209"/>
      <c r="AC292" s="209"/>
      <c r="AD292" s="209"/>
      <c r="AE292" s="209"/>
    </row>
    <row r="293">
      <c r="A293" s="208" t="s">
        <v>2891</v>
      </c>
      <c r="B293" s="189" t="str">
        <f>IFERROR(__xludf.DUMMYFUNCTION("FILTER ('Research Papers'!D:D,'Research Papers'!A:A=C293)"),"A Simplex Approach to Synthetic Knowledge Graph Generation")</f>
        <v>A Simplex Approach to Synthetic Knowledge Graph Generation</v>
      </c>
      <c r="C293" s="189" t="s">
        <v>1448</v>
      </c>
      <c r="D293" s="209" t="str">
        <f t="shared" si="1"/>
        <v>A Simplex Approach to Synthetic Knowledge Graph Generation
Ana Alexandra Morim da Silva, Atul Bhopalsing Pundir,
Michael Röder and Axel-Cyrille Ngonga Ngomo
</v>
      </c>
      <c r="E293" s="209" t="str">
        <f>IFERROR(__xludf.DUMMYFUNCTION("TEXTJOIN(CHAR(10), TRUE,FILTER('Research Papers'!$C:$C,'Research Papers'!$A:$A=C293))"),"Ana Alexandra Morim da Silva, Atul Bhopalsing Pundir,
Michael Röder and Axel-Cyrille Ngonga Ngomo")</f>
        <v>Ana Alexandra Morim da Silva, Atul Bhopalsing Pundir,
Michael Röder and Axel-Cyrille Ngonga Ngomo</v>
      </c>
      <c r="F293" s="209" t="str">
        <f>IFERROR(__xludf.DUMMYFUNCTION("TEXTJOIN(CHAR(10), TRUE,FILTER ('Sheridan Main'!E:E,'Sheridan Main'!B:B=C293))"),"ana.silva@uni-paderborn.de")</f>
        <v>ana.silva@uni-paderborn.de</v>
      </c>
      <c r="G293" s="210" t="str">
        <f>IFERROR(__xludf.DUMMYFUNCTION("CONCATENATE(""https://dl.acm.org/doi/"",INDEX(FILTER('Sheridan Main'!A:A,'Sheridan Main'!B:B=C293),1))"),"https://dl.acm.org/doi/10.1145/3774904.3792566")</f>
        <v>https://dl.acm.org/doi/10.1145/3774904.3792566</v>
      </c>
      <c r="H293" s="189" t="s">
        <v>2851</v>
      </c>
      <c r="I293" s="189" t="s">
        <v>2894</v>
      </c>
      <c r="J293" s="209"/>
      <c r="K293" s="147"/>
      <c r="L293" s="147"/>
      <c r="M293" s="209"/>
      <c r="N293" s="209"/>
      <c r="O293" s="209"/>
      <c r="P293" s="209"/>
      <c r="Q293" s="209"/>
      <c r="R293" s="209"/>
      <c r="S293" s="209"/>
      <c r="T293" s="209"/>
      <c r="U293" s="209"/>
      <c r="V293" s="209"/>
      <c r="W293" s="209"/>
      <c r="X293" s="209"/>
      <c r="Y293" s="209"/>
      <c r="Z293" s="209"/>
      <c r="AA293" s="209"/>
      <c r="AB293" s="209"/>
      <c r="AC293" s="209"/>
      <c r="AD293" s="209"/>
      <c r="AE293" s="209"/>
    </row>
    <row r="294">
      <c r="A294" s="208" t="s">
        <v>2891</v>
      </c>
      <c r="B294" s="189" t="str">
        <f>IFERROR(__xludf.DUMMYFUNCTION("FILTER ('Research Papers'!D:D,'Research Papers'!A:A=C294)"),"Detecting Miscitation on the Scholarly Web through LLM-Augmented Text-Rich Graph Learning")</f>
        <v>Detecting Miscitation on the Scholarly Web through LLM-Augmented Text-Rich Graph Learning</v>
      </c>
      <c r="C294" s="189" t="s">
        <v>1452</v>
      </c>
      <c r="D294" s="209" t="str">
        <f t="shared" si="1"/>
        <v>Detecting Miscitation on the Scholarly Web through LLM-Augmented Text-Rich Graph Learning
Huidong Wu, Haojia Xiang, Jingtong Gao, Xiangyu Zhao,
Dengsheng Wu and Jianping Li
</v>
      </c>
      <c r="E294" s="209" t="str">
        <f>IFERROR(__xludf.DUMMYFUNCTION("TEXTJOIN(CHAR(10), TRUE,FILTER('Research Papers'!$C:$C,'Research Papers'!$A:$A=C294))"),"Huidong Wu, Haojia Xiang, Jingtong Gao, Xiangyu Zhao,
Dengsheng Wu and Jianping Li")</f>
        <v>Huidong Wu, Haojia Xiang, Jingtong Gao, Xiangyu Zhao,
Dengsheng Wu and Jianping Li</v>
      </c>
      <c r="F294" s="209" t="str">
        <f>IFERROR(__xludf.DUMMYFUNCTION("TEXTJOIN(CHAR(10), TRUE,FILTER ('Sheridan Main'!E:E,'Sheridan Main'!B:B=C294))"),"wds@szu.edu.cn")</f>
        <v>wds@szu.edu.cn</v>
      </c>
      <c r="G294" s="210" t="str">
        <f>IFERROR(__xludf.DUMMYFUNCTION("CONCATENATE(""https://dl.acm.org/doi/"",INDEX(FILTER('Sheridan Main'!A:A,'Sheridan Main'!B:B=C294),1))"),"https://dl.acm.org/doi/10.1145/3774904.3792568")</f>
        <v>https://dl.acm.org/doi/10.1145/3774904.3792568</v>
      </c>
      <c r="H294" s="189" t="s">
        <v>2851</v>
      </c>
      <c r="I294" s="189" t="s">
        <v>2894</v>
      </c>
      <c r="J294" s="209"/>
      <c r="K294" s="147"/>
      <c r="L294" s="147"/>
      <c r="M294" s="209"/>
      <c r="N294" s="209"/>
      <c r="O294" s="209"/>
      <c r="P294" s="209"/>
      <c r="Q294" s="209"/>
      <c r="R294" s="209"/>
      <c r="S294" s="209"/>
      <c r="T294" s="209"/>
      <c r="U294" s="209"/>
      <c r="V294" s="209"/>
      <c r="W294" s="209"/>
      <c r="X294" s="209"/>
      <c r="Y294" s="209"/>
      <c r="Z294" s="209"/>
      <c r="AA294" s="209"/>
      <c r="AB294" s="209"/>
      <c r="AC294" s="209"/>
      <c r="AD294" s="209"/>
      <c r="AE294" s="209"/>
    </row>
    <row r="295">
      <c r="A295" s="208" t="s">
        <v>2891</v>
      </c>
      <c r="B295" s="189" t="str">
        <f>IFERROR(__xludf.DUMMYFUNCTION("FILTER ('Research Papers'!D:D,'Research Papers'!A:A=C295)"),"Empowering LLMs for Structure-Based Drug Design via Exploration-Augmented Latent Inference")</f>
        <v>Empowering LLMs for Structure-Based Drug Design via Exploration-Augmented Latent Inference</v>
      </c>
      <c r="C295" s="189" t="s">
        <v>1526</v>
      </c>
      <c r="D295" s="209" t="str">
        <f t="shared" si="1"/>
        <v>Empowering LLMs for Structure-Based Drug Design via Exploration-Augmented Latent Inference
Xuanning Hu, Anchen Li, Qianli Xing, Jinglong Ji, Hao Tuo
and Bo Yang
</v>
      </c>
      <c r="E295" s="209" t="str">
        <f>IFERROR(__xludf.DUMMYFUNCTION("TEXTJOIN(CHAR(10), TRUE,FILTER('Research Papers'!$C:$C,'Research Papers'!$A:$A=C295))"),"Xuanning Hu, Anchen Li, Qianli Xing, Jinglong Ji, Hao Tuo
and Bo Yang")</f>
        <v>Xuanning Hu, Anchen Li, Qianli Xing, Jinglong Ji, Hao Tuo
and Bo Yang</v>
      </c>
      <c r="F295" s="209" t="str">
        <f>IFERROR(__xludf.DUMMYFUNCTION("TEXTJOIN(CHAR(10), TRUE,FILTER ('Sheridan Main'!E:E,'Sheridan Main'!B:B=C295))"),"ybo@jlu.edu.cn")</f>
        <v>ybo@jlu.edu.cn</v>
      </c>
      <c r="G295" s="210" t="str">
        <f>IFERROR(__xludf.DUMMYFUNCTION("CONCATENATE(""https://dl.acm.org/doi/"",INDEX(FILTER('Sheridan Main'!A:A,'Sheridan Main'!B:B=C295),1))"),"https://dl.acm.org/doi/10.1145/3774904.3792605")</f>
        <v>https://dl.acm.org/doi/10.1145/3774904.3792605</v>
      </c>
      <c r="H295" s="189" t="s">
        <v>2851</v>
      </c>
      <c r="I295" s="189" t="s">
        <v>2894</v>
      </c>
      <c r="J295" s="209"/>
      <c r="K295" s="147"/>
      <c r="L295" s="147"/>
      <c r="M295" s="209"/>
      <c r="N295" s="209"/>
      <c r="O295" s="209"/>
      <c r="P295" s="209"/>
      <c r="Q295" s="209"/>
      <c r="R295" s="209"/>
      <c r="S295" s="209"/>
      <c r="T295" s="209"/>
      <c r="U295" s="209"/>
      <c r="V295" s="209"/>
      <c r="W295" s="209"/>
      <c r="X295" s="209"/>
      <c r="Y295" s="209"/>
      <c r="Z295" s="209"/>
      <c r="AA295" s="209"/>
      <c r="AB295" s="209"/>
      <c r="AC295" s="209"/>
      <c r="AD295" s="209"/>
      <c r="AE295" s="209"/>
    </row>
    <row r="296">
      <c r="A296" s="208" t="s">
        <v>2891</v>
      </c>
      <c r="B296" s="189" t="str">
        <f>IFERROR(__xludf.DUMMYFUNCTION("FILTER ('Research Papers'!D:D,'Research Papers'!A:A=C296)"),"A Unified and Time-Efficient Multi-Agent Framework for Data Discovery")</f>
        <v>A Unified and Time-Efficient Multi-Agent Framework for Data Discovery</v>
      </c>
      <c r="C296" s="189" t="s">
        <v>1546</v>
      </c>
      <c r="D296" s="209" t="str">
        <f t="shared" si="1"/>
        <v>A Unified and Time-Efficient Multi-Agent Framework for Data Discovery
Yunhao Xiao, Ying Wang, Michael Bewong, Selasi Kwashie,
Xiaoxia Li and Zaiwen Feng
</v>
      </c>
      <c r="E296" s="209" t="str">
        <f>IFERROR(__xludf.DUMMYFUNCTION("TEXTJOIN(CHAR(10), TRUE,FILTER('Research Papers'!$C:$C,'Research Papers'!$A:$A=C296))"),"Yunhao Xiao, Ying Wang, Michael Bewong, Selasi Kwashie,
Xiaoxia Li and Zaiwen Feng")</f>
        <v>Yunhao Xiao, Ying Wang, Michael Bewong, Selasi Kwashie,
Xiaoxia Li and Zaiwen Feng</v>
      </c>
      <c r="F296" s="209" t="str">
        <f>IFERROR(__xludf.DUMMYFUNCTION("TEXTJOIN(CHAR(10), TRUE,FILTER ('Sheridan Main'!E:E,'Sheridan Main'!B:B=C296))"),"Yunhao_Xiao@webmail.hzau.edu.cn")</f>
        <v>Yunhao_Xiao@webmail.hzau.edu.cn</v>
      </c>
      <c r="G296" s="210" t="str">
        <f>IFERROR(__xludf.DUMMYFUNCTION("CONCATENATE(""https://dl.acm.org/doi/"",INDEX(FILTER('Sheridan Main'!A:A,'Sheridan Main'!B:B=C296),1))"),"https://dl.acm.org/doi/10.1145/3774904.3792615")</f>
        <v>https://dl.acm.org/doi/10.1145/3774904.3792615</v>
      </c>
      <c r="H296" s="189" t="s">
        <v>2851</v>
      </c>
      <c r="I296" s="189" t="s">
        <v>2894</v>
      </c>
      <c r="J296" s="209"/>
      <c r="K296" s="147"/>
      <c r="L296" s="147"/>
      <c r="M296" s="209"/>
      <c r="N296" s="209"/>
      <c r="O296" s="209"/>
      <c r="P296" s="209"/>
      <c r="Q296" s="209"/>
      <c r="R296" s="209"/>
      <c r="S296" s="209"/>
      <c r="T296" s="209"/>
      <c r="U296" s="209"/>
      <c r="V296" s="209"/>
      <c r="W296" s="209"/>
      <c r="X296" s="209"/>
      <c r="Y296" s="209"/>
      <c r="Z296" s="209"/>
      <c r="AA296" s="209"/>
      <c r="AB296" s="209"/>
      <c r="AC296" s="209"/>
      <c r="AD296" s="209"/>
      <c r="AE296" s="209"/>
    </row>
    <row r="297">
      <c r="A297" s="208" t="s">
        <v>2891</v>
      </c>
      <c r="B297" s="189" t="str">
        <f>IFERROR(__xludf.DUMMYFUNCTION("FILTER ('Research Papers'!D:D,'Research Papers'!A:A=C297)"),"Expectation-Guided Self-Verification for Aligning Large Reasoning Models with Domain Knowledge")</f>
        <v>Expectation-Guided Self-Verification for Aligning Large Reasoning Models with Domain Knowledge</v>
      </c>
      <c r="C297" s="189" t="s">
        <v>1592</v>
      </c>
      <c r="D297" s="209" t="str">
        <f t="shared" si="1"/>
        <v>Expectation-Guided Self-Verification for Aligning Large Reasoning Models with Domain Knowledge
Han Zhang, Chen Zhao, Shasha Wang, Gang Chen and Chenghong
Zhang
</v>
      </c>
      <c r="E297" s="209" t="str">
        <f>IFERROR(__xludf.DUMMYFUNCTION("TEXTJOIN(CHAR(10), TRUE,FILTER('Research Papers'!$C:$C,'Research Papers'!$A:$A=C297))"),"Han Zhang, Chen Zhao, Shasha Wang, Gang Chen and Chenghong
Zhang")</f>
        <v>Han Zhang, Chen Zhao, Shasha Wang, Gang Chen and Chenghong
Zhang</v>
      </c>
      <c r="F297" s="209" t="str">
        <f>IFERROR(__xludf.DUMMYFUNCTION("TEXTJOIN(CHAR(10), TRUE,FILTER ('Sheridan Main'!E:E,'Sheridan Main'!B:B=C297))"),"chengang050970@foxmail.com")</f>
        <v>chengang050970@foxmail.com</v>
      </c>
      <c r="G297" s="210" t="str">
        <f>IFERROR(__xludf.DUMMYFUNCTION("CONCATENATE(""https://dl.acm.org/doi/"",INDEX(FILTER('Sheridan Main'!A:A,'Sheridan Main'!B:B=C297),1))"),"https://dl.acm.org/doi/10.1145/3774904.3792638")</f>
        <v>https://dl.acm.org/doi/10.1145/3774904.3792638</v>
      </c>
      <c r="H297" s="189" t="s">
        <v>2851</v>
      </c>
      <c r="I297" s="189" t="s">
        <v>192</v>
      </c>
      <c r="J297" s="209"/>
      <c r="K297" s="147"/>
      <c r="L297" s="147"/>
      <c r="M297" s="209"/>
      <c r="N297" s="209"/>
      <c r="O297" s="209"/>
      <c r="P297" s="209"/>
      <c r="Q297" s="209"/>
      <c r="R297" s="209"/>
      <c r="S297" s="209"/>
      <c r="T297" s="209"/>
      <c r="U297" s="209"/>
      <c r="V297" s="209"/>
      <c r="W297" s="209"/>
      <c r="X297" s="209"/>
      <c r="Y297" s="209"/>
      <c r="Z297" s="209"/>
      <c r="AA297" s="209"/>
      <c r="AB297" s="209"/>
      <c r="AC297" s="209"/>
      <c r="AD297" s="209"/>
      <c r="AE297" s="209"/>
    </row>
    <row r="298">
      <c r="A298" s="208" t="s">
        <v>2891</v>
      </c>
      <c r="B298" s="189" t="str">
        <f>IFERROR(__xludf.DUMMYFUNCTION("FILTER ('Research Papers'!D:D,'Research Papers'!A:A=C298)"),"Incentivizing Agentic Reasoning Capability with Outcome Supervision for Knowledge Base Question Answering")</f>
        <v>Incentivizing Agentic Reasoning Capability with Outcome Supervision for Knowledge Base Question Answering</v>
      </c>
      <c r="C298" s="189" t="s">
        <v>1640</v>
      </c>
      <c r="D298" s="209" t="str">
        <f t="shared" si="1"/>
        <v>Incentivizing Agentic Reasoning Capability with Outcome Supervision for Knowledge Base Question Answering
Zhuo Chen, Fei Wang, Zixuan Li, Zhao Zhang, Weiwei Ding,
Chuanguang Yang, Yongjun Xu and Xiaolong Jin
</v>
      </c>
      <c r="E298" s="209" t="str">
        <f>IFERROR(__xludf.DUMMYFUNCTION("TEXTJOIN(CHAR(10), TRUE,FILTER('Research Papers'!$C:$C,'Research Papers'!$A:$A=C298))"),"Zhuo Chen, Fei Wang, Zixuan Li, Zhao Zhang, Weiwei Ding,
Chuanguang Yang, Yongjun Xu and Xiaolong Jin")</f>
        <v>Zhuo Chen, Fei Wang, Zixuan Li, Zhao Zhang, Weiwei Ding,
Chuanguang Yang, Yongjun Xu and Xiaolong Jin</v>
      </c>
      <c r="F298" s="209" t="str">
        <f>IFERROR(__xludf.DUMMYFUNCTION("TEXTJOIN(CHAR(10), TRUE,FILTER ('Sheridan Main'!E:E,'Sheridan Main'!B:B=C298))"),"wangfei@ict.ac.cn")</f>
        <v>wangfei@ict.ac.cn</v>
      </c>
      <c r="G298" s="210" t="str">
        <f>IFERROR(__xludf.DUMMYFUNCTION("CONCATENATE(""https://dl.acm.org/doi/"",INDEX(FILTER('Sheridan Main'!A:A,'Sheridan Main'!B:B=C298),1))"),"https://dl.acm.org/doi/10.1145/3774904.3792662")</f>
        <v>https://dl.acm.org/doi/10.1145/3774904.3792662</v>
      </c>
      <c r="H298" s="189" t="s">
        <v>2851</v>
      </c>
      <c r="I298" s="189" t="s">
        <v>192</v>
      </c>
      <c r="J298" s="209"/>
      <c r="K298" s="147"/>
      <c r="L298" s="147"/>
      <c r="M298" s="209"/>
      <c r="N298" s="209"/>
      <c r="O298" s="209"/>
      <c r="P298" s="209"/>
      <c r="Q298" s="209"/>
      <c r="R298" s="209"/>
      <c r="S298" s="209"/>
      <c r="T298" s="209"/>
      <c r="U298" s="209"/>
      <c r="V298" s="209"/>
      <c r="W298" s="209"/>
      <c r="X298" s="209"/>
      <c r="Y298" s="209"/>
      <c r="Z298" s="209"/>
      <c r="AA298" s="209"/>
      <c r="AB298" s="209"/>
      <c r="AC298" s="209"/>
      <c r="AD298" s="209"/>
      <c r="AE298" s="209"/>
    </row>
    <row r="299">
      <c r="A299" s="208" t="s">
        <v>2891</v>
      </c>
      <c r="B299" s="189" t="str">
        <f>IFERROR(__xludf.DUMMYFUNCTION("FILTER ('Research Papers'!D:D,'Research Papers'!A:A=C299)"),"Learning to Route: A Rule-Driven Agent Framework for Hybrid-Source Retrieval-Augmented Generation")</f>
        <v>Learning to Route: A Rule-Driven Agent Framework for Hybrid-Source Retrieval-Augmented Generation</v>
      </c>
      <c r="C299" s="189" t="s">
        <v>1668</v>
      </c>
      <c r="D299" s="209" t="str">
        <f t="shared" si="1"/>
        <v>Learning to Route: A Rule-Driven Agent Framework for Hybrid-Source Retrieval-Augmented Generation
Haoyue Bai, Haoyu Wang, Shengyu Chen, Zhengzhang Chen,
Lu-An Tang, Wei Cheng, Yanjie Fu and Haifeng Chen
</v>
      </c>
      <c r="E299" s="209" t="str">
        <f>IFERROR(__xludf.DUMMYFUNCTION("TEXTJOIN(CHAR(10), TRUE,FILTER('Research Papers'!$C:$C,'Research Papers'!$A:$A=C299))"),"Haoyue Bai, Haoyu Wang, Shengyu Chen, Zhengzhang Chen,
Lu-An Tang, Wei Cheng, Yanjie Fu and Haifeng Chen")</f>
        <v>Haoyue Bai, Haoyu Wang, Shengyu Chen, Zhengzhang Chen,
Lu-An Tang, Wei Cheng, Yanjie Fu and Haifeng Chen</v>
      </c>
      <c r="F299" s="209" t="str">
        <f>IFERROR(__xludf.DUMMYFUNCTION("TEXTJOIN(CHAR(10), TRUE,FILTER ('Sheridan Main'!E:E,'Sheridan Main'!B:B=C299))"),"haoyu@nec-labs.com")</f>
        <v>haoyu@nec-labs.com</v>
      </c>
      <c r="G299" s="210" t="str">
        <f>IFERROR(__xludf.DUMMYFUNCTION("CONCATENATE(""https://dl.acm.org/doi/"",INDEX(FILTER('Sheridan Main'!A:A,'Sheridan Main'!B:B=C299),1))"),"https://dl.acm.org/doi/10.1145/3774904.3792676")</f>
        <v>https://dl.acm.org/doi/10.1145/3774904.3792676</v>
      </c>
      <c r="H299" s="189" t="s">
        <v>2851</v>
      </c>
      <c r="I299" s="189" t="s">
        <v>192</v>
      </c>
      <c r="J299" s="209"/>
      <c r="K299" s="147"/>
      <c r="L299" s="147"/>
      <c r="M299" s="209"/>
      <c r="N299" s="209"/>
      <c r="O299" s="209"/>
      <c r="P299" s="209"/>
      <c r="Q299" s="209"/>
      <c r="R299" s="209"/>
      <c r="S299" s="209"/>
      <c r="T299" s="209"/>
      <c r="U299" s="209"/>
      <c r="V299" s="209"/>
      <c r="W299" s="209"/>
      <c r="X299" s="209"/>
      <c r="Y299" s="209"/>
      <c r="Z299" s="209"/>
      <c r="AA299" s="209"/>
      <c r="AB299" s="209"/>
      <c r="AC299" s="209"/>
      <c r="AD299" s="209"/>
      <c r="AE299" s="209"/>
    </row>
    <row r="300">
      <c r="A300" s="208" t="s">
        <v>2891</v>
      </c>
      <c r="B300" s="189" t="str">
        <f>IFERROR(__xludf.DUMMYFUNCTION("FILTER ('Research Papers'!D:D,'Research Papers'!A:A=C300)"),"MixRAG : Mixture-of-Experts Retrieval-Augmented Generation for Textual Graph Understanding and Question Answering")</f>
        <v>MixRAG : Mixture-of-Experts Retrieval-Augmented Generation for Textual Graph Understanding and Question Answering</v>
      </c>
      <c r="C300" s="189" t="s">
        <v>1676</v>
      </c>
      <c r="D300" s="209" t="str">
        <f t="shared" si="1"/>
        <v>MixRAG : Mixture-of-Experts Retrieval-Augmented Generation for Textual Graph Understanding and Question Answering
Lihui Liu, Jiayuan Ding, Subhabrata Mukherjee and Carl Yang
</v>
      </c>
      <c r="E300" s="209" t="str">
        <f>IFERROR(__xludf.DUMMYFUNCTION("TEXTJOIN(CHAR(10), TRUE,FILTER('Research Papers'!$C:$C,'Research Papers'!$A:$A=C300))"),"Lihui Liu, Jiayuan Ding, Subhabrata Mukherjee and Carl Yang")</f>
        <v>Lihui Liu, Jiayuan Ding, Subhabrata Mukherjee and Carl Yang</v>
      </c>
      <c r="F300" s="209" t="str">
        <f>IFERROR(__xludf.DUMMYFUNCTION("TEXTJOIN(CHAR(10), TRUE,FILTER ('Sheridan Main'!E:E,'Sheridan Main'!B:B=C300))"),"hw6926@wayne.edu")</f>
        <v>hw6926@wayne.edu</v>
      </c>
      <c r="G300" s="210" t="str">
        <f>IFERROR(__xludf.DUMMYFUNCTION("CONCATENATE(""https://dl.acm.org/doi/"",INDEX(FILTER('Sheridan Main'!A:A,'Sheridan Main'!B:B=C300),1))"),"https://dl.acm.org/doi/10.1145/3774904.3792680")</f>
        <v>https://dl.acm.org/doi/10.1145/3774904.3792680</v>
      </c>
      <c r="H300" s="189" t="s">
        <v>2851</v>
      </c>
      <c r="I300" s="189" t="s">
        <v>192</v>
      </c>
      <c r="J300" s="209"/>
      <c r="K300" s="147"/>
      <c r="L300" s="147"/>
      <c r="M300" s="209"/>
      <c r="N300" s="209"/>
      <c r="O300" s="209"/>
      <c r="P300" s="209"/>
      <c r="Q300" s="209"/>
      <c r="R300" s="209"/>
      <c r="S300" s="209"/>
      <c r="T300" s="209"/>
      <c r="U300" s="209"/>
      <c r="V300" s="209"/>
      <c r="W300" s="209"/>
      <c r="X300" s="209"/>
      <c r="Y300" s="209"/>
      <c r="Z300" s="209"/>
      <c r="AA300" s="209"/>
      <c r="AB300" s="209"/>
      <c r="AC300" s="209"/>
      <c r="AD300" s="209"/>
      <c r="AE300" s="209"/>
    </row>
    <row r="301">
      <c r="A301" s="208" t="s">
        <v>2891</v>
      </c>
      <c r="B301" s="189" t="str">
        <f>IFERROR(__xludf.DUMMYFUNCTION("FILTER ('Research Papers'!D:D,'Research Papers'!A:A=C301)"),"AdaQE-CG: Adaptive Query Expansion for Web-Scale Generative AI Model and Data Card Generation")</f>
        <v>AdaQE-CG: Adaptive Query Expansion for Web-Scale Generative AI Model and Data Card Generation</v>
      </c>
      <c r="C301" s="189" t="s">
        <v>1686</v>
      </c>
      <c r="D301" s="209" t="str">
        <f t="shared" si="1"/>
        <v>AdaQE-CG: Adaptive Query Expansion for Web-Scale Generative AI Model and Data Card Generation
Haoxuan Zhang, Ruochi Li, Zhenni Liang, Sattari Mehri, Phat
Vo, Collin Qu, Ting Xiao, Junhua Ding, Yang Zhang and
Haihua Chen
</v>
      </c>
      <c r="E301" s="209" t="str">
        <f>IFERROR(__xludf.DUMMYFUNCTION("TEXTJOIN(CHAR(10), TRUE,FILTER('Research Papers'!$C:$C,'Research Papers'!$A:$A=C301))"),"Haoxuan Zhang, Ruochi Li, Zhenni Liang, Sattari Mehri, Phat
Vo, Collin Qu, Ting Xiao, Junhua Ding, Yang Zhang and
Haihua Chen")</f>
        <v>Haoxuan Zhang, Ruochi Li, Zhenni Liang, Sattari Mehri, Phat
Vo, Collin Qu, Ting Xiao, Junhua Ding, Yang Zhang and
Haihua Chen</v>
      </c>
      <c r="F301" s="209" t="str">
        <f>IFERROR(__xludf.DUMMYFUNCTION("TEXTJOIN(CHAR(10), TRUE,FILTER ('Sheridan Main'!E:E,'Sheridan Main'!B:B=C301))"),"yang.zhang@unt.edu")</f>
        <v>yang.zhang@unt.edu</v>
      </c>
      <c r="G301" s="210" t="str">
        <f>IFERROR(__xludf.DUMMYFUNCTION("CONCATENATE(""https://dl.acm.org/doi/"",INDEX(FILTER('Sheridan Main'!A:A,'Sheridan Main'!B:B=C301),1))"),"https://dl.acm.org/doi/10.1145/3774904.3792685")</f>
        <v>https://dl.acm.org/doi/10.1145/3774904.3792685</v>
      </c>
      <c r="H301" s="189" t="s">
        <v>2851</v>
      </c>
      <c r="I301" s="189" t="s">
        <v>192</v>
      </c>
      <c r="J301" s="209"/>
      <c r="K301" s="147"/>
      <c r="L301" s="147"/>
      <c r="M301" s="209"/>
      <c r="N301" s="209"/>
      <c r="O301" s="209"/>
      <c r="P301" s="209"/>
      <c r="Q301" s="209"/>
      <c r="R301" s="209"/>
      <c r="S301" s="209"/>
      <c r="T301" s="209"/>
      <c r="U301" s="209"/>
      <c r="V301" s="209"/>
      <c r="W301" s="209"/>
      <c r="X301" s="209"/>
      <c r="Y301" s="209"/>
      <c r="Z301" s="209"/>
      <c r="AA301" s="209"/>
      <c r="AB301" s="209"/>
      <c r="AC301" s="209"/>
      <c r="AD301" s="209"/>
      <c r="AE301" s="209"/>
    </row>
    <row r="302">
      <c r="A302" s="208" t="s">
        <v>2891</v>
      </c>
      <c r="B302" s="189" t="str">
        <f>IFERROR(__xludf.DUMMYFUNCTION("FILTER ('Research Papers'!D:D,'Research Papers'!A:A=C302)"),"Dual-View Hypercube Alignment Framework for Open-World Entity Typing")</f>
        <v>Dual-View Hypercube Alignment Framework for Open-World Entity Typing</v>
      </c>
      <c r="C302" s="189" t="s">
        <v>1704</v>
      </c>
      <c r="D302" s="209" t="str">
        <f t="shared" si="1"/>
        <v>Dual-View Hypercube Alignment Framework for Open-World Entity Typing
Hu Chen, Yu Zhu and Wei Shen
</v>
      </c>
      <c r="E302" s="209" t="str">
        <f>IFERROR(__xludf.DUMMYFUNCTION("TEXTJOIN(CHAR(10), TRUE,FILTER('Research Papers'!$C:$C,'Research Papers'!$A:$A=C302))"),"Hu Chen, Yu Zhu and Wei Shen")</f>
        <v>Hu Chen, Yu Zhu and Wei Shen</v>
      </c>
      <c r="F302" s="209" t="str">
        <f>IFERROR(__xludf.DUMMYFUNCTION("TEXTJOIN(CHAR(10), TRUE,FILTER ('Sheridan Main'!E:E,'Sheridan Main'!B:B=C302))"),"chenhu@mail.nankai.edu.cn")</f>
        <v>chenhu@mail.nankai.edu.cn</v>
      </c>
      <c r="G302" s="210" t="str">
        <f>IFERROR(__xludf.DUMMYFUNCTION("CONCATENATE(""https://dl.acm.org/doi/"",INDEX(FILTER('Sheridan Main'!A:A,'Sheridan Main'!B:B=C302),1))"),"https://dl.acm.org/doi/10.1145/3774904.3792694")</f>
        <v>https://dl.acm.org/doi/10.1145/3774904.3792694</v>
      </c>
      <c r="H302" s="189" t="s">
        <v>2851</v>
      </c>
      <c r="I302" s="189" t="s">
        <v>192</v>
      </c>
      <c r="J302" s="209"/>
      <c r="K302" s="147"/>
      <c r="L302" s="147"/>
      <c r="M302" s="209"/>
      <c r="N302" s="209"/>
      <c r="O302" s="209"/>
      <c r="P302" s="209"/>
      <c r="Q302" s="209"/>
      <c r="R302" s="209"/>
      <c r="S302" s="209"/>
      <c r="T302" s="209"/>
      <c r="U302" s="209"/>
      <c r="V302" s="209"/>
      <c r="W302" s="209"/>
      <c r="X302" s="209"/>
      <c r="Y302" s="209"/>
      <c r="Z302" s="209"/>
      <c r="AA302" s="209"/>
      <c r="AB302" s="209"/>
      <c r="AC302" s="209"/>
      <c r="AD302" s="209"/>
      <c r="AE302" s="209"/>
    </row>
    <row r="303">
      <c r="A303" s="208" t="s">
        <v>2891</v>
      </c>
      <c r="B303" s="189" t="str">
        <f>IFERROR(__xludf.DUMMYFUNCTION("FILTER ('Research Papers'!D:D,'Research Papers'!A:A=C303)"),"Counterfactual Meta-task Augmentation for Few-shot Graph Node Classification")</f>
        <v>Counterfactual Meta-task Augmentation for Few-shot Graph Node Classification</v>
      </c>
      <c r="C303" s="189" t="s">
        <v>1708</v>
      </c>
      <c r="D303" s="209" t="str">
        <f t="shared" si="1"/>
        <v>Counterfactual Meta-task Augmentation for Few-shot Graph Node Classification
Zhiqiang Wang, Jiaxin Zhang, Chenchao Zhang, Shiying Cheng,
Jianqing Liang and Peng Song
</v>
      </c>
      <c r="E303" s="209" t="str">
        <f>IFERROR(__xludf.DUMMYFUNCTION("TEXTJOIN(CHAR(10), TRUE,FILTER('Research Papers'!$C:$C,'Research Papers'!$A:$A=C303))"),"Zhiqiang Wang, Jiaxin Zhang, Chenchao Zhang, Shiying Cheng,
Jianqing Liang and Peng Song")</f>
        <v>Zhiqiang Wang, Jiaxin Zhang, Chenchao Zhang, Shiying Cheng,
Jianqing Liang and Peng Song</v>
      </c>
      <c r="F303" s="209" t="str">
        <f>IFERROR(__xludf.DUMMYFUNCTION("TEXTJOIN(CHAR(10), TRUE,FILTER ('Sheridan Main'!E:E,'Sheridan Main'!B:B=C303))"),"wangzq@sxu.edu.cn")</f>
        <v>wangzq@sxu.edu.cn</v>
      </c>
      <c r="G303" s="210" t="str">
        <f>IFERROR(__xludf.DUMMYFUNCTION("CONCATENATE(""https://dl.acm.org/doi/"",INDEX(FILTER('Sheridan Main'!A:A,'Sheridan Main'!B:B=C303),1))"),"https://dl.acm.org/doi/10.1145/3774904.3792696")</f>
        <v>https://dl.acm.org/doi/10.1145/3774904.3792696</v>
      </c>
      <c r="H303" s="189" t="s">
        <v>2851</v>
      </c>
      <c r="I303" s="189" t="s">
        <v>192</v>
      </c>
      <c r="J303" s="209"/>
      <c r="K303" s="147"/>
      <c r="L303" s="147"/>
      <c r="M303" s="209"/>
      <c r="N303" s="209"/>
      <c r="O303" s="209"/>
      <c r="P303" s="209"/>
      <c r="Q303" s="209"/>
      <c r="R303" s="209"/>
      <c r="S303" s="209"/>
      <c r="T303" s="209"/>
      <c r="U303" s="209"/>
      <c r="V303" s="209"/>
      <c r="W303" s="209"/>
      <c r="X303" s="209"/>
      <c r="Y303" s="209"/>
      <c r="Z303" s="209"/>
      <c r="AA303" s="209"/>
      <c r="AB303" s="209"/>
      <c r="AC303" s="209"/>
      <c r="AD303" s="209"/>
      <c r="AE303" s="209"/>
    </row>
    <row r="304">
      <c r="A304" s="208" t="s">
        <v>2891</v>
      </c>
      <c r="B304" s="189" t="str">
        <f>IFERROR(__xludf.DUMMYFUNCTION("FILTER ('Research Papers'!D:D,'Research Papers'!A:A=C304)"),"Knowledge-Enhanced Multimodal Fake News Detection: Semantic Visual and Priority Fusion")</f>
        <v>Knowledge-Enhanced Multimodal Fake News Detection: Semantic Visual and Priority Fusion</v>
      </c>
      <c r="C304" s="189" t="s">
        <v>1774</v>
      </c>
      <c r="D304" s="209" t="str">
        <f t="shared" si="1"/>
        <v>Knowledge-Enhanced Multimodal Fake News Detection: Semantic Visual and Priority Fusion
Qin Zhang, Jiaying Liu, Qian Tao, Zhiwei Guo, Qiyue Zhong,
Yifan Zhang and Ziyan Huang
</v>
      </c>
      <c r="E304" s="209" t="str">
        <f>IFERROR(__xludf.DUMMYFUNCTION("TEXTJOIN(CHAR(10), TRUE,FILTER('Research Papers'!$C:$C,'Research Papers'!$A:$A=C304))"),"Qin Zhang, Jiaying Liu, Qian Tao, Zhiwei Guo, Qiyue Zhong,
Yifan Zhang and Ziyan Huang")</f>
        <v>Qin Zhang, Jiaying Liu, Qian Tao, Zhiwei Guo, Qiyue Zhong,
Yifan Zhang and Ziyan Huang</v>
      </c>
      <c r="F304" s="209" t="str">
        <f>IFERROR(__xludf.DUMMYFUNCTION("TEXTJOIN(CHAR(10), TRUE,FILTER ('Sheridan Main'!E:E,'Sheridan Main'!B:B=C304))"),"taoqian@scut.edu.cn")</f>
        <v>taoqian@scut.edu.cn</v>
      </c>
      <c r="G304" s="210" t="str">
        <f>IFERROR(__xludf.DUMMYFUNCTION("CONCATENATE(""https://dl.acm.org/doi/"",INDEX(FILTER('Sheridan Main'!A:A,'Sheridan Main'!B:B=C304),1))"),"https://dl.acm.org/doi/10.1145/3774904.3792729")</f>
        <v>https://dl.acm.org/doi/10.1145/3774904.3792729</v>
      </c>
      <c r="H304" s="189" t="s">
        <v>2851</v>
      </c>
      <c r="I304" s="189" t="s">
        <v>192</v>
      </c>
      <c r="J304" s="209"/>
      <c r="K304" s="147"/>
      <c r="L304" s="147"/>
      <c r="M304" s="209"/>
      <c r="N304" s="209"/>
      <c r="O304" s="209"/>
      <c r="P304" s="209"/>
      <c r="Q304" s="209"/>
      <c r="R304" s="209"/>
      <c r="S304" s="209"/>
      <c r="T304" s="209"/>
      <c r="U304" s="209"/>
      <c r="V304" s="209"/>
      <c r="W304" s="209"/>
      <c r="X304" s="209"/>
      <c r="Y304" s="209"/>
      <c r="Z304" s="209"/>
      <c r="AA304" s="209"/>
      <c r="AB304" s="209"/>
      <c r="AC304" s="209"/>
      <c r="AD304" s="209"/>
      <c r="AE304" s="209"/>
    </row>
    <row r="305">
      <c r="A305" s="208" t="s">
        <v>2891</v>
      </c>
      <c r="B305" s="189" t="str">
        <f>IFERROR(__xludf.DUMMYFUNCTION("FILTER ('Research Papers'!D:D,'Research Papers'!A:A=C305)"),"BLEND: Balanced and Leaf-Enhanced Dual Fine-Tuning for Taxonomy Completion")</f>
        <v>BLEND: Balanced and Leaf-Enhanced Dual Fine-Tuning for Taxonomy Completion</v>
      </c>
      <c r="C305" s="189" t="s">
        <v>1798</v>
      </c>
      <c r="D305" s="209" t="str">
        <f t="shared" si="1"/>
        <v>BLEND: Balanced and Leaf-Enhanced Dual Fine-Tuning for Taxonomy Completion
Pankaj Iiitd, Dhruv Kumar, Vinayak Abrol and Vikram Goyal
</v>
      </c>
      <c r="E305" s="209" t="str">
        <f>IFERROR(__xludf.DUMMYFUNCTION("TEXTJOIN(CHAR(10), TRUE,FILTER('Research Papers'!$C:$C,'Research Papers'!$A:$A=C305))"),"Pankaj Iiitd, Dhruv Kumar, Vinayak Abrol and Vikram Goyal")</f>
        <v>Pankaj Iiitd, Dhruv Kumar, Vinayak Abrol and Vikram Goyal</v>
      </c>
      <c r="F305" s="209" t="str">
        <f>IFERROR(__xludf.DUMMYFUNCTION("TEXTJOIN(CHAR(10), TRUE,FILTER ('Sheridan Main'!E:E,'Sheridan Main'!B:B=C305))"),"pankaji@iiitd.ac.in")</f>
        <v>pankaji@iiitd.ac.in</v>
      </c>
      <c r="G305" s="210" t="str">
        <f>IFERROR(__xludf.DUMMYFUNCTION("CONCATENATE(""https://dl.acm.org/doi/"",INDEX(FILTER('Sheridan Main'!A:A,'Sheridan Main'!B:B=C305),1))"),"https://dl.acm.org/doi/10.1145/3774904.3792741")</f>
        <v>https://dl.acm.org/doi/10.1145/3774904.3792741</v>
      </c>
      <c r="H305" s="189" t="s">
        <v>2851</v>
      </c>
      <c r="I305" s="189" t="s">
        <v>192</v>
      </c>
      <c r="J305" s="209"/>
      <c r="K305" s="147"/>
      <c r="L305" s="147"/>
      <c r="M305" s="209"/>
      <c r="N305" s="209"/>
      <c r="O305" s="209"/>
      <c r="P305" s="209"/>
      <c r="Q305" s="209"/>
      <c r="R305" s="209"/>
      <c r="S305" s="209"/>
      <c r="T305" s="209"/>
      <c r="U305" s="209"/>
      <c r="V305" s="209"/>
      <c r="W305" s="209"/>
      <c r="X305" s="209"/>
      <c r="Y305" s="209"/>
      <c r="Z305" s="209"/>
      <c r="AA305" s="209"/>
      <c r="AB305" s="209"/>
      <c r="AC305" s="209"/>
      <c r="AD305" s="209"/>
      <c r="AE305" s="209"/>
    </row>
    <row r="306">
      <c r="A306" s="208" t="s">
        <v>2895</v>
      </c>
      <c r="B306" s="189" t="str">
        <f>IFERROR(__xludf.DUMMYFUNCTION("FILTER ('Research Papers'!D:D,'Research Papers'!A:A=C306)"),"Eclipse Attacks on Ethereum’s Peer-to-Peer Network")</f>
        <v>Eclipse Attacks on Ethereum’s Peer-to-Peer Network</v>
      </c>
      <c r="C306" s="189" t="s">
        <v>778</v>
      </c>
      <c r="D306" s="209" t="str">
        <f t="shared" si="1"/>
        <v>Eclipse Attacks on Ethereum’s Peer-to-Peer Network
Ruisheng Shi, Yuxuan Liang, Zijun Guo, Qin Wang, Lina Lan,
Chenfeng Wang and Zhuoyi Zheng
</v>
      </c>
      <c r="E306" s="209" t="str">
        <f>IFERROR(__xludf.DUMMYFUNCTION("TEXTJOIN(CHAR(10), TRUE,FILTER('Research Papers'!$C:$C,'Research Papers'!$A:$A=C306))"),"Ruisheng Shi, Yuxuan Liang, Zijun Guo, Qin Wang, Lina Lan,
Chenfeng Wang and Zhuoyi Zheng")</f>
        <v>Ruisheng Shi, Yuxuan Liang, Zijun Guo, Qin Wang, Lina Lan,
Chenfeng Wang and Zhuoyi Zheng</v>
      </c>
      <c r="F306" s="209" t="str">
        <f>IFERROR(__xludf.DUMMYFUNCTION("TEXTJOIN(CHAR(10), TRUE,FILTER ('Sheridan Main'!E:E,'Sheridan Main'!B:B=C306))"),"shiruisheng@bupt.edu.cn")</f>
        <v>shiruisheng@bupt.edu.cn</v>
      </c>
      <c r="G306" s="210" t="str">
        <f>IFERROR(__xludf.DUMMYFUNCTION("CONCATENATE(""https://dl.acm.org/doi/"",INDEX(FILTER('Sheridan Main'!A:A,'Sheridan Main'!B:B=C306),1))"),"https://dl.acm.org/doi/10.1145/3774904.3792231")</f>
        <v>https://dl.acm.org/doi/10.1145/3774904.3792231</v>
      </c>
      <c r="H306" s="189" t="s">
        <v>178</v>
      </c>
      <c r="I306" s="209"/>
      <c r="J306" s="209"/>
      <c r="K306" s="147"/>
      <c r="L306" s="147"/>
      <c r="M306" s="209"/>
      <c r="N306" s="209"/>
      <c r="O306" s="209"/>
      <c r="P306" s="209"/>
      <c r="Q306" s="209"/>
      <c r="R306" s="209"/>
      <c r="S306" s="209"/>
      <c r="T306" s="209"/>
      <c r="U306" s="209"/>
      <c r="V306" s="209"/>
      <c r="W306" s="209"/>
      <c r="X306" s="209"/>
      <c r="Y306" s="209"/>
      <c r="Z306" s="209"/>
      <c r="AA306" s="209"/>
      <c r="AB306" s="209"/>
      <c r="AC306" s="209"/>
      <c r="AD306" s="209"/>
      <c r="AE306" s="209"/>
    </row>
    <row r="307">
      <c r="A307" s="208" t="s">
        <v>2895</v>
      </c>
      <c r="B307" s="189" t="str">
        <f>IFERROR(__xludf.DUMMYFUNCTION("FILTER ('Research Papers'!D:D,'Research Papers'!A:A=C307)"),"Proteus: Towards Accurate and Low-overhead In-Network Malicious Traffic Detection")</f>
        <v>Proteus: Towards Accurate and Low-overhead In-Network Malicious Traffic Detection</v>
      </c>
      <c r="C307" s="189" t="s">
        <v>1078</v>
      </c>
      <c r="D307" s="209" t="str">
        <f t="shared" si="1"/>
        <v>Proteus: Towards Accurate and Low-overhead In-Network Malicious Traffic Detection
Longlong Zhu, Linying Zheng, Qing Shu, Zedi Chen, Jiashuo
Yu, Yuhan Wu, Shaopeng Zhou, Hongyan Liu, Dong Zhang,
Chunming Wu and Xiang Chen
</v>
      </c>
      <c r="E307" s="209" t="str">
        <f>IFERROR(__xludf.DUMMYFUNCTION("TEXTJOIN(CHAR(10), TRUE,FILTER('Research Papers'!$C:$C,'Research Papers'!$A:$A=C307))"),"Longlong Zhu, Linying Zheng, Qing Shu, Zedi Chen, Jiashuo
Yu, Yuhan Wu, Shaopeng Zhou, Hongyan Liu, Dong Zhang,
Chunming Wu and Xiang Chen")</f>
        <v>Longlong Zhu, Linying Zheng, Qing Shu, Zedi Chen, Jiashuo
Yu, Yuhan Wu, Shaopeng Zhou, Hongyan Liu, Dong Zhang,
Chunming Wu and Xiang Chen</v>
      </c>
      <c r="F307" s="209" t="str">
        <f>IFERROR(__xludf.DUMMYFUNCTION("TEXTJOIN(CHAR(10), TRUE,FILTER ('Sheridan Main'!E:E,'Sheridan Main'!B:B=C307))"),"kikionepin@gmail.com")</f>
        <v>kikionepin@gmail.com</v>
      </c>
      <c r="G307" s="210" t="str">
        <f>IFERROR(__xludf.DUMMYFUNCTION("CONCATENATE(""https://dl.acm.org/doi/"",INDEX(FILTER('Sheridan Main'!A:A,'Sheridan Main'!B:B=C307),1))"),"https://dl.acm.org/doi/10.1145/3774904.3792381")</f>
        <v>https://dl.acm.org/doi/10.1145/3774904.3792381</v>
      </c>
      <c r="H307" s="189" t="s">
        <v>178</v>
      </c>
      <c r="I307" s="209"/>
      <c r="J307" s="209"/>
      <c r="K307" s="147"/>
      <c r="L307" s="147"/>
      <c r="M307" s="209"/>
      <c r="N307" s="209"/>
      <c r="O307" s="209"/>
      <c r="P307" s="209"/>
      <c r="Q307" s="209"/>
      <c r="R307" s="209"/>
      <c r="S307" s="209"/>
      <c r="T307" s="209"/>
      <c r="U307" s="209"/>
      <c r="V307" s="209"/>
      <c r="W307" s="209"/>
      <c r="X307" s="209"/>
      <c r="Y307" s="209"/>
      <c r="Z307" s="209"/>
      <c r="AA307" s="209"/>
      <c r="AB307" s="209"/>
      <c r="AC307" s="209"/>
      <c r="AD307" s="209"/>
      <c r="AE307" s="209"/>
    </row>
    <row r="308">
      <c r="A308" s="208" t="s">
        <v>2895</v>
      </c>
      <c r="B308" s="189" t="str">
        <f>IFERROR(__xludf.DUMMYFUNCTION("FILTER ('Research Papers'!D:D,'Research Papers'!A:A=C308)"),"Tracking the Stray Sheep: Understanding DNS Response Manipulation in the Wild")</f>
        <v>Tracking the Stray Sheep: Understanding DNS Response Manipulation in the Wild</v>
      </c>
      <c r="C308" s="189" t="s">
        <v>1126</v>
      </c>
      <c r="D308" s="209" t="str">
        <f t="shared" si="1"/>
        <v>Tracking the Stray Sheep: Understanding DNS Response Manipulation in the Wild
Wenhao Wu, Zhaohua Wang, Zihan Li, Qinxin Li, Yiming Xia,
Chuan Gao, Guangxing Zhang and Zhenyu Li
</v>
      </c>
      <c r="E308" s="209" t="str">
        <f>IFERROR(__xludf.DUMMYFUNCTION("TEXTJOIN(CHAR(10), TRUE,FILTER('Research Papers'!$C:$C,'Research Papers'!$A:$A=C308))"),"Wenhao Wu, Zhaohua Wang, Zihan Li, Qinxin Li, Yiming Xia,
Chuan Gao, Guangxing Zhang and Zhenyu Li")</f>
        <v>Wenhao Wu, Zhaohua Wang, Zihan Li, Qinxin Li, Yiming Xia,
Chuan Gao, Guangxing Zhang and Zhenyu Li</v>
      </c>
      <c r="F308" s="209" t="str">
        <f>IFERROR(__xludf.DUMMYFUNCTION("TEXTJOIN(CHAR(10), TRUE,FILTER ('Sheridan Main'!E:E,'Sheridan Main'!B:B=C308))"),"zyli@ict.ac.cn")</f>
        <v>zyli@ict.ac.cn</v>
      </c>
      <c r="G308" s="210" t="str">
        <f>IFERROR(__xludf.DUMMYFUNCTION("CONCATENATE(""https://dl.acm.org/doi/"",INDEX(FILTER('Sheridan Main'!A:A,'Sheridan Main'!B:B=C308),1))"),"https://dl.acm.org/doi/10.1145/3774904.3792405")</f>
        <v>https://dl.acm.org/doi/10.1145/3774904.3792405</v>
      </c>
      <c r="H308" s="189" t="s">
        <v>178</v>
      </c>
      <c r="I308" s="209"/>
      <c r="J308" s="209"/>
      <c r="K308" s="147"/>
      <c r="L308" s="147"/>
      <c r="M308" s="209"/>
      <c r="N308" s="209"/>
      <c r="O308" s="209"/>
      <c r="P308" s="209"/>
      <c r="Q308" s="209"/>
      <c r="R308" s="209"/>
      <c r="S308" s="209"/>
      <c r="T308" s="209"/>
      <c r="U308" s="209"/>
      <c r="V308" s="209"/>
      <c r="W308" s="209"/>
      <c r="X308" s="209"/>
      <c r="Y308" s="209"/>
      <c r="Z308" s="209"/>
      <c r="AA308" s="209"/>
      <c r="AB308" s="209"/>
      <c r="AC308" s="209"/>
      <c r="AD308" s="209"/>
      <c r="AE308" s="209"/>
    </row>
    <row r="309">
      <c r="A309" s="208" t="s">
        <v>2895</v>
      </c>
      <c r="B309" s="189" t="str">
        <f>IFERROR(__xludf.DUMMYFUNCTION("FILTER ('Research Papers'!D:D,'Research Papers'!A:A=C309)"),"Sybil Attacks on Centrality Measures")</f>
        <v>Sybil Attacks on Centrality Measures</v>
      </c>
      <c r="C309" s="189" t="s">
        <v>1438</v>
      </c>
      <c r="D309" s="209" t="str">
        <f t="shared" si="1"/>
        <v>Sybil Attacks on Centrality Measures
Marcin Waniek
</v>
      </c>
      <c r="E309" s="209" t="str">
        <f>IFERROR(__xludf.DUMMYFUNCTION("TEXTJOIN(CHAR(10), TRUE,FILTER('Research Papers'!$C:$C,'Research Papers'!$A:$A=C309))"),"Marcin Waniek")</f>
        <v>Marcin Waniek</v>
      </c>
      <c r="F309" s="209" t="str">
        <f>IFERROR(__xludf.DUMMYFUNCTION("TEXTJOIN(CHAR(10), TRUE,FILTER ('Sheridan Main'!E:E,'Sheridan Main'!B:B=C309))"),"mjwaniek@gmail.com")</f>
        <v>mjwaniek@gmail.com</v>
      </c>
      <c r="G309" s="210" t="str">
        <f>IFERROR(__xludf.DUMMYFUNCTION("CONCATENATE(""https://dl.acm.org/doi/"",INDEX(FILTER('Sheridan Main'!A:A,'Sheridan Main'!B:B=C309),1))"),"https://dl.acm.org/doi/10.1145/3774904.3792561")</f>
        <v>https://dl.acm.org/doi/10.1145/3774904.3792561</v>
      </c>
      <c r="H309" s="189" t="s">
        <v>178</v>
      </c>
      <c r="I309" s="209"/>
      <c r="J309" s="209"/>
      <c r="K309" s="147"/>
      <c r="L309" s="147"/>
      <c r="M309" s="209"/>
      <c r="N309" s="209"/>
      <c r="O309" s="209"/>
      <c r="P309" s="209"/>
      <c r="Q309" s="209"/>
      <c r="R309" s="209"/>
      <c r="S309" s="209"/>
      <c r="T309" s="209"/>
      <c r="U309" s="209"/>
      <c r="V309" s="209"/>
      <c r="W309" s="209"/>
      <c r="X309" s="209"/>
      <c r="Y309" s="209"/>
      <c r="Z309" s="209"/>
      <c r="AA309" s="209"/>
      <c r="AB309" s="209"/>
      <c r="AC309" s="209"/>
      <c r="AD309" s="209"/>
      <c r="AE309" s="209"/>
    </row>
    <row r="310">
      <c r="A310" s="208" t="s">
        <v>2895</v>
      </c>
      <c r="B310" s="189" t="str">
        <f>IFERROR(__xludf.DUMMYFUNCTION("FILTER ('Research Papers'!D:D,'Research Papers'!A:A=C310)"),"GIANT: Structure-Agnostic Practical Adversarial Attacks for Graph-based Network Intrusion Detection Systems")</f>
        <v>GIANT: Structure-Agnostic Practical Adversarial Attacks for Graph-based Network Intrusion Detection Systems</v>
      </c>
      <c r="C310" s="189" t="s">
        <v>1518</v>
      </c>
      <c r="D310" s="209" t="str">
        <f t="shared" si="1"/>
        <v>GIANT: Structure-Agnostic Practical Adversarial Attacks for Graph-based Network Intrusion Detection Systems
Jianjin Zhao, Dongqi Han, Chao Ma, Qi Li, Zhiwei Cui,
Hongliang Zhu, Hua Zhang, Mingshu He, Yijun Lu, Jiong Dong,
Yuyin Ma and Meng Shen
</v>
      </c>
      <c r="E310" s="209" t="str">
        <f>IFERROR(__xludf.DUMMYFUNCTION("TEXTJOIN(CHAR(10), TRUE,FILTER('Research Papers'!$C:$C,'Research Papers'!$A:$A=C310))"),"Jianjin Zhao, Dongqi Han, Chao Ma, Qi Li, Zhiwei Cui,
Hongliang Zhu, Hua Zhang, Mingshu He, Yijun Lu, Jiong Dong,
Yuyin Ma and Meng Shen")</f>
        <v>Jianjin Zhao, Dongqi Han, Chao Ma, Qi Li, Zhiwei Cui,
Hongliang Zhu, Hua Zhang, Mingshu He, Yijun Lu, Jiong Dong,
Yuyin Ma and Meng Shen</v>
      </c>
      <c r="F310" s="209" t="str">
        <f>IFERROR(__xludf.DUMMYFUNCTION("TEXTJOIN(CHAR(10), TRUE,FILTER ('Sheridan Main'!E:E,'Sheridan Main'!B:B=C310))"),"liqi2001@bupt.edu.cn")</f>
        <v>liqi2001@bupt.edu.cn</v>
      </c>
      <c r="G310" s="210" t="str">
        <f>IFERROR(__xludf.DUMMYFUNCTION("CONCATENATE(""https://dl.acm.org/doi/"",INDEX(FILTER('Sheridan Main'!A:A,'Sheridan Main'!B:B=C310),1))"),"https://dl.acm.org/doi/10.1145/3774904.3792601")</f>
        <v>https://dl.acm.org/doi/10.1145/3774904.3792601</v>
      </c>
      <c r="H310" s="189" t="s">
        <v>178</v>
      </c>
      <c r="I310" s="209"/>
      <c r="J310" s="209"/>
      <c r="K310" s="147"/>
      <c r="L310" s="147"/>
      <c r="M310" s="209"/>
      <c r="N310" s="209"/>
      <c r="O310" s="209"/>
      <c r="P310" s="209"/>
      <c r="Q310" s="209"/>
      <c r="R310" s="209"/>
      <c r="S310" s="209"/>
      <c r="T310" s="209"/>
      <c r="U310" s="209"/>
      <c r="V310" s="209"/>
      <c r="W310" s="209"/>
      <c r="X310" s="209"/>
      <c r="Y310" s="209"/>
      <c r="Z310" s="209"/>
      <c r="AA310" s="209"/>
      <c r="AB310" s="209"/>
      <c r="AC310" s="209"/>
      <c r="AD310" s="209"/>
      <c r="AE310" s="209"/>
    </row>
    <row r="311">
      <c r="A311" s="208" t="s">
        <v>2895</v>
      </c>
      <c r="B311" s="189" t="str">
        <f>IFERROR(__xludf.DUMMYFUNCTION("FILTER ('Research Papers'!D:D,'Research Papers'!A:A=C311)"),"SaGD: A Node-Level Differentially Private Graph Learning Framework with Sensitivity-Aware Gradient Descent")</f>
        <v>SaGD: A Node-Level Differentially Private Graph Learning Framework with Sensitivity-Aware Gradient Descent</v>
      </c>
      <c r="C311" s="189" t="s">
        <v>762</v>
      </c>
      <c r="D311" s="209" t="str">
        <f t="shared" si="1"/>
        <v>SaGD: A Node-Level Differentially Private Graph Learning Framework with Sensitivity-Aware Gradient Descent
Jianxin Wei, Ergute Bao, Xiaokui Xiao and Ting Yu
</v>
      </c>
      <c r="E311" s="209" t="str">
        <f>IFERROR(__xludf.DUMMYFUNCTION("TEXTJOIN(CHAR(10), TRUE,FILTER('Research Papers'!$C:$C,'Research Papers'!$A:$A=C311))"),"Jianxin Wei, Ergute Bao, Xiaokui Xiao and Ting Yu")</f>
        <v>Jianxin Wei, Ergute Bao, Xiaokui Xiao and Ting Yu</v>
      </c>
      <c r="F311" s="209" t="str">
        <f>IFERROR(__xludf.DUMMYFUNCTION("TEXTJOIN(CHAR(10), TRUE,FILTER ('Sheridan Main'!E:E,'Sheridan Main'!B:B=C311))"),"jianxinwei@u.nus.edu")</f>
        <v>jianxinwei@u.nus.edu</v>
      </c>
      <c r="G311" s="210" t="str">
        <f>IFERROR(__xludf.DUMMYFUNCTION("CONCATENATE(""https://dl.acm.org/doi/"",INDEX(FILTER('Sheridan Main'!A:A,'Sheridan Main'!B:B=C311),1))"),"https://dl.acm.org/doi/10.1145/3774904.3792223")</f>
        <v>https://dl.acm.org/doi/10.1145/3774904.3792223</v>
      </c>
      <c r="H311" s="189" t="s">
        <v>204</v>
      </c>
      <c r="I311" s="209"/>
      <c r="J311" s="209"/>
      <c r="K311" s="147"/>
      <c r="L311" s="147"/>
      <c r="M311" s="209"/>
      <c r="N311" s="209"/>
      <c r="O311" s="209"/>
      <c r="P311" s="209"/>
      <c r="Q311" s="209"/>
      <c r="R311" s="209"/>
      <c r="S311" s="209"/>
      <c r="T311" s="209"/>
      <c r="U311" s="209"/>
      <c r="V311" s="209"/>
      <c r="W311" s="209"/>
      <c r="X311" s="209"/>
      <c r="Y311" s="209"/>
      <c r="Z311" s="209"/>
      <c r="AA311" s="209"/>
      <c r="AB311" s="209"/>
      <c r="AC311" s="209"/>
      <c r="AD311" s="209"/>
      <c r="AE311" s="209"/>
    </row>
    <row r="312">
      <c r="A312" s="208" t="s">
        <v>2895</v>
      </c>
      <c r="B312" s="189" t="str">
        <f>IFERROR(__xludf.DUMMYFUNCTION("FILTER ('Research Papers'!D:D,'Research Papers'!A:A=C312)"),"Mitigating Cumulative Privacy Risk in Continual Information Sharing: A Dynamic Stackelberg Game Approach")</f>
        <v>Mitigating Cumulative Privacy Risk in Continual Information Sharing: A Dynamic Stackelberg Game Approach</v>
      </c>
      <c r="C312" s="189" t="s">
        <v>1096</v>
      </c>
      <c r="D312" s="209" t="str">
        <f t="shared" si="1"/>
        <v>Mitigating Cumulative Privacy Risk in Continual Information Sharing: A Dynamic Stackelberg Game Approach
Yuzi Yi, Weixuan Wang, Yehong Luo, Jinqiao Shi and Jiwei
Huang
</v>
      </c>
      <c r="E312" s="209" t="str">
        <f>IFERROR(__xludf.DUMMYFUNCTION("TEXTJOIN(CHAR(10), TRUE,FILTER('Research Papers'!$C:$C,'Research Papers'!$A:$A=C312))"),"Yuzi Yi, Weixuan Wang, Yehong Luo, Jinqiao Shi and Jiwei
Huang")</f>
        <v>Yuzi Yi, Weixuan Wang, Yehong Luo, Jinqiao Shi and Jiwei
Huang</v>
      </c>
      <c r="F312" s="209" t="str">
        <f>IFERROR(__xludf.DUMMYFUNCTION("TEXTJOIN(CHAR(10), TRUE,FILTER ('Sheridan Main'!E:E,'Sheridan Main'!B:B=C312))"),"huangjw@cup.edu.cn")</f>
        <v>huangjw@cup.edu.cn</v>
      </c>
      <c r="G312" s="210" t="str">
        <f>IFERROR(__xludf.DUMMYFUNCTION("CONCATENATE(""https://dl.acm.org/doi/"",INDEX(FILTER('Sheridan Main'!A:A,'Sheridan Main'!B:B=C312),1))"),"https://dl.acm.org/doi/10.1145/3774904.3792390")</f>
        <v>https://dl.acm.org/doi/10.1145/3774904.3792390</v>
      </c>
      <c r="H312" s="189" t="s">
        <v>204</v>
      </c>
      <c r="I312" s="209"/>
      <c r="J312" s="209"/>
      <c r="K312" s="147"/>
      <c r="L312" s="147"/>
      <c r="M312" s="209"/>
      <c r="N312" s="209"/>
      <c r="O312" s="209"/>
      <c r="P312" s="209"/>
      <c r="Q312" s="209"/>
      <c r="R312" s="209"/>
      <c r="S312" s="209"/>
      <c r="T312" s="209"/>
      <c r="U312" s="209"/>
      <c r="V312" s="209"/>
      <c r="W312" s="209"/>
      <c r="X312" s="209"/>
      <c r="Y312" s="209"/>
      <c r="Z312" s="209"/>
      <c r="AA312" s="209"/>
      <c r="AB312" s="209"/>
      <c r="AC312" s="209"/>
      <c r="AD312" s="209"/>
      <c r="AE312" s="209"/>
    </row>
    <row r="313">
      <c r="A313" s="208" t="s">
        <v>2895</v>
      </c>
      <c r="B313" s="189" t="str">
        <f>IFERROR(__xludf.DUMMYFUNCTION("FILTER ('Research Papers'!D:D,'Research Papers'!A:A=C313)"),"Distribution-Aligned Synthetic Text Generation via Tail-Aware Enhancement")</f>
        <v>Distribution-Aligned Synthetic Text Generation via Tail-Aware Enhancement</v>
      </c>
      <c r="C313" s="189" t="s">
        <v>1356</v>
      </c>
      <c r="D313" s="209" t="str">
        <f t="shared" si="1"/>
        <v>Distribution-Aligned Synthetic Text Generation via Tail-Aware Enhancement
Yuan Fan, Xiaoyuan Liu, Bo Liu, Wubing Wang, Jia Sun,
Wenzhi Chen, Huaikang Fang, Lifeng Tao and Fan Mo
</v>
      </c>
      <c r="E313" s="209" t="str">
        <f>IFERROR(__xludf.DUMMYFUNCTION("TEXTJOIN(CHAR(10), TRUE,FILTER('Research Papers'!$C:$C,'Research Papers'!$A:$A=C313))"),"Yuan Fan, Xiaoyuan Liu, Bo Liu, Wubing Wang, Jia Sun,
Wenzhi Chen, Huaikang Fang, Lifeng Tao and Fan Mo")</f>
        <v>Yuan Fan, Xiaoyuan Liu, Bo Liu, Wubing Wang, Jia Sun,
Wenzhi Chen, Huaikang Fang, Lifeng Tao and Fan Mo</v>
      </c>
      <c r="F313" s="209" t="str">
        <f>IFERROR(__xludf.DUMMYFUNCTION("TEXTJOIN(CHAR(10), TRUE,FILTER ('Sheridan Main'!E:E,'Sheridan Main'!B:B=C313))"),"bo.liu@dbappsecurity.com.cn")</f>
        <v>bo.liu@dbappsecurity.com.cn</v>
      </c>
      <c r="G313" s="210" t="str">
        <f>IFERROR(__xludf.DUMMYFUNCTION("CONCATENATE(""https://dl.acm.org/doi/"",INDEX(FILTER('Sheridan Main'!A:A,'Sheridan Main'!B:B=C313),1))"),"https://dl.acm.org/doi/10.1145/3774904.3792520")</f>
        <v>https://dl.acm.org/doi/10.1145/3774904.3792520</v>
      </c>
      <c r="H313" s="189" t="s">
        <v>204</v>
      </c>
      <c r="I313" s="209"/>
      <c r="J313" s="209"/>
      <c r="K313" s="147"/>
      <c r="L313" s="147"/>
      <c r="M313" s="209"/>
      <c r="N313" s="209"/>
      <c r="O313" s="209"/>
      <c r="P313" s="209"/>
      <c r="Q313" s="209"/>
      <c r="R313" s="209"/>
      <c r="S313" s="209"/>
      <c r="T313" s="209"/>
      <c r="U313" s="209"/>
      <c r="V313" s="209"/>
      <c r="W313" s="209"/>
      <c r="X313" s="209"/>
      <c r="Y313" s="209"/>
      <c r="Z313" s="209"/>
      <c r="AA313" s="209"/>
      <c r="AB313" s="209"/>
      <c r="AC313" s="209"/>
      <c r="AD313" s="209"/>
      <c r="AE313" s="209"/>
    </row>
    <row r="314">
      <c r="A314" s="208" t="s">
        <v>2895</v>
      </c>
      <c r="B314" s="189" t="str">
        <f>IFERROR(__xludf.DUMMYFUNCTION("FILTER ('Research Papers'!D:D,'Research Papers'!A:A=C314)"),"Inferring Users’ Demographics and Sensitive Interests Using the Topics API")</f>
        <v>Inferring Users’ Demographics and Sensitive Interests Using the Topics API</v>
      </c>
      <c r="C314" s="189" t="s">
        <v>1636</v>
      </c>
      <c r="D314" s="209" t="str">
        <f t="shared" si="1"/>
        <v>Inferring Users’ Demographics and Sensitive Interests Using the Topics API
Athicha Srivirote, Muhammad Abu Bakar Aziz, Jeffrey
Gleason, Desheng Hu and Christo Wilson
</v>
      </c>
      <c r="E314" s="209" t="str">
        <f>IFERROR(__xludf.DUMMYFUNCTION("TEXTJOIN(CHAR(10), TRUE,FILTER('Research Papers'!$C:$C,'Research Papers'!$A:$A=C314))"),"Athicha Srivirote, Muhammad Abu Bakar Aziz, Jeffrey
Gleason, Desheng Hu and Christo Wilson")</f>
        <v>Athicha Srivirote, Muhammad Abu Bakar Aziz, Jeffrey
Gleason, Desheng Hu and Christo Wilson</v>
      </c>
      <c r="F314" s="209" t="str">
        <f>IFERROR(__xludf.DUMMYFUNCTION("TEXTJOIN(CHAR(10), TRUE,FILTER ('Sheridan Main'!E:E,'Sheridan Main'!B:B=C314))"),"srivirote.a@northeastern.edu")</f>
        <v>srivirote.a@northeastern.edu</v>
      </c>
      <c r="G314" s="210" t="str">
        <f>IFERROR(__xludf.DUMMYFUNCTION("CONCATENATE(""https://dl.acm.org/doi/"",INDEX(FILTER('Sheridan Main'!A:A,'Sheridan Main'!B:B=C314),1))"),"https://dl.acm.org/doi/10.1145/3774904.3792660")</f>
        <v>https://dl.acm.org/doi/10.1145/3774904.3792660</v>
      </c>
      <c r="H314" s="189" t="s">
        <v>204</v>
      </c>
      <c r="I314" s="209"/>
      <c r="J314" s="209"/>
      <c r="K314" s="147"/>
      <c r="L314" s="147"/>
      <c r="M314" s="209"/>
      <c r="N314" s="209"/>
      <c r="O314" s="209"/>
      <c r="P314" s="209"/>
      <c r="Q314" s="209"/>
      <c r="R314" s="209"/>
      <c r="S314" s="209"/>
      <c r="T314" s="209"/>
      <c r="U314" s="209"/>
      <c r="V314" s="209"/>
      <c r="W314" s="209"/>
      <c r="X314" s="209"/>
      <c r="Y314" s="209"/>
      <c r="Z314" s="209"/>
      <c r="AA314" s="209"/>
      <c r="AB314" s="209"/>
      <c r="AC314" s="209"/>
      <c r="AD314" s="209"/>
      <c r="AE314" s="209"/>
    </row>
    <row r="315">
      <c r="A315" s="208" t="s">
        <v>2895</v>
      </c>
      <c r="B315" s="189" t="str">
        <f>IFERROR(__xludf.DUMMYFUNCTION("FILTER ('Research Papers'!D:D,'Research Papers'!A:A=C315)"),"AdVersa: Adversarially-Robust and Practical Ad and Tracker Blocking in the Wild")</f>
        <v>AdVersa: Adversarially-Robust and Practical Ad and Tracker Blocking in the Wild</v>
      </c>
      <c r="C315" s="189" t="s">
        <v>1786</v>
      </c>
      <c r="D315" s="209" t="str">
        <f t="shared" si="1"/>
        <v>AdVersa: Adversarially-Robust and Practical Ad and Tracker Blocking in the Wild
Chaejin Lim, Kiho Lee, Beomjin Jin, Heewon Baek and
Hyoungshick Kim
</v>
      </c>
      <c r="E315" s="209" t="str">
        <f>IFERROR(__xludf.DUMMYFUNCTION("TEXTJOIN(CHAR(10), TRUE,FILTER('Research Papers'!$C:$C,'Research Papers'!$A:$A=C315))"),"Chaejin Lim, Kiho Lee, Beomjin Jin, Heewon Baek and
Hyoungshick Kim")</f>
        <v>Chaejin Lim, Kiho Lee, Beomjin Jin, Heewon Baek and
Hyoungshick Kim</v>
      </c>
      <c r="F315" s="209" t="str">
        <f>IFERROR(__xludf.DUMMYFUNCTION("TEXTJOIN(CHAR(10), TRUE,FILTER ('Sheridan Main'!E:E,'Sheridan Main'!B:B=C315))"),"hyoung@skku.edu")</f>
        <v>hyoung@skku.edu</v>
      </c>
      <c r="G315" s="210" t="str">
        <f>IFERROR(__xludf.DUMMYFUNCTION("CONCATENATE(""https://dl.acm.org/doi/"",INDEX(FILTER('Sheridan Main'!A:A,'Sheridan Main'!B:B=C315),1))"),"https://dl.acm.org/doi/10.1145/3774904.3792735")</f>
        <v>https://dl.acm.org/doi/10.1145/3774904.3792735</v>
      </c>
      <c r="H315" s="189" t="s">
        <v>204</v>
      </c>
      <c r="I315" s="209"/>
      <c r="J315" s="209"/>
      <c r="K315" s="147"/>
      <c r="L315" s="147"/>
      <c r="M315" s="209"/>
      <c r="N315" s="209"/>
      <c r="O315" s="209"/>
      <c r="P315" s="209"/>
      <c r="Q315" s="209"/>
      <c r="R315" s="209"/>
      <c r="S315" s="209"/>
      <c r="T315" s="209"/>
      <c r="U315" s="209"/>
      <c r="V315" s="209"/>
      <c r="W315" s="209"/>
      <c r="X315" s="209"/>
      <c r="Y315" s="209"/>
      <c r="Z315" s="209"/>
      <c r="AA315" s="209"/>
      <c r="AB315" s="209"/>
      <c r="AC315" s="209"/>
      <c r="AD315" s="209"/>
      <c r="AE315" s="209"/>
    </row>
    <row r="316">
      <c r="A316" s="208" t="s">
        <v>2895</v>
      </c>
      <c r="B316" s="189" t="str">
        <f>IFERROR(__xludf.DUMMYFUNCTION("FILTER ('Research Papers'!D:D,'Research Papers'!A:A=C316)"),"Reading Between the Lines: Towards Reliable Black-box LLM Fingerprinting via Zeroth-order Gradient Estimation")</f>
        <v>Reading Between the Lines: Towards Reliable Black-box LLM Fingerprinting via Zeroth-order Gradient Estimation</v>
      </c>
      <c r="C316" s="189" t="s">
        <v>708</v>
      </c>
      <c r="D316" s="209" t="str">
        <f t="shared" si="1"/>
        <v>Reading Between the Lines: Towards Reliable Black-box LLM Fingerprinting via Zeroth-order Gradient Estimation
Shuo Shao, Yiming Li, Hongwei Yao, Yifei Chen, Yuchen Yang
and Zhan Qin
</v>
      </c>
      <c r="E316" s="209" t="str">
        <f>IFERROR(__xludf.DUMMYFUNCTION("TEXTJOIN(CHAR(10), TRUE,FILTER('Research Papers'!$C:$C,'Research Papers'!$A:$A=C316))"),"Shuo Shao, Yiming Li, Hongwei Yao, Yifei Chen, Yuchen Yang
and Zhan Qin")</f>
        <v>Shuo Shao, Yiming Li, Hongwei Yao, Yifei Chen, Yuchen Yang
and Zhan Qin</v>
      </c>
      <c r="F316" s="209" t="str">
        <f>IFERROR(__xludf.DUMMYFUNCTION("TEXTJOIN(CHAR(10), TRUE,FILTER ('Sheridan Main'!E:E,'Sheridan Main'!B:B=C316))"),"liyiming.tech@gmail.com")</f>
        <v>liyiming.tech@gmail.com</v>
      </c>
      <c r="G316" s="210" t="str">
        <f>IFERROR(__xludf.DUMMYFUNCTION("CONCATENATE(""https://dl.acm.org/doi/"",INDEX(FILTER('Sheridan Main'!A:A,'Sheridan Main'!B:B=C316),1))"),"https://dl.acm.org/doi/10.1145/3774904.3792196")</f>
        <v>https://dl.acm.org/doi/10.1145/3774904.3792196</v>
      </c>
      <c r="H316" s="189" t="s">
        <v>81</v>
      </c>
      <c r="I316" s="209"/>
      <c r="J316" s="209"/>
      <c r="K316" s="147"/>
      <c r="L316" s="147"/>
      <c r="M316" s="209"/>
      <c r="N316" s="209"/>
      <c r="O316" s="209"/>
      <c r="P316" s="209"/>
      <c r="Q316" s="209"/>
      <c r="R316" s="209"/>
      <c r="S316" s="209"/>
      <c r="T316" s="209"/>
      <c r="U316" s="209"/>
      <c r="V316" s="209"/>
      <c r="W316" s="209"/>
      <c r="X316" s="209"/>
      <c r="Y316" s="209"/>
      <c r="Z316" s="209"/>
      <c r="AA316" s="209"/>
      <c r="AB316" s="209"/>
      <c r="AC316" s="209"/>
      <c r="AD316" s="209"/>
      <c r="AE316" s="209"/>
    </row>
    <row r="317">
      <c r="A317" s="208" t="s">
        <v>2895</v>
      </c>
      <c r="B317" s="189" t="str">
        <f>IFERROR(__xludf.DUMMYFUNCTION("FILTER ('Research Papers'!D:D,'Research Papers'!A:A=C317)"),"Forge: A Robust Multi-tab Website Fingerprinting Attack via Blind Source Separation")</f>
        <v>Forge: A Robust Multi-tab Website Fingerprinting Attack via Blind Source Separation</v>
      </c>
      <c r="C317" s="189" t="s">
        <v>1136</v>
      </c>
      <c r="D317" s="209" t="str">
        <f t="shared" si="1"/>
        <v>Forge: A Robust Multi-tab Website Fingerprinting Attack via Blind Source Separation
Yitan Huang, Wei Qiao, Ding Wang, Meng Shen, Di Zhao, Linxu
Li, Susu Cui, Bo Jiang, Zhigang Lu and Baoxu Liu
</v>
      </c>
      <c r="E317" s="209" t="str">
        <f>IFERROR(__xludf.DUMMYFUNCTION("TEXTJOIN(CHAR(10), TRUE,FILTER('Research Papers'!$C:$C,'Research Papers'!$A:$A=C317))"),"Yitan Huang, Wei Qiao, Ding Wang, Meng Shen, Di Zhao, Linxu
Li, Susu Cui, Bo Jiang, Zhigang Lu and Baoxu Liu")</f>
        <v>Yitan Huang, Wei Qiao, Ding Wang, Meng Shen, Di Zhao, Linxu
Li, Susu Cui, Bo Jiang, Zhigang Lu and Baoxu Liu</v>
      </c>
      <c r="F317" s="209" t="str">
        <f>IFERROR(__xludf.DUMMYFUNCTION("TEXTJOIN(CHAR(10), TRUE,FILTER ('Sheridan Main'!E:E,'Sheridan Main'!B:B=C317))"),"huangyitan@iie.ac.cn")</f>
        <v>huangyitan@iie.ac.cn</v>
      </c>
      <c r="G317" s="210" t="str">
        <f>IFERROR(__xludf.DUMMYFUNCTION("CONCATENATE(""https://dl.acm.org/doi/"",INDEX(FILTER('Sheridan Main'!A:A,'Sheridan Main'!B:B=C317),1))"),"https://dl.acm.org/doi/10.1145/3774904.3792410")</f>
        <v>https://dl.acm.org/doi/10.1145/3774904.3792410</v>
      </c>
      <c r="H317" s="189" t="s">
        <v>81</v>
      </c>
      <c r="I317" s="209"/>
      <c r="J317" s="209"/>
      <c r="K317" s="147"/>
      <c r="L317" s="147"/>
      <c r="M317" s="209"/>
      <c r="N317" s="209"/>
      <c r="O317" s="209"/>
      <c r="P317" s="209"/>
      <c r="Q317" s="209"/>
      <c r="R317" s="209"/>
      <c r="S317" s="209"/>
      <c r="T317" s="209"/>
      <c r="U317" s="209"/>
      <c r="V317" s="209"/>
      <c r="W317" s="209"/>
      <c r="X317" s="209"/>
      <c r="Y317" s="209"/>
      <c r="Z317" s="209"/>
      <c r="AA317" s="209"/>
      <c r="AB317" s="209"/>
      <c r="AC317" s="209"/>
      <c r="AD317" s="209"/>
      <c r="AE317" s="209"/>
    </row>
    <row r="318">
      <c r="A318" s="208" t="s">
        <v>2895</v>
      </c>
      <c r="B318" s="189" t="str">
        <f>IFERROR(__xludf.DUMMYFUNCTION("FILTER ('Research Papers'!D:D,'Research Papers'!A:A=C318)"),"HiFi-WF: Toward Realistic Website Fingerprinting with Multi-tab and Subpage Recognition")</f>
        <v>HiFi-WF: Toward Realistic Website Fingerprinting with Multi-tab and Subpage Recognition</v>
      </c>
      <c r="C318" s="189" t="s">
        <v>1140</v>
      </c>
      <c r="D318" s="209" t="str">
        <f t="shared" si="1"/>
        <v>HiFi-WF: Toward Realistic Website Fingerprinting with Multi-tab and Subpage Recognition
Songyang Wu, Chuan Ma, Ming Ding, Long Yuan, Biwen Chen,
Yuwen Qian and Tao Xiang
</v>
      </c>
      <c r="E318" s="209" t="str">
        <f>IFERROR(__xludf.DUMMYFUNCTION("TEXTJOIN(CHAR(10), TRUE,FILTER('Research Papers'!$C:$C,'Research Papers'!$A:$A=C318))"),"Songyang Wu, Chuan Ma, Ming Ding, Long Yuan, Biwen Chen,
Yuwen Qian and Tao Xiang")</f>
        <v>Songyang Wu, Chuan Ma, Ming Ding, Long Yuan, Biwen Chen,
Yuwen Qian and Tao Xiang</v>
      </c>
      <c r="F318" s="209" t="str">
        <f>IFERROR(__xludf.DUMMYFUNCTION("TEXTJOIN(CHAR(10), TRUE,FILTER ('Sheridan Main'!E:E,'Sheridan Main'!B:B=C318))"),"chuan.ma@cqu.edu.cn")</f>
        <v>chuan.ma@cqu.edu.cn</v>
      </c>
      <c r="G318" s="210" t="str">
        <f>IFERROR(__xludf.DUMMYFUNCTION("CONCATENATE(""https://dl.acm.org/doi/"",INDEX(FILTER('Sheridan Main'!A:A,'Sheridan Main'!B:B=C318),1))"),"https://dl.acm.org/doi/10.1145/3774904.3792412")</f>
        <v>https://dl.acm.org/doi/10.1145/3774904.3792412</v>
      </c>
      <c r="H318" s="189" t="s">
        <v>81</v>
      </c>
      <c r="I318" s="209"/>
      <c r="J318" s="209"/>
      <c r="K318" s="147"/>
      <c r="L318" s="147"/>
      <c r="M318" s="209"/>
      <c r="N318" s="209"/>
      <c r="O318" s="209"/>
      <c r="P318" s="209"/>
      <c r="Q318" s="209"/>
      <c r="R318" s="209"/>
      <c r="S318" s="209"/>
      <c r="T318" s="209"/>
      <c r="U318" s="209"/>
      <c r="V318" s="209"/>
      <c r="W318" s="209"/>
      <c r="X318" s="209"/>
      <c r="Y318" s="209"/>
      <c r="Z318" s="209"/>
      <c r="AA318" s="209"/>
      <c r="AB318" s="209"/>
      <c r="AC318" s="209"/>
      <c r="AD318" s="209"/>
      <c r="AE318" s="209"/>
    </row>
    <row r="319">
      <c r="A319" s="208" t="s">
        <v>2895</v>
      </c>
      <c r="B319" s="189" t="str">
        <f>IFERROR(__xludf.DUMMYFUNCTION("FILTER ('Research Papers'!D:D,'Research Papers'!A:A=C319)"),"RoFiRe: Robust Website Fingerprinting on Real-World Tor Traffic via Improved Augmentation and Normalization")</f>
        <v>RoFiRe: Robust Website Fingerprinting on Real-World Tor Traffic via Improved Augmentation and Normalization</v>
      </c>
      <c r="C319" s="189" t="s">
        <v>1500</v>
      </c>
      <c r="D319" s="209" t="str">
        <f t="shared" si="1"/>
        <v>RoFiRe: Robust Website Fingerprinting on Real-World Tor Traffic via Improved Augmentation and Normalization
Haeseung Jeon, Sujin Kim, Nate Mathews, Hosung Kang and Se
Eun Oh
</v>
      </c>
      <c r="E319" s="209" t="str">
        <f>IFERROR(__xludf.DUMMYFUNCTION("TEXTJOIN(CHAR(10), TRUE,FILTER('Research Papers'!$C:$C,'Research Papers'!$A:$A=C319))"),"Haeseung Jeon, Sujin Kim, Nate Mathews, Hosung Kang and Se
Eun Oh")</f>
        <v>Haeseung Jeon, Sujin Kim, Nate Mathews, Hosung Kang and Se
Eun Oh</v>
      </c>
      <c r="F319" s="209" t="str">
        <f>IFERROR(__xludf.DUMMYFUNCTION("TEXTJOIN(CHAR(10), TRUE,FILTER ('Sheridan Main'!E:E,'Sheridan Main'!B:B=C319))"),"seoh@ewha.ac.kr")</f>
        <v>seoh@ewha.ac.kr</v>
      </c>
      <c r="G319" s="210" t="str">
        <f>IFERROR(__xludf.DUMMYFUNCTION("CONCATENATE(""https://dl.acm.org/doi/"",INDEX(FILTER('Sheridan Main'!A:A,'Sheridan Main'!B:B=C319),1))"),"https://dl.acm.org/doi/10.1145/3774904.3792592")</f>
        <v>https://dl.acm.org/doi/10.1145/3774904.3792592</v>
      </c>
      <c r="H319" s="189" t="s">
        <v>81</v>
      </c>
      <c r="I319" s="209"/>
      <c r="J319" s="209"/>
      <c r="K319" s="147"/>
      <c r="L319" s="147"/>
      <c r="M319" s="209"/>
      <c r="N319" s="209"/>
      <c r="O319" s="209"/>
      <c r="P319" s="209"/>
      <c r="Q319" s="209"/>
      <c r="R319" s="209"/>
      <c r="S319" s="209"/>
      <c r="T319" s="209"/>
      <c r="U319" s="209"/>
      <c r="V319" s="209"/>
      <c r="W319" s="209"/>
      <c r="X319" s="209"/>
      <c r="Y319" s="209"/>
      <c r="Z319" s="209"/>
      <c r="AA319" s="209"/>
      <c r="AB319" s="209"/>
      <c r="AC319" s="209"/>
      <c r="AD319" s="209"/>
      <c r="AE319" s="209"/>
    </row>
    <row r="320">
      <c r="A320" s="208" t="s">
        <v>2895</v>
      </c>
      <c r="B320" s="189" t="str">
        <f>IFERROR(__xludf.DUMMYFUNCTION("FILTER ('Research Papers'!D:D,'Research Papers'!A:A=C320)"),"Understanding Server-side Commercial Fingerprinting")</f>
        <v>Understanding Server-side Commercial Fingerprinting</v>
      </c>
      <c r="C320" s="189" t="s">
        <v>1690</v>
      </c>
      <c r="D320" s="209" t="str">
        <f t="shared" si="1"/>
        <v>Understanding Server-side Commercial Fingerprinting
Elisa Luo, Tom Ritter, Stefan Savage and Geoffrey M Voelker
</v>
      </c>
      <c r="E320" s="209" t="str">
        <f>IFERROR(__xludf.DUMMYFUNCTION("TEXTJOIN(CHAR(10), TRUE,FILTER('Research Papers'!$C:$C,'Research Papers'!$A:$A=C320))"),"Elisa Luo, Tom Ritter, Stefan Savage and Geoffrey M Voelker")</f>
        <v>Elisa Luo, Tom Ritter, Stefan Savage and Geoffrey M Voelker</v>
      </c>
      <c r="F320" s="209" t="str">
        <f>IFERROR(__xludf.DUMMYFUNCTION("TEXTJOIN(CHAR(10), TRUE,FILTER ('Sheridan Main'!E:E,'Sheridan Main'!B:B=C320))"),"e4luo@ucsd.edu")</f>
        <v>e4luo@ucsd.edu</v>
      </c>
      <c r="G320" s="210" t="str">
        <f>IFERROR(__xludf.DUMMYFUNCTION("CONCATENATE(""https://dl.acm.org/doi/"",INDEX(FILTER('Sheridan Main'!A:A,'Sheridan Main'!B:B=C320),1))"),"https://dl.acm.org/doi/10.1145/3774904.3792687")</f>
        <v>https://dl.acm.org/doi/10.1145/3774904.3792687</v>
      </c>
      <c r="H320" s="189" t="s">
        <v>81</v>
      </c>
      <c r="I320" s="209"/>
      <c r="J320" s="209"/>
      <c r="K320" s="147"/>
      <c r="L320" s="147"/>
      <c r="M320" s="209"/>
      <c r="N320" s="209"/>
      <c r="O320" s="209"/>
      <c r="P320" s="209"/>
      <c r="Q320" s="209"/>
      <c r="R320" s="209"/>
      <c r="S320" s="209"/>
      <c r="T320" s="209"/>
      <c r="U320" s="209"/>
      <c r="V320" s="209"/>
      <c r="W320" s="209"/>
      <c r="X320" s="209"/>
      <c r="Y320" s="209"/>
      <c r="Z320" s="209"/>
      <c r="AA320" s="209"/>
      <c r="AB320" s="209"/>
      <c r="AC320" s="209"/>
      <c r="AD320" s="209"/>
      <c r="AE320" s="209"/>
    </row>
    <row r="321">
      <c r="A321" s="208" t="s">
        <v>2895</v>
      </c>
      <c r="B321" s="189" t="str">
        <f>IFERROR(__xludf.DUMMYFUNCTION("FILTER ('Research Papers'!D:D,'Research Papers'!A:A=C321)"),"Unveiling and Mitigating Untargeted Poisoning Attacks on Federated Knowledge Graph Embedding")</f>
        <v>Unveiling and Mitigating Untargeted Poisoning Attacks on Federated Knowledge Graph Embedding</v>
      </c>
      <c r="C321" s="189" t="s">
        <v>550</v>
      </c>
      <c r="D321" s="209" t="str">
        <f t="shared" si="1"/>
        <v>Unveiling and Mitigating Untargeted Poisoning Attacks on Federated Knowledge Graph Embedding
Wenzheng Jiang, Ke Liang, Wenke Huang, Xiongtao Zhang,
Zhenxing Xu, Guancheng Wan, Cheston Tan, Flint Xiaofeng Fan
and Ji Wang
</v>
      </c>
      <c r="E321" s="209" t="str">
        <f>IFERROR(__xludf.DUMMYFUNCTION("TEXTJOIN(CHAR(10), TRUE,FILTER('Research Papers'!$C:$C,'Research Papers'!$A:$A=C321))"),"Wenzheng Jiang, Ke Liang, Wenke Huang, Xiongtao Zhang,
Zhenxing Xu, Guancheng Wan, Cheston Tan, Flint Xiaofeng Fan
and Ji Wang")</f>
        <v>Wenzheng Jiang, Ke Liang, Wenke Huang, Xiongtao Zhang,
Zhenxing Xu, Guancheng Wan, Cheston Tan, Flint Xiaofeng Fan
and Ji Wang</v>
      </c>
      <c r="F321" s="209" t="str">
        <f>IFERROR(__xludf.DUMMYFUNCTION("TEXTJOIN(CHAR(10), TRUE,FILTER ('Sheridan Main'!E:E,'Sheridan Main'!B:B=C321))"),"jiangwenzheng@nudt.edu.cn")</f>
        <v>jiangwenzheng@nudt.edu.cn</v>
      </c>
      <c r="G321" s="210" t="str">
        <f>IFERROR(__xludf.DUMMYFUNCTION("CONCATENATE(""https://dl.acm.org/doi/"",INDEX(FILTER('Sheridan Main'!A:A,'Sheridan Main'!B:B=C321),1))"),"https://dl.acm.org/doi/10.1145/3774904.3792117")</f>
        <v>https://dl.acm.org/doi/10.1145/3774904.3792117</v>
      </c>
      <c r="H321" s="189" t="s">
        <v>104</v>
      </c>
      <c r="I321" s="209"/>
      <c r="J321" s="209"/>
      <c r="K321" s="147"/>
      <c r="L321" s="147"/>
      <c r="M321" s="209"/>
      <c r="N321" s="209"/>
      <c r="O321" s="209"/>
      <c r="P321" s="209"/>
      <c r="Q321" s="209"/>
      <c r="R321" s="209"/>
      <c r="S321" s="209"/>
      <c r="T321" s="209"/>
      <c r="U321" s="209"/>
      <c r="V321" s="209"/>
      <c r="W321" s="209"/>
      <c r="X321" s="209"/>
      <c r="Y321" s="209"/>
      <c r="Z321" s="209"/>
      <c r="AA321" s="209"/>
      <c r="AB321" s="209"/>
      <c r="AC321" s="209"/>
      <c r="AD321" s="209"/>
      <c r="AE321" s="209"/>
    </row>
    <row r="322">
      <c r="A322" s="208" t="s">
        <v>2895</v>
      </c>
      <c r="B322" s="189" t="str">
        <f>IFERROR(__xludf.DUMMYFUNCTION("FILTER ('Research Papers'!D:D,'Research Papers'!A:A=C322)"),"Reconstructing Training Data from Adapter-based Federated Large Language Models")</f>
        <v>Reconstructing Training Data from Adapter-based Federated Large Language Models</v>
      </c>
      <c r="C322" s="189" t="s">
        <v>680</v>
      </c>
      <c r="D322" s="209" t="str">
        <f t="shared" si="1"/>
        <v>Reconstructing Training Data from Adapter-based Federated Large Language Models
Silong Chen, Yuchuan Luo, Guilin Deng, Yi Liu, Ming Xu,
Shaojing Fu and Xiaohua Jia
</v>
      </c>
      <c r="E322" s="209" t="str">
        <f>IFERROR(__xludf.DUMMYFUNCTION("TEXTJOIN(CHAR(10), TRUE,FILTER('Research Papers'!$C:$C,'Research Papers'!$A:$A=C322))"),"Silong Chen, Yuchuan Luo, Guilin Deng, Yi Liu, Ming Xu,
Shaojing Fu and Xiaohua Jia")</f>
        <v>Silong Chen, Yuchuan Luo, Guilin Deng, Yi Liu, Ming Xu,
Shaojing Fu and Xiaohua Jia</v>
      </c>
      <c r="F322" s="209" t="str">
        <f>IFERROR(__xludf.DUMMYFUNCTION("TEXTJOIN(CHAR(10), TRUE,FILTER ('Sheridan Main'!E:E,'Sheridan Main'!B:B=C322))"),"luoyuchuan09@nudt.edu.cn")</f>
        <v>luoyuchuan09@nudt.edu.cn</v>
      </c>
      <c r="G322" s="210" t="str">
        <f>IFERROR(__xludf.DUMMYFUNCTION("CONCATENATE(""https://dl.acm.org/doi/"",INDEX(FILTER('Sheridan Main'!A:A,'Sheridan Main'!B:B=C322),1))"),"https://dl.acm.org/doi/10.1145/3774904.3792182")</f>
        <v>https://dl.acm.org/doi/10.1145/3774904.3792182</v>
      </c>
      <c r="H322" s="189" t="s">
        <v>104</v>
      </c>
      <c r="I322" s="209"/>
      <c r="J322" s="209"/>
      <c r="K322" s="147"/>
      <c r="L322" s="147"/>
      <c r="M322" s="209"/>
      <c r="N322" s="209"/>
      <c r="O322" s="209"/>
      <c r="P322" s="209"/>
      <c r="Q322" s="209"/>
      <c r="R322" s="209"/>
      <c r="S322" s="209"/>
      <c r="T322" s="209"/>
      <c r="U322" s="209"/>
      <c r="V322" s="209"/>
      <c r="W322" s="209"/>
      <c r="X322" s="209"/>
      <c r="Y322" s="209"/>
      <c r="Z322" s="209"/>
      <c r="AA322" s="209"/>
      <c r="AB322" s="209"/>
      <c r="AC322" s="209"/>
      <c r="AD322" s="209"/>
      <c r="AE322" s="209"/>
    </row>
    <row r="323">
      <c r="A323" s="208" t="s">
        <v>2895</v>
      </c>
      <c r="B323" s="189" t="str">
        <f>IFERROR(__xludf.DUMMYFUNCTION("FILTER ('Research Papers'!D:D,'Research Papers'!A:A=C323)"),"Xemis: Fair and Robust Privacy-Preserving Data Trading based on Distributed Noise Sharing")</f>
        <v>Xemis: Fair and Robust Privacy-Preserving Data Trading based on Distributed Noise Sharing</v>
      </c>
      <c r="C323" s="189" t="s">
        <v>810</v>
      </c>
      <c r="D323" s="209" t="str">
        <f t="shared" si="1"/>
        <v>Xemis: Fair and Robust Privacy-Preserving Data Trading based on Distributed Noise Sharing
Xinxin Xing, Yizhong Liu, Ruonan Chen, Banghong Qin,
Wangjie Qiu, Jianwei Liu, Qianhong Wu, Willy Susilo and
Robert H. Deng
</v>
      </c>
      <c r="E323" s="209" t="str">
        <f>IFERROR(__xludf.DUMMYFUNCTION("TEXTJOIN(CHAR(10), TRUE,FILTER('Research Papers'!$C:$C,'Research Papers'!$A:$A=C323))"),"Xinxin Xing, Yizhong Liu, Ruonan Chen, Banghong Qin,
Wangjie Qiu, Jianwei Liu, Qianhong Wu, Willy Susilo and
Robert H. Deng")</f>
        <v>Xinxin Xing, Yizhong Liu, Ruonan Chen, Banghong Qin,
Wangjie Qiu, Jianwei Liu, Qianhong Wu, Willy Susilo and
Robert H. Deng</v>
      </c>
      <c r="F323" s="209" t="str">
        <f>IFERROR(__xludf.DUMMYFUNCTION("TEXTJOIN(CHAR(10), TRUE,FILTER ('Sheridan Main'!E:E,'Sheridan Main'!B:B=C323))"),"liuyizhong@buaa.edu.cn")</f>
        <v>liuyizhong@buaa.edu.cn</v>
      </c>
      <c r="G323" s="210" t="str">
        <f>IFERROR(__xludf.DUMMYFUNCTION("CONCATENATE(""https://dl.acm.org/doi/"",INDEX(FILTER('Sheridan Main'!A:A,'Sheridan Main'!B:B=C323),1))"),"https://dl.acm.org/doi/10.1145/3774904.3792247")</f>
        <v>https://dl.acm.org/doi/10.1145/3774904.3792247</v>
      </c>
      <c r="H323" s="189" t="s">
        <v>104</v>
      </c>
      <c r="I323" s="209"/>
      <c r="J323" s="209"/>
      <c r="K323" s="147"/>
      <c r="L323" s="147"/>
      <c r="M323" s="209"/>
      <c r="N323" s="209"/>
      <c r="O323" s="209"/>
      <c r="P323" s="209"/>
      <c r="Q323" s="209"/>
      <c r="R323" s="209"/>
      <c r="S323" s="209"/>
      <c r="T323" s="209"/>
      <c r="U323" s="209"/>
      <c r="V323" s="209"/>
      <c r="W323" s="209"/>
      <c r="X323" s="209"/>
      <c r="Y323" s="209"/>
      <c r="Z323" s="209"/>
      <c r="AA323" s="209"/>
      <c r="AB323" s="209"/>
      <c r="AC323" s="209"/>
      <c r="AD323" s="209"/>
      <c r="AE323" s="209"/>
    </row>
    <row r="324">
      <c r="A324" s="208" t="s">
        <v>2895</v>
      </c>
      <c r="B324" s="189" t="str">
        <f>IFERROR(__xludf.DUMMYFUNCTION("FILTER ('Research Papers'!D:D,'Research Papers'!A:A=C324)"),"Federated Latent Factor Learning for Privacy-Preserving Spatio-Temporal Signal Recovery")</f>
        <v>Federated Latent Factor Learning for Privacy-Preserving Spatio-Temporal Signal Recovery</v>
      </c>
      <c r="C324" s="189" t="s">
        <v>1022</v>
      </c>
      <c r="D324" s="209" t="str">
        <f t="shared" si="1"/>
        <v>Federated Latent Factor Learning for Privacy-Preserving Spatio-Temporal Signal Recovery
Chengjun Yu, Di Wu, Yi He, Jia Chen and Xin Luo
</v>
      </c>
      <c r="E324" s="209" t="str">
        <f>IFERROR(__xludf.DUMMYFUNCTION("TEXTJOIN(CHAR(10), TRUE,FILTER('Research Papers'!$C:$C,'Research Papers'!$A:$A=C324))"),"Chengjun Yu, Di Wu, Yi He, Jia Chen and Xin Luo")</f>
        <v>Chengjun Yu, Di Wu, Yi He, Jia Chen and Xin Luo</v>
      </c>
      <c r="F324" s="209" t="str">
        <f>IFERROR(__xludf.DUMMYFUNCTION("TEXTJOIN(CHAR(10), TRUE,FILTER ('Sheridan Main'!E:E,'Sheridan Main'!B:B=C324))"),"wudi1986@swu.edu.cn")</f>
        <v>wudi1986@swu.edu.cn</v>
      </c>
      <c r="G324" s="210" t="str">
        <f>IFERROR(__xludf.DUMMYFUNCTION("CONCATENATE(""https://dl.acm.org/doi/"",INDEX(FILTER('Sheridan Main'!A:A,'Sheridan Main'!B:B=C324),1))"),"https://dl.acm.org/doi/10.1145/3774904.3792353")</f>
        <v>https://dl.acm.org/doi/10.1145/3774904.3792353</v>
      </c>
      <c r="H324" s="189" t="s">
        <v>104</v>
      </c>
      <c r="I324" s="209"/>
      <c r="J324" s="209"/>
      <c r="K324" s="147"/>
      <c r="L324" s="147"/>
      <c r="M324" s="209"/>
      <c r="N324" s="209"/>
      <c r="O324" s="209"/>
      <c r="P324" s="209"/>
      <c r="Q324" s="209"/>
      <c r="R324" s="209"/>
      <c r="S324" s="209"/>
      <c r="T324" s="209"/>
      <c r="U324" s="209"/>
      <c r="V324" s="209"/>
      <c r="W324" s="209"/>
      <c r="X324" s="209"/>
      <c r="Y324" s="209"/>
      <c r="Z324" s="209"/>
      <c r="AA324" s="209"/>
      <c r="AB324" s="209"/>
      <c r="AC324" s="209"/>
      <c r="AD324" s="209"/>
      <c r="AE324" s="209"/>
    </row>
    <row r="325">
      <c r="A325" s="208" t="s">
        <v>2895</v>
      </c>
      <c r="B325" s="189" t="str">
        <f>IFERROR(__xludf.DUMMYFUNCTION("FILTER ('Research Papers'!D:D,'Research Papers'!A:A=C325)"),"Beyond Denial-of-Service: The Puppeteer's Attack for Fine-Grained Control in Ranking-Based Federated Learning")</f>
        <v>Beyond Denial-of-Service: The Puppeteer's Attack for Fine-Grained Control in Ranking-Based Federated Learning</v>
      </c>
      <c r="C325" s="189" t="s">
        <v>1524</v>
      </c>
      <c r="D325" s="209" t="str">
        <f t="shared" si="1"/>
        <v>Beyond Denial-of-Service: The Puppeteer's Attack for Fine-Grained Control in Ranking-Based Federated Learning
Zhihao Chen, Zirui Gong, Jianting Ning, Yanjun Zhang and
Leo Yu Zhang
</v>
      </c>
      <c r="E325" s="209" t="str">
        <f>IFERROR(__xludf.DUMMYFUNCTION("TEXTJOIN(CHAR(10), TRUE,FILTER('Research Papers'!$C:$C,'Research Papers'!$A:$A=C325))"),"Zhihao Chen, Zirui Gong, Jianting Ning, Yanjun Zhang and
Leo Yu Zhang")</f>
        <v>Zhihao Chen, Zirui Gong, Jianting Ning, Yanjun Zhang and
Leo Yu Zhang</v>
      </c>
      <c r="F325" s="209" t="str">
        <f>IFERROR(__xludf.DUMMYFUNCTION("TEXTJOIN(CHAR(10), TRUE,FILTER ('Sheridan Main'!E:E,'Sheridan Main'!B:B=C325))"),"jtning88@gmail.com")</f>
        <v>jtning88@gmail.com</v>
      </c>
      <c r="G325" s="210" t="str">
        <f>IFERROR(__xludf.DUMMYFUNCTION("CONCATENATE(""https://dl.acm.org/doi/"",INDEX(FILTER('Sheridan Main'!A:A,'Sheridan Main'!B:B=C325),1))"),"https://dl.acm.org/doi/10.1145/3774904.3792604")</f>
        <v>https://dl.acm.org/doi/10.1145/3774904.3792604</v>
      </c>
      <c r="H325" s="189" t="s">
        <v>104</v>
      </c>
      <c r="I325" s="209"/>
      <c r="J325" s="209"/>
      <c r="K325" s="147"/>
      <c r="L325" s="147"/>
      <c r="M325" s="209"/>
      <c r="N325" s="209"/>
      <c r="O325" s="209"/>
      <c r="P325" s="209"/>
      <c r="Q325" s="209"/>
      <c r="R325" s="209"/>
      <c r="S325" s="209"/>
      <c r="T325" s="209"/>
      <c r="U325" s="209"/>
      <c r="V325" s="209"/>
      <c r="W325" s="209"/>
      <c r="X325" s="209"/>
      <c r="Y325" s="209"/>
      <c r="Z325" s="209"/>
      <c r="AA325" s="209"/>
      <c r="AB325" s="209"/>
      <c r="AC325" s="209"/>
      <c r="AD325" s="209"/>
      <c r="AE325" s="209"/>
    </row>
    <row r="326">
      <c r="A326" s="208" t="s">
        <v>2895</v>
      </c>
      <c r="B326" s="189" t="str">
        <f>IFERROR(__xludf.DUMMYFUNCTION("FILTER ('Research Papers'!D:D,'Research Papers'!A:A=C326)"),"ProvGuard: Logic-Aware Multi-View Contrastive Learning for Robust and Efficient Host Threat Detection")</f>
        <v>ProvGuard: Logic-Aware Multi-View Contrastive Learning for Robust and Efficient Host Threat Detection</v>
      </c>
      <c r="C326" s="189" t="s">
        <v>854</v>
      </c>
      <c r="D326" s="209" t="str">
        <f t="shared" si="1"/>
        <v>ProvGuard: Logic-Aware Multi-View Contrastive Learning for Robust and Efficient Host Threat Detection
Anyuan Sang, Li Yang, Lu Zhou, Cheng Zhou, Junbo Jia and
Huipeng Yang
</v>
      </c>
      <c r="E326" s="209" t="str">
        <f>IFERROR(__xludf.DUMMYFUNCTION("TEXTJOIN(CHAR(10), TRUE,FILTER('Research Papers'!$C:$C,'Research Papers'!$A:$A=C326))"),"Anyuan Sang, Li Yang, Lu Zhou, Cheng Zhou, Junbo Jia and
Huipeng Yang")</f>
        <v>Anyuan Sang, Li Yang, Lu Zhou, Cheng Zhou, Junbo Jia and
Huipeng Yang</v>
      </c>
      <c r="F326" s="209" t="str">
        <f>IFERROR(__xludf.DUMMYFUNCTION("TEXTJOIN(CHAR(10), TRUE,FILTER ('Sheridan Main'!E:E,'Sheridan Main'!B:B=C326))"),"zhoulu@xidian.edu.cn")</f>
        <v>zhoulu@xidian.edu.cn</v>
      </c>
      <c r="G326" s="210" t="str">
        <f>IFERROR(__xludf.DUMMYFUNCTION("CONCATENATE(""https://dl.acm.org/doi/"",INDEX(FILTER('Sheridan Main'!A:A,'Sheridan Main'!B:B=C326),1))"),"https://dl.acm.org/doi/10.1145/3774904.3792269")</f>
        <v>https://dl.acm.org/doi/10.1145/3774904.3792269</v>
      </c>
      <c r="H326" s="189" t="s">
        <v>138</v>
      </c>
      <c r="I326" s="209"/>
      <c r="J326" s="209"/>
      <c r="K326" s="147"/>
      <c r="L326" s="147"/>
      <c r="M326" s="209"/>
      <c r="N326" s="209"/>
      <c r="O326" s="209"/>
      <c r="P326" s="209"/>
      <c r="Q326" s="209"/>
      <c r="R326" s="209"/>
      <c r="S326" s="209"/>
      <c r="T326" s="209"/>
      <c r="U326" s="209"/>
      <c r="V326" s="209"/>
      <c r="W326" s="209"/>
      <c r="X326" s="209"/>
      <c r="Y326" s="209"/>
      <c r="Z326" s="209"/>
      <c r="AA326" s="209"/>
      <c r="AB326" s="209"/>
      <c r="AC326" s="209"/>
      <c r="AD326" s="209"/>
      <c r="AE326" s="209"/>
    </row>
    <row r="327">
      <c r="A327" s="208" t="s">
        <v>2895</v>
      </c>
      <c r="B327" s="189" t="str">
        <f>IFERROR(__xludf.DUMMYFUNCTION("FILTER ('Research Papers'!D:D,'Research Papers'!A:A=C327)"),"Re-understanding Graph Unlearning through Memorization")</f>
        <v>Re-understanding Graph Unlearning through Memorization</v>
      </c>
      <c r="C327" s="189" t="s">
        <v>1082</v>
      </c>
      <c r="D327" s="209" t="str">
        <f t="shared" si="1"/>
        <v>Re-understanding Graph Unlearning through Memorization
Pengfei Ding, Yan Wang and Guanfeng Liu
</v>
      </c>
      <c r="E327" s="209" t="str">
        <f>IFERROR(__xludf.DUMMYFUNCTION("TEXTJOIN(CHAR(10), TRUE,FILTER('Research Papers'!$C:$C,'Research Papers'!$A:$A=C327))"),"Pengfei Ding, Yan Wang and Guanfeng Liu")</f>
        <v>Pengfei Ding, Yan Wang and Guanfeng Liu</v>
      </c>
      <c r="F327" s="209" t="str">
        <f>IFERROR(__xludf.DUMMYFUNCTION("TEXTJOIN(CHAR(10), TRUE,FILTER ('Sheridan Main'!E:E,'Sheridan Main'!B:B=C327))"),"yan.wang@mq.edu.au")</f>
        <v>yan.wang@mq.edu.au</v>
      </c>
      <c r="G327" s="210" t="str">
        <f>IFERROR(__xludf.DUMMYFUNCTION("CONCATENATE(""https://dl.acm.org/doi/"",INDEX(FILTER('Sheridan Main'!A:A,'Sheridan Main'!B:B=C327),1))"),"https://dl.acm.org/doi/10.1145/3774904.3792383")</f>
        <v>https://dl.acm.org/doi/10.1145/3774904.3792383</v>
      </c>
      <c r="H327" s="189" t="s">
        <v>138</v>
      </c>
      <c r="I327" s="209"/>
      <c r="J327" s="209"/>
      <c r="K327" s="147"/>
      <c r="L327" s="147"/>
      <c r="M327" s="209"/>
      <c r="N327" s="209"/>
      <c r="O327" s="209"/>
      <c r="P327" s="209"/>
      <c r="Q327" s="209"/>
      <c r="R327" s="209"/>
      <c r="S327" s="209"/>
      <c r="T327" s="209"/>
      <c r="U327" s="209"/>
      <c r="V327" s="209"/>
      <c r="W327" s="209"/>
      <c r="X327" s="209"/>
      <c r="Y327" s="209"/>
      <c r="Z327" s="209"/>
      <c r="AA327" s="209"/>
      <c r="AB327" s="209"/>
      <c r="AC327" s="209"/>
      <c r="AD327" s="209"/>
      <c r="AE327" s="209"/>
    </row>
    <row r="328">
      <c r="A328" s="208" t="s">
        <v>2895</v>
      </c>
      <c r="B328" s="189" t="str">
        <f>IFERROR(__xludf.DUMMYFUNCTION("FILTER ('Research Papers'!D:D,'Research Papers'!A:A=C328)"),"Towards Robust Detection of Chinese Toxic Variants via Dynamic Knowledge Graph–LLM Reasoning")</f>
        <v>Towards Robust Detection of Chinese Toxic Variants via Dynamic Knowledge Graph–LLM Reasoning</v>
      </c>
      <c r="C328" s="189" t="s">
        <v>1296</v>
      </c>
      <c r="D328" s="209" t="str">
        <f t="shared" si="1"/>
        <v>Towards Robust Detection of Chinese Toxic Variants via Dynamic Knowledge Graph–LLM Reasoning
Shaochen Yang, Kefei Zhou and Wei Xu
</v>
      </c>
      <c r="E328" s="209" t="str">
        <f>IFERROR(__xludf.DUMMYFUNCTION("TEXTJOIN(CHAR(10), TRUE,FILTER('Research Papers'!$C:$C,'Research Papers'!$A:$A=C328))"),"Shaochen Yang, Kefei Zhou and Wei Xu")</f>
        <v>Shaochen Yang, Kefei Zhou and Wei Xu</v>
      </c>
      <c r="F328" s="209" t="str">
        <f>IFERROR(__xludf.DUMMYFUNCTION("TEXTJOIN(CHAR(10), TRUE,FILTER ('Sheridan Main'!E:E,'Sheridan Main'!B:B=C328))"),"weixu@ruc.edu.cn")</f>
        <v>weixu@ruc.edu.cn</v>
      </c>
      <c r="G328" s="210" t="str">
        <f>IFERROR(__xludf.DUMMYFUNCTION("CONCATENATE(""https://dl.acm.org/doi/"",INDEX(FILTER('Sheridan Main'!A:A,'Sheridan Main'!B:B=C328),1))"),"https://dl.acm.org/doi/10.1145/3774904.3792490")</f>
        <v>https://dl.acm.org/doi/10.1145/3774904.3792490</v>
      </c>
      <c r="H328" s="189" t="s">
        <v>138</v>
      </c>
      <c r="I328" s="209"/>
      <c r="J328" s="209"/>
      <c r="K328" s="147"/>
      <c r="L328" s="147"/>
      <c r="M328" s="209"/>
      <c r="N328" s="209"/>
      <c r="O328" s="209"/>
      <c r="P328" s="209"/>
      <c r="Q328" s="209"/>
      <c r="R328" s="209"/>
      <c r="S328" s="209"/>
      <c r="T328" s="209"/>
      <c r="U328" s="209"/>
      <c r="V328" s="209"/>
      <c r="W328" s="209"/>
      <c r="X328" s="209"/>
      <c r="Y328" s="209"/>
      <c r="Z328" s="209"/>
      <c r="AA328" s="209"/>
      <c r="AB328" s="209"/>
      <c r="AC328" s="209"/>
      <c r="AD328" s="209"/>
      <c r="AE328" s="209"/>
    </row>
    <row r="329">
      <c r="A329" s="208" t="s">
        <v>2895</v>
      </c>
      <c r="B329" s="189" t="str">
        <f>IFERROR(__xludf.DUMMYFUNCTION("FILTER ('Research Papers'!D:D,'Research Papers'!A:A=C329)"),"When Reasoning Leaks Membership: Membership Inference Attack on Black-box Large Reasoning Models")</f>
        <v>When Reasoning Leaks Membership: Membership Inference Attack on Black-box Large Reasoning Models</v>
      </c>
      <c r="C329" s="189" t="s">
        <v>1492</v>
      </c>
      <c r="D329" s="209" t="str">
        <f t="shared" si="1"/>
        <v>When Reasoning Leaks Membership: Membership Inference Attack on Black-box Large Reasoning Models
Ruihan Hu, Yu-Ming Shang, Wei Luo, Ye Tao and Xi Zhang
</v>
      </c>
      <c r="E329" s="209" t="str">
        <f>IFERROR(__xludf.DUMMYFUNCTION("TEXTJOIN(CHAR(10), TRUE,FILTER('Research Papers'!$C:$C,'Research Papers'!$A:$A=C329))"),"Ruihan Hu, Yu-Ming Shang, Wei Luo, Ye Tao and Xi Zhang")</f>
        <v>Ruihan Hu, Yu-Ming Shang, Wei Luo, Ye Tao and Xi Zhang</v>
      </c>
      <c r="F329" s="209" t="str">
        <f>IFERROR(__xludf.DUMMYFUNCTION("TEXTJOIN(CHAR(10), TRUE,FILTER ('Sheridan Main'!E:E,'Sheridan Main'!B:B=C329))"),"zhangx@bupt.edu.cn")</f>
        <v>zhangx@bupt.edu.cn</v>
      </c>
      <c r="G329" s="210" t="str">
        <f>IFERROR(__xludf.DUMMYFUNCTION("CONCATENATE(""https://dl.acm.org/doi/"",INDEX(FILTER('Sheridan Main'!A:A,'Sheridan Main'!B:B=C329),1))"),"https://dl.acm.org/doi/10.1145/3774904.3792588")</f>
        <v>https://dl.acm.org/doi/10.1145/3774904.3792588</v>
      </c>
      <c r="H329" s="189" t="s">
        <v>138</v>
      </c>
      <c r="I329" s="209"/>
      <c r="J329" s="209"/>
      <c r="K329" s="147"/>
      <c r="L329" s="147"/>
      <c r="M329" s="209"/>
      <c r="N329" s="209"/>
      <c r="O329" s="209"/>
      <c r="P329" s="209"/>
      <c r="Q329" s="209"/>
      <c r="R329" s="209"/>
      <c r="S329" s="209"/>
      <c r="T329" s="209"/>
      <c r="U329" s="209"/>
      <c r="V329" s="209"/>
      <c r="W329" s="209"/>
      <c r="X329" s="209"/>
      <c r="Y329" s="209"/>
      <c r="Z329" s="209"/>
      <c r="AA329" s="209"/>
      <c r="AB329" s="209"/>
      <c r="AC329" s="209"/>
      <c r="AD329" s="209"/>
      <c r="AE329" s="209"/>
    </row>
    <row r="330">
      <c r="A330" s="208" t="s">
        <v>2895</v>
      </c>
      <c r="B330" s="189" t="str">
        <f>IFERROR(__xludf.DUMMYFUNCTION("FILTER ('Research Papers'!D:D,'Research Papers'!A:A=C330)"),"Unequal Vulnerability: The Differential Impact of Label Flipping Attacks Across Classes")</f>
        <v>Unequal Vulnerability: The Differential Impact of Label Flipping Attacks Across Classes</v>
      </c>
      <c r="C330" s="189" t="s">
        <v>1742</v>
      </c>
      <c r="D330" s="209" t="str">
        <f t="shared" si="1"/>
        <v>Unequal Vulnerability: The Differential Impact of Label Flipping Attacks Across Classes
Pinlong Zhao, Mengyang Li, Pengfei Jiao, Huijun Tang and Ou
Wu
</v>
      </c>
      <c r="E330" s="209" t="str">
        <f>IFERROR(__xludf.DUMMYFUNCTION("TEXTJOIN(CHAR(10), TRUE,FILTER('Research Papers'!$C:$C,'Research Papers'!$A:$A=C330))"),"Pinlong Zhao, Mengyang Li, Pengfei Jiao, Huijun Tang and Ou
Wu")</f>
        <v>Pinlong Zhao, Mengyang Li, Pengfei Jiao, Huijun Tang and Ou
Wu</v>
      </c>
      <c r="F330" s="209" t="str">
        <f>IFERROR(__xludf.DUMMYFUNCTION("TEXTJOIN(CHAR(10), TRUE,FILTER ('Sheridan Main'!E:E,'Sheridan Main'!B:B=C330))"),"wuou@ucas.ac.cn")</f>
        <v>wuou@ucas.ac.cn</v>
      </c>
      <c r="G330" s="210" t="str">
        <f>IFERROR(__xludf.DUMMYFUNCTION("CONCATENATE(""https://dl.acm.org/doi/"",INDEX(FILTER('Sheridan Main'!A:A,'Sheridan Main'!B:B=C330),1))"),"https://dl.acm.org/doi/10.1145/3774904.3792713")</f>
        <v>https://dl.acm.org/doi/10.1145/3774904.3792713</v>
      </c>
      <c r="H330" s="189" t="s">
        <v>138</v>
      </c>
      <c r="I330" s="209"/>
      <c r="J330" s="209"/>
      <c r="K330" s="147"/>
      <c r="L330" s="147"/>
      <c r="M330" s="209"/>
      <c r="N330" s="209"/>
      <c r="O330" s="209"/>
      <c r="P330" s="209"/>
      <c r="Q330" s="209"/>
      <c r="R330" s="209"/>
      <c r="S330" s="209"/>
      <c r="T330" s="209"/>
      <c r="U330" s="209"/>
      <c r="V330" s="209"/>
      <c r="W330" s="209"/>
      <c r="X330" s="209"/>
      <c r="Y330" s="209"/>
      <c r="Z330" s="209"/>
      <c r="AA330" s="209"/>
      <c r="AB330" s="209"/>
      <c r="AC330" s="209"/>
      <c r="AD330" s="209"/>
      <c r="AE330" s="209"/>
    </row>
    <row r="331">
      <c r="A331" s="208" t="s">
        <v>2895</v>
      </c>
      <c r="B331" s="189" t="str">
        <f>IFERROR(__xludf.DUMMYFUNCTION("FILTER ('Research Papers'!D:D,'Research Papers'!A:A=C331)"),"Has the Two-Decade-Old Prophecy Come True? Artificial Bad Intelligence Triggered by Merely a Single-Bit Flip in Large Language Models")</f>
        <v>Has the Two-Decade-Old Prophecy Come True? Artificial Bad Intelligence Triggered by Merely a Single-Bit Flip in Large Language Models</v>
      </c>
      <c r="C331" s="189" t="s">
        <v>684</v>
      </c>
      <c r="D331" s="209" t="str">
        <f t="shared" si="1"/>
        <v>Has the Two-Decade-Old Prophecy Come True? Artificial Bad Intelligence Triggered by Merely a Single-Bit Flip in Large Language Models
Yu Yan, Siqi Lu, Yang Gao, Zhaoxuan Li, Ziming Zhao,
Qingjun Yuan and Yongjuan Wang
</v>
      </c>
      <c r="E331" s="209" t="str">
        <f>IFERROR(__xludf.DUMMYFUNCTION("TEXTJOIN(CHAR(10), TRUE,FILTER('Research Papers'!$C:$C,'Research Papers'!$A:$A=C331))"),"Yu Yan, Siqi Lu, Yang Gao, Zhaoxuan Li, Ziming Zhao,
Qingjun Yuan and Yongjuan Wang")</f>
        <v>Yu Yan, Siqi Lu, Yang Gao, Zhaoxuan Li, Ziming Zhao,
Qingjun Yuan and Yongjuan Wang</v>
      </c>
      <c r="F331" s="209" t="str">
        <f>IFERROR(__xludf.DUMMYFUNCTION("TEXTJOIN(CHAR(10), TRUE,FILTER ('Sheridan Main'!E:E,'Sheridan Main'!B:B=C331))"),"080lusiqi@sina.com")</f>
        <v>080lusiqi@sina.com</v>
      </c>
      <c r="G331" s="210" t="str">
        <f>IFERROR(__xludf.DUMMYFUNCTION("CONCATENATE(""https://dl.acm.org/doi/"",INDEX(FILTER('Sheridan Main'!A:A,'Sheridan Main'!B:B=C331),1))"),"https://dl.acm.org/doi/10.1145/3774904.3792184")</f>
        <v>https://dl.acm.org/doi/10.1145/3774904.3792184</v>
      </c>
      <c r="H331" s="189" t="s">
        <v>160</v>
      </c>
      <c r="I331" s="209"/>
      <c r="J331" s="209"/>
      <c r="K331" s="147"/>
      <c r="L331" s="147"/>
      <c r="M331" s="209"/>
      <c r="N331" s="209"/>
      <c r="O331" s="209"/>
      <c r="P331" s="209"/>
      <c r="Q331" s="209"/>
      <c r="R331" s="209"/>
      <c r="S331" s="209"/>
      <c r="T331" s="209"/>
      <c r="U331" s="209"/>
      <c r="V331" s="209"/>
      <c r="W331" s="209"/>
      <c r="X331" s="209"/>
      <c r="Y331" s="209"/>
      <c r="Z331" s="209"/>
      <c r="AA331" s="209"/>
      <c r="AB331" s="209"/>
      <c r="AC331" s="209"/>
      <c r="AD331" s="209"/>
      <c r="AE331" s="209"/>
    </row>
    <row r="332">
      <c r="A332" s="208" t="s">
        <v>2895</v>
      </c>
      <c r="B332" s="189" t="str">
        <f>IFERROR(__xludf.DUMMYFUNCTION("FILTER ('Research Papers'!D:D,'Research Papers'!A:A=C332)"),"Combating Knowledge Corruption in Agent Systems: A Byzantine-Tolerant Secure Collaborative RAG Framework")</f>
        <v>Combating Knowledge Corruption in Agent Systems: A Byzantine-Tolerant Secure Collaborative RAG Framework</v>
      </c>
      <c r="C332" s="189" t="s">
        <v>716</v>
      </c>
      <c r="D332" s="209" t="str">
        <f t="shared" si="1"/>
        <v>Combating Knowledge Corruption in Agent Systems: A Byzantine-Tolerant Secure Collaborative RAG Framework
Zhaoqi Wang, Daqing He, Zijian Zhang, Ye Liu, Jiamou Liu,
Zhirui Zeng, Zhan Qin, Zhen Li, Xin Li, Hongwei Yao,
Jincheng An, Yong Liu, Yi Li, Qi Sun, Xiulei Liu and
Liehuang Zhu
</v>
      </c>
      <c r="E332" s="209" t="str">
        <f>IFERROR(__xludf.DUMMYFUNCTION("TEXTJOIN(CHAR(10), TRUE,FILTER('Research Papers'!$C:$C,'Research Papers'!$A:$A=C332))"),"Zhaoqi Wang, Daqing He, Zijian Zhang, Ye Liu, Jiamou Liu,
Zhirui Zeng, Zhan Qin, Zhen Li, Xin Li, Hongwei Yao,
Jincheng An, Yong Liu, Yi Li, Qi Sun, Xiulei Liu and
Liehuang Zhu")</f>
        <v>Zhaoqi Wang, Daqing He, Zijian Zhang, Ye Liu, Jiamou Liu,
Zhirui Zeng, Zhan Qin, Zhen Li, Xin Li, Hongwei Yao,
Jincheng An, Yong Liu, Yi Li, Qi Sun, Xiulei Liu and
Liehuang Zhu</v>
      </c>
      <c r="F332" s="209" t="str">
        <f>IFERROR(__xludf.DUMMYFUNCTION("TEXTJOIN(CHAR(10), TRUE,FILTER ('Sheridan Main'!E:E,'Sheridan Main'!B:B=C332))"),"zhangzijian@bit.edu.cn")</f>
        <v>zhangzijian@bit.edu.cn</v>
      </c>
      <c r="G332" s="210" t="str">
        <f>IFERROR(__xludf.DUMMYFUNCTION("CONCATENATE(""https://dl.acm.org/doi/"",INDEX(FILTER('Sheridan Main'!A:A,'Sheridan Main'!B:B=C332),1))"),"https://dl.acm.org/doi/10.1145/3774904.3792200")</f>
        <v>https://dl.acm.org/doi/10.1145/3774904.3792200</v>
      </c>
      <c r="H332" s="189" t="s">
        <v>160</v>
      </c>
      <c r="I332" s="209"/>
      <c r="J332" s="209"/>
      <c r="K332" s="147"/>
      <c r="L332" s="147"/>
      <c r="M332" s="209"/>
      <c r="N332" s="209"/>
      <c r="O332" s="209"/>
      <c r="P332" s="209"/>
      <c r="Q332" s="209"/>
      <c r="R332" s="209"/>
      <c r="S332" s="209"/>
      <c r="T332" s="209"/>
      <c r="U332" s="209"/>
      <c r="V332" s="209"/>
      <c r="W332" s="209"/>
      <c r="X332" s="209"/>
      <c r="Y332" s="209"/>
      <c r="Z332" s="209"/>
      <c r="AA332" s="209"/>
      <c r="AB332" s="209"/>
      <c r="AC332" s="209"/>
      <c r="AD332" s="209"/>
      <c r="AE332" s="209"/>
    </row>
    <row r="333">
      <c r="A333" s="208" t="s">
        <v>2895</v>
      </c>
      <c r="B333" s="189" t="str">
        <f>IFERROR(__xludf.DUMMYFUNCTION("FILTER ('Research Papers'!D:D,'Research Papers'!A:A=C333)"),"ICL-EVADER: Zero-Query Black-Box Evasion Attacks on In-Context Learning and Their Defenses")</f>
        <v>ICL-EVADER: Zero-Query Black-Box Evasion Attacks on In-Context Learning and Their Defenses</v>
      </c>
      <c r="C333" s="189" t="s">
        <v>1004</v>
      </c>
      <c r="D333" s="209" t="str">
        <f t="shared" si="1"/>
        <v>ICL-EVADER: Zero-Query Black-Box Evasion Attacks on In-Context Learning and Their Defenses
Ningyuan He, Ronghong Huang, Qianqian Tang, Hongyu Wang,
Xianghang Mi and Shanqing Guo
</v>
      </c>
      <c r="E333" s="209" t="str">
        <f>IFERROR(__xludf.DUMMYFUNCTION("TEXTJOIN(CHAR(10), TRUE,FILTER('Research Papers'!$C:$C,'Research Papers'!$A:$A=C333))"),"Ningyuan He, Ronghong Huang, Qianqian Tang, Hongyu Wang,
Xianghang Mi and Shanqing Guo")</f>
        <v>Ningyuan He, Ronghong Huang, Qianqian Tang, Hongyu Wang,
Xianghang Mi and Shanqing Guo</v>
      </c>
      <c r="F333" s="209" t="str">
        <f>IFERROR(__xludf.DUMMYFUNCTION("TEXTJOIN(CHAR(10), TRUE,FILTER ('Sheridan Main'!E:E,'Sheridan Main'!B:B=C333))"),"xmi@ustc.edu.cn")</f>
        <v>xmi@ustc.edu.cn</v>
      </c>
      <c r="G333" s="210" t="str">
        <f>IFERROR(__xludf.DUMMYFUNCTION("CONCATENATE(""https://dl.acm.org/doi/"",INDEX(FILTER('Sheridan Main'!A:A,'Sheridan Main'!B:B=C333),1))"),"https://dl.acm.org/doi/10.1145/3774904.3792344")</f>
        <v>https://dl.acm.org/doi/10.1145/3774904.3792344</v>
      </c>
      <c r="H333" s="189" t="s">
        <v>160</v>
      </c>
      <c r="I333" s="209"/>
      <c r="J333" s="209"/>
      <c r="K333" s="147"/>
      <c r="L333" s="147"/>
      <c r="M333" s="209"/>
      <c r="N333" s="209"/>
      <c r="O333" s="209"/>
      <c r="P333" s="209"/>
      <c r="Q333" s="209"/>
      <c r="R333" s="209"/>
      <c r="S333" s="209"/>
      <c r="T333" s="209"/>
      <c r="U333" s="209"/>
      <c r="V333" s="209"/>
      <c r="W333" s="209"/>
      <c r="X333" s="209"/>
      <c r="Y333" s="209"/>
      <c r="Z333" s="209"/>
      <c r="AA333" s="209"/>
      <c r="AB333" s="209"/>
      <c r="AC333" s="209"/>
      <c r="AD333" s="209"/>
      <c r="AE333" s="209"/>
    </row>
    <row r="334">
      <c r="A334" s="208" t="s">
        <v>2895</v>
      </c>
      <c r="B334" s="189" t="str">
        <f>IFERROR(__xludf.DUMMYFUNCTION("FILTER ('Research Papers'!D:D,'Research Papers'!A:A=C334)"),"Resisting Manipulative Bots in Meme Coin Copy Trading: A Multi-Agent Approach with Chain-of-Thought Reasoning")</f>
        <v>Resisting Manipulative Bots in Meme Coin Copy Trading: A Multi-Agent Approach with Chain-of-Thought Reasoning</v>
      </c>
      <c r="C334" s="189" t="s">
        <v>1586</v>
      </c>
      <c r="D334" s="209" t="str">
        <f t="shared" si="1"/>
        <v>Resisting Manipulative Bots in Meme Coin Copy Trading: A Multi-Agent Approach with Chain-of-Thought Reasoning
Yichen Luo, Yebo Feng, Jiahua Xu and Yang Liu
</v>
      </c>
      <c r="E334" s="209" t="str">
        <f>IFERROR(__xludf.DUMMYFUNCTION("TEXTJOIN(CHAR(10), TRUE,FILTER('Research Papers'!$C:$C,'Research Papers'!$A:$A=C334))"),"Yichen Luo, Yebo Feng, Jiahua Xu and Yang Liu")</f>
        <v>Yichen Luo, Yebo Feng, Jiahua Xu and Yang Liu</v>
      </c>
      <c r="F334" s="209" t="str">
        <f>IFERROR(__xludf.DUMMYFUNCTION("TEXTJOIN(CHAR(10), TRUE,FILTER ('Sheridan Main'!E:E,'Sheridan Main'!B:B=C334))"),"yebo.feng@ntu.edu.sg")</f>
        <v>yebo.feng@ntu.edu.sg</v>
      </c>
      <c r="G334" s="210" t="str">
        <f>IFERROR(__xludf.DUMMYFUNCTION("CONCATENATE(""https://dl.acm.org/doi/"",INDEX(FILTER('Sheridan Main'!A:A,'Sheridan Main'!B:B=C334),1))"),"https://dl.acm.org/doi/10.1145/3774904.3792635")</f>
        <v>https://dl.acm.org/doi/10.1145/3774904.3792635</v>
      </c>
      <c r="H334" s="189" t="s">
        <v>160</v>
      </c>
      <c r="I334" s="209"/>
      <c r="J334" s="209"/>
      <c r="K334" s="147"/>
      <c r="L334" s="147"/>
      <c r="M334" s="209"/>
      <c r="N334" s="209"/>
      <c r="O334" s="209"/>
      <c r="P334" s="209"/>
      <c r="Q334" s="209"/>
      <c r="R334" s="209"/>
      <c r="S334" s="209"/>
      <c r="T334" s="209"/>
      <c r="U334" s="209"/>
      <c r="V334" s="209"/>
      <c r="W334" s="209"/>
      <c r="X334" s="209"/>
      <c r="Y334" s="209"/>
      <c r="Z334" s="209"/>
      <c r="AA334" s="209"/>
      <c r="AB334" s="209"/>
      <c r="AC334" s="209"/>
      <c r="AD334" s="209"/>
      <c r="AE334" s="209"/>
    </row>
    <row r="335">
      <c r="A335" s="208" t="s">
        <v>2895</v>
      </c>
      <c r="B335" s="189" t="str">
        <f>IFERROR(__xludf.DUMMYFUNCTION("FILTER ('Research Papers'!D:D,'Research Papers'!A:A=C335)"),"The Algorithmic Self-Portrait:Deconstructing Memory in ChatGPT")</f>
        <v>The Algorithmic Self-Portrait:Deconstructing Memory in ChatGPT</v>
      </c>
      <c r="C335" s="189" t="s">
        <v>1658</v>
      </c>
      <c r="D335" s="209" t="str">
        <f t="shared" si="1"/>
        <v>The Algorithmic Self-Portrait:Deconstructing Memory in ChatGPT
Abhisek Dash, Soumi Das, Elisabeth Kirsten, Qinyuan Wu, Sai
Keerthana Karnam, Krishna P. Gummadi, Thorsten Holz,
Muhammad Bilal Zafar and Savvas Zannettou
</v>
      </c>
      <c r="E335" s="209" t="str">
        <f>IFERROR(__xludf.DUMMYFUNCTION("TEXTJOIN(CHAR(10), TRUE,FILTER('Research Papers'!$C:$C,'Research Papers'!$A:$A=C335))"),"Abhisek Dash, Soumi Das, Elisabeth Kirsten, Qinyuan Wu, Sai
Keerthana Karnam, Krishna P. Gummadi, Thorsten Holz,
Muhammad Bilal Zafar and Savvas Zannettou")</f>
        <v>Abhisek Dash, Soumi Das, Elisabeth Kirsten, Qinyuan Wu, Sai
Keerthana Karnam, Krishna P. Gummadi, Thorsten Holz,
Muhammad Bilal Zafar and Savvas Zannettou</v>
      </c>
      <c r="F335" s="209" t="str">
        <f>IFERROR(__xludf.DUMMYFUNCTION("TEXTJOIN(CHAR(10), TRUE,FILTER ('Sheridan Main'!E:E,'Sheridan Main'!B:B=C335))"),"adash@mpi-sws.org")</f>
        <v>adash@mpi-sws.org</v>
      </c>
      <c r="G335" s="210" t="str">
        <f>IFERROR(__xludf.DUMMYFUNCTION("CONCATENATE(""https://dl.acm.org/doi/"",INDEX(FILTER('Sheridan Main'!A:A,'Sheridan Main'!B:B=C335),1))"),"https://dl.acm.org/doi/10.1145/3774904.3792671")</f>
        <v>https://dl.acm.org/doi/10.1145/3774904.3792671</v>
      </c>
      <c r="H335" s="189" t="s">
        <v>160</v>
      </c>
      <c r="I335" s="209"/>
      <c r="J335" s="209"/>
      <c r="K335" s="147"/>
      <c r="L335" s="147"/>
      <c r="M335" s="209"/>
      <c r="N335" s="209"/>
      <c r="O335" s="209"/>
      <c r="P335" s="209"/>
      <c r="Q335" s="209"/>
      <c r="R335" s="209"/>
      <c r="S335" s="209"/>
      <c r="T335" s="209"/>
      <c r="U335" s="209"/>
      <c r="V335" s="209"/>
      <c r="W335" s="209"/>
      <c r="X335" s="209"/>
      <c r="Y335" s="209"/>
      <c r="Z335" s="209"/>
      <c r="AA335" s="209"/>
      <c r="AB335" s="209"/>
      <c r="AC335" s="209"/>
      <c r="AD335" s="209"/>
      <c r="AE335" s="209"/>
    </row>
    <row r="336">
      <c r="A336" s="208" t="s">
        <v>2895</v>
      </c>
      <c r="B336" s="189" t="str">
        <f>IFERROR(__xludf.DUMMYFUNCTION("FILTER ('Research Papers'!D:D,'Research Papers'!A:A=C336)"),"WAMO: Toward Secure Browser Inference via Web Model Obfuscation in WebAssembly")</f>
        <v>WAMO: Toward Secure Browser Inference via Web Model Obfuscation in WebAssembly</v>
      </c>
      <c r="C336" s="189" t="s">
        <v>910</v>
      </c>
      <c r="D336" s="209" t="str">
        <f t="shared" si="1"/>
        <v>WAMO: Toward Secure Browser Inference via Web Model Obfuscation in WebAssembly
Yitong Wang, Pengfei Yu, Hao Han, Jingjing Gu, Fengyuan Xu
and Xinyi Huang
</v>
      </c>
      <c r="E336" s="209" t="str">
        <f>IFERROR(__xludf.DUMMYFUNCTION("TEXTJOIN(CHAR(10), TRUE,FILTER('Research Papers'!$C:$C,'Research Papers'!$A:$A=C336))"),"Yitong Wang, Pengfei Yu, Hao Han, Jingjing Gu, Fengyuan Xu
and Xinyi Huang")</f>
        <v>Yitong Wang, Pengfei Yu, Hao Han, Jingjing Gu, Fengyuan Xu
and Xinyi Huang</v>
      </c>
      <c r="F336" s="209" t="str">
        <f>IFERROR(__xludf.DUMMYFUNCTION("TEXTJOIN(CHAR(10), TRUE,FILTER ('Sheridan Main'!E:E,'Sheridan Main'!B:B=C336))"),"hhan@nuaa.edu.cn")</f>
        <v>hhan@nuaa.edu.cn</v>
      </c>
      <c r="G336" s="210" t="str">
        <f>IFERROR(__xludf.DUMMYFUNCTION("CONCATENATE(""https://dl.acm.org/doi/"",INDEX(FILTER('Sheridan Main'!A:A,'Sheridan Main'!B:B=C336),1))"),"https://dl.acm.org/doi/10.1145/3774904.3792297")</f>
        <v>https://dl.acm.org/doi/10.1145/3774904.3792297</v>
      </c>
      <c r="H336" s="189" t="s">
        <v>180</v>
      </c>
      <c r="I336" s="209"/>
      <c r="J336" s="209"/>
      <c r="K336" s="147"/>
      <c r="L336" s="147"/>
      <c r="M336" s="209"/>
      <c r="N336" s="209"/>
      <c r="O336" s="209"/>
      <c r="P336" s="209"/>
      <c r="Q336" s="209"/>
      <c r="R336" s="209"/>
      <c r="S336" s="209"/>
      <c r="T336" s="209"/>
      <c r="U336" s="209"/>
      <c r="V336" s="209"/>
      <c r="W336" s="209"/>
      <c r="X336" s="209"/>
      <c r="Y336" s="209"/>
      <c r="Z336" s="209"/>
      <c r="AA336" s="209"/>
      <c r="AB336" s="209"/>
      <c r="AC336" s="209"/>
      <c r="AD336" s="209"/>
      <c r="AE336" s="209"/>
    </row>
    <row r="337">
      <c r="A337" s="208" t="s">
        <v>2895</v>
      </c>
      <c r="B337" s="189" t="str">
        <f>IFERROR(__xludf.DUMMYFUNCTION("FILTER ('Research Papers'!D:D,'Research Papers'!A:A=C337)"),"WebGeoInfer: Structure-Free Multi-Stage Framework for Geolocation Inference from Exposed Device Web Interfaces")</f>
        <v>WebGeoInfer: Structure-Free Multi-Stage Framework for Geolocation Inference from Exposed Device Web Interfaces</v>
      </c>
      <c r="C337" s="189" t="s">
        <v>998</v>
      </c>
      <c r="D337" s="209" t="str">
        <f t="shared" si="1"/>
        <v>WebGeoInfer: Structure-Free Multi-Stage Framework for Geolocation Inference from Exposed Device Web Interfaces
Huipeng Yang, Li Yang, Lu Zhou, Lichuan Ma, Xinyue Wang,
Junbo Jia and Anyuan Sang
</v>
      </c>
      <c r="E337" s="209" t="str">
        <f>IFERROR(__xludf.DUMMYFUNCTION("TEXTJOIN(CHAR(10), TRUE,FILTER('Research Papers'!$C:$C,'Research Papers'!$A:$A=C337))"),"Huipeng Yang, Li Yang, Lu Zhou, Lichuan Ma, Xinyue Wang,
Junbo Jia and Anyuan Sang")</f>
        <v>Huipeng Yang, Li Yang, Lu Zhou, Lichuan Ma, Xinyue Wang,
Junbo Jia and Anyuan Sang</v>
      </c>
      <c r="F337" s="209" t="str">
        <f>IFERROR(__xludf.DUMMYFUNCTION("TEXTJOIN(CHAR(10), TRUE,FILTER ('Sheridan Main'!E:E,'Sheridan Main'!B:B=C337))"),"yangli@xidian.edu.cn")</f>
        <v>yangli@xidian.edu.cn</v>
      </c>
      <c r="G337" s="210" t="str">
        <f>IFERROR(__xludf.DUMMYFUNCTION("CONCATENATE(""https://dl.acm.org/doi/"",INDEX(FILTER('Sheridan Main'!A:A,'Sheridan Main'!B:B=C337),1))"),"https://dl.acm.org/doi/10.1145/3774904.3792341")</f>
        <v>https://dl.acm.org/doi/10.1145/3774904.3792341</v>
      </c>
      <c r="H337" s="189" t="s">
        <v>180</v>
      </c>
      <c r="I337" s="209"/>
      <c r="J337" s="209"/>
      <c r="K337" s="147"/>
      <c r="L337" s="147"/>
      <c r="M337" s="209"/>
      <c r="N337" s="209"/>
      <c r="O337" s="209"/>
      <c r="P337" s="209"/>
      <c r="Q337" s="209"/>
      <c r="R337" s="209"/>
      <c r="S337" s="209"/>
      <c r="T337" s="209"/>
      <c r="U337" s="209"/>
      <c r="V337" s="209"/>
      <c r="W337" s="209"/>
      <c r="X337" s="209"/>
      <c r="Y337" s="209"/>
      <c r="Z337" s="209"/>
      <c r="AA337" s="209"/>
      <c r="AB337" s="209"/>
      <c r="AC337" s="209"/>
      <c r="AD337" s="209"/>
      <c r="AE337" s="209"/>
    </row>
    <row r="338">
      <c r="A338" s="208" t="s">
        <v>2895</v>
      </c>
      <c r="B338" s="189" t="str">
        <f>IFERROR(__xludf.DUMMYFUNCTION("FILTER ('Research Papers'!D:D,'Research Papers'!A:A=C338)"),"FalconScope: Effective and Efficient Detection of Hidden Web Interfaces in IoT Devices")</f>
        <v>FalconScope: Effective and Efficient Detection of Hidden Web Interfaces in IoT Devices</v>
      </c>
      <c r="C338" s="189" t="s">
        <v>1178</v>
      </c>
      <c r="D338" s="209" t="str">
        <f t="shared" si="1"/>
        <v>FalconScope: Effective and Efficient Detection of Hidden Web Interfaces in IoT Devices
Jiaming Guo, Haoran Yang, Kuihao Yan, Jiekang Hu, Xiaoqi
Jia, Haichao Du and Qihang Zhou
</v>
      </c>
      <c r="E338" s="209" t="str">
        <f>IFERROR(__xludf.DUMMYFUNCTION("TEXTJOIN(CHAR(10), TRUE,FILTER('Research Papers'!$C:$C,'Research Papers'!$A:$A=C338))"),"Jiaming Guo, Haoran Yang, Kuihao Yan, Jiekang Hu, Xiaoqi
Jia, Haichao Du and Qihang Zhou")</f>
        <v>Jiaming Guo, Haoran Yang, Kuihao Yan, Jiekang Hu, Xiaoqi
Jia, Haichao Du and Qihang Zhou</v>
      </c>
      <c r="F338" s="209" t="str">
        <f>IFERROR(__xludf.DUMMYFUNCTION("TEXTJOIN(CHAR(10), TRUE,FILTER ('Sheridan Main'!E:E,'Sheridan Main'!B:B=C338))"),"jiaxiaoqi@iie.ac.cn
guojiaming@iie.ac.cn")</f>
        <v>jiaxiaoqi@iie.ac.cn
guojiaming@iie.ac.cn</v>
      </c>
      <c r="G338" s="210" t="str">
        <f>IFERROR(__xludf.DUMMYFUNCTION("CONCATENATE(""https://dl.acm.org/doi/"",INDEX(FILTER('Sheridan Main'!A:A,'Sheridan Main'!B:B=C338),1))"),"https://dl.acm.org/doi/10.1145/3774904.3792431")</f>
        <v>https://dl.acm.org/doi/10.1145/3774904.3792431</v>
      </c>
      <c r="H338" s="189" t="s">
        <v>180</v>
      </c>
      <c r="I338" s="209"/>
      <c r="J338" s="209"/>
      <c r="K338" s="147"/>
      <c r="L338" s="147"/>
      <c r="M338" s="209"/>
      <c r="N338" s="209"/>
      <c r="O338" s="209"/>
      <c r="P338" s="209"/>
      <c r="Q338" s="209"/>
      <c r="R338" s="209"/>
      <c r="S338" s="209"/>
      <c r="T338" s="209"/>
      <c r="U338" s="209"/>
      <c r="V338" s="209"/>
      <c r="W338" s="209"/>
      <c r="X338" s="209"/>
      <c r="Y338" s="209"/>
      <c r="Z338" s="209"/>
      <c r="AA338" s="209"/>
      <c r="AB338" s="209"/>
      <c r="AC338" s="209"/>
      <c r="AD338" s="209"/>
      <c r="AE338" s="209"/>
    </row>
    <row r="339">
      <c r="A339" s="208" t="s">
        <v>2895</v>
      </c>
      <c r="B339" s="189" t="str">
        <f>IFERROR(__xludf.DUMMYFUNCTION("FILTER ('Research Papers'!D:D,'Research Papers'!A:A=C339)"),"Bento: Fine-Grained Memory Isolation for COTS WebAssembly Binaries")</f>
        <v>Bento: Fine-Grained Memory Isolation for COTS WebAssembly Binaries</v>
      </c>
      <c r="C339" s="189" t="s">
        <v>1194</v>
      </c>
      <c r="D339" s="209" t="str">
        <f t="shared" si="1"/>
        <v>Bento: Fine-Grained Memory Isolation for COTS WebAssembly Binaries
Oussama Draissi and Lucas Davi
</v>
      </c>
      <c r="E339" s="209" t="str">
        <f>IFERROR(__xludf.DUMMYFUNCTION("TEXTJOIN(CHAR(10), TRUE,FILTER('Research Papers'!$C:$C,'Research Papers'!$A:$A=C339))"),"Oussama Draissi and Lucas Davi")</f>
        <v>Oussama Draissi and Lucas Davi</v>
      </c>
      <c r="F339" s="209" t="str">
        <f>IFERROR(__xludf.DUMMYFUNCTION("TEXTJOIN(CHAR(10), TRUE,FILTER ('Sheridan Main'!E:E,'Sheridan Main'!B:B=C339))"),"oussama.draissi@uni-due.de")</f>
        <v>oussama.draissi@uni-due.de</v>
      </c>
      <c r="G339" s="210" t="str">
        <f>IFERROR(__xludf.DUMMYFUNCTION("CONCATENATE(""https://dl.acm.org/doi/"",INDEX(FILTER('Sheridan Main'!A:A,'Sheridan Main'!B:B=C339),1))"),"https://dl.acm.org/doi/10.1145/3774904.3792439")</f>
        <v>https://dl.acm.org/doi/10.1145/3774904.3792439</v>
      </c>
      <c r="H339" s="189" t="s">
        <v>180</v>
      </c>
      <c r="I339" s="209"/>
      <c r="J339" s="209"/>
      <c r="K339" s="147"/>
      <c r="L339" s="147"/>
      <c r="M339" s="209"/>
      <c r="N339" s="209"/>
      <c r="O339" s="209"/>
      <c r="P339" s="209"/>
      <c r="Q339" s="209"/>
      <c r="R339" s="209"/>
      <c r="S339" s="209"/>
      <c r="T339" s="209"/>
      <c r="U339" s="209"/>
      <c r="V339" s="209"/>
      <c r="W339" s="209"/>
      <c r="X339" s="209"/>
      <c r="Y339" s="209"/>
      <c r="Z339" s="209"/>
      <c r="AA339" s="209"/>
      <c r="AB339" s="209"/>
      <c r="AC339" s="209"/>
      <c r="AD339" s="209"/>
      <c r="AE339" s="209"/>
    </row>
    <row r="340">
      <c r="A340" s="208" t="s">
        <v>2895</v>
      </c>
      <c r="B340" s="189" t="str">
        <f>IFERROR(__xludf.DUMMYFUNCTION("FILTER ('Research Papers'!D:D,'Research Papers'!A:A=C340)"),"Risk-free Selfish Mining in Hybrid Predictability Model. A Case Study on Polkadot’s NPoS")</f>
        <v>Risk-free Selfish Mining in Hybrid Predictability Model. A Case Study on Polkadot’s NPoS</v>
      </c>
      <c r="C340" s="189" t="s">
        <v>1436</v>
      </c>
      <c r="D340" s="209" t="str">
        <f t="shared" si="1"/>
        <v>Risk-free Selfish Mining in Hybrid Predictability Model. A Case Study on Polkadot’s NPoS
Mingfei Zhang, Rujia Li, Xinyu Lei and Sisi Duan
</v>
      </c>
      <c r="E340" s="209" t="str">
        <f>IFERROR(__xludf.DUMMYFUNCTION("TEXTJOIN(CHAR(10), TRUE,FILTER('Research Papers'!$C:$C,'Research Papers'!$A:$A=C340))"),"Mingfei Zhang, Rujia Li, Xinyu Lei and Sisi Duan")</f>
        <v>Mingfei Zhang, Rujia Li, Xinyu Lei and Sisi Duan</v>
      </c>
      <c r="F340" s="209" t="str">
        <f>IFERROR(__xludf.DUMMYFUNCTION("TEXTJOIN(CHAR(10), TRUE,FILTER ('Sheridan Main'!E:E,'Sheridan Main'!B:B=C340))"),"duansisi@tsinghua.edu.cn")</f>
        <v>duansisi@tsinghua.edu.cn</v>
      </c>
      <c r="G340" s="210" t="str">
        <f>IFERROR(__xludf.DUMMYFUNCTION("CONCATENATE(""https://dl.acm.org/doi/"",INDEX(FILTER('Sheridan Main'!A:A,'Sheridan Main'!B:B=C340),1))"),"https://dl.acm.org/doi/10.1145/3774904.3792560")</f>
        <v>https://dl.acm.org/doi/10.1145/3774904.3792560</v>
      </c>
      <c r="H340" s="189" t="s">
        <v>180</v>
      </c>
      <c r="I340" s="209"/>
      <c r="J340" s="209"/>
      <c r="K340" s="147"/>
      <c r="L340" s="147"/>
      <c r="M340" s="209"/>
      <c r="N340" s="209"/>
      <c r="O340" s="209"/>
      <c r="P340" s="209"/>
      <c r="Q340" s="209"/>
      <c r="R340" s="209"/>
      <c r="S340" s="209"/>
      <c r="T340" s="209"/>
      <c r="U340" s="209"/>
      <c r="V340" s="209"/>
      <c r="W340" s="209"/>
      <c r="X340" s="209"/>
      <c r="Y340" s="209"/>
      <c r="Z340" s="209"/>
      <c r="AA340" s="209"/>
      <c r="AB340" s="209"/>
      <c r="AC340" s="209"/>
      <c r="AD340" s="209"/>
      <c r="AE340" s="209"/>
    </row>
    <row r="341">
      <c r="A341" s="208" t="s">
        <v>2895</v>
      </c>
      <c r="B341" s="189" t="str">
        <f>IFERROR(__xludf.DUMMYFUNCTION("FILTER ('Research Papers'!D:D,'Research Papers'!A:A=C341)"),"Exploring and Exploiting Security Vulnerabilities in Self-Hosted LLM Services")</f>
        <v>Exploring and Exploiting Security Vulnerabilities in Self-Hosted LLM Services</v>
      </c>
      <c r="C341" s="189" t="s">
        <v>510</v>
      </c>
      <c r="D341" s="209" t="str">
        <f t="shared" si="1"/>
        <v>Exploring and Exploiting Security Vulnerabilities in Self-Hosted LLM Services
Zhihuang Liu, Ling Hu, Yonghao Tang, Tongqing Zhou, Fang
Liu and Zhiping Cai
</v>
      </c>
      <c r="E341" s="209" t="str">
        <f>IFERROR(__xludf.DUMMYFUNCTION("TEXTJOIN(CHAR(10), TRUE,FILTER('Research Papers'!$C:$C,'Research Papers'!$A:$A=C341))"),"Zhihuang Liu, Ling Hu, Yonghao Tang, Tongqing Zhou, Fang
Liu and Zhiping Cai")</f>
        <v>Zhihuang Liu, Ling Hu, Yonghao Tang, Tongqing Zhou, Fang
Liu and Zhiping Cai</v>
      </c>
      <c r="F341" s="209" t="str">
        <f>IFERROR(__xludf.DUMMYFUNCTION("TEXTJOIN(CHAR(10), TRUE,FILTER ('Sheridan Main'!E:E,'Sheridan Main'!B:B=C341))"),"lzhliu@nudt.edu.cn")</f>
        <v>lzhliu@nudt.edu.cn</v>
      </c>
      <c r="G341" s="210" t="str">
        <f>IFERROR(__xludf.DUMMYFUNCTION("CONCATENATE(""https://dl.acm.org/doi/"",INDEX(FILTER('Sheridan Main'!A:A,'Sheridan Main'!B:B=C341),1))"),"https://dl.acm.org/doi/10.1145/3774904.3792097")</f>
        <v>https://dl.acm.org/doi/10.1145/3774904.3792097</v>
      </c>
      <c r="H341" s="189" t="s">
        <v>206</v>
      </c>
      <c r="I341" s="209"/>
      <c r="J341" s="209"/>
      <c r="K341" s="147"/>
      <c r="L341" s="147"/>
      <c r="M341" s="209"/>
      <c r="N341" s="209"/>
      <c r="O341" s="209"/>
      <c r="P341" s="209"/>
      <c r="Q341" s="209"/>
      <c r="R341" s="209"/>
      <c r="S341" s="209"/>
      <c r="T341" s="209"/>
      <c r="U341" s="209"/>
      <c r="V341" s="209"/>
      <c r="W341" s="209"/>
      <c r="X341" s="209"/>
      <c r="Y341" s="209"/>
      <c r="Z341" s="209"/>
      <c r="AA341" s="209"/>
      <c r="AB341" s="209"/>
      <c r="AC341" s="209"/>
      <c r="AD341" s="209"/>
      <c r="AE341" s="209"/>
    </row>
    <row r="342">
      <c r="A342" s="208" t="s">
        <v>2895</v>
      </c>
      <c r="B342" s="189" t="str">
        <f>IFERROR(__xludf.DUMMYFUNCTION("FILTER ('Research Papers'!D:D,'Research Papers'!A:A=C342)"),"PADD: Prefix-based Attention Divergence Detector for LLM Jailbreaks")</f>
        <v>PADD: Prefix-based Attention Divergence Detector for LLM Jailbreaks</v>
      </c>
      <c r="C342" s="189" t="s">
        <v>724</v>
      </c>
      <c r="D342" s="209" t="str">
        <f t="shared" si="1"/>
        <v>PADD: Prefix-based Attention Divergence Detector for LLM Jailbreaks
Ziqun Bao, Jiaqiang Niu, Yuchen Shao and Chengcheng Wan
</v>
      </c>
      <c r="E342" s="209" t="str">
        <f>IFERROR(__xludf.DUMMYFUNCTION("TEXTJOIN(CHAR(10), TRUE,FILTER('Research Papers'!$C:$C,'Research Papers'!$A:$A=C342))"),"Ziqun Bao, Jiaqiang Niu, Yuchen Shao and Chengcheng Wan")</f>
        <v>Ziqun Bao, Jiaqiang Niu, Yuchen Shao and Chengcheng Wan</v>
      </c>
      <c r="F342" s="209" t="str">
        <f>IFERROR(__xludf.DUMMYFUNCTION("TEXTJOIN(CHAR(10), TRUE,FILTER ('Sheridan Main'!E:E,'Sheridan Main'!B:B=C342))"),"ccwan@sei.ecnu.edu.cn")</f>
        <v>ccwan@sei.ecnu.edu.cn</v>
      </c>
      <c r="G342" s="210" t="str">
        <f>IFERROR(__xludf.DUMMYFUNCTION("CONCATENATE(""https://dl.acm.org/doi/"",INDEX(FILTER('Sheridan Main'!A:A,'Sheridan Main'!B:B=C342),1))"),"https://dl.acm.org/doi/10.1145/3774904.3792204")</f>
        <v>https://dl.acm.org/doi/10.1145/3774904.3792204</v>
      </c>
      <c r="H342" s="189" t="s">
        <v>206</v>
      </c>
      <c r="I342" s="209"/>
      <c r="J342" s="209"/>
      <c r="K342" s="147"/>
      <c r="L342" s="147"/>
      <c r="M342" s="209"/>
      <c r="N342" s="209"/>
      <c r="O342" s="209"/>
      <c r="P342" s="209"/>
      <c r="Q342" s="209"/>
      <c r="R342" s="209"/>
      <c r="S342" s="209"/>
      <c r="T342" s="209"/>
      <c r="U342" s="209"/>
      <c r="V342" s="209"/>
      <c r="W342" s="209"/>
      <c r="X342" s="209"/>
      <c r="Y342" s="209"/>
      <c r="Z342" s="209"/>
      <c r="AA342" s="209"/>
      <c r="AB342" s="209"/>
      <c r="AC342" s="209"/>
      <c r="AD342" s="209"/>
      <c r="AE342" s="209"/>
    </row>
    <row r="343">
      <c r="A343" s="208" t="s">
        <v>2895</v>
      </c>
      <c r="B343" s="189" t="str">
        <f>IFERROR(__xludf.DUMMYFUNCTION("FILTER ('Research Papers'!D:D,'Research Papers'!A:A=C343)"),"The Asymmetric Vulnerability: Bypassing LLM Defenses via Guardrail-Model Mismatch")</f>
        <v>The Asymmetric Vulnerability: Bypassing LLM Defenses via Guardrail-Model Mismatch</v>
      </c>
      <c r="C343" s="189" t="s">
        <v>1192</v>
      </c>
      <c r="D343" s="209" t="str">
        <f t="shared" si="1"/>
        <v>The Asymmetric Vulnerability: Bypassing LLM Defenses via Guardrail-Model Mismatch
Junyi Wang, Zhibin Zhu and Chuanyi Liu
</v>
      </c>
      <c r="E343" s="209" t="str">
        <f>IFERROR(__xludf.DUMMYFUNCTION("TEXTJOIN(CHAR(10), TRUE,FILTER('Research Papers'!$C:$C,'Research Papers'!$A:$A=C343))"),"Junyi Wang, Zhibin Zhu and Chuanyi Liu")</f>
        <v>Junyi Wang, Zhibin Zhu and Chuanyi Liu</v>
      </c>
      <c r="F343" s="209" t="str">
        <f>IFERROR(__xludf.DUMMYFUNCTION("TEXTJOIN(CHAR(10), TRUE,FILTER ('Sheridan Main'!E:E,'Sheridan Main'!B:B=C343))"),"liuchuanyi@hit.edu.cn")</f>
        <v>liuchuanyi@hit.edu.cn</v>
      </c>
      <c r="G343" s="210" t="str">
        <f>IFERROR(__xludf.DUMMYFUNCTION("CONCATENATE(""https://dl.acm.org/doi/"",INDEX(FILTER('Sheridan Main'!A:A,'Sheridan Main'!B:B=C343),1))"),"https://dl.acm.org/doi/10.1145/3774904.3792438")</f>
        <v>https://dl.acm.org/doi/10.1145/3774904.3792438</v>
      </c>
      <c r="H343" s="189" t="s">
        <v>206</v>
      </c>
      <c r="I343" s="209"/>
      <c r="J343" s="209"/>
      <c r="K343" s="147"/>
      <c r="L343" s="147"/>
      <c r="M343" s="209"/>
      <c r="N343" s="209"/>
      <c r="O343" s="209"/>
      <c r="P343" s="209"/>
      <c r="Q343" s="209"/>
      <c r="R343" s="209"/>
      <c r="S343" s="209"/>
      <c r="T343" s="209"/>
      <c r="U343" s="209"/>
      <c r="V343" s="209"/>
      <c r="W343" s="209"/>
      <c r="X343" s="209"/>
      <c r="Y343" s="209"/>
      <c r="Z343" s="209"/>
      <c r="AA343" s="209"/>
      <c r="AB343" s="209"/>
      <c r="AC343" s="209"/>
      <c r="AD343" s="209"/>
      <c r="AE343" s="209"/>
    </row>
    <row r="344">
      <c r="A344" s="208" t="s">
        <v>2895</v>
      </c>
      <c r="B344" s="189" t="str">
        <f>IFERROR(__xludf.DUMMYFUNCTION("FILTER ('Research Papers'!D:D,'Research Papers'!A:A=C344)"),"Greedy Attack: Breaking Finality against VeChain Proof-of-Authority Consensus Protocol")</f>
        <v>Greedy Attack: Breaking Finality against VeChain Proof-of-Authority Consensus Protocol</v>
      </c>
      <c r="C344" s="189" t="s">
        <v>1342</v>
      </c>
      <c r="D344" s="209" t="str">
        <f t="shared" si="1"/>
        <v>Greedy Attack: Breaking Finality against VeChain Proof-of-Authority Consensus Protocol
Rujia Li, Qin Wang, Haochen Wang, Xueqian Lu and Sisi Duan
</v>
      </c>
      <c r="E344" s="209" t="str">
        <f>IFERROR(__xludf.DUMMYFUNCTION("TEXTJOIN(CHAR(10), TRUE,FILTER('Research Papers'!$C:$C,'Research Papers'!$A:$A=C344))"),"Rujia Li, Qin Wang, Haochen Wang, Xueqian Lu and Sisi Duan")</f>
        <v>Rujia Li, Qin Wang, Haochen Wang, Xueqian Lu and Sisi Duan</v>
      </c>
      <c r="F344" s="209" t="str">
        <f>IFERROR(__xludf.DUMMYFUNCTION("TEXTJOIN(CHAR(10), TRUE,FILTER ('Sheridan Main'!E:E,'Sheridan Main'!B:B=C344))"),"duansisi@tsinghua.edu.cn")</f>
        <v>duansisi@tsinghua.edu.cn</v>
      </c>
      <c r="G344" s="210" t="str">
        <f>IFERROR(__xludf.DUMMYFUNCTION("CONCATENATE(""https://dl.acm.org/doi/"",INDEX(FILTER('Sheridan Main'!A:A,'Sheridan Main'!B:B=C344),1))"),"https://dl.acm.org/doi/10.1145/3774904.3792513")</f>
        <v>https://dl.acm.org/doi/10.1145/3774904.3792513</v>
      </c>
      <c r="H344" s="189" t="s">
        <v>206</v>
      </c>
      <c r="I344" s="209"/>
      <c r="J344" s="209"/>
      <c r="K344" s="147"/>
      <c r="L344" s="147"/>
      <c r="M344" s="209"/>
      <c r="N344" s="209"/>
      <c r="O344" s="209"/>
      <c r="P344" s="209"/>
      <c r="Q344" s="209"/>
      <c r="R344" s="209"/>
      <c r="S344" s="209"/>
      <c r="T344" s="209"/>
      <c r="U344" s="209"/>
      <c r="V344" s="209"/>
      <c r="W344" s="209"/>
      <c r="X344" s="209"/>
      <c r="Y344" s="209"/>
      <c r="Z344" s="209"/>
      <c r="AA344" s="209"/>
      <c r="AB344" s="209"/>
      <c r="AC344" s="209"/>
      <c r="AD344" s="209"/>
      <c r="AE344" s="209"/>
    </row>
    <row r="345">
      <c r="A345" s="208" t="s">
        <v>2895</v>
      </c>
      <c r="B345" s="189" t="str">
        <f>IFERROR(__xludf.DUMMYFUNCTION("FILTER ('Research Papers'!D:D,'Research Papers'!A:A=C345)"),"JANUS: A Dual-Constraint Generative Framework for Stealthy Node Injection Attacks")</f>
        <v>JANUS: A Dual-Constraint Generative Framework for Stealthy Node Injection Attacks</v>
      </c>
      <c r="C345" s="189" t="s">
        <v>1652</v>
      </c>
      <c r="D345" s="209" t="str">
        <f t="shared" si="1"/>
        <v>JANUS: A Dual-Constraint Generative Framework for Stealthy Node Injection Attacks
Jiahao Zhang, Xiaobing Pei, Zhaokun Zhong, Wenqiang Hao and
Zhenghao Tang
</v>
      </c>
      <c r="E345" s="209" t="str">
        <f>IFERROR(__xludf.DUMMYFUNCTION("TEXTJOIN(CHAR(10), TRUE,FILTER('Research Papers'!$C:$C,'Research Papers'!$A:$A=C345))"),"Jiahao Zhang, Xiaobing Pei, Zhaokun Zhong, Wenqiang Hao and
Zhenghao Tang")</f>
        <v>Jiahao Zhang, Xiaobing Pei, Zhaokun Zhong, Wenqiang Hao and
Zhenghao Tang</v>
      </c>
      <c r="F345" s="209" t="str">
        <f>IFERROR(__xludf.DUMMYFUNCTION("TEXTJOIN(CHAR(10), TRUE,FILTER ('Sheridan Main'!E:E,'Sheridan Main'!B:B=C345))"),"xiaobingp@hust.edu.cn")</f>
        <v>xiaobingp@hust.edu.cn</v>
      </c>
      <c r="G345" s="210" t="str">
        <f>IFERROR(__xludf.DUMMYFUNCTION("CONCATENATE(""https://dl.acm.org/doi/"",INDEX(FILTER('Sheridan Main'!A:A,'Sheridan Main'!B:B=C345),1))"),"https://dl.acm.org/doi/10.1145/3774904.3792668")</f>
        <v>https://dl.acm.org/doi/10.1145/3774904.3792668</v>
      </c>
      <c r="H345" s="189" t="s">
        <v>206</v>
      </c>
      <c r="I345" s="209"/>
      <c r="J345" s="209"/>
      <c r="K345" s="147"/>
      <c r="L345" s="147"/>
      <c r="M345" s="209"/>
      <c r="N345" s="209"/>
      <c r="O345" s="209"/>
      <c r="P345" s="209"/>
      <c r="Q345" s="209"/>
      <c r="R345" s="209"/>
      <c r="S345" s="209"/>
      <c r="T345" s="209"/>
      <c r="U345" s="209"/>
      <c r="V345" s="209"/>
      <c r="W345" s="209"/>
      <c r="X345" s="209"/>
      <c r="Y345" s="209"/>
      <c r="Z345" s="209"/>
      <c r="AA345" s="209"/>
      <c r="AB345" s="209"/>
      <c r="AC345" s="209"/>
      <c r="AD345" s="209"/>
      <c r="AE345" s="209"/>
    </row>
    <row r="346">
      <c r="A346" s="208" t="s">
        <v>2895</v>
      </c>
      <c r="B346" s="189" t="str">
        <f>IFERROR(__xludf.DUMMYFUNCTION("FILTER ('Research Papers'!D:D,'Research Papers'!A:A=C346)"),"SIsomap: Secure Collaborative Manifold Learning with Reducing Communication Costs")</f>
        <v>SIsomap: Secure Collaborative Manifold Learning with Reducing Communication Costs</v>
      </c>
      <c r="C346" s="189" t="s">
        <v>526</v>
      </c>
      <c r="D346" s="209" t="str">
        <f t="shared" si="1"/>
        <v>SIsomap: Secure Collaborative Manifold Learning with Reducing Communication Costs
Peizhao Zhou, Xiaojie Guo, Pinzhi Chen, Ranyang Liu, Lihai
Nie, Tong Li and Zheli Liu
</v>
      </c>
      <c r="E346" s="209" t="str">
        <f>IFERROR(__xludf.DUMMYFUNCTION("TEXTJOIN(CHAR(10), TRUE,FILTER('Research Papers'!$C:$C,'Research Papers'!$A:$A=C346))"),"Peizhao Zhou, Xiaojie Guo, Pinzhi Chen, Ranyang Liu, Lihai
Nie, Tong Li and Zheli Liu")</f>
        <v>Peizhao Zhou, Xiaojie Guo, Pinzhi Chen, Ranyang Liu, Lihai
Nie, Tong Li and Zheli Liu</v>
      </c>
      <c r="F346" s="209" t="str">
        <f>IFERROR(__xludf.DUMMYFUNCTION("TEXTJOIN(CHAR(10), TRUE,FILTER ('Sheridan Main'!E:E,'Sheridan Main'!B:B=C346))"),"NLH@nankai.edu.cn")</f>
        <v>NLH@nankai.edu.cn</v>
      </c>
      <c r="G346" s="210" t="str">
        <f>IFERROR(__xludf.DUMMYFUNCTION("CONCATENATE(""https://dl.acm.org/doi/"",INDEX(FILTER('Sheridan Main'!A:A,'Sheridan Main'!B:B=C346),1))"),"https://dl.acm.org/doi/10.1145/3774904.3792105")</f>
        <v>https://dl.acm.org/doi/10.1145/3774904.3792105</v>
      </c>
      <c r="H346" s="189" t="s">
        <v>2852</v>
      </c>
      <c r="I346" s="189" t="s">
        <v>2896</v>
      </c>
      <c r="J346" s="209"/>
      <c r="K346" s="205" t="s">
        <v>2930</v>
      </c>
      <c r="L346" s="174">
        <f>COUNTIF(H:H,H346)</f>
        <v>48</v>
      </c>
      <c r="M346" s="209"/>
      <c r="N346" s="209"/>
      <c r="O346" s="209"/>
      <c r="P346" s="209"/>
      <c r="Q346" s="209"/>
      <c r="R346" s="209"/>
      <c r="S346" s="209"/>
      <c r="T346" s="209"/>
      <c r="U346" s="209"/>
      <c r="V346" s="209"/>
      <c r="W346" s="209"/>
      <c r="X346" s="209"/>
      <c r="Y346" s="209"/>
      <c r="Z346" s="209"/>
      <c r="AA346" s="209"/>
      <c r="AB346" s="209"/>
      <c r="AC346" s="209"/>
      <c r="AD346" s="209"/>
      <c r="AE346" s="209"/>
    </row>
    <row r="347">
      <c r="A347" s="208" t="s">
        <v>2895</v>
      </c>
      <c r="B347" s="189" t="str">
        <f>IFERROR(__xludf.DUMMYFUNCTION("FILTER ('Research Papers'!D:D,'Research Papers'!A:A=C347)"),"PrivSplit: A Lossless Method for Prompt Privacy in Distributed Parameter-Efficient Fine-Tuning")</f>
        <v>PrivSplit: A Lossless Method for Prompt Privacy in Distributed Parameter-Efficient Fine-Tuning</v>
      </c>
      <c r="C347" s="189" t="s">
        <v>540</v>
      </c>
      <c r="D347" s="209" t="str">
        <f t="shared" si="1"/>
        <v>PrivSplit: A Lossless Method for Prompt Privacy in Distributed Parameter-Efficient Fine-Tuning
Wujia Niu, Lan Zhang, Haoran Cheng and Shen Li
</v>
      </c>
      <c r="E347" s="209" t="str">
        <f>IFERROR(__xludf.DUMMYFUNCTION("TEXTJOIN(CHAR(10), TRUE,FILTER('Research Papers'!$C:$C,'Research Papers'!$A:$A=C347))"),"Wujia Niu, Lan Zhang, Haoran Cheng and Shen Li")</f>
        <v>Wujia Niu, Lan Zhang, Haoran Cheng and Shen Li</v>
      </c>
      <c r="F347" s="209" t="str">
        <f>IFERROR(__xludf.DUMMYFUNCTION("TEXTJOIN(CHAR(10), TRUE,FILTER ('Sheridan Main'!E:E,'Sheridan Main'!B:B=C347))"),"zhanglan@ustc.edu.cn")</f>
        <v>zhanglan@ustc.edu.cn</v>
      </c>
      <c r="G347" s="210" t="str">
        <f>IFERROR(__xludf.DUMMYFUNCTION("CONCATENATE(""https://dl.acm.org/doi/"",INDEX(FILTER('Sheridan Main'!A:A,'Sheridan Main'!B:B=C347),1))"),"https://dl.acm.org/doi/10.1145/3774904.3792112")</f>
        <v>https://dl.acm.org/doi/10.1145/3774904.3792112</v>
      </c>
      <c r="H347" s="189" t="s">
        <v>2852</v>
      </c>
      <c r="I347" s="189" t="s">
        <v>2896</v>
      </c>
      <c r="J347" s="209"/>
      <c r="K347" s="147"/>
      <c r="L347" s="147"/>
      <c r="M347" s="209"/>
      <c r="N347" s="209"/>
      <c r="O347" s="209"/>
      <c r="P347" s="209"/>
      <c r="Q347" s="209"/>
      <c r="R347" s="209"/>
      <c r="S347" s="209"/>
      <c r="T347" s="209"/>
      <c r="U347" s="209"/>
      <c r="V347" s="209"/>
      <c r="W347" s="209"/>
      <c r="X347" s="209"/>
      <c r="Y347" s="209"/>
      <c r="Z347" s="209"/>
      <c r="AA347" s="209"/>
      <c r="AB347" s="209"/>
      <c r="AC347" s="209"/>
      <c r="AD347" s="209"/>
      <c r="AE347" s="209"/>
    </row>
    <row r="348">
      <c r="A348" s="208" t="s">
        <v>2895</v>
      </c>
      <c r="B348" s="189" t="str">
        <f>IFERROR(__xludf.DUMMYFUNCTION("FILTER ('Research Papers'!D:D,'Research Papers'!A:A=C348)"),"TGNN: Enhancing Pixel Tracking Detection via LLM-driven Annotation and GAT-powered Structural Representation")</f>
        <v>TGNN: Enhancing Pixel Tracking Detection via LLM-driven Annotation and GAT-powered Structural Representation</v>
      </c>
      <c r="C348" s="189" t="s">
        <v>614</v>
      </c>
      <c r="D348" s="209" t="str">
        <f t="shared" si="1"/>
        <v>TGNN: Enhancing Pixel Tracking Detection via LLM-driven Annotation and GAT-powered Structural Representation
Shenping Xiong, Xutong Wang, Ze Jin, Xinyu Liu, Haoqiang
Wang, Zhen Chen, Ru Tan and Qixu Liu
</v>
      </c>
      <c r="E348" s="209" t="str">
        <f>IFERROR(__xludf.DUMMYFUNCTION("TEXTJOIN(CHAR(10), TRUE,FILTER('Research Papers'!$C:$C,'Research Papers'!$A:$A=C348))"),"Shenping Xiong, Xutong Wang, Ze Jin, Xinyu Liu, Haoqiang
Wang, Zhen Chen, Ru Tan and Qixu Liu")</f>
        <v>Shenping Xiong, Xutong Wang, Ze Jin, Xinyu Liu, Haoqiang
Wang, Zhen Chen, Ru Tan and Qixu Liu</v>
      </c>
      <c r="F348" s="209" t="str">
        <f>IFERROR(__xludf.DUMMYFUNCTION("TEXTJOIN(CHAR(10), TRUE,FILTER ('Sheridan Main'!E:E,'Sheridan Main'!B:B=C348))"),"liuxinyu@iie.ac.cn")</f>
        <v>liuxinyu@iie.ac.cn</v>
      </c>
      <c r="G348" s="210" t="str">
        <f>IFERROR(__xludf.DUMMYFUNCTION("CONCATENATE(""https://dl.acm.org/doi/"",INDEX(FILTER('Sheridan Main'!A:A,'Sheridan Main'!B:B=C348),1))"),"https://dl.acm.org/doi/10.1145/3774904.3792149")</f>
        <v>https://dl.acm.org/doi/10.1145/3774904.3792149</v>
      </c>
      <c r="H348" s="189" t="s">
        <v>2852</v>
      </c>
      <c r="I348" s="189" t="s">
        <v>2896</v>
      </c>
      <c r="J348" s="209"/>
      <c r="K348" s="147"/>
      <c r="L348" s="147"/>
      <c r="M348" s="209"/>
      <c r="N348" s="209"/>
      <c r="O348" s="209"/>
      <c r="P348" s="209"/>
      <c r="Q348" s="209"/>
      <c r="R348" s="209"/>
      <c r="S348" s="209"/>
      <c r="T348" s="209"/>
      <c r="U348" s="209"/>
      <c r="V348" s="209"/>
      <c r="W348" s="209"/>
      <c r="X348" s="209"/>
      <c r="Y348" s="209"/>
      <c r="Z348" s="209"/>
      <c r="AA348" s="209"/>
      <c r="AB348" s="209"/>
      <c r="AC348" s="209"/>
      <c r="AD348" s="209"/>
      <c r="AE348" s="209"/>
    </row>
    <row r="349">
      <c r="A349" s="208" t="s">
        <v>2895</v>
      </c>
      <c r="B349" s="189" t="str">
        <f>IFERROR(__xludf.DUMMYFUNCTION("FILTER ('Research Papers'!D:D,'Research Papers'!A:A=C349)"),"DiSCoQR: Diffusion-Driven Semantic Compression for Robust Image Steganography in Standard QR Codes")</f>
        <v>DiSCoQR: Diffusion-Driven Semantic Compression for Robust Image Steganography in Standard QR Codes</v>
      </c>
      <c r="C349" s="189" t="s">
        <v>622</v>
      </c>
      <c r="D349" s="209" t="str">
        <f t="shared" si="1"/>
        <v>DiSCoQR: Diffusion-Driven Semantic Compression for Robust Image Steganography in Standard QR Codes
Lijing Ren and Denghui Zhang
</v>
      </c>
      <c r="E349" s="209" t="str">
        <f>IFERROR(__xludf.DUMMYFUNCTION("TEXTJOIN(CHAR(10), TRUE,FILTER('Research Papers'!$C:$C,'Research Papers'!$A:$A=C349))"),"Lijing Ren and Denghui Zhang")</f>
        <v>Lijing Ren and Denghui Zhang</v>
      </c>
      <c r="F349" s="209" t="str">
        <f>IFERROR(__xludf.DUMMYFUNCTION("TEXTJOIN(CHAR(10), TRUE,FILTER ('Sheridan Main'!E:E,'Sheridan Main'!B:B=C349))"),"denghui.zhang@gzhu.edu.cn")</f>
        <v>denghui.zhang@gzhu.edu.cn</v>
      </c>
      <c r="G349" s="210" t="str">
        <f>IFERROR(__xludf.DUMMYFUNCTION("CONCATENATE(""https://dl.acm.org/doi/"",INDEX(FILTER('Sheridan Main'!A:A,'Sheridan Main'!B:B=C349),1))"),"https://dl.acm.org/doi/10.1145/3774904.3792153")</f>
        <v>https://dl.acm.org/doi/10.1145/3774904.3792153</v>
      </c>
      <c r="H349" s="189" t="s">
        <v>2852</v>
      </c>
      <c r="I349" s="189" t="s">
        <v>2896</v>
      </c>
      <c r="J349" s="209"/>
      <c r="K349" s="147"/>
      <c r="L349" s="147"/>
      <c r="M349" s="209"/>
      <c r="N349" s="209"/>
      <c r="O349" s="209"/>
      <c r="P349" s="209"/>
      <c r="Q349" s="209"/>
      <c r="R349" s="209"/>
      <c r="S349" s="209"/>
      <c r="T349" s="209"/>
      <c r="U349" s="209"/>
      <c r="V349" s="209"/>
      <c r="W349" s="209"/>
      <c r="X349" s="209"/>
      <c r="Y349" s="209"/>
      <c r="Z349" s="209"/>
      <c r="AA349" s="209"/>
      <c r="AB349" s="209"/>
      <c r="AC349" s="209"/>
      <c r="AD349" s="209"/>
      <c r="AE349" s="209"/>
    </row>
    <row r="350">
      <c r="A350" s="208" t="s">
        <v>2895</v>
      </c>
      <c r="B350" s="189" t="str">
        <f>IFERROR(__xludf.DUMMYFUNCTION("FILTER ('Research Papers'!D:D,'Research Papers'!A:A=C350)"),"Netting Phish in the IPFS Ocean: Real-Time Monitoring and Characterization of Decentralized Phishing Campaigns")</f>
        <v>Netting Phish in the IPFS Ocean: Real-Time Monitoring and Characterization of Decentralized Phishing Campaigns</v>
      </c>
      <c r="C350" s="189" t="s">
        <v>692</v>
      </c>
      <c r="D350" s="209" t="str">
        <f t="shared" si="1"/>
        <v>Netting Phish in the IPFS Ocean: Real-Time Monitoring and Characterization of Decentralized Phishing Campaigns
Anas Kastantin, Leonhard Balduf, Onur Ascigil, Saidu
Sokoto, Björn Scheuermann, Andrzej Duda, Michał Król and
Maciej Korczyński
</v>
      </c>
      <c r="E350" s="209" t="str">
        <f>IFERROR(__xludf.DUMMYFUNCTION("TEXTJOIN(CHAR(10), TRUE,FILTER('Research Papers'!$C:$C,'Research Papers'!$A:$A=C350))"),"Anas Kastantin, Leonhard Balduf, Onur Ascigil, Saidu
Sokoto, Björn Scheuermann, Andrzej Duda, Michał Król and
Maciej Korczyński")</f>
        <v>Anas Kastantin, Leonhard Balduf, Onur Ascigil, Saidu
Sokoto, Björn Scheuermann, Andrzej Duda, Michał Król and
Maciej Korczyński</v>
      </c>
      <c r="F350" s="209" t="str">
        <f>IFERROR(__xludf.DUMMYFUNCTION("TEXTJOIN(CHAR(10), TRUE,FILTER ('Sheridan Main'!E:E,'Sheridan Main'!B:B=C350))"),"leonhard.balduf@tu-darmstadt.de")</f>
        <v>leonhard.balduf@tu-darmstadt.de</v>
      </c>
      <c r="G350" s="210" t="str">
        <f>IFERROR(__xludf.DUMMYFUNCTION("CONCATENATE(""https://dl.acm.org/doi/"",INDEX(FILTER('Sheridan Main'!A:A,'Sheridan Main'!B:B=C350),1))"),"https://dl.acm.org/doi/10.1145/3774904.3792188")</f>
        <v>https://dl.acm.org/doi/10.1145/3774904.3792188</v>
      </c>
      <c r="H350" s="189" t="s">
        <v>2852</v>
      </c>
      <c r="I350" s="189" t="s">
        <v>2896</v>
      </c>
      <c r="J350" s="209"/>
      <c r="K350" s="147"/>
      <c r="L350" s="147"/>
      <c r="M350" s="209"/>
      <c r="N350" s="209"/>
      <c r="O350" s="209"/>
      <c r="P350" s="209"/>
      <c r="Q350" s="209"/>
      <c r="R350" s="209"/>
      <c r="S350" s="209"/>
      <c r="T350" s="209"/>
      <c r="U350" s="209"/>
      <c r="V350" s="209"/>
      <c r="W350" s="209"/>
      <c r="X350" s="209"/>
      <c r="Y350" s="209"/>
      <c r="Z350" s="209"/>
      <c r="AA350" s="209"/>
      <c r="AB350" s="209"/>
      <c r="AC350" s="209"/>
      <c r="AD350" s="209"/>
      <c r="AE350" s="209"/>
    </row>
    <row r="351">
      <c r="A351" s="208" t="s">
        <v>2895</v>
      </c>
      <c r="B351" s="189" t="str">
        <f>IFERROR(__xludf.DUMMYFUNCTION("FILTER ('Research Papers'!D:D,'Research Papers'!A:A=C351)"),"FraudShield: Knowledge Graph Empowered Defense for LLMs against Fraud Attacks")</f>
        <v>FraudShield: Knowledge Graph Empowered Defense for LLMs against Fraud Attacks</v>
      </c>
      <c r="C351" s="189" t="s">
        <v>714</v>
      </c>
      <c r="D351" s="209" t="str">
        <f t="shared" si="1"/>
        <v>FraudShield: Knowledge Graph Empowered Defense for LLMs against Fraud Attacks
Naen Xu, Jinghuai Zhang, Ping He, Chunyi Zhou, Jun Wang,
Zhihui Fu, Tianyu Du, Zhaoxiang Wang and Shouling Ji
</v>
      </c>
      <c r="E351" s="209" t="str">
        <f>IFERROR(__xludf.DUMMYFUNCTION("TEXTJOIN(CHAR(10), TRUE,FILTER('Research Papers'!$C:$C,'Research Papers'!$A:$A=C351))"),"Naen Xu, Jinghuai Zhang, Ping He, Chunyi Zhou, Jun Wang,
Zhihui Fu, Tianyu Du, Zhaoxiang Wang and Shouling Ji")</f>
        <v>Naen Xu, Jinghuai Zhang, Ping He, Chunyi Zhou, Jun Wang,
Zhihui Fu, Tianyu Du, Zhaoxiang Wang and Shouling Ji</v>
      </c>
      <c r="F351" s="209" t="str">
        <f>IFERROR(__xludf.DUMMYFUNCTION("TEXTJOIN(CHAR(10), TRUE,FILTER ('Sheridan Main'!E:E,'Sheridan Main'!B:B=C351))"),"zjradty@zju.edu.cn")</f>
        <v>zjradty@zju.edu.cn</v>
      </c>
      <c r="G351" s="210" t="str">
        <f>IFERROR(__xludf.DUMMYFUNCTION("CONCATENATE(""https://dl.acm.org/doi/"",INDEX(FILTER('Sheridan Main'!A:A,'Sheridan Main'!B:B=C351),1))"),"https://dl.acm.org/doi/10.1145/3774904.3792199")</f>
        <v>https://dl.acm.org/doi/10.1145/3774904.3792199</v>
      </c>
      <c r="H351" s="189" t="s">
        <v>2852</v>
      </c>
      <c r="I351" s="189" t="s">
        <v>2896</v>
      </c>
      <c r="J351" s="209"/>
      <c r="K351" s="147"/>
      <c r="L351" s="147"/>
      <c r="M351" s="209"/>
      <c r="N351" s="209"/>
      <c r="O351" s="209"/>
      <c r="P351" s="209"/>
      <c r="Q351" s="209"/>
      <c r="R351" s="209"/>
      <c r="S351" s="209"/>
      <c r="T351" s="209"/>
      <c r="U351" s="209"/>
      <c r="V351" s="209"/>
      <c r="W351" s="209"/>
      <c r="X351" s="209"/>
      <c r="Y351" s="209"/>
      <c r="Z351" s="209"/>
      <c r="AA351" s="209"/>
      <c r="AB351" s="209"/>
      <c r="AC351" s="209"/>
      <c r="AD351" s="209"/>
      <c r="AE351" s="209"/>
    </row>
    <row r="352">
      <c r="A352" s="208" t="s">
        <v>2895</v>
      </c>
      <c r="B352" s="189" t="str">
        <f>IFERROR(__xludf.DUMMYFUNCTION("FILTER ('Research Papers'!D:D,'Research Papers'!A:A=C352)"),"HyperDetector: Advanced Persistent Threat Detection via Hypergraph Neural Networks with Enhanced Global Perception")</f>
        <v>HyperDetector: Advanced Persistent Threat Detection via Hypergraph Neural Networks with Enhanced Global Perception</v>
      </c>
      <c r="C352" s="189" t="s">
        <v>718</v>
      </c>
      <c r="D352" s="209" t="str">
        <f t="shared" si="1"/>
        <v>HyperDetector: Advanced Persistent Threat Detection via Hypergraph Neural Networks with Enhanced Global Perception
Ziyue Wu, Nan Wang, Jiqiang Liu, Hairong Dong and Xibin Zhao
</v>
      </c>
      <c r="E352" s="209" t="str">
        <f>IFERROR(__xludf.DUMMYFUNCTION("TEXTJOIN(CHAR(10), TRUE,FILTER('Research Papers'!$C:$C,'Research Papers'!$A:$A=C352))"),"Ziyue Wu, Nan Wang, Jiqiang Liu, Hairong Dong and Xibin Zhao")</f>
        <v>Ziyue Wu, Nan Wang, Jiqiang Liu, Hairong Dong and Xibin Zhao</v>
      </c>
      <c r="F352" s="209" t="str">
        <f>IFERROR(__xludf.DUMMYFUNCTION("TEXTJOIN(CHAR(10), TRUE,FILTER ('Sheridan Main'!E:E,'Sheridan Main'!B:B=C352))"),"zxb@tsinghua.edu.cn")</f>
        <v>zxb@tsinghua.edu.cn</v>
      </c>
      <c r="G352" s="210" t="str">
        <f>IFERROR(__xludf.DUMMYFUNCTION("CONCATENATE(""https://dl.acm.org/doi/"",INDEX(FILTER('Sheridan Main'!A:A,'Sheridan Main'!B:B=C352),1))"),"https://dl.acm.org/doi/10.1145/3774904.3792201")</f>
        <v>https://dl.acm.org/doi/10.1145/3774904.3792201</v>
      </c>
      <c r="H352" s="189" t="s">
        <v>2852</v>
      </c>
      <c r="I352" s="189" t="s">
        <v>2896</v>
      </c>
      <c r="J352" s="209"/>
      <c r="K352" s="147"/>
      <c r="L352" s="147"/>
      <c r="M352" s="209"/>
      <c r="N352" s="209"/>
      <c r="O352" s="209"/>
      <c r="P352" s="209"/>
      <c r="Q352" s="209"/>
      <c r="R352" s="209"/>
      <c r="S352" s="209"/>
      <c r="T352" s="209"/>
      <c r="U352" s="209"/>
      <c r="V352" s="209"/>
      <c r="W352" s="209"/>
      <c r="X352" s="209"/>
      <c r="Y352" s="209"/>
      <c r="Z352" s="209"/>
      <c r="AA352" s="209"/>
      <c r="AB352" s="209"/>
      <c r="AC352" s="209"/>
      <c r="AD352" s="209"/>
      <c r="AE352" s="209"/>
    </row>
    <row r="353">
      <c r="A353" s="208" t="s">
        <v>2895</v>
      </c>
      <c r="B353" s="189" t="str">
        <f>IFERROR(__xludf.DUMMYFUNCTION("FILTER ('Research Papers'!D:D,'Research Papers'!A:A=C353)"),"Privacy-Friendly Adaptation of Vision Transformers for Communication and Latency-Efficient Private Inference")</f>
        <v>Privacy-Friendly Adaptation of Vision Transformers for Communication and Latency-Efficient Private Inference</v>
      </c>
      <c r="C353" s="189" t="s">
        <v>738</v>
      </c>
      <c r="D353" s="209" t="str">
        <f t="shared" si="1"/>
        <v>Privacy-Friendly Adaptation of Vision Transformers for Communication and Latency-Efficient Private Inference
Zhi Pang, Bo Feng, Meng Luo, Chenhao Liu, Shuwang Xu, Kai
Zhao, Yadi Wu and Bo Zeng
</v>
      </c>
      <c r="E353" s="209" t="str">
        <f>IFERROR(__xludf.DUMMYFUNCTION("TEXTJOIN(CHAR(10), TRUE,FILTER('Research Papers'!$C:$C,'Research Papers'!$A:$A=C353))"),"Zhi Pang, Bo Feng, Meng Luo, Chenhao Liu, Shuwang Xu, Kai
Zhao, Yadi Wu and Bo Zeng")</f>
        <v>Zhi Pang, Bo Feng, Meng Luo, Chenhao Liu, Shuwang Xu, Kai
Zhao, Yadi Wu and Bo Zeng</v>
      </c>
      <c r="F353" s="209" t="str">
        <f>IFERROR(__xludf.DUMMYFUNCTION("TEXTJOIN(CHAR(10), TRUE,FILTER ('Sheridan Main'!E:E,'Sheridan Main'!B:B=C353))"),"bo.feng@zju.edu.cn")</f>
        <v>bo.feng@zju.edu.cn</v>
      </c>
      <c r="G353" s="210" t="str">
        <f>IFERROR(__xludf.DUMMYFUNCTION("CONCATENATE(""https://dl.acm.org/doi/"",INDEX(FILTER('Sheridan Main'!A:A,'Sheridan Main'!B:B=C353),1))"),"https://dl.acm.org/doi/10.1145/3774904.3792211")</f>
        <v>https://dl.acm.org/doi/10.1145/3774904.3792211</v>
      </c>
      <c r="H353" s="189" t="s">
        <v>2852</v>
      </c>
      <c r="I353" s="189" t="s">
        <v>2896</v>
      </c>
      <c r="J353" s="209"/>
      <c r="K353" s="147"/>
      <c r="L353" s="147"/>
      <c r="M353" s="209"/>
      <c r="N353" s="209"/>
      <c r="O353" s="209"/>
      <c r="P353" s="209"/>
      <c r="Q353" s="209"/>
      <c r="R353" s="209"/>
      <c r="S353" s="209"/>
      <c r="T353" s="209"/>
      <c r="U353" s="209"/>
      <c r="V353" s="209"/>
      <c r="W353" s="209"/>
      <c r="X353" s="209"/>
      <c r="Y353" s="209"/>
      <c r="Z353" s="209"/>
      <c r="AA353" s="209"/>
      <c r="AB353" s="209"/>
      <c r="AC353" s="209"/>
      <c r="AD353" s="209"/>
      <c r="AE353" s="209"/>
    </row>
    <row r="354">
      <c r="A354" s="208" t="s">
        <v>2895</v>
      </c>
      <c r="B354" s="189" t="str">
        <f>IFERROR(__xludf.DUMMYFUNCTION("FILTER ('Research Papers'!D:D,'Research Papers'!A:A=C354)"),"MGFFD-VLM: Multi-Granularity Prompt Learning for Face Forgery Detection with VLM")</f>
        <v>MGFFD-VLM: Multi-Granularity Prompt Learning for Face Forgery Detection with VLM</v>
      </c>
      <c r="C354" s="189" t="s">
        <v>756</v>
      </c>
      <c r="D354" s="209" t="str">
        <f t="shared" si="1"/>
        <v>MGFFD-VLM: Multi-Granularity Prompt Learning for Face Forgery Detection with VLM
Tao Chen, Jingyi Zhang, Decheng Liu and Chunlei Peng
</v>
      </c>
      <c r="E354" s="209" t="str">
        <f>IFERROR(__xludf.DUMMYFUNCTION("TEXTJOIN(CHAR(10), TRUE,FILTER('Research Papers'!$C:$C,'Research Papers'!$A:$A=C354))"),"Tao Chen, Jingyi Zhang, Decheng Liu and Chunlei Peng")</f>
        <v>Tao Chen, Jingyi Zhang, Decheng Liu and Chunlei Peng</v>
      </c>
      <c r="F354" s="209" t="str">
        <f>IFERROR(__xludf.DUMMYFUNCTION("TEXTJOIN(CHAR(10), TRUE,FILTER ('Sheridan Main'!E:E,'Sheridan Main'!B:B=C354))"),"clpeng@xidian.edu.cn")</f>
        <v>clpeng@xidian.edu.cn</v>
      </c>
      <c r="G354" s="210" t="str">
        <f>IFERROR(__xludf.DUMMYFUNCTION("CONCATENATE(""https://dl.acm.org/doi/"",INDEX(FILTER('Sheridan Main'!A:A,'Sheridan Main'!B:B=C354),1))"),"https://dl.acm.org/doi/10.1145/3774904.3792220")</f>
        <v>https://dl.acm.org/doi/10.1145/3774904.3792220</v>
      </c>
      <c r="H354" s="189" t="s">
        <v>2852</v>
      </c>
      <c r="I354" s="189" t="s">
        <v>2896</v>
      </c>
      <c r="J354" s="209"/>
      <c r="K354" s="147"/>
      <c r="L354" s="147"/>
      <c r="M354" s="209"/>
      <c r="N354" s="209"/>
      <c r="O354" s="209"/>
      <c r="P354" s="209"/>
      <c r="Q354" s="209"/>
      <c r="R354" s="209"/>
      <c r="S354" s="209"/>
      <c r="T354" s="209"/>
      <c r="U354" s="209"/>
      <c r="V354" s="209"/>
      <c r="W354" s="209"/>
      <c r="X354" s="209"/>
      <c r="Y354" s="209"/>
      <c r="Z354" s="209"/>
      <c r="AA354" s="209"/>
      <c r="AB354" s="209"/>
      <c r="AC354" s="209"/>
      <c r="AD354" s="209"/>
      <c r="AE354" s="209"/>
    </row>
    <row r="355">
      <c r="A355" s="208" t="s">
        <v>2895</v>
      </c>
      <c r="B355" s="189" t="str">
        <f>IFERROR(__xludf.DUMMYFUNCTION("FILTER ('Research Papers'!D:D,'Research Papers'!A:A=C355)"),"Red-Teaming Privacy-Protective Perturbations: Blind Face Restoration as an Attack Strategy")</f>
        <v>Red-Teaming Privacy-Protective Perturbations: Blind Face Restoration as an Attack Strategy</v>
      </c>
      <c r="C355" s="189" t="s">
        <v>768</v>
      </c>
      <c r="D355" s="209" t="str">
        <f t="shared" si="1"/>
        <v>Red-Teaming Privacy-Protective Perturbations: Blind Face Restoration as an Attack Strategy
Zelin Li, Yifan Liu, Huimin Zeng, Yaokun Liu, Ruichen Yao,
Yang Zhang and Dong Wang
</v>
      </c>
      <c r="E355" s="209" t="str">
        <f>IFERROR(__xludf.DUMMYFUNCTION("TEXTJOIN(CHAR(10), TRUE,FILTER('Research Papers'!$C:$C,'Research Papers'!$A:$A=C355))"),"Zelin Li, Yifan Liu, Huimin Zeng, Yaokun Liu, Ruichen Yao,
Yang Zhang and Dong Wang")</f>
        <v>Zelin Li, Yifan Liu, Huimin Zeng, Yaokun Liu, Ruichen Yao,
Yang Zhang and Dong Wang</v>
      </c>
      <c r="F355" s="209" t="str">
        <f>IFERROR(__xludf.DUMMYFUNCTION("TEXTJOIN(CHAR(10), TRUE,FILTER ('Sheridan Main'!E:E,'Sheridan Main'!B:B=C355))"),"dwang24@illinois.edu")</f>
        <v>dwang24@illinois.edu</v>
      </c>
      <c r="G355" s="210" t="str">
        <f>IFERROR(__xludf.DUMMYFUNCTION("CONCATENATE(""https://dl.acm.org/doi/"",INDEX(FILTER('Sheridan Main'!A:A,'Sheridan Main'!B:B=C355),1))"),"https://dl.acm.org/doi/10.1145/3774904.3792226")</f>
        <v>https://dl.acm.org/doi/10.1145/3774904.3792226</v>
      </c>
      <c r="H355" s="189" t="s">
        <v>2852</v>
      </c>
      <c r="I355" s="189" t="s">
        <v>118</v>
      </c>
      <c r="J355" s="209"/>
      <c r="K355" s="147"/>
      <c r="L355" s="147"/>
      <c r="M355" s="209"/>
      <c r="N355" s="209"/>
      <c r="O355" s="209"/>
      <c r="P355" s="209"/>
      <c r="Q355" s="209"/>
      <c r="R355" s="209"/>
      <c r="S355" s="209"/>
      <c r="T355" s="209"/>
      <c r="U355" s="209"/>
      <c r="V355" s="209"/>
      <c r="W355" s="209"/>
      <c r="X355" s="209"/>
      <c r="Y355" s="209"/>
      <c r="Z355" s="209"/>
      <c r="AA355" s="209"/>
      <c r="AB355" s="209"/>
      <c r="AC355" s="209"/>
      <c r="AD355" s="209"/>
      <c r="AE355" s="209"/>
    </row>
    <row r="356">
      <c r="A356" s="208" t="s">
        <v>2895</v>
      </c>
      <c r="B356" s="189" t="str">
        <f>IFERROR(__xludf.DUMMYFUNCTION("FILTER ('Research Papers'!D:D,'Research Papers'!A:A=C356)"),"LLMQuA: Practical Backdoor Injection on Large Language Model Quantization")</f>
        <v>LLMQuA: Practical Backdoor Injection on Large Language Model Quantization</v>
      </c>
      <c r="C356" s="189" t="s">
        <v>828</v>
      </c>
      <c r="D356" s="209" t="str">
        <f t="shared" si="1"/>
        <v>LLMQuA: Practical Backdoor Injection on Large Language Model Quantization
Xiangxiang Chen, Peixin Zhang, Jun Sun, Jin Song Dong,
Wenhai Wang and Jingyi Wang
</v>
      </c>
      <c r="E356" s="209" t="str">
        <f>IFERROR(__xludf.DUMMYFUNCTION("TEXTJOIN(CHAR(10), TRUE,FILTER('Research Papers'!$C:$C,'Research Papers'!$A:$A=C356))"),"Xiangxiang Chen, Peixin Zhang, Jun Sun, Jin Song Dong,
Wenhai Wang and Jingyi Wang")</f>
        <v>Xiangxiang Chen, Peixin Zhang, Jun Sun, Jin Song Dong,
Wenhai Wang and Jingyi Wang</v>
      </c>
      <c r="F356" s="209" t="str">
        <f>IFERROR(__xludf.DUMMYFUNCTION("TEXTJOIN(CHAR(10), TRUE,FILTER ('Sheridan Main'!E:E,'Sheridan Main'!B:B=C356))"),"pxzhang94@gmail.com")</f>
        <v>pxzhang94@gmail.com</v>
      </c>
      <c r="G356" s="210" t="str">
        <f>IFERROR(__xludf.DUMMYFUNCTION("CONCATENATE(""https://dl.acm.org/doi/"",INDEX(FILTER('Sheridan Main'!A:A,'Sheridan Main'!B:B=C356),1))"),"https://dl.acm.org/doi/10.1145/3774904.3792256")</f>
        <v>https://dl.acm.org/doi/10.1145/3774904.3792256</v>
      </c>
      <c r="H356" s="189" t="s">
        <v>2852</v>
      </c>
      <c r="I356" s="189" t="s">
        <v>118</v>
      </c>
      <c r="J356" s="209"/>
      <c r="K356" s="147"/>
      <c r="L356" s="147"/>
      <c r="M356" s="209"/>
      <c r="N356" s="209"/>
      <c r="O356" s="209"/>
      <c r="P356" s="209"/>
      <c r="Q356" s="209"/>
      <c r="R356" s="209"/>
      <c r="S356" s="209"/>
      <c r="T356" s="209"/>
      <c r="U356" s="209"/>
      <c r="V356" s="209"/>
      <c r="W356" s="209"/>
      <c r="X356" s="209"/>
      <c r="Y356" s="209"/>
      <c r="Z356" s="209"/>
      <c r="AA356" s="209"/>
      <c r="AB356" s="209"/>
      <c r="AC356" s="209"/>
      <c r="AD356" s="209"/>
      <c r="AE356" s="209"/>
    </row>
    <row r="357">
      <c r="A357" s="208" t="s">
        <v>2895</v>
      </c>
      <c r="B357" s="189" t="str">
        <f>IFERROR(__xludf.DUMMYFUNCTION("FILTER ('Research Papers'!D:D,'Research Papers'!A:A=C357)"),"Unveiling the Vulnerability of Graph-LLMs: An Interpretable Multi-Dimensional Adversarial Attack on TAGs")</f>
        <v>Unveiling the Vulnerability of Graph-LLMs: An Interpretable Multi-Dimensional Adversarial Attack on TAGs</v>
      </c>
      <c r="C357" s="189" t="s">
        <v>884</v>
      </c>
      <c r="D357" s="209" t="str">
        <f t="shared" si="1"/>
        <v>Unveiling the Vulnerability of Graph-LLMs: An Interpretable Multi-Dimensional Adversarial Attack on TAGs
Bowen Fan, Zhilin Guo, Xunkai Li, Yihan Zhou, Bing Zhou,
Zhenjun Li, Rong-Hua Li and Guoren Wang
</v>
      </c>
      <c r="E357" s="209" t="str">
        <f>IFERROR(__xludf.DUMMYFUNCTION("TEXTJOIN(CHAR(10), TRUE,FILTER('Research Papers'!$C:$C,'Research Papers'!$A:$A=C357))"),"Bowen Fan, Zhilin Guo, Xunkai Li, Yihan Zhou, Bing Zhou,
Zhenjun Li, Rong-Hua Li and Guoren Wang")</f>
        <v>Bowen Fan, Zhilin Guo, Xunkai Li, Yihan Zhou, Bing Zhou,
Zhenjun Li, Rong-Hua Li and Guoren Wang</v>
      </c>
      <c r="F357" s="209" t="str">
        <f>IFERROR(__xludf.DUMMYFUNCTION("TEXTJOIN(CHAR(10), TRUE,FILTER ('Sheridan Main'!E:E,'Sheridan Main'!B:B=C357))"),"3220241345@bit.edu.cn")</f>
        <v>3220241345@bit.edu.cn</v>
      </c>
      <c r="G357" s="210" t="str">
        <f>IFERROR(__xludf.DUMMYFUNCTION("CONCATENATE(""https://dl.acm.org/doi/"",INDEX(FILTER('Sheridan Main'!A:A,'Sheridan Main'!B:B=C357),1))"),"https://dl.acm.org/doi/10.1145/3774904.3792284")</f>
        <v>https://dl.acm.org/doi/10.1145/3774904.3792284</v>
      </c>
      <c r="H357" s="189" t="s">
        <v>2852</v>
      </c>
      <c r="I357" s="189" t="s">
        <v>118</v>
      </c>
      <c r="J357" s="209"/>
      <c r="K357" s="147"/>
      <c r="L357" s="147"/>
      <c r="M357" s="209"/>
      <c r="N357" s="209"/>
      <c r="O357" s="209"/>
      <c r="P357" s="209"/>
      <c r="Q357" s="209"/>
      <c r="R357" s="209"/>
      <c r="S357" s="209"/>
      <c r="T357" s="209"/>
      <c r="U357" s="209"/>
      <c r="V357" s="209"/>
      <c r="W357" s="209"/>
      <c r="X357" s="209"/>
      <c r="Y357" s="209"/>
      <c r="Z357" s="209"/>
      <c r="AA357" s="209"/>
      <c r="AB357" s="209"/>
      <c r="AC357" s="209"/>
      <c r="AD357" s="209"/>
      <c r="AE357" s="209"/>
    </row>
    <row r="358">
      <c r="A358" s="208" t="s">
        <v>2895</v>
      </c>
      <c r="B358" s="189" t="str">
        <f>IFERROR(__xludf.DUMMYFUNCTION("FILTER ('Research Papers'!D:D,'Research Papers'!A:A=C358)"),"Robust LLM-Based Website Fingerprinting under Dynamic Real-World Conditions")</f>
        <v>Robust LLM-Based Website Fingerprinting under Dynamic Real-World Conditions</v>
      </c>
      <c r="C358" s="189" t="s">
        <v>892</v>
      </c>
      <c r="D358" s="209" t="str">
        <f t="shared" si="1"/>
        <v>Robust LLM-Based Website Fingerprinting under Dynamic Real-World Conditions
Xiyuan Zhao, Xinhao Deng, Tianyu Cui, Yixiang Zhang, Ke Xu
and Qi Li
</v>
      </c>
      <c r="E358" s="209" t="str">
        <f>IFERROR(__xludf.DUMMYFUNCTION("TEXTJOIN(CHAR(10), TRUE,FILTER('Research Papers'!$C:$C,'Research Papers'!$A:$A=C358))"),"Xiyuan Zhao, Xinhao Deng, Tianyu Cui, Yixiang Zhang, Ke Xu
and Qi Li")</f>
        <v>Xiyuan Zhao, Xinhao Deng, Tianyu Cui, Yixiang Zhang, Ke Xu
and Qi Li</v>
      </c>
      <c r="F358" s="209" t="str">
        <f>IFERROR(__xludf.DUMMYFUNCTION("TEXTJOIN(CHAR(10), TRUE,FILTER ('Sheridan Main'!E:E,'Sheridan Main'!B:B=C358))"),"qli01@tsinghua.edu.cn")</f>
        <v>qli01@tsinghua.edu.cn</v>
      </c>
      <c r="G358" s="210" t="str">
        <f>IFERROR(__xludf.DUMMYFUNCTION("CONCATENATE(""https://dl.acm.org/doi/"",INDEX(FILTER('Sheridan Main'!A:A,'Sheridan Main'!B:B=C358),1))"),"https://dl.acm.org/doi/10.1145/3774904.3792288")</f>
        <v>https://dl.acm.org/doi/10.1145/3774904.3792288</v>
      </c>
      <c r="H358" s="189" t="s">
        <v>2852</v>
      </c>
      <c r="I358" s="189" t="s">
        <v>118</v>
      </c>
      <c r="J358" s="209"/>
      <c r="K358" s="147"/>
      <c r="L358" s="147"/>
      <c r="M358" s="209"/>
      <c r="N358" s="209"/>
      <c r="O358" s="209"/>
      <c r="P358" s="209"/>
      <c r="Q358" s="209"/>
      <c r="R358" s="209"/>
      <c r="S358" s="209"/>
      <c r="T358" s="209"/>
      <c r="U358" s="209"/>
      <c r="V358" s="209"/>
      <c r="W358" s="209"/>
      <c r="X358" s="209"/>
      <c r="Y358" s="209"/>
      <c r="Z358" s="209"/>
      <c r="AA358" s="209"/>
      <c r="AB358" s="209"/>
      <c r="AC358" s="209"/>
      <c r="AD358" s="209"/>
      <c r="AE358" s="209"/>
    </row>
    <row r="359">
      <c r="A359" s="208" t="s">
        <v>2895</v>
      </c>
      <c r="B359" s="189" t="str">
        <f>IFERROR(__xludf.DUMMYFUNCTION("FILTER ('Research Papers'!D:D,'Research Papers'!A:A=C359)"),"Breaking Cross-modal Alignment in Embodied Intelligence: A Multimodal Adversarial Attack Framework for Vision-Language-Action Models")</f>
        <v>Breaking Cross-modal Alignment in Embodied Intelligence: A Multimodal Adversarial Attack Framework for Vision-Language-Action Models</v>
      </c>
      <c r="C359" s="189" t="s">
        <v>946</v>
      </c>
      <c r="D359" s="209" t="str">
        <f t="shared" si="1"/>
        <v>Breaking Cross-modal Alignment in Embodied Intelligence: A Multimodal Adversarial Attack Framework for Vision-Language-Action Models
Zhihui Zhao, Xiaorong Dong, Yaowen Zheng, Xiaohui Chen,
Yimo Ren, Hangbei Cheng, Yongle Chen and Limin Sun
</v>
      </c>
      <c r="E359" s="209" t="str">
        <f>IFERROR(__xludf.DUMMYFUNCTION("TEXTJOIN(CHAR(10), TRUE,FILTER('Research Papers'!$C:$C,'Research Papers'!$A:$A=C359))"),"Zhihui Zhao, Xiaorong Dong, Yaowen Zheng, Xiaohui Chen,
Yimo Ren, Hangbei Cheng, Yongle Chen and Limin Sun")</f>
        <v>Zhihui Zhao, Xiaorong Dong, Yaowen Zheng, Xiaohui Chen,
Yimo Ren, Hangbei Cheng, Yongle Chen and Limin Sun</v>
      </c>
      <c r="F359" s="209" t="str">
        <f>IFERROR(__xludf.DUMMYFUNCTION("TEXTJOIN(CHAR(10), TRUE,FILTER ('Sheridan Main'!E:E,'Sheridan Main'!B:B=C359))"),"chenyongle@tyut.edu.cn")</f>
        <v>chenyongle@tyut.edu.cn</v>
      </c>
      <c r="G359" s="210" t="str">
        <f>IFERROR(__xludf.DUMMYFUNCTION("CONCATENATE(""https://dl.acm.org/doi/"",INDEX(FILTER('Sheridan Main'!A:A,'Sheridan Main'!B:B=C359),1))"),"https://dl.acm.org/doi/10.1145/3774904.3792315")</f>
        <v>https://dl.acm.org/doi/10.1145/3774904.3792315</v>
      </c>
      <c r="H359" s="189" t="s">
        <v>2852</v>
      </c>
      <c r="I359" s="189" t="s">
        <v>118</v>
      </c>
      <c r="J359" s="209"/>
      <c r="K359" s="147"/>
      <c r="L359" s="147"/>
      <c r="M359" s="209"/>
      <c r="N359" s="209"/>
      <c r="O359" s="209"/>
      <c r="P359" s="209"/>
      <c r="Q359" s="209"/>
      <c r="R359" s="209"/>
      <c r="S359" s="209"/>
      <c r="T359" s="209"/>
      <c r="U359" s="209"/>
      <c r="V359" s="209"/>
      <c r="W359" s="209"/>
      <c r="X359" s="209"/>
      <c r="Y359" s="209"/>
      <c r="Z359" s="209"/>
      <c r="AA359" s="209"/>
      <c r="AB359" s="209"/>
      <c r="AC359" s="209"/>
      <c r="AD359" s="209"/>
      <c r="AE359" s="209"/>
    </row>
    <row r="360">
      <c r="A360" s="208" t="s">
        <v>2895</v>
      </c>
      <c r="B360" s="189" t="str">
        <f>IFERROR(__xludf.DUMMYFUNCTION("FILTER ('Research Papers'!D:D,'Research Papers'!A:A=C360)"),"TGweaver: Synthesizing Transaction Graphs for De-anonymization Analysis")</f>
        <v>TGweaver: Synthesizing Transaction Graphs for De-anonymization Analysis</v>
      </c>
      <c r="C360" s="189" t="s">
        <v>952</v>
      </c>
      <c r="D360" s="209" t="str">
        <f t="shared" si="1"/>
        <v>TGweaver: Synthesizing Transaction Graphs for De-anonymization Analysis
Fajie Wu, Jiajing Wu, Zhiying Wu, Jun Chen, Tao Wang,
Longjian He, Bowen Song and Weiqiang Wang
</v>
      </c>
      <c r="E360" s="209" t="str">
        <f>IFERROR(__xludf.DUMMYFUNCTION("TEXTJOIN(CHAR(10), TRUE,FILTER('Research Papers'!$C:$C,'Research Papers'!$A:$A=C360))"),"Fajie Wu, Jiajing Wu, Zhiying Wu, Jun Chen, Tao Wang,
Longjian He, Bowen Song and Weiqiang Wang")</f>
        <v>Fajie Wu, Jiajing Wu, Zhiying Wu, Jun Chen, Tao Wang,
Longjian He, Bowen Song and Weiqiang Wang</v>
      </c>
      <c r="F360" s="209" t="str">
        <f>IFERROR(__xludf.DUMMYFUNCTION("TEXTJOIN(CHAR(10), TRUE,FILTER ('Sheridan Main'!E:E,'Sheridan Main'!B:B=C360))"),"bowen.sbw@antgroup.com")</f>
        <v>bowen.sbw@antgroup.com</v>
      </c>
      <c r="G360" s="210" t="str">
        <f>IFERROR(__xludf.DUMMYFUNCTION("CONCATENATE(""https://dl.acm.org/doi/"",INDEX(FILTER('Sheridan Main'!A:A,'Sheridan Main'!B:B=C360),1))"),"https://dl.acm.org/doi/10.1145/3774904.3792318")</f>
        <v>https://dl.acm.org/doi/10.1145/3774904.3792318</v>
      </c>
      <c r="H360" s="189" t="s">
        <v>2852</v>
      </c>
      <c r="I360" s="189" t="s">
        <v>118</v>
      </c>
      <c r="J360" s="209"/>
      <c r="K360" s="147"/>
      <c r="L360" s="147"/>
      <c r="M360" s="209"/>
      <c r="N360" s="209"/>
      <c r="O360" s="209"/>
      <c r="P360" s="209"/>
      <c r="Q360" s="209"/>
      <c r="R360" s="209"/>
      <c r="S360" s="209"/>
      <c r="T360" s="209"/>
      <c r="U360" s="209"/>
      <c r="V360" s="209"/>
      <c r="W360" s="209"/>
      <c r="X360" s="209"/>
      <c r="Y360" s="209"/>
      <c r="Z360" s="209"/>
      <c r="AA360" s="209"/>
      <c r="AB360" s="209"/>
      <c r="AC360" s="209"/>
      <c r="AD360" s="209"/>
      <c r="AE360" s="209"/>
    </row>
    <row r="361">
      <c r="A361" s="208" t="s">
        <v>2895</v>
      </c>
      <c r="B361" s="189" t="str">
        <f>IFERROR(__xludf.DUMMYFUNCTION("FILTER ('Research Papers'!D:D,'Research Papers'!A:A=C361)"),"Towards Practical LLM Unlearning: Efficient, Modular, and Retain-Free")</f>
        <v>Towards Practical LLM Unlearning: Efficient, Modular, and Retain-Free</v>
      </c>
      <c r="C361" s="189" t="s">
        <v>964</v>
      </c>
      <c r="D361" s="209" t="str">
        <f t="shared" si="1"/>
        <v>Towards Practical LLM Unlearning: Efficient, Modular, and Retain-Free
Peng Liu, Peng-Fei Zhang, Jianfeng Qu, Ximing Li, Zhixu Li
and Pengpeng Zhao
</v>
      </c>
      <c r="E361" s="209" t="str">
        <f>IFERROR(__xludf.DUMMYFUNCTION("TEXTJOIN(CHAR(10), TRUE,FILTER('Research Papers'!$C:$C,'Research Papers'!$A:$A=C361))"),"Peng Liu, Peng-Fei Zhang, Jianfeng Qu, Ximing Li, Zhixu Li
and Pengpeng Zhao")</f>
        <v>Peng Liu, Peng-Fei Zhang, Jianfeng Qu, Ximing Li, Zhixu Li
and Pengpeng Zhao</v>
      </c>
      <c r="F361" s="209" t="str">
        <f>IFERROR(__xludf.DUMMYFUNCTION("TEXTJOIN(CHAR(10), TRUE,FILTER ('Sheridan Main'!E:E,'Sheridan Main'!B:B=C361))"),"jfqu@ruc.edu.cn")</f>
        <v>jfqu@ruc.edu.cn</v>
      </c>
      <c r="G361" s="210" t="str">
        <f>IFERROR(__xludf.DUMMYFUNCTION("CONCATENATE(""https://dl.acm.org/doi/"",INDEX(FILTER('Sheridan Main'!A:A,'Sheridan Main'!B:B=C361),1))"),"https://dl.acm.org/doi/10.1145/3774904.3792324")</f>
        <v>https://dl.acm.org/doi/10.1145/3774904.3792324</v>
      </c>
      <c r="H361" s="189" t="s">
        <v>2852</v>
      </c>
      <c r="I361" s="189" t="s">
        <v>118</v>
      </c>
      <c r="J361" s="209"/>
      <c r="K361" s="147"/>
      <c r="L361" s="147"/>
      <c r="M361" s="209"/>
      <c r="N361" s="209"/>
      <c r="O361" s="209"/>
      <c r="P361" s="209"/>
      <c r="Q361" s="209"/>
      <c r="R361" s="209"/>
      <c r="S361" s="209"/>
      <c r="T361" s="209"/>
      <c r="U361" s="209"/>
      <c r="V361" s="209"/>
      <c r="W361" s="209"/>
      <c r="X361" s="209"/>
      <c r="Y361" s="209"/>
      <c r="Z361" s="209"/>
      <c r="AA361" s="209"/>
      <c r="AB361" s="209"/>
      <c r="AC361" s="209"/>
      <c r="AD361" s="209"/>
      <c r="AE361" s="209"/>
    </row>
    <row r="362">
      <c r="A362" s="208" t="s">
        <v>2895</v>
      </c>
      <c r="B362" s="189" t="str">
        <f>IFERROR(__xludf.DUMMYFUNCTION("FILTER ('Research Papers'!D:D,'Research Papers'!A:A=C362)"),"The Promise vs. Reality of NFT Decentralization: An Empirical Study of Storage Strategies and Defects")</f>
        <v>The Promise vs. Reality of NFT Decentralization: An Empirical Study of Storage Strategies and Defects</v>
      </c>
      <c r="C362" s="189" t="s">
        <v>992</v>
      </c>
      <c r="D362" s="209" t="str">
        <f t="shared" si="1"/>
        <v>The Promise vs. Reality of NFT Decentralization: An Empirical Study of Storage Strategies and Defects
Yufang Wu, Siwen Chen, Chao Li, Yuan Weng and Wei Wang
</v>
      </c>
      <c r="E362" s="209" t="str">
        <f>IFERROR(__xludf.DUMMYFUNCTION("TEXTJOIN(CHAR(10), TRUE,FILTER('Research Papers'!$C:$C,'Research Papers'!$A:$A=C362))"),"Yufang Wu, Siwen Chen, Chao Li, Yuan Weng and Wei Wang")</f>
        <v>Yufang Wu, Siwen Chen, Chao Li, Yuan Weng and Wei Wang</v>
      </c>
      <c r="F362" s="209" t="str">
        <f>IFERROR(__xludf.DUMMYFUNCTION("TEXTJOIN(CHAR(10), TRUE,FILTER ('Sheridan Main'!E:E,'Sheridan Main'!B:B=C362))"),"li.chao@bjtu.edu.cn")</f>
        <v>li.chao@bjtu.edu.cn</v>
      </c>
      <c r="G362" s="210" t="str">
        <f>IFERROR(__xludf.DUMMYFUNCTION("CONCATENATE(""https://dl.acm.org/doi/"",INDEX(FILTER('Sheridan Main'!A:A,'Sheridan Main'!B:B=C362),1))"),"https://dl.acm.org/doi/10.1145/3774904.3792338")</f>
        <v>https://dl.acm.org/doi/10.1145/3774904.3792338</v>
      </c>
      <c r="H362" s="189" t="s">
        <v>2852</v>
      </c>
      <c r="I362" s="189" t="s">
        <v>118</v>
      </c>
      <c r="J362" s="209"/>
      <c r="K362" s="147"/>
      <c r="L362" s="147"/>
      <c r="M362" s="209"/>
      <c r="N362" s="209"/>
      <c r="O362" s="209"/>
      <c r="P362" s="209"/>
      <c r="Q362" s="209"/>
      <c r="R362" s="209"/>
      <c r="S362" s="209"/>
      <c r="T362" s="209"/>
      <c r="U362" s="209"/>
      <c r="V362" s="209"/>
      <c r="W362" s="209"/>
      <c r="X362" s="209"/>
      <c r="Y362" s="209"/>
      <c r="Z362" s="209"/>
      <c r="AA362" s="209"/>
      <c r="AB362" s="209"/>
      <c r="AC362" s="209"/>
      <c r="AD362" s="209"/>
      <c r="AE362" s="209"/>
    </row>
    <row r="363">
      <c r="A363" s="208" t="s">
        <v>2895</v>
      </c>
      <c r="B363" s="189" t="str">
        <f>IFERROR(__xludf.DUMMYFUNCTION("FILTER ('Research Papers'!D:D,'Research Papers'!A:A=C363)"),"PWAVEP: Purifying Imperceptible Adversarial Perturbations in 3D Point Clouds via Spectral Graph Wavelets")</f>
        <v>PWAVEP: Purifying Imperceptible Adversarial Perturbations in 3D Point Clouds via Spectral Graph Wavelets</v>
      </c>
      <c r="C363" s="189" t="s">
        <v>1018</v>
      </c>
      <c r="D363" s="209" t="str">
        <f t="shared" si="1"/>
        <v>PWAVEP: Purifying Imperceptible Adversarial Perturbations in 3D Point Clouds via Spectral Graph Wavelets
Li Haoran, Renyang Liu, Hongjia Liu, Chen Wang, Long Yin
and Jian Xu
</v>
      </c>
      <c r="E363" s="209" t="str">
        <f>IFERROR(__xludf.DUMMYFUNCTION("TEXTJOIN(CHAR(10), TRUE,FILTER('Research Papers'!$C:$C,'Research Papers'!$A:$A=C363))"),"Li Haoran, Renyang Liu, Hongjia Liu, Chen Wang, Long Yin
and Jian Xu")</f>
        <v>Li Haoran, Renyang Liu, Hongjia Liu, Chen Wang, Long Yin
and Jian Xu</v>
      </c>
      <c r="F363" s="209" t="str">
        <f>IFERROR(__xludf.DUMMYFUNCTION("TEXTJOIN(CHAR(10), TRUE,FILTER ('Sheridan Main'!E:E,'Sheridan Main'!B:B=C363))"),"xuj@mail.neu.edu.cn")</f>
        <v>xuj@mail.neu.edu.cn</v>
      </c>
      <c r="G363" s="210" t="str">
        <f>IFERROR(__xludf.DUMMYFUNCTION("CONCATENATE(""https://dl.acm.org/doi/"",INDEX(FILTER('Sheridan Main'!A:A,'Sheridan Main'!B:B=C363),1))"),"https://dl.acm.org/doi/10.1145/3774904.3792351")</f>
        <v>https://dl.acm.org/doi/10.1145/3774904.3792351</v>
      </c>
      <c r="H363" s="189" t="s">
        <v>2852</v>
      </c>
      <c r="I363" s="189" t="s">
        <v>118</v>
      </c>
      <c r="J363" s="209"/>
      <c r="K363" s="147"/>
      <c r="L363" s="147"/>
      <c r="M363" s="209"/>
      <c r="N363" s="209"/>
      <c r="O363" s="209"/>
      <c r="P363" s="209"/>
      <c r="Q363" s="209"/>
      <c r="R363" s="209"/>
      <c r="S363" s="209"/>
      <c r="T363" s="209"/>
      <c r="U363" s="209"/>
      <c r="V363" s="209"/>
      <c r="W363" s="209"/>
      <c r="X363" s="209"/>
      <c r="Y363" s="209"/>
      <c r="Z363" s="209"/>
      <c r="AA363" s="209"/>
      <c r="AB363" s="209"/>
      <c r="AC363" s="209"/>
      <c r="AD363" s="209"/>
      <c r="AE363" s="209"/>
    </row>
    <row r="364">
      <c r="A364" s="208" t="s">
        <v>2895</v>
      </c>
      <c r="B364" s="189" t="str">
        <f>IFERROR(__xludf.DUMMYFUNCTION("FILTER ('Research Papers'!D:D,'Research Papers'!A:A=C364)"),"Zelda: Feedback-driven Closed-box Fuzzing for Identifying Web Application Vulnerabilities")</f>
        <v>Zelda: Feedback-driven Closed-box Fuzzing for Identifying Web Application Vulnerabilities</v>
      </c>
      <c r="C364" s="189" t="s">
        <v>1072</v>
      </c>
      <c r="D364" s="209" t="str">
        <f t="shared" si="1"/>
        <v>Zelda: Feedback-driven Closed-box Fuzzing for Identifying Web Application Vulnerabilities
Soyoung Lee, Sunnyeo Park, Yonghwi Kwon and Sooel Son
</v>
      </c>
      <c r="E364" s="209" t="str">
        <f>IFERROR(__xludf.DUMMYFUNCTION("TEXTJOIN(CHAR(10), TRUE,FILTER('Research Papers'!$C:$C,'Research Papers'!$A:$A=C364))"),"Soyoung Lee, Sunnyeo Park, Yonghwi Kwon and Sooel Son")</f>
        <v>Soyoung Lee, Sunnyeo Park, Yonghwi Kwon and Sooel Son</v>
      </c>
      <c r="F364" s="209" t="str">
        <f>IFERROR(__xludf.DUMMYFUNCTION("TEXTJOIN(CHAR(10), TRUE,FILTER ('Sheridan Main'!E:E,'Sheridan Main'!B:B=C364))"),"sl.son@kaist.ac.kr")</f>
        <v>sl.son@kaist.ac.kr</v>
      </c>
      <c r="G364" s="210" t="str">
        <f>IFERROR(__xludf.DUMMYFUNCTION("CONCATENATE(""https://dl.acm.org/doi/"",INDEX(FILTER('Sheridan Main'!A:A,'Sheridan Main'!B:B=C364),1))"),"https://dl.acm.org/doi/10.1145/3774904.3792378")</f>
        <v>https://dl.acm.org/doi/10.1145/3774904.3792378</v>
      </c>
      <c r="H364" s="189" t="s">
        <v>2852</v>
      </c>
      <c r="I364" s="189" t="s">
        <v>118</v>
      </c>
      <c r="J364" s="209"/>
      <c r="K364" s="147"/>
      <c r="L364" s="147"/>
      <c r="M364" s="209"/>
      <c r="N364" s="209"/>
      <c r="O364" s="209"/>
      <c r="P364" s="209"/>
      <c r="Q364" s="209"/>
      <c r="R364" s="209"/>
      <c r="S364" s="209"/>
      <c r="T364" s="209"/>
      <c r="U364" s="209"/>
      <c r="V364" s="209"/>
      <c r="W364" s="209"/>
      <c r="X364" s="209"/>
      <c r="Y364" s="209"/>
      <c r="Z364" s="209"/>
      <c r="AA364" s="209"/>
      <c r="AB364" s="209"/>
      <c r="AC364" s="209"/>
      <c r="AD364" s="209"/>
      <c r="AE364" s="209"/>
    </row>
    <row r="365">
      <c r="A365" s="208" t="s">
        <v>2895</v>
      </c>
      <c r="B365" s="189" t="str">
        <f>IFERROR(__xludf.DUMMYFUNCTION("FILTER ('Research Papers'!D:D,'Research Papers'!A:A=C365)"),"Unveiling the Resilience of LLM-Enhanced Search Engines against Black-Hat SEO Manipulation")</f>
        <v>Unveiling the Resilience of LLM-Enhanced Search Engines against Black-Hat SEO Manipulation</v>
      </c>
      <c r="C365" s="189" t="s">
        <v>1114</v>
      </c>
      <c r="D365" s="209" t="str">
        <f t="shared" si="1"/>
        <v>Unveiling the Resilience of LLM-Enhanced Search Engines against Black-Hat SEO Manipulation
Pei Chen, Geng Hong, Xinyi Wu, Mengying Wu, Zixuan Zhu,
Mingxuan Liu, Baojun Liu, Mi Zhang and Min Yang
</v>
      </c>
      <c r="E365" s="209" t="str">
        <f>IFERROR(__xludf.DUMMYFUNCTION("TEXTJOIN(CHAR(10), TRUE,FILTER('Research Papers'!$C:$C,'Research Papers'!$A:$A=C365))"),"Pei Chen, Geng Hong, Xinyi Wu, Mengying Wu, Zixuan Zhu,
Mingxuan Liu, Baojun Liu, Mi Zhang and Min Yang")</f>
        <v>Pei Chen, Geng Hong, Xinyi Wu, Mengying Wu, Zixuan Zhu,
Mingxuan Liu, Baojun Liu, Mi Zhang and Min Yang</v>
      </c>
      <c r="F365" s="209" t="str">
        <f>IFERROR(__xludf.DUMMYFUNCTION("TEXTJOIN(CHAR(10), TRUE,FILTER ('Sheridan Main'!E:E,'Sheridan Main'!B:B=C365))"),"m_yang@fudan.edu.cn")</f>
        <v>m_yang@fudan.edu.cn</v>
      </c>
      <c r="G365" s="210" t="str">
        <f>IFERROR(__xludf.DUMMYFUNCTION("CONCATENATE(""https://dl.acm.org/doi/"",INDEX(FILTER('Sheridan Main'!A:A,'Sheridan Main'!B:B=C365),1))"),"https://dl.acm.org/doi/10.1145/3774904.3792399")</f>
        <v>https://dl.acm.org/doi/10.1145/3774904.3792399</v>
      </c>
      <c r="H365" s="189" t="s">
        <v>2852</v>
      </c>
      <c r="I365" s="189" t="s">
        <v>2897</v>
      </c>
      <c r="J365" s="209"/>
      <c r="K365" s="147"/>
      <c r="L365" s="147"/>
      <c r="M365" s="209"/>
      <c r="N365" s="209"/>
      <c r="O365" s="209"/>
      <c r="P365" s="209"/>
      <c r="Q365" s="209"/>
      <c r="R365" s="209"/>
      <c r="S365" s="209"/>
      <c r="T365" s="209"/>
      <c r="U365" s="209"/>
      <c r="V365" s="209"/>
      <c r="W365" s="209"/>
      <c r="X365" s="209"/>
      <c r="Y365" s="209"/>
      <c r="Z365" s="209"/>
      <c r="AA365" s="209"/>
      <c r="AB365" s="209"/>
      <c r="AC365" s="209"/>
      <c r="AD365" s="209"/>
      <c r="AE365" s="209"/>
    </row>
    <row r="366">
      <c r="A366" s="208" t="s">
        <v>2895</v>
      </c>
      <c r="B366" s="189" t="str">
        <f>IFERROR(__xludf.DUMMYFUNCTION("FILTER ('Research Papers'!D:D,'Research Papers'!A:A=C366)"),"Beyond Detection: Autonomous Anomaly Remediation for MCP Against Tool Poisoning Attacks")</f>
        <v>Beyond Detection: Autonomous Anomaly Remediation for MCP Against Tool Poisoning Attacks</v>
      </c>
      <c r="C366" s="189" t="s">
        <v>1116</v>
      </c>
      <c r="D366" s="209" t="str">
        <f t="shared" si="1"/>
        <v>Beyond Detection: Autonomous Anomaly Remediation for MCP Against Tool Poisoning Attacks
Zhiqiang Wang, Guanquan Shi, Yanting Wang, Yichao Gao,
Hongsen Lang, Yunhao Yao, Haohua Du and Xiang-Yang Li
</v>
      </c>
      <c r="E366" s="209" t="str">
        <f>IFERROR(__xludf.DUMMYFUNCTION("TEXTJOIN(CHAR(10), TRUE,FILTER('Research Papers'!$C:$C,'Research Papers'!$A:$A=C366))"),"Zhiqiang Wang, Guanquan Shi, Yanting Wang, Yichao Gao,
Hongsen Lang, Yunhao Yao, Haohua Du and Xiang-Yang Li")</f>
        <v>Zhiqiang Wang, Guanquan Shi, Yanting Wang, Yichao Gao,
Hongsen Lang, Yunhao Yao, Haohua Du and Xiang-Yang Li</v>
      </c>
      <c r="F366" s="209" t="str">
        <f>IFERROR(__xludf.DUMMYFUNCTION("TEXTJOIN(CHAR(10), TRUE,FILTER ('Sheridan Main'!E:E,'Sheridan Main'!B:B=C366))"),"duhaohua@buaa.edu.cn")</f>
        <v>duhaohua@buaa.edu.cn</v>
      </c>
      <c r="G366" s="210" t="str">
        <f>IFERROR(__xludf.DUMMYFUNCTION("CONCATENATE(""https://dl.acm.org/doi/"",INDEX(FILTER('Sheridan Main'!A:A,'Sheridan Main'!B:B=C366),1))"),"https://dl.acm.org/doi/10.1145/3774904.3792400")</f>
        <v>https://dl.acm.org/doi/10.1145/3774904.3792400</v>
      </c>
      <c r="H366" s="189" t="s">
        <v>2852</v>
      </c>
      <c r="I366" s="189" t="s">
        <v>2897</v>
      </c>
      <c r="J366" s="209"/>
      <c r="K366" s="147"/>
      <c r="L366" s="147"/>
      <c r="M366" s="209"/>
      <c r="N366" s="209"/>
      <c r="O366" s="209"/>
      <c r="P366" s="209"/>
      <c r="Q366" s="209"/>
      <c r="R366" s="209"/>
      <c r="S366" s="209"/>
      <c r="T366" s="209"/>
      <c r="U366" s="209"/>
      <c r="V366" s="209"/>
      <c r="W366" s="209"/>
      <c r="X366" s="209"/>
      <c r="Y366" s="209"/>
      <c r="Z366" s="209"/>
      <c r="AA366" s="209"/>
      <c r="AB366" s="209"/>
      <c r="AC366" s="209"/>
      <c r="AD366" s="209"/>
      <c r="AE366" s="209"/>
    </row>
    <row r="367">
      <c r="A367" s="208" t="s">
        <v>2895</v>
      </c>
      <c r="B367" s="189" t="str">
        <f>IFERROR(__xludf.DUMMYFUNCTION("FILTER ('Research Papers'!D:D,'Research Papers'!A:A=C367)"),"On the Effectiveness of Mempool-based Transaction Auditing")</f>
        <v>On the Effectiveness of Mempool-based Transaction Auditing</v>
      </c>
      <c r="C367" s="189" t="s">
        <v>1124</v>
      </c>
      <c r="D367" s="209" t="str">
        <f t="shared" si="1"/>
        <v>On the Effectiveness of Mempool-based Transaction Auditing
Jannik Albrecht and Ghassan Karame
</v>
      </c>
      <c r="E367" s="209" t="str">
        <f>IFERROR(__xludf.DUMMYFUNCTION("TEXTJOIN(CHAR(10), TRUE,FILTER('Research Papers'!$C:$C,'Research Papers'!$A:$A=C367))"),"Jannik Albrecht and Ghassan Karame")</f>
        <v>Jannik Albrecht and Ghassan Karame</v>
      </c>
      <c r="F367" s="209" t="str">
        <f>IFERROR(__xludf.DUMMYFUNCTION("TEXTJOIN(CHAR(10), TRUE,FILTER ('Sheridan Main'!E:E,'Sheridan Main'!B:B=C367))"),"jannik.albrecht@ruhr-uni-bochum.de")</f>
        <v>jannik.albrecht@ruhr-uni-bochum.de</v>
      </c>
      <c r="G367" s="210" t="str">
        <f>IFERROR(__xludf.DUMMYFUNCTION("CONCATENATE(""https://dl.acm.org/doi/"",INDEX(FILTER('Sheridan Main'!A:A,'Sheridan Main'!B:B=C367),1))"),"https://dl.acm.org/doi/10.1145/3774904.3792404")</f>
        <v>https://dl.acm.org/doi/10.1145/3774904.3792404</v>
      </c>
      <c r="H367" s="189" t="s">
        <v>2852</v>
      </c>
      <c r="I367" s="189" t="s">
        <v>2897</v>
      </c>
      <c r="J367" s="209"/>
      <c r="K367" s="147"/>
      <c r="L367" s="147"/>
      <c r="M367" s="209"/>
      <c r="N367" s="209"/>
      <c r="O367" s="209"/>
      <c r="P367" s="209"/>
      <c r="Q367" s="209"/>
      <c r="R367" s="209"/>
      <c r="S367" s="209"/>
      <c r="T367" s="209"/>
      <c r="U367" s="209"/>
      <c r="V367" s="209"/>
      <c r="W367" s="209"/>
      <c r="X367" s="209"/>
      <c r="Y367" s="209"/>
      <c r="Z367" s="209"/>
      <c r="AA367" s="209"/>
      <c r="AB367" s="209"/>
      <c r="AC367" s="209"/>
      <c r="AD367" s="209"/>
      <c r="AE367" s="209"/>
    </row>
    <row r="368">
      <c r="A368" s="208" t="s">
        <v>2895</v>
      </c>
      <c r="B368" s="189" t="str">
        <f>IFERROR(__xludf.DUMMYFUNCTION("FILTER ('Research Papers'!D:D,'Research Papers'!A:A=C368)"),"Too Much Sharing, Too Little Security: Authentication Cookie Theft At Scale")</f>
        <v>Too Much Sharing, Too Little Security: Authentication Cookie Theft At Scale</v>
      </c>
      <c r="C368" s="189" t="s">
        <v>1134</v>
      </c>
      <c r="D368" s="209" t="str">
        <f t="shared" si="1"/>
        <v>Too Much Sharing, Too Little Security: Authentication Cookie Theft At Scale
Tobias Gattermayer and Haya Schulmann
</v>
      </c>
      <c r="E368" s="209" t="str">
        <f>IFERROR(__xludf.DUMMYFUNCTION("TEXTJOIN(CHAR(10), TRUE,FILTER('Research Papers'!$C:$C,'Research Papers'!$A:$A=C368))"),"Tobias Gattermayer and Haya Schulmann")</f>
        <v>Tobias Gattermayer and Haya Schulmann</v>
      </c>
      <c r="F368" s="209" t="str">
        <f>IFERROR(__xludf.DUMMYFUNCTION("TEXTJOIN(CHAR(10), TRUE,FILTER ('Sheridan Main'!E:E,'Sheridan Main'!B:B=C368))"),"tobias.gattermayer@tu-darmstadt.de")</f>
        <v>tobias.gattermayer@tu-darmstadt.de</v>
      </c>
      <c r="G368" s="210" t="str">
        <f>IFERROR(__xludf.DUMMYFUNCTION("CONCATENATE(""https://dl.acm.org/doi/"",INDEX(FILTER('Sheridan Main'!A:A,'Sheridan Main'!B:B=C368),1))"),"https://dl.acm.org/doi/10.1145/3774904.3792409")</f>
        <v>https://dl.acm.org/doi/10.1145/3774904.3792409</v>
      </c>
      <c r="H368" s="189" t="s">
        <v>2852</v>
      </c>
      <c r="I368" s="189" t="s">
        <v>2897</v>
      </c>
      <c r="J368" s="209"/>
      <c r="K368" s="147"/>
      <c r="L368" s="147"/>
      <c r="M368" s="209"/>
      <c r="N368" s="209"/>
      <c r="O368" s="209"/>
      <c r="P368" s="209"/>
      <c r="Q368" s="209"/>
      <c r="R368" s="209"/>
      <c r="S368" s="209"/>
      <c r="T368" s="209"/>
      <c r="U368" s="209"/>
      <c r="V368" s="209"/>
      <c r="W368" s="209"/>
      <c r="X368" s="209"/>
      <c r="Y368" s="209"/>
      <c r="Z368" s="209"/>
      <c r="AA368" s="209"/>
      <c r="AB368" s="209"/>
      <c r="AC368" s="209"/>
      <c r="AD368" s="209"/>
      <c r="AE368" s="209"/>
    </row>
    <row r="369">
      <c r="A369" s="208" t="s">
        <v>2895</v>
      </c>
      <c r="B369" s="189" t="str">
        <f>IFERROR(__xludf.DUMMYFUNCTION("FILTER ('Research Papers'!D:D,'Research Papers'!A:A=C369)"),"DIARY: Differentially Private Recovery with Adaptive Privacy Budgets in Federated Unlearning")</f>
        <v>DIARY: Differentially Private Recovery with Adaptive Privacy Budgets in Federated Unlearning</v>
      </c>
      <c r="C369" s="189" t="s">
        <v>1162</v>
      </c>
      <c r="D369" s="209" t="str">
        <f t="shared" si="1"/>
        <v>DIARY: Differentially Private Recovery with Adaptive Privacy Budgets in Federated Unlearning
Hengzhi Wang, Lu Dai, Xianliang Zhang, Haoran Chen,
Juncheng Hu and Kun Yang
</v>
      </c>
      <c r="E369" s="209" t="str">
        <f>IFERROR(__xludf.DUMMYFUNCTION("TEXTJOIN(CHAR(10), TRUE,FILTER('Research Papers'!$C:$C,'Research Papers'!$A:$A=C369))"),"Hengzhi Wang, Lu Dai, Xianliang Zhang, Haoran Chen,
Juncheng Hu and Kun Yang")</f>
        <v>Hengzhi Wang, Lu Dai, Xianliang Zhang, Haoran Chen,
Juncheng Hu and Kun Yang</v>
      </c>
      <c r="F369" s="209" t="str">
        <f>IFERROR(__xludf.DUMMYFUNCTION("TEXTJOIN(CHAR(10), TRUE,FILTER ('Sheridan Main'!E:E,'Sheridan Main'!B:B=C369))"),"whz@szu.edu.cn")</f>
        <v>whz@szu.edu.cn</v>
      </c>
      <c r="G369" s="210" t="str">
        <f>IFERROR(__xludf.DUMMYFUNCTION("CONCATENATE(""https://dl.acm.org/doi/"",INDEX(FILTER('Sheridan Main'!A:A,'Sheridan Main'!B:B=C369),1))"),"https://dl.acm.org/doi/10.1145/3774904.3792423")</f>
        <v>https://dl.acm.org/doi/10.1145/3774904.3792423</v>
      </c>
      <c r="H369" s="189" t="s">
        <v>2852</v>
      </c>
      <c r="I369" s="189" t="s">
        <v>2897</v>
      </c>
      <c r="J369" s="209"/>
      <c r="K369" s="147"/>
      <c r="L369" s="147"/>
      <c r="M369" s="209"/>
      <c r="N369" s="209"/>
      <c r="O369" s="209"/>
      <c r="P369" s="209"/>
      <c r="Q369" s="209"/>
      <c r="R369" s="209"/>
      <c r="S369" s="209"/>
      <c r="T369" s="209"/>
      <c r="U369" s="209"/>
      <c r="V369" s="209"/>
      <c r="W369" s="209"/>
      <c r="X369" s="209"/>
      <c r="Y369" s="209"/>
      <c r="Z369" s="209"/>
      <c r="AA369" s="209"/>
      <c r="AB369" s="209"/>
      <c r="AC369" s="209"/>
      <c r="AD369" s="209"/>
      <c r="AE369" s="209"/>
    </row>
    <row r="370">
      <c r="A370" s="208" t="s">
        <v>2895</v>
      </c>
      <c r="B370" s="189" t="str">
        <f>IFERROR(__xludf.DUMMYFUNCTION("FILTER ('Research Papers'!D:D,'Research Papers'!A:A=C370)"),"ShadowClone: Scalable Decentralized Identity with Cross-Domain Anonymity and Accountable Traceability")</f>
        <v>ShadowClone: Scalable Decentralized Identity with Cross-Domain Anonymity and Accountable Traceability</v>
      </c>
      <c r="C370" s="189" t="s">
        <v>1164</v>
      </c>
      <c r="D370" s="209" t="str">
        <f t="shared" si="1"/>
        <v>ShadowClone: Scalable Decentralized Identity with Cross-Domain Anonymity and Accountable Traceability
Yizhong Liu, Zedan Zhao, Boyu Zhao, Na Wang, Haojun Tan and
Jianwei Liu
</v>
      </c>
      <c r="E370" s="209" t="str">
        <f>IFERROR(__xludf.DUMMYFUNCTION("TEXTJOIN(CHAR(10), TRUE,FILTER('Research Papers'!$C:$C,'Research Papers'!$A:$A=C370))"),"Yizhong Liu, Zedan Zhao, Boyu Zhao, Na Wang, Haojun Tan and
Jianwei Liu")</f>
        <v>Yizhong Liu, Zedan Zhao, Boyu Zhao, Na Wang, Haojun Tan and
Jianwei Liu</v>
      </c>
      <c r="F370" s="209" t="str">
        <f>IFERROR(__xludf.DUMMYFUNCTION("TEXTJOIN(CHAR(10), TRUE,FILTER ('Sheridan Main'!E:E,'Sheridan Main'!B:B=C370))"),"liuyizhong@buaa.edu.cn")</f>
        <v>liuyizhong@buaa.edu.cn</v>
      </c>
      <c r="G370" s="210" t="str">
        <f>IFERROR(__xludf.DUMMYFUNCTION("CONCATENATE(""https://dl.acm.org/doi/"",INDEX(FILTER('Sheridan Main'!A:A,'Sheridan Main'!B:B=C370),1))"),"https://dl.acm.org/doi/10.1145/3774904.3792424")</f>
        <v>https://dl.acm.org/doi/10.1145/3774904.3792424</v>
      </c>
      <c r="H370" s="189" t="s">
        <v>2852</v>
      </c>
      <c r="I370" s="189" t="s">
        <v>2897</v>
      </c>
      <c r="J370" s="209"/>
      <c r="K370" s="147"/>
      <c r="L370" s="147"/>
      <c r="M370" s="209"/>
      <c r="N370" s="209"/>
      <c r="O370" s="209"/>
      <c r="P370" s="209"/>
      <c r="Q370" s="209"/>
      <c r="R370" s="209"/>
      <c r="S370" s="209"/>
      <c r="T370" s="209"/>
      <c r="U370" s="209"/>
      <c r="V370" s="209"/>
      <c r="W370" s="209"/>
      <c r="X370" s="209"/>
      <c r="Y370" s="209"/>
      <c r="Z370" s="209"/>
      <c r="AA370" s="209"/>
      <c r="AB370" s="209"/>
      <c r="AC370" s="209"/>
      <c r="AD370" s="209"/>
      <c r="AE370" s="209"/>
    </row>
    <row r="371">
      <c r="A371" s="208" t="s">
        <v>2895</v>
      </c>
      <c r="B371" s="189" t="str">
        <f>IFERROR(__xludf.DUMMYFUNCTION("FILTER ('Research Papers'!D:D,'Research Papers'!A:A=C371)"),"DeepUL: Deep Unlearning via Model Sparsity")</f>
        <v>DeepUL: Deep Unlearning via Model Sparsity</v>
      </c>
      <c r="C371" s="189" t="s">
        <v>1198</v>
      </c>
      <c r="D371" s="209" t="str">
        <f t="shared" si="1"/>
        <v>DeepUL: Deep Unlearning via Model Sparsity
Zhigao Zheng, Kai Yin, Yaowen Kuang, Tao Wang, Yahong Chen,
Shihong Yao and Hao Huang
</v>
      </c>
      <c r="E371" s="209" t="str">
        <f>IFERROR(__xludf.DUMMYFUNCTION("TEXTJOIN(CHAR(10), TRUE,FILTER('Research Papers'!$C:$C,'Research Papers'!$A:$A=C371))"),"Zhigao Zheng, Kai Yin, Yaowen Kuang, Tao Wang, Yahong Chen,
Shihong Yao and Hao Huang")</f>
        <v>Zhigao Zheng, Kai Yin, Yaowen Kuang, Tao Wang, Yahong Chen,
Shihong Yao and Hao Huang</v>
      </c>
      <c r="F371" s="209" t="str">
        <f>IFERROR(__xludf.DUMMYFUNCTION("TEXTJOIN(CHAR(10), TRUE,FILTER ('Sheridan Main'!E:E,'Sheridan Main'!B:B=C371))"),"tmac@mail.ccnu.edu.cn")</f>
        <v>tmac@mail.ccnu.edu.cn</v>
      </c>
      <c r="G371" s="210" t="str">
        <f>IFERROR(__xludf.DUMMYFUNCTION("CONCATENATE(""https://dl.acm.org/doi/"",INDEX(FILTER('Sheridan Main'!A:A,'Sheridan Main'!B:B=C371),1))"),"https://dl.acm.org/doi/10.1145/3774904.3792441")</f>
        <v>https://dl.acm.org/doi/10.1145/3774904.3792441</v>
      </c>
      <c r="H371" s="189" t="s">
        <v>2852</v>
      </c>
      <c r="I371" s="189" t="s">
        <v>2897</v>
      </c>
      <c r="J371" s="209"/>
      <c r="K371" s="147"/>
      <c r="L371" s="147"/>
      <c r="M371" s="209"/>
      <c r="N371" s="209"/>
      <c r="O371" s="209"/>
      <c r="P371" s="209"/>
      <c r="Q371" s="209"/>
      <c r="R371" s="209"/>
      <c r="S371" s="209"/>
      <c r="T371" s="209"/>
      <c r="U371" s="209"/>
      <c r="V371" s="209"/>
      <c r="W371" s="209"/>
      <c r="X371" s="209"/>
      <c r="Y371" s="209"/>
      <c r="Z371" s="209"/>
      <c r="AA371" s="209"/>
      <c r="AB371" s="209"/>
      <c r="AC371" s="209"/>
      <c r="AD371" s="209"/>
      <c r="AE371" s="209"/>
    </row>
    <row r="372">
      <c r="A372" s="208" t="s">
        <v>2895</v>
      </c>
      <c r="B372" s="189" t="str">
        <f>IFERROR(__xludf.DUMMYFUNCTION("FILTER ('Research Papers'!D:D,'Research Papers'!A:A=C372)"),"DSSmoothing: Toward Certified Dataset Ownership Verification for Pre-trained Language Models via Dual-Space Smoothing")</f>
        <v>DSSmoothing: Toward Certified Dataset Ownership Verification for Pre-trained Language Models via Dual-Space Smoothing</v>
      </c>
      <c r="C372" s="189" t="s">
        <v>1230</v>
      </c>
      <c r="D372" s="209" t="str">
        <f t="shared" si="1"/>
        <v>DSSmoothing: Toward Certified Dataset Ownership Verification for Pre-trained Language Models via Dual-Space Smoothing
Ting Qiao, Xing Liu, Wenke Huang, Jianbin Li, Zhaoxin Fan
and Yiming Li
</v>
      </c>
      <c r="E372" s="209" t="str">
        <f>IFERROR(__xludf.DUMMYFUNCTION("TEXTJOIN(CHAR(10), TRUE,FILTER('Research Papers'!$C:$C,'Research Papers'!$A:$A=C372))"),"Ting Qiao, Xing Liu, Wenke Huang, Jianbin Li, Zhaoxin Fan
and Yiming Li")</f>
        <v>Ting Qiao, Xing Liu, Wenke Huang, Jianbin Li, Zhaoxin Fan
and Yiming Li</v>
      </c>
      <c r="F372" s="209" t="str">
        <f>IFERROR(__xludf.DUMMYFUNCTION("TEXTJOIN(CHAR(10), TRUE,FILTER ('Sheridan Main'!E:E,'Sheridan Main'!B:B=C372))"),"liyiming.tech@gmail.com")</f>
        <v>liyiming.tech@gmail.com</v>
      </c>
      <c r="G372" s="210" t="str">
        <f>IFERROR(__xludf.DUMMYFUNCTION("CONCATENATE(""https://dl.acm.org/doi/"",INDEX(FILTER('Sheridan Main'!A:A,'Sheridan Main'!B:B=C372),1))"),"https://dl.acm.org/doi/10.1145/3774904.3792457")</f>
        <v>https://dl.acm.org/doi/10.1145/3774904.3792457</v>
      </c>
      <c r="H372" s="189" t="s">
        <v>2852</v>
      </c>
      <c r="I372" s="189" t="s">
        <v>2897</v>
      </c>
      <c r="J372" s="209"/>
      <c r="K372" s="147"/>
      <c r="L372" s="147"/>
      <c r="M372" s="209"/>
      <c r="N372" s="209"/>
      <c r="O372" s="209"/>
      <c r="P372" s="209"/>
      <c r="Q372" s="209"/>
      <c r="R372" s="209"/>
      <c r="S372" s="209"/>
      <c r="T372" s="209"/>
      <c r="U372" s="209"/>
      <c r="V372" s="209"/>
      <c r="W372" s="209"/>
      <c r="X372" s="209"/>
      <c r="Y372" s="209"/>
      <c r="Z372" s="209"/>
      <c r="AA372" s="209"/>
      <c r="AB372" s="209"/>
      <c r="AC372" s="209"/>
      <c r="AD372" s="209"/>
      <c r="AE372" s="209"/>
    </row>
    <row r="373">
      <c r="A373" s="208" t="s">
        <v>2895</v>
      </c>
      <c r="B373" s="189" t="str">
        <f>IFERROR(__xludf.DUMMYFUNCTION("FILTER ('Research Papers'!D:D,'Research Papers'!A:A=C373)"),"ARuleCon: Agentic Security Rule Conversion")</f>
        <v>ARuleCon: Agentic Security Rule Conversion</v>
      </c>
      <c r="C373" s="189" t="s">
        <v>1232</v>
      </c>
      <c r="D373" s="209" t="str">
        <f t="shared" si="1"/>
        <v>ARuleCon: Agentic Security Rule Conversion
Ming Xu, Hongtai Wang, Yanpei Guo, Zhengmin Yu, Weili Han,
Hoon Wei Lim, Jin Song Dong and Jiaheng Zhang
</v>
      </c>
      <c r="E373" s="209" t="str">
        <f>IFERROR(__xludf.DUMMYFUNCTION("TEXTJOIN(CHAR(10), TRUE,FILTER('Research Papers'!$C:$C,'Research Papers'!$A:$A=C373))"),"Ming Xu, Hongtai Wang, Yanpei Guo, Zhengmin Yu, Weili Han,
Hoon Wei Lim, Jin Song Dong and Jiaheng Zhang")</f>
        <v>Ming Xu, Hongtai Wang, Yanpei Guo, Zhengmin Yu, Weili Han,
Hoon Wei Lim, Jin Song Dong and Jiaheng Zhang</v>
      </c>
      <c r="F373" s="209" t="str">
        <f>IFERROR(__xludf.DUMMYFUNCTION("TEXTJOIN(CHAR(10), TRUE,FILTER ('Sheridan Main'!E:E,'Sheridan Main'!B:B=C373))"),"mingxucs18@gmail.com")</f>
        <v>mingxucs18@gmail.com</v>
      </c>
      <c r="G373" s="210" t="str">
        <f>IFERROR(__xludf.DUMMYFUNCTION("CONCATENATE(""https://dl.acm.org/doi/"",INDEX(FILTER('Sheridan Main'!A:A,'Sheridan Main'!B:B=C373),1))"),"https://dl.acm.org/doi/10.1145/3774904.3792458")</f>
        <v>https://dl.acm.org/doi/10.1145/3774904.3792458</v>
      </c>
      <c r="H373" s="189" t="s">
        <v>2852</v>
      </c>
      <c r="I373" s="189" t="s">
        <v>2897</v>
      </c>
      <c r="J373" s="209"/>
      <c r="K373" s="147"/>
      <c r="L373" s="147"/>
      <c r="M373" s="209"/>
      <c r="N373" s="209"/>
      <c r="O373" s="209"/>
      <c r="P373" s="209"/>
      <c r="Q373" s="209"/>
      <c r="R373" s="209"/>
      <c r="S373" s="209"/>
      <c r="T373" s="209"/>
      <c r="U373" s="209"/>
      <c r="V373" s="209"/>
      <c r="W373" s="209"/>
      <c r="X373" s="209"/>
      <c r="Y373" s="209"/>
      <c r="Z373" s="209"/>
      <c r="AA373" s="209"/>
      <c r="AB373" s="209"/>
      <c r="AC373" s="209"/>
      <c r="AD373" s="209"/>
      <c r="AE373" s="209"/>
    </row>
    <row r="374">
      <c r="A374" s="208" t="s">
        <v>2895</v>
      </c>
      <c r="B374" s="189" t="str">
        <f>IFERROR(__xludf.DUMMYFUNCTION("FILTER ('Research Papers'!D:D,'Research Papers'!A:A=C374)"),"SentinelNet: Safeguarding Multi-Agent Collaboration Through Credit-Based Dynamic Threat Detection")</f>
        <v>SentinelNet: Safeguarding Multi-Agent Collaboration Through Credit-Based Dynamic Threat Detection</v>
      </c>
      <c r="C374" s="189" t="s">
        <v>1240</v>
      </c>
      <c r="D374" s="209" t="str">
        <f t="shared" si="1"/>
        <v>SentinelNet: Safeguarding Multi-Agent Collaboration Through Credit-Based Dynamic Threat Detection
Yang Feng and Xudong Pan
</v>
      </c>
      <c r="E374" s="209" t="str">
        <f>IFERROR(__xludf.DUMMYFUNCTION("TEXTJOIN(CHAR(10), TRUE,FILTER('Research Papers'!$C:$C,'Research Papers'!$A:$A=C374))"),"Yang Feng and Xudong Pan")</f>
        <v>Yang Feng and Xudong Pan</v>
      </c>
      <c r="F374" s="209" t="str">
        <f>IFERROR(__xludf.DUMMYFUNCTION("TEXTJOIN(CHAR(10), TRUE,FILTER ('Sheridan Main'!E:E,'Sheridan Main'!B:B=C374))"),"s2775736@ed.ac.uk")</f>
        <v>s2775736@ed.ac.uk</v>
      </c>
      <c r="G374" s="210" t="str">
        <f>IFERROR(__xludf.DUMMYFUNCTION("CONCATENATE(""https://dl.acm.org/doi/"",INDEX(FILTER('Sheridan Main'!A:A,'Sheridan Main'!B:B=C374),1))"),"https://dl.acm.org/doi/10.1145/3774904.3792462")</f>
        <v>https://dl.acm.org/doi/10.1145/3774904.3792462</v>
      </c>
      <c r="H374" s="189" t="s">
        <v>2852</v>
      </c>
      <c r="I374" s="189" t="s">
        <v>2898</v>
      </c>
      <c r="J374" s="209"/>
      <c r="K374" s="147"/>
      <c r="L374" s="147"/>
      <c r="M374" s="209"/>
      <c r="N374" s="209"/>
      <c r="O374" s="209"/>
      <c r="P374" s="209"/>
      <c r="Q374" s="209"/>
      <c r="R374" s="209"/>
      <c r="S374" s="209"/>
      <c r="T374" s="209"/>
      <c r="U374" s="209"/>
      <c r="V374" s="209"/>
      <c r="W374" s="209"/>
      <c r="X374" s="209"/>
      <c r="Y374" s="209"/>
      <c r="Z374" s="209"/>
      <c r="AA374" s="209"/>
      <c r="AB374" s="209"/>
      <c r="AC374" s="209"/>
      <c r="AD374" s="209"/>
      <c r="AE374" s="209"/>
    </row>
    <row r="375">
      <c r="A375" s="208" t="s">
        <v>2895</v>
      </c>
      <c r="B375" s="189" t="str">
        <f>IFERROR(__xludf.DUMMYFUNCTION("FILTER ('Research Papers'!D:D,'Research Papers'!A:A=C375)"),"Anti-Phishing Training (Still) Does Not Work: A Reproduction of Phishing Training Inefficacy Grounded in the NIST Phish Scale")</f>
        <v>Anti-Phishing Training (Still) Does Not Work: A Reproduction of Phishing Training Inefficacy Grounded in the NIST Phish Scale</v>
      </c>
      <c r="C375" s="189" t="s">
        <v>1250</v>
      </c>
      <c r="D375" s="209" t="str">
        <f t="shared" si="1"/>
        <v>Anti-Phishing Training (Still) Does Not Work: A Reproduction of Phishing Training Inefficacy Grounded in the NIST Phish Scale
Andrew Rozema and James Davis
</v>
      </c>
      <c r="E375" s="209" t="str">
        <f>IFERROR(__xludf.DUMMYFUNCTION("TEXTJOIN(CHAR(10), TRUE,FILTER('Research Papers'!$C:$C,'Research Papers'!$A:$A=C375))"),"Andrew Rozema and James Davis")</f>
        <v>Andrew Rozema and James Davis</v>
      </c>
      <c r="F375" s="209" t="str">
        <f>IFERROR(__xludf.DUMMYFUNCTION("TEXTJOIN(CHAR(10), TRUE,FILTER ('Sheridan Main'!E:E,'Sheridan Main'!B:B=C375))"),"arozema@purdue.edu")</f>
        <v>arozema@purdue.edu</v>
      </c>
      <c r="G375" s="210" t="str">
        <f>IFERROR(__xludf.DUMMYFUNCTION("CONCATENATE(""https://dl.acm.org/doi/"",INDEX(FILTER('Sheridan Main'!A:A,'Sheridan Main'!B:B=C375),1))"),"https://dl.acm.org/doi/10.1145/3774904.3792467")</f>
        <v>https://dl.acm.org/doi/10.1145/3774904.3792467</v>
      </c>
      <c r="H375" s="189" t="s">
        <v>2852</v>
      </c>
      <c r="I375" s="189" t="s">
        <v>2898</v>
      </c>
      <c r="J375" s="209"/>
      <c r="K375" s="147"/>
      <c r="L375" s="147"/>
      <c r="M375" s="209"/>
      <c r="N375" s="209"/>
      <c r="O375" s="209"/>
      <c r="P375" s="209"/>
      <c r="Q375" s="209"/>
      <c r="R375" s="209"/>
      <c r="S375" s="209"/>
      <c r="T375" s="209"/>
      <c r="U375" s="209"/>
      <c r="V375" s="209"/>
      <c r="W375" s="209"/>
      <c r="X375" s="209"/>
      <c r="Y375" s="209"/>
      <c r="Z375" s="209"/>
      <c r="AA375" s="209"/>
      <c r="AB375" s="209"/>
      <c r="AC375" s="209"/>
      <c r="AD375" s="209"/>
      <c r="AE375" s="209"/>
    </row>
    <row r="376">
      <c r="A376" s="208" t="s">
        <v>2895</v>
      </c>
      <c r="B376" s="189" t="str">
        <f>IFERROR(__xludf.DUMMYFUNCTION("FILTER ('Research Papers'!D:D,'Research Papers'!A:A=C376)"),"Real or Rogue? Detecting Malicious Miniapps with Deceptive Reporting Interface")</f>
        <v>Real or Rogue? Detecting Malicious Miniapps with Deceptive Reporting Interface</v>
      </c>
      <c r="C376" s="189" t="s">
        <v>1256</v>
      </c>
      <c r="D376" s="209" t="str">
        <f t="shared" si="1"/>
        <v>Real or Rogue? Detecting Malicious Miniapps with Deceptive Reporting Interface
Yuqing Yang and Zhiqiang Lin
</v>
      </c>
      <c r="E376" s="209" t="str">
        <f>IFERROR(__xludf.DUMMYFUNCTION("TEXTJOIN(CHAR(10), TRUE,FILTER('Research Papers'!$C:$C,'Research Papers'!$A:$A=C376))"),"Yuqing Yang and Zhiqiang Lin")</f>
        <v>Yuqing Yang and Zhiqiang Lin</v>
      </c>
      <c r="F376" s="209" t="str">
        <f>IFERROR(__xludf.DUMMYFUNCTION("TEXTJOIN(CHAR(10), TRUE,FILTER ('Sheridan Main'!E:E,'Sheridan Main'!B:B=C376))"),"zlin@cse.ohio-state.edu")</f>
        <v>zlin@cse.ohio-state.edu</v>
      </c>
      <c r="G376" s="210" t="str">
        <f>IFERROR(__xludf.DUMMYFUNCTION("CONCATENATE(""https://dl.acm.org/doi/"",INDEX(FILTER('Sheridan Main'!A:A,'Sheridan Main'!B:B=C376),1))"),"https://dl.acm.org/doi/10.1145/3774904.3792470")</f>
        <v>https://dl.acm.org/doi/10.1145/3774904.3792470</v>
      </c>
      <c r="H376" s="189" t="s">
        <v>2852</v>
      </c>
      <c r="I376" s="189" t="s">
        <v>2898</v>
      </c>
      <c r="J376" s="209"/>
      <c r="K376" s="147"/>
      <c r="L376" s="147"/>
      <c r="M376" s="209"/>
      <c r="N376" s="209"/>
      <c r="O376" s="209"/>
      <c r="P376" s="209"/>
      <c r="Q376" s="209"/>
      <c r="R376" s="209"/>
      <c r="S376" s="209"/>
      <c r="T376" s="209"/>
      <c r="U376" s="209"/>
      <c r="V376" s="209"/>
      <c r="W376" s="209"/>
      <c r="X376" s="209"/>
      <c r="Y376" s="209"/>
      <c r="Z376" s="209"/>
      <c r="AA376" s="209"/>
      <c r="AB376" s="209"/>
      <c r="AC376" s="209"/>
      <c r="AD376" s="209"/>
      <c r="AE376" s="209"/>
    </row>
    <row r="377">
      <c r="A377" s="208" t="s">
        <v>2895</v>
      </c>
      <c r="B377" s="189" t="str">
        <f>IFERROR(__xludf.DUMMYFUNCTION("FILTER ('Research Papers'!D:D,'Research Papers'!A:A=C377)"),"Reliable Non-Leveled Homomorphic Encryption for Web Services")</f>
        <v>Reliable Non-Leveled Homomorphic Encryption for Web Services</v>
      </c>
      <c r="C377" s="189" t="s">
        <v>1268</v>
      </c>
      <c r="D377" s="209" t="str">
        <f t="shared" si="1"/>
        <v>Reliable Non-Leveled Homomorphic Encryption for Web Services
Baigang Chen and Dongfang Zhao
</v>
      </c>
      <c r="E377" s="209" t="str">
        <f>IFERROR(__xludf.DUMMYFUNCTION("TEXTJOIN(CHAR(10), TRUE,FILTER('Research Papers'!$C:$C,'Research Papers'!$A:$A=C377))"),"Baigang Chen and Dongfang Zhao")</f>
        <v>Baigang Chen and Dongfang Zhao</v>
      </c>
      <c r="F377" s="209" t="str">
        <f>IFERROR(__xludf.DUMMYFUNCTION("TEXTJOIN(CHAR(10), TRUE,FILTER ('Sheridan Main'!E:E,'Sheridan Main'!B:B=C377))"),"chen9464@umn.edu")</f>
        <v>chen9464@umn.edu</v>
      </c>
      <c r="G377" s="210" t="str">
        <f>IFERROR(__xludf.DUMMYFUNCTION("CONCATENATE(""https://dl.acm.org/doi/"",INDEX(FILTER('Sheridan Main'!A:A,'Sheridan Main'!B:B=C377),1))"),"https://dl.acm.org/doi/10.1145/3774904.3792476")</f>
        <v>https://dl.acm.org/doi/10.1145/3774904.3792476</v>
      </c>
      <c r="H377" s="189" t="s">
        <v>2852</v>
      </c>
      <c r="I377" s="189" t="s">
        <v>2898</v>
      </c>
      <c r="J377" s="209"/>
      <c r="K377" s="147"/>
      <c r="L377" s="147"/>
      <c r="M377" s="209"/>
      <c r="N377" s="209"/>
      <c r="O377" s="209"/>
      <c r="P377" s="209"/>
      <c r="Q377" s="209"/>
      <c r="R377" s="209"/>
      <c r="S377" s="209"/>
      <c r="T377" s="209"/>
      <c r="U377" s="209"/>
      <c r="V377" s="209"/>
      <c r="W377" s="209"/>
      <c r="X377" s="209"/>
      <c r="Y377" s="209"/>
      <c r="Z377" s="209"/>
      <c r="AA377" s="209"/>
      <c r="AB377" s="209"/>
      <c r="AC377" s="209"/>
      <c r="AD377" s="209"/>
      <c r="AE377" s="209"/>
    </row>
    <row r="378">
      <c r="A378" s="208" t="s">
        <v>2895</v>
      </c>
      <c r="B378" s="189" t="str">
        <f>IFERROR(__xludf.DUMMYFUNCTION("FILTER ('Research Papers'!D:D,'Research Papers'!A:A=C378)"),"Acting Flatterers via LLMs Sycophancy: Combating Clickbait with LLMs Opposing-Stance Reasoning")</f>
        <v>Acting Flatterers via LLMs Sycophancy: Combating Clickbait with LLMs Opposing-Stance Reasoning</v>
      </c>
      <c r="C378" s="189" t="s">
        <v>1328</v>
      </c>
      <c r="D378" s="209" t="str">
        <f t="shared" si="1"/>
        <v>Acting Flatterers via LLMs Sycophancy: Combating Clickbait with LLMs Opposing-Stance Reasoning
Chaowei Zhang, Xiansheng Luo, Zewei Zhang, Yi Zhu, Jipeng
Qiang and Longwei Wang
</v>
      </c>
      <c r="E378" s="209" t="str">
        <f>IFERROR(__xludf.DUMMYFUNCTION("TEXTJOIN(CHAR(10), TRUE,FILTER('Research Papers'!$C:$C,'Research Papers'!$A:$A=C378))"),"Chaowei Zhang, Xiansheng Luo, Zewei Zhang, Yi Zhu, Jipeng
Qiang and Longwei Wang")</f>
        <v>Chaowei Zhang, Xiansheng Luo, Zewei Zhang, Yi Zhu, Jipeng
Qiang and Longwei Wang</v>
      </c>
      <c r="F378" s="209" t="str">
        <f>IFERROR(__xludf.DUMMYFUNCTION("TEXTJOIN(CHAR(10), TRUE,FILTER ('Sheridan Main'!E:E,'Sheridan Main'!B:B=C378))"),"longwei.wang@usd.edu")</f>
        <v>longwei.wang@usd.edu</v>
      </c>
      <c r="G378" s="210" t="str">
        <f>IFERROR(__xludf.DUMMYFUNCTION("CONCATENATE(""https://dl.acm.org/doi/"",INDEX(FILTER('Sheridan Main'!A:A,'Sheridan Main'!B:B=C378),1))"),"https://dl.acm.org/doi/10.1145/3774904.3792506")</f>
        <v>https://dl.acm.org/doi/10.1145/3774904.3792506</v>
      </c>
      <c r="H378" s="189" t="s">
        <v>2852</v>
      </c>
      <c r="I378" s="189" t="s">
        <v>2898</v>
      </c>
      <c r="J378" s="209"/>
      <c r="K378" s="147"/>
      <c r="L378" s="147"/>
      <c r="M378" s="209"/>
      <c r="N378" s="209"/>
      <c r="O378" s="209"/>
      <c r="P378" s="209"/>
      <c r="Q378" s="209"/>
      <c r="R378" s="209"/>
      <c r="S378" s="209"/>
      <c r="T378" s="209"/>
      <c r="U378" s="209"/>
      <c r="V378" s="209"/>
      <c r="W378" s="209"/>
      <c r="X378" s="209"/>
      <c r="Y378" s="209"/>
      <c r="Z378" s="209"/>
      <c r="AA378" s="209"/>
      <c r="AB378" s="209"/>
      <c r="AC378" s="209"/>
      <c r="AD378" s="209"/>
      <c r="AE378" s="209"/>
    </row>
    <row r="379">
      <c r="A379" s="208" t="s">
        <v>2895</v>
      </c>
      <c r="B379" s="189" t="str">
        <f>IFERROR(__xludf.DUMMYFUNCTION("FILTER ('Research Papers'!D:D,'Research Papers'!A:A=C379)"),"DeepSVU: Towards In-depth Security-oriented Video Understanding via Unified Physical-world Regularized MoE")</f>
        <v>DeepSVU: Towards In-depth Security-oriented Video Understanding via Unified Physical-world Regularized MoE</v>
      </c>
      <c r="C379" s="189" t="s">
        <v>1334</v>
      </c>
      <c r="D379" s="209" t="str">
        <f t="shared" si="1"/>
        <v>DeepSVU: Towards In-depth Security-oriented Video Understanding via Unified Physical-world Regularized MoE
Yujie Jin, Wenxin Zhang, Jingjing Wang and Guodong Zhou
</v>
      </c>
      <c r="E379" s="209" t="str">
        <f>IFERROR(__xludf.DUMMYFUNCTION("TEXTJOIN(CHAR(10), TRUE,FILTER('Research Papers'!$C:$C,'Research Papers'!$A:$A=C379))"),"Yujie Jin, Wenxin Zhang, Jingjing Wang and Guodong Zhou")</f>
        <v>Yujie Jin, Wenxin Zhang, Jingjing Wang and Guodong Zhou</v>
      </c>
      <c r="F379" s="209" t="str">
        <f>IFERROR(__xludf.DUMMYFUNCTION("TEXTJOIN(CHAR(10), TRUE,FILTER ('Sheridan Main'!E:E,'Sheridan Main'!B:B=C379))"),"djingwang@suda.edu.cn")</f>
        <v>djingwang@suda.edu.cn</v>
      </c>
      <c r="G379" s="210" t="str">
        <f>IFERROR(__xludf.DUMMYFUNCTION("CONCATENATE(""https://dl.acm.org/doi/"",INDEX(FILTER('Sheridan Main'!A:A,'Sheridan Main'!B:B=C379),1))"),"https://dl.acm.org/doi/10.1145/3774904.3792509")</f>
        <v>https://dl.acm.org/doi/10.1145/3774904.3792509</v>
      </c>
      <c r="H379" s="189" t="s">
        <v>2852</v>
      </c>
      <c r="I379" s="189" t="s">
        <v>2898</v>
      </c>
      <c r="J379" s="209"/>
      <c r="K379" s="147"/>
      <c r="L379" s="147"/>
      <c r="M379" s="209"/>
      <c r="N379" s="209"/>
      <c r="O379" s="209"/>
      <c r="P379" s="209"/>
      <c r="Q379" s="209"/>
      <c r="R379" s="209"/>
      <c r="S379" s="209"/>
      <c r="T379" s="209"/>
      <c r="U379" s="209"/>
      <c r="V379" s="209"/>
      <c r="W379" s="209"/>
      <c r="X379" s="209"/>
      <c r="Y379" s="209"/>
      <c r="Z379" s="209"/>
      <c r="AA379" s="209"/>
      <c r="AB379" s="209"/>
      <c r="AC379" s="209"/>
      <c r="AD379" s="209"/>
      <c r="AE379" s="209"/>
    </row>
    <row r="380">
      <c r="A380" s="208" t="s">
        <v>2895</v>
      </c>
      <c r="B380" s="189" t="str">
        <f>IFERROR(__xludf.DUMMYFUNCTION("FILTER ('Research Papers'!D:D,'Research Papers'!A:A=C380)"),"SPCA: Stream Parser Confusion Attack for Web Application Firewall Evasion in HTTP/2")</f>
        <v>SPCA: Stream Parser Confusion Attack for Web Application Firewall Evasion in HTTP/2</v>
      </c>
      <c r="C380" s="189" t="s">
        <v>1350</v>
      </c>
      <c r="D380" s="209" t="str">
        <f t="shared" si="1"/>
        <v>SPCA: Stream Parser Confusion Attack for Web Application Firewall Evasion in HTTP/2
Kyungrok Choi, Woonghee Lee and Junbeom Hur
</v>
      </c>
      <c r="E380" s="209" t="str">
        <f>IFERROR(__xludf.DUMMYFUNCTION("TEXTJOIN(CHAR(10), TRUE,FILTER('Research Papers'!$C:$C,'Research Papers'!$A:$A=C380))"),"Kyungrok Choi, Woonghee Lee and Junbeom Hur")</f>
        <v>Kyungrok Choi, Woonghee Lee and Junbeom Hur</v>
      </c>
      <c r="F380" s="209" t="str">
        <f>IFERROR(__xludf.DUMMYFUNCTION("TEXTJOIN(CHAR(10), TRUE,FILTER ('Sheridan Main'!E:E,'Sheridan Main'!B:B=C380))"),"jbhur@korea.ac.kr")</f>
        <v>jbhur@korea.ac.kr</v>
      </c>
      <c r="G380" s="210" t="str">
        <f>IFERROR(__xludf.DUMMYFUNCTION("CONCATENATE(""https://dl.acm.org/doi/"",INDEX(FILTER('Sheridan Main'!A:A,'Sheridan Main'!B:B=C380),1))"),"https://dl.acm.org/doi/10.1145/3774904.3792517")</f>
        <v>https://dl.acm.org/doi/10.1145/3774904.3792517</v>
      </c>
      <c r="H380" s="189" t="s">
        <v>2852</v>
      </c>
      <c r="I380" s="189" t="s">
        <v>2898</v>
      </c>
      <c r="J380" s="209"/>
      <c r="K380" s="147"/>
      <c r="L380" s="147"/>
      <c r="M380" s="209"/>
      <c r="N380" s="209"/>
      <c r="O380" s="209"/>
      <c r="P380" s="209"/>
      <c r="Q380" s="209"/>
      <c r="R380" s="209"/>
      <c r="S380" s="209"/>
      <c r="T380" s="209"/>
      <c r="U380" s="209"/>
      <c r="V380" s="209"/>
      <c r="W380" s="209"/>
      <c r="X380" s="209"/>
      <c r="Y380" s="209"/>
      <c r="Z380" s="209"/>
      <c r="AA380" s="209"/>
      <c r="AB380" s="209"/>
      <c r="AC380" s="209"/>
      <c r="AD380" s="209"/>
      <c r="AE380" s="209"/>
    </row>
    <row r="381">
      <c r="A381" s="208" t="s">
        <v>2895</v>
      </c>
      <c r="B381" s="189" t="str">
        <f>IFERROR(__xludf.DUMMYFUNCTION("FILTER ('Research Papers'!D:D,'Research Papers'!A:A=C381)"),"SemFuzz: A Semantics-Aware Fuzzing Framework for Network Protocol Implementations")</f>
        <v>SemFuzz: A Semantics-Aware Fuzzing Framework for Network Protocol Implementations</v>
      </c>
      <c r="C381" s="189" t="s">
        <v>1398</v>
      </c>
      <c r="D381" s="209" t="str">
        <f t="shared" si="1"/>
        <v>SemFuzz: A Semantics-Aware Fuzzing Framework for Network Protocol Implementations
Yanbang Sun, Quan Luo, Yuelin Wang, Qian Chen, Benjin Liu,
Ruiqi Chen, Qing Huang, Xiaohong Li and Junjie Wang
</v>
      </c>
      <c r="E381" s="209" t="str">
        <f>IFERROR(__xludf.DUMMYFUNCTION("TEXTJOIN(CHAR(10), TRUE,FILTER('Research Papers'!$C:$C,'Research Papers'!$A:$A=C381))"),"Yanbang Sun, Quan Luo, Yuelin Wang, Qian Chen, Benjin Liu,
Ruiqi Chen, Qing Huang, Xiaohong Li and Junjie Wang")</f>
        <v>Yanbang Sun, Quan Luo, Yuelin Wang, Qian Chen, Benjin Liu,
Ruiqi Chen, Qing Huang, Xiaohong Li and Junjie Wang</v>
      </c>
      <c r="F381" s="209" t="str">
        <f>IFERROR(__xludf.DUMMYFUNCTION("TEXTJOIN(CHAR(10), TRUE,FILTER ('Sheridan Main'!E:E,'Sheridan Main'!B:B=C381))"),"junjie.wang@tju.edu.cn")</f>
        <v>junjie.wang@tju.edu.cn</v>
      </c>
      <c r="G381" s="210" t="str">
        <f>IFERROR(__xludf.DUMMYFUNCTION("CONCATENATE(""https://dl.acm.org/doi/"",INDEX(FILTER('Sheridan Main'!A:A,'Sheridan Main'!B:B=C381),1))"),"https://dl.acm.org/doi/10.1145/3774904.3792541")</f>
        <v>https://dl.acm.org/doi/10.1145/3774904.3792541</v>
      </c>
      <c r="H381" s="189" t="s">
        <v>2852</v>
      </c>
      <c r="I381" s="189" t="s">
        <v>2898</v>
      </c>
      <c r="J381" s="209"/>
      <c r="K381" s="147"/>
      <c r="L381" s="147"/>
      <c r="M381" s="209"/>
      <c r="N381" s="209"/>
      <c r="O381" s="209"/>
      <c r="P381" s="209"/>
      <c r="Q381" s="209"/>
      <c r="R381" s="209"/>
      <c r="S381" s="209"/>
      <c r="T381" s="209"/>
      <c r="U381" s="209"/>
      <c r="V381" s="209"/>
      <c r="W381" s="209"/>
      <c r="X381" s="209"/>
      <c r="Y381" s="209"/>
      <c r="Z381" s="209"/>
      <c r="AA381" s="209"/>
      <c r="AB381" s="209"/>
      <c r="AC381" s="209"/>
      <c r="AD381" s="209"/>
      <c r="AE381" s="209"/>
    </row>
    <row r="382">
      <c r="A382" s="208" t="s">
        <v>2895</v>
      </c>
      <c r="B382" s="189" t="str">
        <f>IFERROR(__xludf.DUMMYFUNCTION("FILTER ('Research Papers'!D:D,'Research Papers'!A:A=C382)"),"DRGW: Learning Disentangled Representations for Robust Graph Watermarking")</f>
        <v>DRGW: Learning Disentangled Representations for Robust Graph Watermarking</v>
      </c>
      <c r="C382" s="189" t="s">
        <v>1402</v>
      </c>
      <c r="D382" s="209" t="str">
        <f t="shared" si="1"/>
        <v>DRGW: Learning Disentangled Representations for Robust Graph Watermarking
Jiasen Li, Yanwei Liu, Zhuoyi Shang, Xiaoyan Gu and Weiping
Wang
</v>
      </c>
      <c r="E382" s="209" t="str">
        <f>IFERROR(__xludf.DUMMYFUNCTION("TEXTJOIN(CHAR(10), TRUE,FILTER('Research Papers'!$C:$C,'Research Papers'!$A:$A=C382))"),"Jiasen Li, Yanwei Liu, Zhuoyi Shang, Xiaoyan Gu and Weiping
Wang")</f>
        <v>Jiasen Li, Yanwei Liu, Zhuoyi Shang, Xiaoyan Gu and Weiping
Wang</v>
      </c>
      <c r="F382" s="209" t="str">
        <f>IFERROR(__xludf.DUMMYFUNCTION("TEXTJOIN(CHAR(10), TRUE,FILTER ('Sheridan Main'!E:E,'Sheridan Main'!B:B=C382))"),"liuyanwei@iie.ac.cn")</f>
        <v>liuyanwei@iie.ac.cn</v>
      </c>
      <c r="G382" s="210" t="str">
        <f>IFERROR(__xludf.DUMMYFUNCTION("CONCATENATE(""https://dl.acm.org/doi/"",INDEX(FILTER('Sheridan Main'!A:A,'Sheridan Main'!B:B=C382),1))"),"https://dl.acm.org/doi/10.1145/3774904.3792543")</f>
        <v>https://dl.acm.org/doi/10.1145/3774904.3792543</v>
      </c>
      <c r="H382" s="189" t="s">
        <v>2852</v>
      </c>
      <c r="I382" s="189" t="s">
        <v>2898</v>
      </c>
      <c r="J382" s="209"/>
      <c r="K382" s="147"/>
      <c r="L382" s="147"/>
      <c r="M382" s="209"/>
      <c r="N382" s="209"/>
      <c r="O382" s="209"/>
      <c r="P382" s="209"/>
      <c r="Q382" s="209"/>
      <c r="R382" s="209"/>
      <c r="S382" s="209"/>
      <c r="T382" s="209"/>
      <c r="U382" s="209"/>
      <c r="V382" s="209"/>
      <c r="W382" s="209"/>
      <c r="X382" s="209"/>
      <c r="Y382" s="209"/>
      <c r="Z382" s="209"/>
      <c r="AA382" s="209"/>
      <c r="AB382" s="209"/>
      <c r="AC382" s="209"/>
      <c r="AD382" s="209"/>
      <c r="AE382" s="209"/>
    </row>
    <row r="383">
      <c r="A383" s="208" t="s">
        <v>2895</v>
      </c>
      <c r="B383" s="189" t="str">
        <f>IFERROR(__xludf.DUMMYFUNCTION("FILTER ('Research Papers'!D:D,'Research Papers'!A:A=C383)"),"PrivSniffer: Graph-based Contextual Privacy Leakage Detection for User-Generated Texts")</f>
        <v>PrivSniffer: Graph-based Contextual Privacy Leakage Detection for User-Generated Texts</v>
      </c>
      <c r="C383" s="189" t="s">
        <v>1414</v>
      </c>
      <c r="D383" s="209" t="str">
        <f t="shared" si="1"/>
        <v>PrivSniffer: Graph-based Contextual Privacy Leakage Detection for User-Generated Texts
Hangyu Ye, Liyao Xiang, Naixuan Huang, Dongyue Yu, Lijun
Zhang and Gang Wang
</v>
      </c>
      <c r="E383" s="209" t="str">
        <f>IFERROR(__xludf.DUMMYFUNCTION("TEXTJOIN(CHAR(10), TRUE,FILTER('Research Papers'!$C:$C,'Research Papers'!$A:$A=C383))"),"Hangyu Ye, Liyao Xiang, Naixuan Huang, Dongyue Yu, Lijun
Zhang and Gang Wang")</f>
        <v>Hangyu Ye, Liyao Xiang, Naixuan Huang, Dongyue Yu, Lijun
Zhang and Gang Wang</v>
      </c>
      <c r="F383" s="209" t="str">
        <f>IFERROR(__xludf.DUMMYFUNCTION("TEXTJOIN(CHAR(10), TRUE,FILTER ('Sheridan Main'!E:E,'Sheridan Main'!B:B=C383))"),"xiangliyao08@sjtu.edu.cn")</f>
        <v>xiangliyao08@sjtu.edu.cn</v>
      </c>
      <c r="G383" s="210" t="str">
        <f>IFERROR(__xludf.DUMMYFUNCTION("CONCATENATE(""https://dl.acm.org/doi/"",INDEX(FILTER('Sheridan Main'!A:A,'Sheridan Main'!B:B=C383),1))"),"https://dl.acm.org/doi/10.1145/3774904.3792549")</f>
        <v>https://dl.acm.org/doi/10.1145/3774904.3792549</v>
      </c>
      <c r="H383" s="189" t="s">
        <v>2852</v>
      </c>
      <c r="I383" s="189" t="s">
        <v>2898</v>
      </c>
      <c r="J383" s="209"/>
      <c r="K383" s="147"/>
      <c r="L383" s="147"/>
      <c r="M383" s="209"/>
      <c r="N383" s="209"/>
      <c r="O383" s="209"/>
      <c r="P383" s="209"/>
      <c r="Q383" s="209"/>
      <c r="R383" s="209"/>
      <c r="S383" s="209"/>
      <c r="T383" s="209"/>
      <c r="U383" s="209"/>
      <c r="V383" s="209"/>
      <c r="W383" s="209"/>
      <c r="X383" s="209"/>
      <c r="Y383" s="209"/>
      <c r="Z383" s="209"/>
      <c r="AA383" s="209"/>
      <c r="AB383" s="209"/>
      <c r="AC383" s="209"/>
      <c r="AD383" s="209"/>
      <c r="AE383" s="209"/>
    </row>
    <row r="384">
      <c r="A384" s="208" t="s">
        <v>2895</v>
      </c>
      <c r="B384" s="189" t="str">
        <f>IFERROR(__xludf.DUMMYFUNCTION("FILTER ('Research Papers'!D:D,'Research Papers'!A:A=C384)"),"Does Ad-Free Mean Less Data Collection? An Empirical Study of Platform Data Practices and User Expectations")</f>
        <v>Does Ad-Free Mean Less Data Collection? An Empirical Study of Platform Data Practices and User Expectations</v>
      </c>
      <c r="C384" s="189" t="s">
        <v>1432</v>
      </c>
      <c r="D384" s="209" t="str">
        <f t="shared" si="1"/>
        <v>Does Ad-Free Mean Less Data Collection? An Empirical Study of Platform Data Practices and User Expectations
Sepehr Mousavi, Abhisek Dash, Savvas Zannettou and Krishna
P. Gummadi
</v>
      </c>
      <c r="E384" s="209" t="str">
        <f>IFERROR(__xludf.DUMMYFUNCTION("TEXTJOIN(CHAR(10), TRUE,FILTER('Research Papers'!$C:$C,'Research Papers'!$A:$A=C384))"),"Sepehr Mousavi, Abhisek Dash, Savvas Zannettou and Krishna
P. Gummadi")</f>
        <v>Sepehr Mousavi, Abhisek Dash, Savvas Zannettou and Krishna
P. Gummadi</v>
      </c>
      <c r="F384" s="209" t="str">
        <f>IFERROR(__xludf.DUMMYFUNCTION("TEXTJOIN(CHAR(10), TRUE,FILTER ('Sheridan Main'!E:E,'Sheridan Main'!B:B=C384))"),"smousavi@mpi-sws.org")</f>
        <v>smousavi@mpi-sws.org</v>
      </c>
      <c r="G384" s="210" t="str">
        <f>IFERROR(__xludf.DUMMYFUNCTION("CONCATENATE(""https://dl.acm.org/doi/"",INDEX(FILTER('Sheridan Main'!A:A,'Sheridan Main'!B:B=C384),1))"),"https://dl.acm.org/doi/10.1145/3774904.3792558")</f>
        <v>https://dl.acm.org/doi/10.1145/3774904.3792558</v>
      </c>
      <c r="H384" s="189" t="s">
        <v>2852</v>
      </c>
      <c r="I384" s="189" t="s">
        <v>193</v>
      </c>
      <c r="J384" s="209"/>
      <c r="K384" s="147"/>
      <c r="L384" s="147"/>
      <c r="M384" s="209"/>
      <c r="N384" s="209"/>
      <c r="O384" s="209"/>
      <c r="P384" s="209"/>
      <c r="Q384" s="209"/>
      <c r="R384" s="209"/>
      <c r="S384" s="209"/>
      <c r="T384" s="209"/>
      <c r="U384" s="209"/>
      <c r="V384" s="209"/>
      <c r="W384" s="209"/>
      <c r="X384" s="209"/>
      <c r="Y384" s="209"/>
      <c r="Z384" s="209"/>
      <c r="AA384" s="209"/>
      <c r="AB384" s="209"/>
      <c r="AC384" s="209"/>
      <c r="AD384" s="209"/>
      <c r="AE384" s="209"/>
    </row>
    <row r="385">
      <c r="A385" s="208" t="s">
        <v>2895</v>
      </c>
      <c r="B385" s="189" t="str">
        <f>IFERROR(__xludf.DUMMYFUNCTION("FILTER ('Research Papers'!D:D,'Research Papers'!A:A=C385)"),"Balancing Privacy and Security of QNAME Minimisation")</f>
        <v>Balancing Privacy and Security of QNAME Minimisation</v>
      </c>
      <c r="C385" s="189" t="s">
        <v>1544</v>
      </c>
      <c r="D385" s="209" t="str">
        <f t="shared" si="1"/>
        <v>Balancing Privacy and Security of QNAME Minimisation
Qinxin Li, Zhaohua Wang, Wenhao Wu, Zihan Li, Yiming Xia,
Chuan Gao and Zhenyu Li
</v>
      </c>
      <c r="E385" s="209" t="str">
        <f>IFERROR(__xludf.DUMMYFUNCTION("TEXTJOIN(CHAR(10), TRUE,FILTER('Research Papers'!$C:$C,'Research Papers'!$A:$A=C385))"),"Qinxin Li, Zhaohua Wang, Wenhao Wu, Zihan Li, Yiming Xia,
Chuan Gao and Zhenyu Li")</f>
        <v>Qinxin Li, Zhaohua Wang, Wenhao Wu, Zihan Li, Yiming Xia,
Chuan Gao and Zhenyu Li</v>
      </c>
      <c r="F385" s="209" t="str">
        <f>IFERROR(__xludf.DUMMYFUNCTION("TEXTJOIN(CHAR(10), TRUE,FILTER ('Sheridan Main'!E:E,'Sheridan Main'!B:B=C385))"),"wangzh@cnic.cn")</f>
        <v>wangzh@cnic.cn</v>
      </c>
      <c r="G385" s="210" t="str">
        <f>IFERROR(__xludf.DUMMYFUNCTION("CONCATENATE(""https://dl.acm.org/doi/"",INDEX(FILTER('Sheridan Main'!A:A,'Sheridan Main'!B:B=C385),1))"),"https://dl.acm.org/doi/10.1145/3774904.3792614")</f>
        <v>https://dl.acm.org/doi/10.1145/3774904.3792614</v>
      </c>
      <c r="H385" s="189" t="s">
        <v>2852</v>
      </c>
      <c r="I385" s="189" t="s">
        <v>193</v>
      </c>
      <c r="J385" s="209"/>
      <c r="K385" s="147"/>
      <c r="L385" s="147"/>
      <c r="M385" s="209"/>
      <c r="N385" s="209"/>
      <c r="O385" s="209"/>
      <c r="P385" s="209"/>
      <c r="Q385" s="209"/>
      <c r="R385" s="209"/>
      <c r="S385" s="209"/>
      <c r="T385" s="209"/>
      <c r="U385" s="209"/>
      <c r="V385" s="209"/>
      <c r="W385" s="209"/>
      <c r="X385" s="209"/>
      <c r="Y385" s="209"/>
      <c r="Z385" s="209"/>
      <c r="AA385" s="209"/>
      <c r="AB385" s="209"/>
      <c r="AC385" s="209"/>
      <c r="AD385" s="209"/>
      <c r="AE385" s="209"/>
    </row>
    <row r="386">
      <c r="A386" s="208" t="s">
        <v>2895</v>
      </c>
      <c r="B386" s="189" t="str">
        <f>IFERROR(__xludf.DUMMYFUNCTION("FILTER ('Research Papers'!D:D,'Research Papers'!A:A=C386)"),"Do You Really Know What I Am Doing? Backdoor Attacks on Provenance-Based Intrusion Detection Systems")</f>
        <v>Do You Really Know What I Am Doing? Backdoor Attacks on Provenance-Based Intrusion Detection Systems</v>
      </c>
      <c r="C386" s="189" t="s">
        <v>1560</v>
      </c>
      <c r="D386" s="209" t="str">
        <f t="shared" si="1"/>
        <v>Do You Really Know What I Am Doing? Backdoor Attacks on Provenance-Based Intrusion Detection Systems
Shaodi Xie, Wei Yuan, Haoyu Jiang, Zhu Gong, Haoran Wang,
Heng Li and Tiejun Wu
</v>
      </c>
      <c r="E386" s="209" t="str">
        <f>IFERROR(__xludf.DUMMYFUNCTION("TEXTJOIN(CHAR(10), TRUE,FILTER('Research Papers'!$C:$C,'Research Papers'!$A:$A=C386))"),"Shaodi Xie, Wei Yuan, Haoyu Jiang, Zhu Gong, Haoran Wang,
Heng Li and Tiejun Wu")</f>
        <v>Shaodi Xie, Wei Yuan, Haoyu Jiang, Zhu Gong, Haoran Wang,
Heng Li and Tiejun Wu</v>
      </c>
      <c r="F386" s="209" t="str">
        <f>IFERROR(__xludf.DUMMYFUNCTION("TEXTJOIN(CHAR(10), TRUE,FILTER ('Sheridan Main'!E:E,'Sheridan Main'!B:B=C386))"),"heng-phd.li@polyu.edu.hk")</f>
        <v>heng-phd.li@polyu.edu.hk</v>
      </c>
      <c r="G386" s="210" t="str">
        <f>IFERROR(__xludf.DUMMYFUNCTION("CONCATENATE(""https://dl.acm.org/doi/"",INDEX(FILTER('Sheridan Main'!A:A,'Sheridan Main'!B:B=C386),1))"),"https://dl.acm.org/doi/10.1145/3774904.3792622")</f>
        <v>https://dl.acm.org/doi/10.1145/3774904.3792622</v>
      </c>
      <c r="H386" s="189" t="s">
        <v>2852</v>
      </c>
      <c r="I386" s="189" t="s">
        <v>193</v>
      </c>
      <c r="J386" s="209"/>
      <c r="K386" s="147"/>
      <c r="L386" s="147"/>
      <c r="M386" s="209"/>
      <c r="N386" s="209"/>
      <c r="O386" s="209"/>
      <c r="P386" s="209"/>
      <c r="Q386" s="209"/>
      <c r="R386" s="209"/>
      <c r="S386" s="209"/>
      <c r="T386" s="209"/>
      <c r="U386" s="209"/>
      <c r="V386" s="209"/>
      <c r="W386" s="209"/>
      <c r="X386" s="209"/>
      <c r="Y386" s="209"/>
      <c r="Z386" s="209"/>
      <c r="AA386" s="209"/>
      <c r="AB386" s="209"/>
      <c r="AC386" s="209"/>
      <c r="AD386" s="209"/>
      <c r="AE386" s="209"/>
    </row>
    <row r="387">
      <c r="A387" s="208" t="s">
        <v>2895</v>
      </c>
      <c r="B387" s="189" t="str">
        <f>IFERROR(__xludf.DUMMYFUNCTION("FILTER ('Research Papers'!D:D,'Research Papers'!A:A=C387)"),"Trust on Reload: Securing Browser-Based End-to-End Encryption")</f>
        <v>Trust on Reload: Securing Browser-Based End-to-End Encryption</v>
      </c>
      <c r="C387" s="189" t="s">
        <v>1564</v>
      </c>
      <c r="D387" s="209" t="str">
        <f t="shared" si="1"/>
        <v>Trust on Reload: Securing Browser-Based End-to-End Encryption
Simon Schwarz, Florian Bauckholt and Leon Trampert
</v>
      </c>
      <c r="E387" s="209" t="str">
        <f>IFERROR(__xludf.DUMMYFUNCTION("TEXTJOIN(CHAR(10), TRUE,FILTER('Research Papers'!$C:$C,'Research Papers'!$A:$A=C387))"),"Simon Schwarz, Florian Bauckholt and Leon Trampert")</f>
        <v>Simon Schwarz, Florian Bauckholt and Leon Trampert</v>
      </c>
      <c r="F387" s="209" t="str">
        <f>IFERROR(__xludf.DUMMYFUNCTION("TEXTJOIN(CHAR(10), TRUE,FILTER ('Sheridan Main'!E:E,'Sheridan Main'!B:B=C387))"),"sschwarz@mpi-inf.mpg.de")</f>
        <v>sschwarz@mpi-inf.mpg.de</v>
      </c>
      <c r="G387" s="210" t="str">
        <f>IFERROR(__xludf.DUMMYFUNCTION("CONCATENATE(""https://dl.acm.org/doi/"",INDEX(FILTER('Sheridan Main'!A:A,'Sheridan Main'!B:B=C387),1))"),"https://dl.acm.org/doi/10.1145/3774904.3792624")</f>
        <v>https://dl.acm.org/doi/10.1145/3774904.3792624</v>
      </c>
      <c r="H387" s="189" t="s">
        <v>2852</v>
      </c>
      <c r="I387" s="189" t="s">
        <v>193</v>
      </c>
      <c r="J387" s="209"/>
      <c r="K387" s="147"/>
      <c r="L387" s="147"/>
      <c r="M387" s="209"/>
      <c r="N387" s="209"/>
      <c r="O387" s="209"/>
      <c r="P387" s="209"/>
      <c r="Q387" s="209"/>
      <c r="R387" s="209"/>
      <c r="S387" s="209"/>
      <c r="T387" s="209"/>
      <c r="U387" s="209"/>
      <c r="V387" s="209"/>
      <c r="W387" s="209"/>
      <c r="X387" s="209"/>
      <c r="Y387" s="209"/>
      <c r="Z387" s="209"/>
      <c r="AA387" s="209"/>
      <c r="AB387" s="209"/>
      <c r="AC387" s="209"/>
      <c r="AD387" s="209"/>
      <c r="AE387" s="209"/>
    </row>
    <row r="388">
      <c r="A388" s="208" t="s">
        <v>2895</v>
      </c>
      <c r="B388" s="189" t="str">
        <f>IFERROR(__xludf.DUMMYFUNCTION("FILTER ('Research Papers'!D:D,'Research Papers'!A:A=C388)"),"Fast or Secure? Push the Limit of Privacy Leakage Threat via Charging Side-Channel Attacks")</f>
        <v>Fast or Secure? Push the Limit of Privacy Leakage Threat via Charging Side-Channel Attacks</v>
      </c>
      <c r="C388" s="189" t="s">
        <v>1574</v>
      </c>
      <c r="D388" s="209" t="str">
        <f t="shared" si="1"/>
        <v>Fast or Secure? Push the Limit of Privacy Leakage Threat via Charging Side-Channel Attacks
Jiaxin Jiang, Xutong Zhang, Jiahao Li, Leqi Zhao, Zhengxin
Guo, Kaiyan Cui, Ming Gao, Jinsong Han and Fu Xiao
</v>
      </c>
      <c r="E388" s="209" t="str">
        <f>IFERROR(__xludf.DUMMYFUNCTION("TEXTJOIN(CHAR(10), TRUE,FILTER('Research Papers'!$C:$C,'Research Papers'!$A:$A=C388))"),"Jiaxin Jiang, Xutong Zhang, Jiahao Li, Leqi Zhao, Zhengxin
Guo, Kaiyan Cui, Ming Gao, Jinsong Han and Fu Xiao")</f>
        <v>Jiaxin Jiang, Xutong Zhang, Jiahao Li, Leqi Zhao, Zhengxin
Guo, Kaiyan Cui, Ming Gao, Jinsong Han and Fu Xiao</v>
      </c>
      <c r="F388" s="209" t="str">
        <f>IFERROR(__xludf.DUMMYFUNCTION("TEXTJOIN(CHAR(10), TRUE,FILTER ('Sheridan Main'!E:E,'Sheridan Main'!B:B=C388))"),"xiaof@njupt.edu.cn")</f>
        <v>xiaof@njupt.edu.cn</v>
      </c>
      <c r="G388" s="210" t="str">
        <f>IFERROR(__xludf.DUMMYFUNCTION("CONCATENATE(""https://dl.acm.org/doi/"",INDEX(FILTER('Sheridan Main'!A:A,'Sheridan Main'!B:B=C388),1))"),"https://dl.acm.org/doi/10.1145/3774904.3792629")</f>
        <v>https://dl.acm.org/doi/10.1145/3774904.3792629</v>
      </c>
      <c r="H388" s="189" t="s">
        <v>2852</v>
      </c>
      <c r="I388" s="189" t="s">
        <v>193</v>
      </c>
      <c r="J388" s="209"/>
      <c r="K388" s="147"/>
      <c r="L388" s="147"/>
      <c r="M388" s="209"/>
      <c r="N388" s="209"/>
      <c r="O388" s="209"/>
      <c r="P388" s="209"/>
      <c r="Q388" s="209"/>
      <c r="R388" s="209"/>
      <c r="S388" s="209"/>
      <c r="T388" s="209"/>
      <c r="U388" s="209"/>
      <c r="V388" s="209"/>
      <c r="W388" s="209"/>
      <c r="X388" s="209"/>
      <c r="Y388" s="209"/>
      <c r="Z388" s="209"/>
      <c r="AA388" s="209"/>
      <c r="AB388" s="209"/>
      <c r="AC388" s="209"/>
      <c r="AD388" s="209"/>
      <c r="AE388" s="209"/>
    </row>
    <row r="389">
      <c r="A389" s="208" t="s">
        <v>2895</v>
      </c>
      <c r="B389" s="189" t="str">
        <f>IFERROR(__xludf.DUMMYFUNCTION("FILTER ('Research Papers'!D:D,'Research Papers'!A:A=C389)"),"PeriNet: Periodic Deep Learning Framework for Modality-Agnostic Privacy Preserving")</f>
        <v>PeriNet: Periodic Deep Learning Framework for Modality-Agnostic Privacy Preserving</v>
      </c>
      <c r="C389" s="189" t="s">
        <v>1614</v>
      </c>
      <c r="D389" s="209" t="str">
        <f t="shared" si="1"/>
        <v>PeriNet: Periodic Deep Learning Framework for Modality-Agnostic Privacy Preserving
Yan Zhang, Yihong Song, Manzhou Li, Qiushi Li, Qi Li and Ju
Ren
</v>
      </c>
      <c r="E389" s="209" t="str">
        <f>IFERROR(__xludf.DUMMYFUNCTION("TEXTJOIN(CHAR(10), TRUE,FILTER('Research Papers'!$C:$C,'Research Papers'!$A:$A=C389))"),"Yan Zhang, Yihong Song, Manzhou Li, Qiushi Li, Qi Li and Ju
Ren")</f>
        <v>Yan Zhang, Yihong Song, Manzhou Li, Qiushi Li, Qi Li and Ju
Ren</v>
      </c>
      <c r="F389" s="209" t="str">
        <f>IFERROR(__xludf.DUMMYFUNCTION("TEXTJOIN(CHAR(10), TRUE,FILTER ('Sheridan Main'!E:E,'Sheridan Main'!B:B=C389))"),"liqiushi@buaa.edu.cn")</f>
        <v>liqiushi@buaa.edu.cn</v>
      </c>
      <c r="G389" s="210" t="str">
        <f>IFERROR(__xludf.DUMMYFUNCTION("CONCATENATE(""https://dl.acm.org/doi/"",INDEX(FILTER('Sheridan Main'!A:A,'Sheridan Main'!B:B=C389),1))"),"https://dl.acm.org/doi/10.1145/3774904.3792649")</f>
        <v>https://dl.acm.org/doi/10.1145/3774904.3792649</v>
      </c>
      <c r="H389" s="189" t="s">
        <v>2852</v>
      </c>
      <c r="I389" s="189" t="s">
        <v>193</v>
      </c>
      <c r="J389" s="209"/>
      <c r="K389" s="147"/>
      <c r="L389" s="147"/>
      <c r="M389" s="209"/>
      <c r="N389" s="209"/>
      <c r="O389" s="209"/>
      <c r="P389" s="209"/>
      <c r="Q389" s="209"/>
      <c r="R389" s="209"/>
      <c r="S389" s="209"/>
      <c r="T389" s="209"/>
      <c r="U389" s="209"/>
      <c r="V389" s="209"/>
      <c r="W389" s="209"/>
      <c r="X389" s="209"/>
      <c r="Y389" s="209"/>
      <c r="Z389" s="209"/>
      <c r="AA389" s="209"/>
      <c r="AB389" s="209"/>
      <c r="AC389" s="209"/>
      <c r="AD389" s="209"/>
      <c r="AE389" s="209"/>
    </row>
    <row r="390">
      <c r="A390" s="208" t="s">
        <v>2895</v>
      </c>
      <c r="B390" s="189" t="str">
        <f>IFERROR(__xludf.DUMMYFUNCTION("FILTER ('Research Papers'!D:D,'Research Papers'!A:A=C390)"),"CogAgent: Self-Evolving Cognitive Agents for Multi-Source Fraud Detection in Heterogeneous Financial Networks")</f>
        <v>CogAgent: Self-Evolving Cognitive Agents for Multi-Source Fraud Detection in Heterogeneous Financial Networks</v>
      </c>
      <c r="C390" s="189" t="s">
        <v>1650</v>
      </c>
      <c r="D390" s="209" t="str">
        <f t="shared" si="1"/>
        <v>CogAgent: Self-Evolving Cognitive Agents for Multi-Source Fraud Detection in Heterogeneous Financial Networks
Qianyu Wang, Weiyou Tian, Rong Wang, Wei-Tek Tsai, Tianyu
Shi, Zhuang Liu and Tianze Xia
</v>
      </c>
      <c r="E390" s="209" t="str">
        <f>IFERROR(__xludf.DUMMYFUNCTION("TEXTJOIN(CHAR(10), TRUE,FILTER('Research Papers'!$C:$C,'Research Papers'!$A:$A=C390))"),"Qianyu Wang, Weiyou Tian, Rong Wang, Wei-Tek Tsai, Tianyu
Shi, Zhuang Liu and Tianze Xia")</f>
        <v>Qianyu Wang, Weiyou Tian, Rong Wang, Wei-Tek Tsai, Tianyu
Shi, Zhuang Liu and Tianze Xia</v>
      </c>
      <c r="F390" s="209" t="str">
        <f>IFERROR(__xludf.DUMMYFUNCTION("TEXTJOIN(CHAR(10), TRUE,FILTER ('Sheridan Main'!E:E,'Sheridan Main'!B:B=C390))"),"qianyu.w@uibe.edu.cn")</f>
        <v>qianyu.w@uibe.edu.cn</v>
      </c>
      <c r="G390" s="210" t="str">
        <f>IFERROR(__xludf.DUMMYFUNCTION("CONCATENATE(""https://dl.acm.org/doi/"",INDEX(FILTER('Sheridan Main'!A:A,'Sheridan Main'!B:B=C390),1))"),"https://dl.acm.org/doi/10.1145/3774904.3792667")</f>
        <v>https://dl.acm.org/doi/10.1145/3774904.3792667</v>
      </c>
      <c r="H390" s="189" t="s">
        <v>2852</v>
      </c>
      <c r="I390" s="189" t="s">
        <v>193</v>
      </c>
      <c r="J390" s="209"/>
      <c r="K390" s="147"/>
      <c r="L390" s="147"/>
      <c r="M390" s="209"/>
      <c r="N390" s="209"/>
      <c r="O390" s="209"/>
      <c r="P390" s="209"/>
      <c r="Q390" s="209"/>
      <c r="R390" s="209"/>
      <c r="S390" s="209"/>
      <c r="T390" s="209"/>
      <c r="U390" s="209"/>
      <c r="V390" s="209"/>
      <c r="W390" s="209"/>
      <c r="X390" s="209"/>
      <c r="Y390" s="209"/>
      <c r="Z390" s="209"/>
      <c r="AA390" s="209"/>
      <c r="AB390" s="209"/>
      <c r="AC390" s="209"/>
      <c r="AD390" s="209"/>
      <c r="AE390" s="209"/>
    </row>
    <row r="391">
      <c r="A391" s="208" t="s">
        <v>2895</v>
      </c>
      <c r="B391" s="189" t="str">
        <f>IFERROR(__xludf.DUMMYFUNCTION("FILTER ('Research Papers'!D:D,'Research Papers'!A:A=C391)"),"Evasion Under Blockchain Sanctions")</f>
        <v>Evasion Under Blockchain Sanctions</v>
      </c>
      <c r="C391" s="189" t="s">
        <v>1746</v>
      </c>
      <c r="D391" s="209" t="str">
        <f t="shared" si="1"/>
        <v>Evasion Under Blockchain Sanctions
Endong Liu, Mark Ryan, Liyi Zhou and Pascal Berrang
</v>
      </c>
      <c r="E391" s="209" t="str">
        <f>IFERROR(__xludf.DUMMYFUNCTION("TEXTJOIN(CHAR(10), TRUE,FILTER('Research Papers'!$C:$C,'Research Papers'!$A:$A=C391))"),"Endong Liu, Mark Ryan, Liyi Zhou and Pascal Berrang")</f>
        <v>Endong Liu, Mark Ryan, Liyi Zhou and Pascal Berrang</v>
      </c>
      <c r="F391" s="209" t="str">
        <f>IFERROR(__xludf.DUMMYFUNCTION("TEXTJOIN(CHAR(10), TRUE,FILTER ('Sheridan Main'!E:E,'Sheridan Main'!B:B=C391))"),"exl309@student.bham.ac.uk")</f>
        <v>exl309@student.bham.ac.uk</v>
      </c>
      <c r="G391" s="210" t="str">
        <f>IFERROR(__xludf.DUMMYFUNCTION("CONCATENATE(""https://dl.acm.org/doi/"",INDEX(FILTER('Sheridan Main'!A:A,'Sheridan Main'!B:B=C391),1))"),"https://dl.acm.org/doi/10.1145/3774904.3792715")</f>
        <v>https://dl.acm.org/doi/10.1145/3774904.3792715</v>
      </c>
      <c r="H391" s="189" t="s">
        <v>2852</v>
      </c>
      <c r="I391" s="189" t="s">
        <v>193</v>
      </c>
      <c r="J391" s="209"/>
      <c r="K391" s="147"/>
      <c r="L391" s="147"/>
      <c r="M391" s="209"/>
      <c r="N391" s="209"/>
      <c r="O391" s="209"/>
      <c r="P391" s="209"/>
      <c r="Q391" s="209"/>
      <c r="R391" s="209"/>
      <c r="S391" s="209"/>
      <c r="T391" s="209"/>
      <c r="U391" s="209"/>
      <c r="V391" s="209"/>
      <c r="W391" s="209"/>
      <c r="X391" s="209"/>
      <c r="Y391" s="209"/>
      <c r="Z391" s="209"/>
      <c r="AA391" s="209"/>
      <c r="AB391" s="209"/>
      <c r="AC391" s="209"/>
      <c r="AD391" s="209"/>
      <c r="AE391" s="209"/>
    </row>
    <row r="392">
      <c r="A392" s="208" t="s">
        <v>2895</v>
      </c>
      <c r="B392" s="189" t="str">
        <f>IFERROR(__xludf.DUMMYFUNCTION("FILTER ('Research Papers'!D:D,'Research Papers'!A:A=C392)"),"Unveiling the Underground Phishing Ecosystem: A 12-Year Longitudinal Study of Deep and Dark Web Forums")</f>
        <v>Unveiling the Underground Phishing Ecosystem: A 12-Year Longitudinal Study of Deep and Dark Web Forums</v>
      </c>
      <c r="C392" s="189" t="s">
        <v>1790</v>
      </c>
      <c r="D392" s="209" t="str">
        <f t="shared" si="1"/>
        <v>Unveiling the Underground Phishing Ecosystem: A 12-Year Longitudinal Study of Deep and Dark Web Forums
Dohee Kim, Zhao Hui, Doowon Kim and Sungjae Hwang
</v>
      </c>
      <c r="E392" s="209" t="str">
        <f>IFERROR(__xludf.DUMMYFUNCTION("TEXTJOIN(CHAR(10), TRUE,FILTER('Research Papers'!$C:$C,'Research Papers'!$A:$A=C392))"),"Dohee Kim, Zhao Hui, Doowon Kim and Sungjae Hwang")</f>
        <v>Dohee Kim, Zhao Hui, Doowon Kim and Sungjae Hwang</v>
      </c>
      <c r="F392" s="209" t="str">
        <f>IFERROR(__xludf.DUMMYFUNCTION("TEXTJOIN(CHAR(10), TRUE,FILTER ('Sheridan Main'!E:E,'Sheridan Main'!B:B=C392))"),"sungjaeh@skku.edu")</f>
        <v>sungjaeh@skku.edu</v>
      </c>
      <c r="G392" s="210" t="str">
        <f>IFERROR(__xludf.DUMMYFUNCTION("CONCATENATE(""https://dl.acm.org/doi/"",INDEX(FILTER('Sheridan Main'!A:A,'Sheridan Main'!B:B=C392),1))"),"https://dl.acm.org/doi/10.1145/3774904.3792737")</f>
        <v>https://dl.acm.org/doi/10.1145/3774904.3792737</v>
      </c>
      <c r="H392" s="189" t="s">
        <v>2852</v>
      </c>
      <c r="I392" s="189" t="s">
        <v>193</v>
      </c>
      <c r="J392" s="209"/>
      <c r="K392" s="147"/>
      <c r="L392" s="147"/>
      <c r="M392" s="209"/>
      <c r="N392" s="209"/>
      <c r="O392" s="209"/>
      <c r="P392" s="209"/>
      <c r="Q392" s="209"/>
      <c r="R392" s="209"/>
      <c r="S392" s="209"/>
      <c r="T392" s="209"/>
      <c r="U392" s="209"/>
      <c r="V392" s="209"/>
      <c r="W392" s="209"/>
      <c r="X392" s="209"/>
      <c r="Y392" s="209"/>
      <c r="Z392" s="209"/>
      <c r="AA392" s="209"/>
      <c r="AB392" s="209"/>
      <c r="AC392" s="209"/>
      <c r="AD392" s="209"/>
      <c r="AE392" s="209"/>
    </row>
    <row r="393">
      <c r="A393" s="208" t="s">
        <v>2895</v>
      </c>
      <c r="B393" s="189" t="str">
        <f>IFERROR(__xludf.DUMMYFUNCTION("FILTER ('Research Papers'!D:D,'Research Papers'!A:A=C393)"),"YouChoose: A Lightweight Anonymous Proof of Account Ownership")</f>
        <v>YouChoose: A Lightweight Anonymous Proof of Account Ownership</v>
      </c>
      <c r="C393" s="189" t="s">
        <v>1804</v>
      </c>
      <c r="D393" s="209" t="str">
        <f t="shared" si="1"/>
        <v>YouChoose: A Lightweight Anonymous Proof of Account Ownership
Aarav Varshney, Prashant Agrawal and Mahabir Prasad Jhanwar
</v>
      </c>
      <c r="E393" s="209" t="str">
        <f>IFERROR(__xludf.DUMMYFUNCTION("TEXTJOIN(CHAR(10), TRUE,FILTER('Research Papers'!$C:$C,'Research Papers'!$A:$A=C393))"),"Aarav Varshney, Prashant Agrawal and Mahabir Prasad Jhanwar")</f>
        <v>Aarav Varshney, Prashant Agrawal and Mahabir Prasad Jhanwar</v>
      </c>
      <c r="F393" s="209" t="str">
        <f>IFERROR(__xludf.DUMMYFUNCTION("TEXTJOIN(CHAR(10), TRUE,FILTER ('Sheridan Main'!E:E,'Sheridan Main'!B:B=C393))"),"aarav.varshney@ntu.edu.sg")</f>
        <v>aarav.varshney@ntu.edu.sg</v>
      </c>
      <c r="G393" s="210" t="str">
        <f>IFERROR(__xludf.DUMMYFUNCTION("CONCATENATE(""https://dl.acm.org/doi/"",INDEX(FILTER('Sheridan Main'!A:A,'Sheridan Main'!B:B=C393),1))"),"https://dl.acm.org/doi/10.1145/3774904.3792744")</f>
        <v>https://dl.acm.org/doi/10.1145/3774904.3792744</v>
      </c>
      <c r="H393" s="189" t="s">
        <v>2852</v>
      </c>
      <c r="I393" s="189" t="s">
        <v>193</v>
      </c>
      <c r="J393" s="209"/>
      <c r="K393" s="147"/>
      <c r="L393" s="147"/>
      <c r="M393" s="209"/>
      <c r="N393" s="209"/>
      <c r="O393" s="209"/>
      <c r="P393" s="209"/>
      <c r="Q393" s="209"/>
      <c r="R393" s="209"/>
      <c r="S393" s="209"/>
      <c r="T393" s="209"/>
      <c r="U393" s="209"/>
      <c r="V393" s="209"/>
      <c r="W393" s="209"/>
      <c r="X393" s="209"/>
      <c r="Y393" s="209"/>
      <c r="Z393" s="209"/>
      <c r="AA393" s="209"/>
      <c r="AB393" s="209"/>
      <c r="AC393" s="209"/>
      <c r="AD393" s="209"/>
      <c r="AE393" s="209"/>
    </row>
    <row r="394">
      <c r="A394" s="208" t="s">
        <v>2899</v>
      </c>
      <c r="B394" s="189" t="str">
        <f>IFERROR(__xludf.DUMMYFUNCTION("FILTER ('Research Papers'!D:D,'Research Papers'!A:A=C394)"),"Rhythm of Opinion: Interpretable Hawkes-Graph Networks for Hierarchical Opinion Propagation")</f>
        <v>Rhythm of Opinion: Interpretable Hawkes-Graph Networks for Hierarchical Opinion Propagation</v>
      </c>
      <c r="C394" s="189" t="s">
        <v>922</v>
      </c>
      <c r="D394" s="209" t="str">
        <f t="shared" si="1"/>
        <v>Rhythm of Opinion: Interpretable Hawkes-Graph Networks for Hierarchical Opinion Propagation
Yulong Li, Zhixiang Lu, Peixin Guo, Simin Lai, Yuxuan
Zhang, Haochen Xue, Xiwei Liu, Yichen Li, Zhaodong Wu,
Feilong Tang, Mian Zhou, Chong Li, Imran Razzak, Qingxia Li
and Jionglong Su
</v>
      </c>
      <c r="E394" s="209" t="str">
        <f>IFERROR(__xludf.DUMMYFUNCTION("TEXTJOIN(CHAR(10), TRUE,FILTER('Research Papers'!$C:$C,'Research Papers'!$A:$A=C394))"),"Yulong Li, Zhixiang Lu, Peixin Guo, Simin Lai, Yuxuan
Zhang, Haochen Xue, Xiwei Liu, Yichen Li, Zhaodong Wu,
Feilong Tang, Mian Zhou, Chong Li, Imran Razzak, Qingxia Li
and Jionglong Su")</f>
        <v>Yulong Li, Zhixiang Lu, Peixin Guo, Simin Lai, Yuxuan
Zhang, Haochen Xue, Xiwei Liu, Yichen Li, Zhaodong Wu,
Feilong Tang, Mian Zhou, Chong Li, Imran Razzak, Qingxia Li
and Jionglong Su</v>
      </c>
      <c r="F394" s="209" t="str">
        <f>IFERROR(__xludf.DUMMYFUNCTION("TEXTJOIN(CHAR(10), TRUE,FILTER ('Sheridan Main'!E:E,'Sheridan Main'!B:B=C394))"),"imran.razzak@mbzuai.ac.ae")</f>
        <v>imran.razzak@mbzuai.ac.ae</v>
      </c>
      <c r="G394" s="210" t="str">
        <f>IFERROR(__xludf.DUMMYFUNCTION("CONCATENATE(""https://dl.acm.org/doi/"",INDEX(FILTER('Sheridan Main'!A:A,'Sheridan Main'!B:B=C394),1))"),"https://dl.acm.org/doi/10.1145/3774904.3792303")</f>
        <v>https://dl.acm.org/doi/10.1145/3774904.3792303</v>
      </c>
      <c r="H394" s="189" t="s">
        <v>79</v>
      </c>
      <c r="I394" s="209"/>
      <c r="J394" s="209"/>
      <c r="K394" s="147"/>
      <c r="L394" s="147"/>
      <c r="M394" s="209"/>
      <c r="N394" s="209"/>
      <c r="O394" s="209"/>
      <c r="P394" s="209"/>
      <c r="Q394" s="209"/>
      <c r="R394" s="209"/>
      <c r="S394" s="209"/>
      <c r="T394" s="209"/>
      <c r="U394" s="209"/>
      <c r="V394" s="209"/>
      <c r="W394" s="209"/>
      <c r="X394" s="209"/>
      <c r="Y394" s="209"/>
      <c r="Z394" s="209"/>
      <c r="AA394" s="209"/>
      <c r="AB394" s="209"/>
      <c r="AC394" s="209"/>
      <c r="AD394" s="209"/>
      <c r="AE394" s="209"/>
    </row>
    <row r="395">
      <c r="A395" s="208" t="s">
        <v>2899</v>
      </c>
      <c r="B395" s="189" t="str">
        <f>IFERROR(__xludf.DUMMYFUNCTION("FILTER ('Research Papers'!D:D,'Research Papers'!A:A=C395)"),"PolicySim: An LLM-Based Agent Social Simulation Sandbox for Proactive Policy Optimization")</f>
        <v>PolicySim: An LLM-Based Agent Social Simulation Sandbox for Proactive Policy Optimization</v>
      </c>
      <c r="C395" s="189" t="s">
        <v>1426</v>
      </c>
      <c r="D395" s="209" t="str">
        <f t="shared" si="1"/>
        <v>PolicySim: An LLM-Based Agent Social Simulation Sandbox for Proactive Policy Optimization
Renhong Huang, Ning Tang, Jiarong Xu, Yuxuan Cao, Qingqian
Tu, Sheng Guo, Bo Zheng, Huiyuan Liu and Yang Yang
</v>
      </c>
      <c r="E395" s="209" t="str">
        <f>IFERROR(__xludf.DUMMYFUNCTION("TEXTJOIN(CHAR(10), TRUE,FILTER('Research Papers'!$C:$C,'Research Papers'!$A:$A=C395))"),"Renhong Huang, Ning Tang, Jiarong Xu, Yuxuan Cao, Qingqian
Tu, Sheng Guo, Bo Zheng, Huiyuan Liu and Yang Yang")</f>
        <v>Renhong Huang, Ning Tang, Jiarong Xu, Yuxuan Cao, Qingqian
Tu, Sheng Guo, Bo Zheng, Huiyuan Liu and Yang Yang</v>
      </c>
      <c r="F395" s="209" t="str">
        <f>IFERROR(__xludf.DUMMYFUNCTION("TEXTJOIN(CHAR(10), TRUE,FILTER ('Sheridan Main'!E:E,'Sheridan Main'!B:B=C395))"),"jiarongxu@fudan.edu.cn")</f>
        <v>jiarongxu@fudan.edu.cn</v>
      </c>
      <c r="G395" s="210" t="str">
        <f>IFERROR(__xludf.DUMMYFUNCTION("CONCATENATE(""https://dl.acm.org/doi/"",INDEX(FILTER('Sheridan Main'!A:A,'Sheridan Main'!B:B=C395),1))"),"https://dl.acm.org/doi/10.1145/3774904.3792555")</f>
        <v>https://dl.acm.org/doi/10.1145/3774904.3792555</v>
      </c>
      <c r="H395" s="189" t="s">
        <v>79</v>
      </c>
      <c r="I395" s="209"/>
      <c r="J395" s="209"/>
      <c r="K395" s="147"/>
      <c r="L395" s="147"/>
      <c r="M395" s="209"/>
      <c r="N395" s="209"/>
      <c r="O395" s="209"/>
      <c r="P395" s="209"/>
      <c r="Q395" s="209"/>
      <c r="R395" s="209"/>
      <c r="S395" s="209"/>
      <c r="T395" s="209"/>
      <c r="U395" s="209"/>
      <c r="V395" s="209"/>
      <c r="W395" s="209"/>
      <c r="X395" s="209"/>
      <c r="Y395" s="209"/>
      <c r="Z395" s="209"/>
      <c r="AA395" s="209"/>
      <c r="AB395" s="209"/>
      <c r="AC395" s="209"/>
      <c r="AD395" s="209"/>
      <c r="AE395" s="209"/>
    </row>
    <row r="396">
      <c r="A396" s="208" t="s">
        <v>2899</v>
      </c>
      <c r="B396" s="189" t="str">
        <f>IFERROR(__xludf.DUMMYFUNCTION("FILTER ('Research Papers'!D:D,'Research Papers'!A:A=C396)"),"Tracing Belief-Driven Thoughts with Theory-of-Mind Agents: An Opinion Analysis Framework")</f>
        <v>Tracing Belief-Driven Thoughts with Theory-of-Mind Agents: An Opinion Analysis Framework</v>
      </c>
      <c r="C396" s="189" t="s">
        <v>1634</v>
      </c>
      <c r="D396" s="209" t="str">
        <f t="shared" si="1"/>
        <v>Tracing Belief-Driven Thoughts with Theory-of-Mind Agents: An Opinion Analysis Framework
Jintao Wen, Yunfeng Ning, Hankun Kang, Xin Miao and Tieyun
Qian
</v>
      </c>
      <c r="E396" s="209" t="str">
        <f>IFERROR(__xludf.DUMMYFUNCTION("TEXTJOIN(CHAR(10), TRUE,FILTER('Research Papers'!$C:$C,'Research Papers'!$A:$A=C396))"),"Jintao Wen, Yunfeng Ning, Hankun Kang, Xin Miao and Tieyun
Qian")</f>
        <v>Jintao Wen, Yunfeng Ning, Hankun Kang, Xin Miao and Tieyun
Qian</v>
      </c>
      <c r="F396" s="209" t="str">
        <f>IFERROR(__xludf.DUMMYFUNCTION("TEXTJOIN(CHAR(10), TRUE,FILTER ('Sheridan Main'!E:E,'Sheridan Main'!B:B=C396))"),"qty@whu.edu.cn")</f>
        <v>qty@whu.edu.cn</v>
      </c>
      <c r="G396" s="210" t="str">
        <f>IFERROR(__xludf.DUMMYFUNCTION("CONCATENATE(""https://dl.acm.org/doi/"",INDEX(FILTER('Sheridan Main'!A:A,'Sheridan Main'!B:B=C396),1))"),"https://dl.acm.org/doi/10.1145/3774904.3792659")</f>
        <v>https://dl.acm.org/doi/10.1145/3774904.3792659</v>
      </c>
      <c r="H396" s="189" t="s">
        <v>79</v>
      </c>
      <c r="I396" s="209"/>
      <c r="J396" s="209"/>
      <c r="K396" s="147"/>
      <c r="L396" s="147"/>
      <c r="M396" s="209"/>
      <c r="N396" s="209"/>
      <c r="O396" s="209"/>
      <c r="P396" s="209"/>
      <c r="Q396" s="209"/>
      <c r="R396" s="209"/>
      <c r="S396" s="209"/>
      <c r="T396" s="209"/>
      <c r="U396" s="209"/>
      <c r="V396" s="209"/>
      <c r="W396" s="209"/>
      <c r="X396" s="209"/>
      <c r="Y396" s="209"/>
      <c r="Z396" s="209"/>
      <c r="AA396" s="209"/>
      <c r="AB396" s="209"/>
      <c r="AC396" s="209"/>
      <c r="AD396" s="209"/>
      <c r="AE396" s="209"/>
    </row>
    <row r="397">
      <c r="A397" s="208" t="s">
        <v>2899</v>
      </c>
      <c r="B397" s="189" t="str">
        <f>IFERROR(__xludf.DUMMYFUNCTION("FILTER ('Research Papers'!D:D,'Research Papers'!A:A=C397)"),"DREAMS: A Social Exchange Theory-Informed Modeling of Misinformation Engagement on Social Media")</f>
        <v>DREAMS: A Social Exchange Theory-Informed Modeling of Misinformation Engagement on Social Media</v>
      </c>
      <c r="C397" s="189" t="s">
        <v>1678</v>
      </c>
      <c r="D397" s="209" t="str">
        <f t="shared" si="1"/>
        <v>DREAMS: A Social Exchange Theory-Informed Modeling of Misinformation Engagement on Social Media
Lin Tian and Marian-Andrei Rizoiu
</v>
      </c>
      <c r="E397" s="209" t="str">
        <f>IFERROR(__xludf.DUMMYFUNCTION("TEXTJOIN(CHAR(10), TRUE,FILTER('Research Papers'!$C:$C,'Research Papers'!$A:$A=C397))"),"Lin Tian and Marian-Andrei Rizoiu")</f>
        <v>Lin Tian and Marian-Andrei Rizoiu</v>
      </c>
      <c r="F397" s="209" t="str">
        <f>IFERROR(__xludf.DUMMYFUNCTION("TEXTJOIN(CHAR(10), TRUE,FILTER ('Sheridan Main'!E:E,'Sheridan Main'!B:B=C397))"),"lin.tian-3@uts.edu.au")</f>
        <v>lin.tian-3@uts.edu.au</v>
      </c>
      <c r="G397" s="210" t="str">
        <f>IFERROR(__xludf.DUMMYFUNCTION("CONCATENATE(""https://dl.acm.org/doi/"",INDEX(FILTER('Sheridan Main'!A:A,'Sheridan Main'!B:B=C397),1))"),"https://dl.acm.org/doi/10.1145/3774904.3792681")</f>
        <v>https://dl.acm.org/doi/10.1145/3774904.3792681</v>
      </c>
      <c r="H397" s="189" t="s">
        <v>79</v>
      </c>
      <c r="I397" s="209"/>
      <c r="J397" s="209"/>
      <c r="K397" s="147"/>
      <c r="L397" s="147"/>
      <c r="M397" s="209"/>
      <c r="N397" s="209"/>
      <c r="O397" s="209"/>
      <c r="P397" s="209"/>
      <c r="Q397" s="209"/>
      <c r="R397" s="209"/>
      <c r="S397" s="209"/>
      <c r="T397" s="209"/>
      <c r="U397" s="209"/>
      <c r="V397" s="209"/>
      <c r="W397" s="209"/>
      <c r="X397" s="209"/>
      <c r="Y397" s="209"/>
      <c r="Z397" s="209"/>
      <c r="AA397" s="209"/>
      <c r="AB397" s="209"/>
      <c r="AC397" s="209"/>
      <c r="AD397" s="209"/>
      <c r="AE397" s="209"/>
    </row>
    <row r="398">
      <c r="A398" s="208" t="s">
        <v>2899</v>
      </c>
      <c r="B398" s="189" t="str">
        <f>IFERROR(__xludf.DUMMYFUNCTION("FILTER ('Research Papers'!D:D,'Research Papers'!A:A=C398)"),"Cross-Platform Narrative Prediction: Leveraging Platform-Invariant Discourse Networks")</f>
        <v>Cross-Platform Narrative Prediction: Leveraging Platform-Invariant Discourse Networks</v>
      </c>
      <c r="C398" s="189" t="s">
        <v>1710</v>
      </c>
      <c r="D398" s="209" t="str">
        <f t="shared" si="1"/>
        <v>Cross-Platform Narrative Prediction: Leveraging Platform-Invariant Discourse Networks
Patrick Gerard, Luca Luceri, Leonardo Blas and Emilio
Ferrara
</v>
      </c>
      <c r="E398" s="209" t="str">
        <f>IFERROR(__xludf.DUMMYFUNCTION("TEXTJOIN(CHAR(10), TRUE,FILTER('Research Papers'!$C:$C,'Research Papers'!$A:$A=C398))"),"Patrick Gerard, Luca Luceri, Leonardo Blas and Emilio
Ferrara")</f>
        <v>Patrick Gerard, Luca Luceri, Leonardo Blas and Emilio
Ferrara</v>
      </c>
      <c r="F398" s="209" t="str">
        <f>IFERROR(__xludf.DUMMYFUNCTION("TEXTJOIN(CHAR(10), TRUE,FILTER ('Sheridan Main'!E:E,'Sheridan Main'!B:B=C398))"),"pgerard@isi.edu")</f>
        <v>pgerard@isi.edu</v>
      </c>
      <c r="G398" s="210" t="str">
        <f>IFERROR(__xludf.DUMMYFUNCTION("CONCATENATE(""https://dl.acm.org/doi/"",INDEX(FILTER('Sheridan Main'!A:A,'Sheridan Main'!B:B=C398),1))"),"https://dl.acm.org/doi/10.1145/3774904.3792697")</f>
        <v>https://dl.acm.org/doi/10.1145/3774904.3792697</v>
      </c>
      <c r="H398" s="189" t="s">
        <v>79</v>
      </c>
      <c r="I398" s="209"/>
      <c r="J398" s="209"/>
      <c r="K398" s="147"/>
      <c r="L398" s="147"/>
      <c r="M398" s="209"/>
      <c r="N398" s="209"/>
      <c r="O398" s="209"/>
      <c r="P398" s="209"/>
      <c r="Q398" s="209"/>
      <c r="R398" s="209"/>
      <c r="S398" s="209"/>
      <c r="T398" s="209"/>
      <c r="U398" s="209"/>
      <c r="V398" s="209"/>
      <c r="W398" s="209"/>
      <c r="X398" s="209"/>
      <c r="Y398" s="209"/>
      <c r="Z398" s="209"/>
      <c r="AA398" s="209"/>
      <c r="AB398" s="209"/>
      <c r="AC398" s="209"/>
      <c r="AD398" s="209"/>
      <c r="AE398" s="209"/>
    </row>
    <row r="399">
      <c r="A399" s="208" t="s">
        <v>2899</v>
      </c>
      <c r="B399" s="189" t="str">
        <f>IFERROR(__xludf.DUMMYFUNCTION("FILTER ('Research Papers'!D:D,'Research Papers'!A:A=C399)"),"Many Hands Make Light Work: Group-based Information Diffusion Prediction over Long-Context Cascades")</f>
        <v>Many Hands Make Light Work: Group-based Information Diffusion Prediction over Long-Context Cascades</v>
      </c>
      <c r="C399" s="189" t="s">
        <v>480</v>
      </c>
      <c r="D399" s="209" t="str">
        <f t="shared" si="1"/>
        <v>Many Hands Make Light Work: Group-based Information Diffusion Prediction over Long-Context Cascades
Zihan Feng, Yajun Yang, Xin Huang, Xin Wang, Hong Gao and
Qinghua Hu
</v>
      </c>
      <c r="E399" s="209" t="str">
        <f>IFERROR(__xludf.DUMMYFUNCTION("TEXTJOIN(CHAR(10), TRUE,FILTER('Research Papers'!$C:$C,'Research Papers'!$A:$A=C399))"),"Zihan Feng, Yajun Yang, Xin Huang, Xin Wang, Hong Gao and
Qinghua Hu")</f>
        <v>Zihan Feng, Yajun Yang, Xin Huang, Xin Wang, Hong Gao and
Qinghua Hu</v>
      </c>
      <c r="F399" s="209" t="str">
        <f>IFERROR(__xludf.DUMMYFUNCTION("TEXTJOIN(CHAR(10), TRUE,FILTER ('Sheridan Main'!E:E,'Sheridan Main'!B:B=C399))"),"yjyang@tju.edu.cn")</f>
        <v>yjyang@tju.edu.cn</v>
      </c>
      <c r="G399" s="210" t="str">
        <f>IFERROR(__xludf.DUMMYFUNCTION("CONCATENATE(""https://dl.acm.org/doi/"",INDEX(FILTER('Sheridan Main'!A:A,'Sheridan Main'!B:B=C399),1))"),"https://dl.acm.org/doi/10.1145/3774904.3792082")</f>
        <v>https://dl.acm.org/doi/10.1145/3774904.3792082</v>
      </c>
      <c r="H399" s="189" t="s">
        <v>102</v>
      </c>
      <c r="I399" s="209"/>
      <c r="J399" s="209"/>
      <c r="K399" s="147"/>
      <c r="L399" s="147"/>
      <c r="M399" s="209"/>
      <c r="N399" s="209"/>
      <c r="O399" s="209"/>
      <c r="P399" s="209"/>
      <c r="Q399" s="209"/>
      <c r="R399" s="209"/>
      <c r="S399" s="209"/>
      <c r="T399" s="209"/>
      <c r="U399" s="209"/>
      <c r="V399" s="209"/>
      <c r="W399" s="209"/>
      <c r="X399" s="209"/>
      <c r="Y399" s="209"/>
      <c r="Z399" s="209"/>
      <c r="AA399" s="209"/>
      <c r="AB399" s="209"/>
      <c r="AC399" s="209"/>
      <c r="AD399" s="209"/>
      <c r="AE399" s="209"/>
    </row>
    <row r="400">
      <c r="A400" s="208" t="s">
        <v>2899</v>
      </c>
      <c r="B400" s="189" t="str">
        <f>IFERROR(__xludf.DUMMYFUNCTION("FILTER ('Research Papers'!D:D,'Research Papers'!A:A=C400)"),"Multi-task Inference of Diffusion Networks")</f>
        <v>Multi-task Inference of Diffusion Networks</v>
      </c>
      <c r="C400" s="189" t="s">
        <v>760</v>
      </c>
      <c r="D400" s="209" t="str">
        <f t="shared" si="1"/>
        <v>Multi-task Inference of Diffusion Networks
Ting Gan, Kudereti Kuerban, Qian Yan, Ling Han, Zhigao
Zheng and Hao Huang
</v>
      </c>
      <c r="E400" s="209" t="str">
        <f>IFERROR(__xludf.DUMMYFUNCTION("TEXTJOIN(CHAR(10), TRUE,FILTER('Research Papers'!$C:$C,'Research Papers'!$A:$A=C400))"),"Ting Gan, Kudereti Kuerban, Qian Yan, Ling Han, Zhigao
Zheng and Hao Huang")</f>
        <v>Ting Gan, Kudereti Kuerban, Qian Yan, Ling Han, Zhigao
Zheng and Hao Huang</v>
      </c>
      <c r="F400" s="209" t="str">
        <f>IFERROR(__xludf.DUMMYFUNCTION("TEXTJOIN(CHAR(10), TRUE,FILTER ('Sheridan Main'!E:E,'Sheridan Main'!B:B=C400))"),"haohuang@whu.edu.cn")</f>
        <v>haohuang@whu.edu.cn</v>
      </c>
      <c r="G400" s="210" t="str">
        <f>IFERROR(__xludf.DUMMYFUNCTION("CONCATENATE(""https://dl.acm.org/doi/"",INDEX(FILTER('Sheridan Main'!A:A,'Sheridan Main'!B:B=C400),1))"),"https://dl.acm.org/doi/10.1145/3774904.3792222")</f>
        <v>https://dl.acm.org/doi/10.1145/3774904.3792222</v>
      </c>
      <c r="H400" s="189" t="s">
        <v>102</v>
      </c>
      <c r="I400" s="209"/>
      <c r="J400" s="209"/>
      <c r="K400" s="147"/>
      <c r="L400" s="147"/>
      <c r="M400" s="209"/>
      <c r="N400" s="209"/>
      <c r="O400" s="209"/>
      <c r="P400" s="209"/>
      <c r="Q400" s="209"/>
      <c r="R400" s="209"/>
      <c r="S400" s="209"/>
      <c r="T400" s="209"/>
      <c r="U400" s="209"/>
      <c r="V400" s="209"/>
      <c r="W400" s="209"/>
      <c r="X400" s="209"/>
      <c r="Y400" s="209"/>
      <c r="Z400" s="209"/>
      <c r="AA400" s="209"/>
      <c r="AB400" s="209"/>
      <c r="AC400" s="209"/>
      <c r="AD400" s="209"/>
      <c r="AE400" s="209"/>
    </row>
    <row r="401">
      <c r="A401" s="208" t="s">
        <v>2899</v>
      </c>
      <c r="B401" s="189" t="str">
        <f>IFERROR(__xludf.DUMMYFUNCTION("FILTER ('Research Papers'!D:D,'Research Papers'!A:A=C401)"),"Playing Close to the Vest: Competitive Information Propagation in Partially Observed Dual-Population Mean-Field Games")</f>
        <v>Playing Close to the Vest: Competitive Information Propagation in Partially Observed Dual-Population Mean-Field Games</v>
      </c>
      <c r="C401" s="189" t="s">
        <v>1606</v>
      </c>
      <c r="D401" s="209" t="str">
        <f t="shared" si="1"/>
        <v>Playing Close to the Vest: Competitive Information Propagation in Partially Observed Dual-Population Mean-Field Games
Dun Tan, Lixing Chen, Bo Zhang, Hongfu Liu, Hao Peng,
Shenghong Li, Yang Bai and Pan Zhou
</v>
      </c>
      <c r="E401" s="209" t="str">
        <f>IFERROR(__xludf.DUMMYFUNCTION("TEXTJOIN(CHAR(10), TRUE,FILTER('Research Papers'!$C:$C,'Research Papers'!$A:$A=C401))"),"Dun Tan, Lixing Chen, Bo Zhang, Hongfu Liu, Hao Peng,
Shenghong Li, Yang Bai and Pan Zhou")</f>
        <v>Dun Tan, Lixing Chen, Bo Zhang, Hongfu Liu, Hao Peng,
Shenghong Li, Yang Bai and Pan Zhou</v>
      </c>
      <c r="F401" s="209" t="str">
        <f>IFERROR(__xludf.DUMMYFUNCTION("TEXTJOIN(CHAR(10), TRUE,FILTER ('Sheridan Main'!E:E,'Sheridan Main'!B:B=C401))"),"shli@sjtu.edu.cn")</f>
        <v>shli@sjtu.edu.cn</v>
      </c>
      <c r="G401" s="210" t="str">
        <f>IFERROR(__xludf.DUMMYFUNCTION("CONCATENATE(""https://dl.acm.org/doi/"",INDEX(FILTER('Sheridan Main'!A:A,'Sheridan Main'!B:B=C401),1))"),"https://dl.acm.org/doi/10.1145/3774904.3792645")</f>
        <v>https://dl.acm.org/doi/10.1145/3774904.3792645</v>
      </c>
      <c r="H401" s="189" t="s">
        <v>102</v>
      </c>
      <c r="I401" s="209"/>
      <c r="J401" s="209"/>
      <c r="K401" s="147"/>
      <c r="L401" s="147"/>
      <c r="M401" s="209"/>
      <c r="N401" s="209"/>
      <c r="O401" s="209"/>
      <c r="P401" s="209"/>
      <c r="Q401" s="209"/>
      <c r="R401" s="209"/>
      <c r="S401" s="209"/>
      <c r="T401" s="209"/>
      <c r="U401" s="209"/>
      <c r="V401" s="209"/>
      <c r="W401" s="209"/>
      <c r="X401" s="209"/>
      <c r="Y401" s="209"/>
      <c r="Z401" s="209"/>
      <c r="AA401" s="209"/>
      <c r="AB401" s="209"/>
      <c r="AC401" s="209"/>
      <c r="AD401" s="209"/>
      <c r="AE401" s="209"/>
    </row>
    <row r="402">
      <c r="A402" s="208" t="s">
        <v>2899</v>
      </c>
      <c r="B402" s="189" t="str">
        <f>IFERROR(__xludf.DUMMYFUNCTION("FILTER ('Research Papers'!D:D,'Research Papers'!A:A=C402)"),"LLM-Driven Semantic ID for Information Diffusion Prediction")</f>
        <v>LLM-Driven Semantic ID for Information Diffusion Prediction</v>
      </c>
      <c r="C402" s="189" t="s">
        <v>1620</v>
      </c>
      <c r="D402" s="209" t="str">
        <f t="shared" si="1"/>
        <v>LLM-Driven Semantic ID for Information Diffusion Prediction
Haoshuang Liu, Zihan Feng, Yajun Yang, Xin Wang, Hong Gao
and Qinghua Hu
</v>
      </c>
      <c r="E402" s="209" t="str">
        <f>IFERROR(__xludf.DUMMYFUNCTION("TEXTJOIN(CHAR(10), TRUE,FILTER('Research Papers'!$C:$C,'Research Papers'!$A:$A=C402))"),"Haoshuang Liu, Zihan Feng, Yajun Yang, Xin Wang, Hong Gao
and Qinghua Hu")</f>
        <v>Haoshuang Liu, Zihan Feng, Yajun Yang, Xin Wang, Hong Gao
and Qinghua Hu</v>
      </c>
      <c r="F402" s="209" t="str">
        <f>IFERROR(__xludf.DUMMYFUNCTION("TEXTJOIN(CHAR(10), TRUE,FILTER ('Sheridan Main'!E:E,'Sheridan Main'!B:B=C402))"),"yjyang@tju.edu.cn")</f>
        <v>yjyang@tju.edu.cn</v>
      </c>
      <c r="G402" s="210" t="str">
        <f>IFERROR(__xludf.DUMMYFUNCTION("CONCATENATE(""https://dl.acm.org/doi/"",INDEX(FILTER('Sheridan Main'!A:A,'Sheridan Main'!B:B=C402),1))"),"https://dl.acm.org/doi/10.1145/3774904.3792652")</f>
        <v>https://dl.acm.org/doi/10.1145/3774904.3792652</v>
      </c>
      <c r="H402" s="189" t="s">
        <v>102</v>
      </c>
      <c r="I402" s="209"/>
      <c r="J402" s="209"/>
      <c r="K402" s="147"/>
      <c r="L402" s="147"/>
      <c r="M402" s="209"/>
      <c r="N402" s="209"/>
      <c r="O402" s="209"/>
      <c r="P402" s="209"/>
      <c r="Q402" s="209"/>
      <c r="R402" s="209"/>
      <c r="S402" s="209"/>
      <c r="T402" s="209"/>
      <c r="U402" s="209"/>
      <c r="V402" s="209"/>
      <c r="W402" s="209"/>
      <c r="X402" s="209"/>
      <c r="Y402" s="209"/>
      <c r="Z402" s="209"/>
      <c r="AA402" s="209"/>
      <c r="AB402" s="209"/>
      <c r="AC402" s="209"/>
      <c r="AD402" s="209"/>
      <c r="AE402" s="209"/>
    </row>
    <row r="403">
      <c r="A403" s="208" t="s">
        <v>2899</v>
      </c>
      <c r="B403" s="189" t="str">
        <f>IFERROR(__xludf.DUMMYFUNCTION("FILTER ('Research Papers'!D:D,'Research Papers'!A:A=C403)"),"DynaFLUX: Implicit Dynamics-Preserving Reinforcement Learning for Topology-Free Influence Maximization")</f>
        <v>DynaFLUX: Implicit Dynamics-Preserving Reinforcement Learning for Topology-Free Influence Maximization</v>
      </c>
      <c r="C403" s="189" t="s">
        <v>1800</v>
      </c>
      <c r="D403" s="209" t="str">
        <f t="shared" si="1"/>
        <v>DynaFLUX: Implicit Dynamics-Preserving Reinforcement Learning for Topology-Free Influence Maximization
Daiyunke Zhang, Ting Deng, Tianchen Zhu, Shuai Ma, Daqing
Li, Mingtian Peng and Feng Tian
</v>
      </c>
      <c r="E403" s="209" t="str">
        <f>IFERROR(__xludf.DUMMYFUNCTION("TEXTJOIN(CHAR(10), TRUE,FILTER('Research Papers'!$C:$C,'Research Papers'!$A:$A=C403))"),"Daiyunke Zhang, Ting Deng, Tianchen Zhu, Shuai Ma, Daqing
Li, Mingtian Peng and Feng Tian")</f>
        <v>Daiyunke Zhang, Ting Deng, Tianchen Zhu, Shuai Ma, Daqing
Li, Mingtian Peng and Feng Tian</v>
      </c>
      <c r="F403" s="209" t="str">
        <f>IFERROR(__xludf.DUMMYFUNCTION("TEXTJOIN(CHAR(10), TRUE,FILTER ('Sheridan Main'!E:E,'Sheridan Main'!B:B=C403))"),"zhutc@act.buaa.edu.cn")</f>
        <v>zhutc@act.buaa.edu.cn</v>
      </c>
      <c r="G403" s="210" t="str">
        <f>IFERROR(__xludf.DUMMYFUNCTION("CONCATENATE(""https://dl.acm.org/doi/"",INDEX(FILTER('Sheridan Main'!A:A,'Sheridan Main'!B:B=C403),1))"),"https://dl.acm.org/doi/10.1145/3774904.3792742")</f>
        <v>https://dl.acm.org/doi/10.1145/3774904.3792742</v>
      </c>
      <c r="H403" s="189" t="s">
        <v>102</v>
      </c>
      <c r="I403" s="209"/>
      <c r="J403" s="209"/>
      <c r="K403" s="147"/>
      <c r="L403" s="147"/>
      <c r="M403" s="209"/>
      <c r="N403" s="209"/>
      <c r="O403" s="209"/>
      <c r="P403" s="209"/>
      <c r="Q403" s="209"/>
      <c r="R403" s="209"/>
      <c r="S403" s="209"/>
      <c r="T403" s="209"/>
      <c r="U403" s="209"/>
      <c r="V403" s="209"/>
      <c r="W403" s="209"/>
      <c r="X403" s="209"/>
      <c r="Y403" s="209"/>
      <c r="Z403" s="209"/>
      <c r="AA403" s="209"/>
      <c r="AB403" s="209"/>
      <c r="AC403" s="209"/>
      <c r="AD403" s="209"/>
      <c r="AE403" s="209"/>
    </row>
    <row r="404">
      <c r="A404" s="208" t="s">
        <v>2899</v>
      </c>
      <c r="B404" s="189" t="str">
        <f>IFERROR(__xludf.DUMMYFUNCTION("FILTER ('Research Papers'!D:D,'Research Papers'!A:A=C404)"),"Open or Blocked Skies? Community Moderation Practices in Bluesky")</f>
        <v>Open or Blocked Skies? Community Moderation Practices in Bluesky</v>
      </c>
      <c r="C404" s="189" t="s">
        <v>528</v>
      </c>
      <c r="D404" s="209" t="str">
        <f t="shared" si="1"/>
        <v>Open or Blocked Skies? Community Moderation Practices in Bluesky
Saidu Sokoto, Leonhard Balduf, Onur Ascigil, Gareth Tyson,
Ignacio Castro, Björn Scheuermann, Andrea Baronchelli and
Michał Król
</v>
      </c>
      <c r="E404" s="209" t="str">
        <f>IFERROR(__xludf.DUMMYFUNCTION("TEXTJOIN(CHAR(10), TRUE,FILTER('Research Papers'!$C:$C,'Research Papers'!$A:$A=C404))"),"Saidu Sokoto, Leonhard Balduf, Onur Ascigil, Gareth Tyson,
Ignacio Castro, Björn Scheuermann, Andrea Baronchelli and
Michał Król")</f>
        <v>Saidu Sokoto, Leonhard Balduf, Onur Ascigil, Gareth Tyson,
Ignacio Castro, Björn Scheuermann, Andrea Baronchelli and
Michał Król</v>
      </c>
      <c r="F404" s="209" t="str">
        <f>IFERROR(__xludf.DUMMYFUNCTION("TEXTJOIN(CHAR(10), TRUE,FILTER ('Sheridan Main'!E:E,'Sheridan Main'!B:B=C404))"),"saidu.sokoto@city.ac.uk")</f>
        <v>saidu.sokoto@city.ac.uk</v>
      </c>
      <c r="G404" s="210" t="str">
        <f>IFERROR(__xludf.DUMMYFUNCTION("CONCATENATE(""https://dl.acm.org/doi/"",INDEX(FILTER('Sheridan Main'!A:A,'Sheridan Main'!B:B=C404),1))"),"https://dl.acm.org/doi/10.1145/3774904.3792106")</f>
        <v>https://dl.acm.org/doi/10.1145/3774904.3792106</v>
      </c>
      <c r="H404" s="189" t="s">
        <v>136</v>
      </c>
      <c r="I404" s="209"/>
      <c r="J404" s="209"/>
      <c r="K404" s="147"/>
      <c r="L404" s="147"/>
      <c r="M404" s="209"/>
      <c r="N404" s="209"/>
      <c r="O404" s="209"/>
      <c r="P404" s="209"/>
      <c r="Q404" s="209"/>
      <c r="R404" s="209"/>
      <c r="S404" s="209"/>
      <c r="T404" s="209"/>
      <c r="U404" s="209"/>
      <c r="V404" s="209"/>
      <c r="W404" s="209"/>
      <c r="X404" s="209"/>
      <c r="Y404" s="209"/>
      <c r="Z404" s="209"/>
      <c r="AA404" s="209"/>
      <c r="AB404" s="209"/>
      <c r="AC404" s="209"/>
      <c r="AD404" s="209"/>
      <c r="AE404" s="209"/>
    </row>
    <row r="405">
      <c r="A405" s="208" t="s">
        <v>2899</v>
      </c>
      <c r="B405" s="189" t="str">
        <f>IFERROR(__xludf.DUMMYFUNCTION("FILTER ('Research Papers'!D:D,'Research Papers'!A:A=C405)"),"Pattern-aware Illicit Account Detection based on User Behavior Sequences")</f>
        <v>Pattern-aware Illicit Account Detection based on User Behavior Sequences</v>
      </c>
      <c r="C405" s="189" t="s">
        <v>1118</v>
      </c>
      <c r="D405" s="209" t="str">
        <f t="shared" si="1"/>
        <v>Pattern-aware Illicit Account Detection based on User Behavior Sequences
Zehao Wang, Lanjun Wang, Fuxia Guo and Yanjie Dong
</v>
      </c>
      <c r="E405" s="209" t="str">
        <f>IFERROR(__xludf.DUMMYFUNCTION("TEXTJOIN(CHAR(10), TRUE,FILTER('Research Papers'!$C:$C,'Research Papers'!$A:$A=C405))"),"Zehao Wang, Lanjun Wang, Fuxia Guo and Yanjie Dong")</f>
        <v>Zehao Wang, Lanjun Wang, Fuxia Guo and Yanjie Dong</v>
      </c>
      <c r="F405" s="209" t="str">
        <f>IFERROR(__xludf.DUMMYFUNCTION("TEXTJOIN(CHAR(10), TRUE,FILTER ('Sheridan Main'!E:E,'Sheridan Main'!B:B=C405))"),"wanglanjun@tju.edu.cn")</f>
        <v>wanglanjun@tju.edu.cn</v>
      </c>
      <c r="G405" s="210" t="str">
        <f>IFERROR(__xludf.DUMMYFUNCTION("CONCATENATE(""https://dl.acm.org/doi/"",INDEX(FILTER('Sheridan Main'!A:A,'Sheridan Main'!B:B=C405),1))"),"https://dl.acm.org/doi/10.1145/3774904.3792401")</f>
        <v>https://dl.acm.org/doi/10.1145/3774904.3792401</v>
      </c>
      <c r="H405" s="189" t="s">
        <v>136</v>
      </c>
      <c r="I405" s="209"/>
      <c r="J405" s="209"/>
      <c r="K405" s="147"/>
      <c r="L405" s="147"/>
      <c r="M405" s="209"/>
      <c r="N405" s="209"/>
      <c r="O405" s="209"/>
      <c r="P405" s="209"/>
      <c r="Q405" s="209"/>
      <c r="R405" s="209"/>
      <c r="S405" s="209"/>
      <c r="T405" s="209"/>
      <c r="U405" s="209"/>
      <c r="V405" s="209"/>
      <c r="W405" s="209"/>
      <c r="X405" s="209"/>
      <c r="Y405" s="209"/>
      <c r="Z405" s="209"/>
      <c r="AA405" s="209"/>
      <c r="AB405" s="209"/>
      <c r="AC405" s="209"/>
      <c r="AD405" s="209"/>
      <c r="AE405" s="209"/>
    </row>
    <row r="406">
      <c r="A406" s="208" t="s">
        <v>2899</v>
      </c>
      <c r="B406" s="189" t="str">
        <f>IFERROR(__xludf.DUMMYFUNCTION("FILTER ('Research Papers'!D:D,'Research Papers'!A:A=C406)"),"Unmasking Bots in Higher Dimensions: Message Passing over Simplexes for Bot Detection")</f>
        <v>Unmasking Bots in Higher Dimensions: Message Passing over Simplexes for Bot Detection</v>
      </c>
      <c r="C406" s="189" t="s">
        <v>1286</v>
      </c>
      <c r="D406" s="209" t="str">
        <f t="shared" si="1"/>
        <v>Unmasking Bots in Higher Dimensions: Message Passing over Simplexes for Bot Detection
Fangfang Li, Huihui Zhang, Xin Zhang and Wei Wu
</v>
      </c>
      <c r="E406" s="209" t="str">
        <f>IFERROR(__xludf.DUMMYFUNCTION("TEXTJOIN(CHAR(10), TRUE,FILTER('Research Papers'!$C:$C,'Research Papers'!$A:$A=C406))"),"Fangfang Li, Huihui Zhang, Xin Zhang and Wei Wu")</f>
        <v>Fangfang Li, Huihui Zhang, Xin Zhang and Wei Wu</v>
      </c>
      <c r="F406" s="209" t="str">
        <f>IFERROR(__xludf.DUMMYFUNCTION("TEXTJOIN(CHAR(10), TRUE,FILTER ('Sheridan Main'!E:E,'Sheridan Main'!B:B=C406))"),"william.third.wu@gmail.com")</f>
        <v>william.third.wu@gmail.com</v>
      </c>
      <c r="G406" s="210" t="str">
        <f>IFERROR(__xludf.DUMMYFUNCTION("CONCATENATE(""https://dl.acm.org/doi/"",INDEX(FILTER('Sheridan Main'!A:A,'Sheridan Main'!B:B=C406),1))"),"https://dl.acm.org/doi/10.1145/3774904.3792485")</f>
        <v>https://dl.acm.org/doi/10.1145/3774904.3792485</v>
      </c>
      <c r="H406" s="189" t="s">
        <v>136</v>
      </c>
      <c r="I406" s="209"/>
      <c r="J406" s="209"/>
      <c r="K406" s="147"/>
      <c r="L406" s="147"/>
      <c r="M406" s="209"/>
      <c r="N406" s="209"/>
      <c r="O406" s="209"/>
      <c r="P406" s="209"/>
      <c r="Q406" s="209"/>
      <c r="R406" s="209"/>
      <c r="S406" s="209"/>
      <c r="T406" s="209"/>
      <c r="U406" s="209"/>
      <c r="V406" s="209"/>
      <c r="W406" s="209"/>
      <c r="X406" s="209"/>
      <c r="Y406" s="209"/>
      <c r="Z406" s="209"/>
      <c r="AA406" s="209"/>
      <c r="AB406" s="209"/>
      <c r="AC406" s="209"/>
      <c r="AD406" s="209"/>
      <c r="AE406" s="209"/>
    </row>
    <row r="407">
      <c r="A407" s="208" t="s">
        <v>2899</v>
      </c>
      <c r="B407" s="189" t="str">
        <f>IFERROR(__xludf.DUMMYFUNCTION("FILTER ('Research Papers'!D:D,'Research Papers'!A:A=C407)"),"ContiGuard: A Framework for Continual Toxicity Detection Against Evolving Evasive Perturbations")</f>
        <v>ContiGuard: A Framework for Continual Toxicity Detection Against Evolving Evasive Perturbations</v>
      </c>
      <c r="C407" s="189" t="s">
        <v>1406</v>
      </c>
      <c r="D407" s="209" t="str">
        <f t="shared" si="1"/>
        <v>ContiGuard: A Framework for Continual Toxicity Detection Against Evolving Evasive Perturbations
Hankun Kang, Xin Miao, Jianhao Chen, Jintao Wen, Mayi Xu,
Weiyu Zhang, Wenpeng Lu and Tieyun Qian
</v>
      </c>
      <c r="E407" s="209" t="str">
        <f>IFERROR(__xludf.DUMMYFUNCTION("TEXTJOIN(CHAR(10), TRUE,FILTER('Research Papers'!$C:$C,'Research Papers'!$A:$A=C407))"),"Hankun Kang, Xin Miao, Jianhao Chen, Jintao Wen, Mayi Xu,
Weiyu Zhang, Wenpeng Lu and Tieyun Qian")</f>
        <v>Hankun Kang, Xin Miao, Jianhao Chen, Jintao Wen, Mayi Xu,
Weiyu Zhang, Wenpeng Lu and Tieyun Qian</v>
      </c>
      <c r="F407" s="209" t="str">
        <f>IFERROR(__xludf.DUMMYFUNCTION("TEXTJOIN(CHAR(10), TRUE,FILTER ('Sheridan Main'!E:E,'Sheridan Main'!B:B=C407))"),"qty@whu.edu.cn")</f>
        <v>qty@whu.edu.cn</v>
      </c>
      <c r="G407" s="210" t="str">
        <f>IFERROR(__xludf.DUMMYFUNCTION("CONCATENATE(""https://dl.acm.org/doi/"",INDEX(FILTER('Sheridan Main'!A:A,'Sheridan Main'!B:B=C407),1))"),"https://dl.acm.org/doi/10.1145/3774904.3792545")</f>
        <v>https://dl.acm.org/doi/10.1145/3774904.3792545</v>
      </c>
      <c r="H407" s="189" t="s">
        <v>136</v>
      </c>
      <c r="I407" s="209"/>
      <c r="J407" s="209"/>
      <c r="K407" s="147"/>
      <c r="L407" s="147"/>
      <c r="M407" s="209"/>
      <c r="N407" s="209"/>
      <c r="O407" s="209"/>
      <c r="P407" s="209"/>
      <c r="Q407" s="209"/>
      <c r="R407" s="209"/>
      <c r="S407" s="209"/>
      <c r="T407" s="209"/>
      <c r="U407" s="209"/>
      <c r="V407" s="209"/>
      <c r="W407" s="209"/>
      <c r="X407" s="209"/>
      <c r="Y407" s="209"/>
      <c r="Z407" s="209"/>
      <c r="AA407" s="209"/>
      <c r="AB407" s="209"/>
      <c r="AC407" s="209"/>
      <c r="AD407" s="209"/>
      <c r="AE407" s="209"/>
    </row>
    <row r="408">
      <c r="A408" s="208" t="s">
        <v>2899</v>
      </c>
      <c r="B408" s="189" t="str">
        <f>IFERROR(__xludf.DUMMYFUNCTION("FILTER ('Research Papers'!D:D,'Research Papers'!A:A=C408)"),"They Said Memes Were Harmless --- We Found the Ones That Hurt: Decoding Jokes, Symbols, and Cultural References")</f>
        <v>They Said Memes Were Harmless --- We Found the Ones That Hurt: Decoding Jokes, Symbols, and Cultural References</v>
      </c>
      <c r="C408" s="189" t="s">
        <v>1752</v>
      </c>
      <c r="D408" s="209" t="str">
        <f t="shared" si="1"/>
        <v>They Said Memes Were Harmless --- We Found the Ones That Hurt: Decoding Jokes, Symbols, and Cultural References
Sahil Tripathi, Gautam Siddharth Kashyap, Mehwish Nasim,
Jian Yang, Jiechao Gao and Usman Naseem
</v>
      </c>
      <c r="E408" s="209" t="str">
        <f>IFERROR(__xludf.DUMMYFUNCTION("TEXTJOIN(CHAR(10), TRUE,FILTER('Research Papers'!$C:$C,'Research Papers'!$A:$A=C408))"),"Sahil Tripathi, Gautam Siddharth Kashyap, Mehwish Nasim,
Jian Yang, Jiechao Gao and Usman Naseem")</f>
        <v>Sahil Tripathi, Gautam Siddharth Kashyap, Mehwish Nasim,
Jian Yang, Jiechao Gao and Usman Naseem</v>
      </c>
      <c r="F408" s="209" t="str">
        <f>IFERROR(__xludf.DUMMYFUNCTION("TEXTJOIN(CHAR(10), TRUE,FILTER ('Sheridan Main'!E:E,'Sheridan Main'!B:B=C408))"),"usman.naseem@mq.edu.au")</f>
        <v>usman.naseem@mq.edu.au</v>
      </c>
      <c r="G408" s="210" t="str">
        <f>IFERROR(__xludf.DUMMYFUNCTION("CONCATENATE(""https://dl.acm.org/doi/"",INDEX(FILTER('Sheridan Main'!A:A,'Sheridan Main'!B:B=C408),1))"),"https://dl.acm.org/doi/10.1145/3774904.3792718")</f>
        <v>https://dl.acm.org/doi/10.1145/3774904.3792718</v>
      </c>
      <c r="H408" s="189" t="s">
        <v>136</v>
      </c>
      <c r="I408" s="209"/>
      <c r="J408" s="209"/>
      <c r="K408" s="147"/>
      <c r="L408" s="147"/>
      <c r="M408" s="209"/>
      <c r="N408" s="209"/>
      <c r="O408" s="209"/>
      <c r="P408" s="209"/>
      <c r="Q408" s="209"/>
      <c r="R408" s="209"/>
      <c r="S408" s="209"/>
      <c r="T408" s="209"/>
      <c r="U408" s="209"/>
      <c r="V408" s="209"/>
      <c r="W408" s="209"/>
      <c r="X408" s="209"/>
      <c r="Y408" s="209"/>
      <c r="Z408" s="209"/>
      <c r="AA408" s="209"/>
      <c r="AB408" s="209"/>
      <c r="AC408" s="209"/>
      <c r="AD408" s="209"/>
      <c r="AE408" s="209"/>
    </row>
    <row r="409">
      <c r="A409" s="208" t="s">
        <v>2899</v>
      </c>
      <c r="B409" s="189" t="str">
        <f>IFERROR(__xludf.DUMMYFUNCTION("FILTER ('Research Papers'!D:D,'Research Papers'!A:A=C409)"),"Effective and Unsupervised Social Event Detection and Evolution via RAG and Structural Entropy")</f>
        <v>Effective and Unsupervised Social Event Detection and Evolution via RAG and Structural Entropy</v>
      </c>
      <c r="C409" s="189" t="s">
        <v>592</v>
      </c>
      <c r="D409" s="209" t="str">
        <f t="shared" si="1"/>
        <v>Effective and Unsupervised Social Event Detection and Evolution via RAG and Structural Entropy
Qitong Liu, Hao Peng, Zuchen Li, Xihang Meng, Ziyu Yang,
Jiting Li, Li Sun and Philip Yu
</v>
      </c>
      <c r="E409" s="209" t="str">
        <f>IFERROR(__xludf.DUMMYFUNCTION("TEXTJOIN(CHAR(10), TRUE,FILTER('Research Papers'!$C:$C,'Research Papers'!$A:$A=C409))"),"Qitong Liu, Hao Peng, Zuchen Li, Xihang Meng, Ziyu Yang,
Jiting Li, Li Sun and Philip Yu")</f>
        <v>Qitong Liu, Hao Peng, Zuchen Li, Xihang Meng, Ziyu Yang,
Jiting Li, Li Sun and Philip Yu</v>
      </c>
      <c r="F409" s="209" t="str">
        <f>IFERROR(__xludf.DUMMYFUNCTION("TEXTJOIN(CHAR(10), TRUE,FILTER ('Sheridan Main'!E:E,'Sheridan Main'!B:B=C409))"),"penghao@buaa.edu.cn")</f>
        <v>penghao@buaa.edu.cn</v>
      </c>
      <c r="G409" s="210" t="str">
        <f>IFERROR(__xludf.DUMMYFUNCTION("CONCATENATE(""https://dl.acm.org/doi/"",INDEX(FILTER('Sheridan Main'!A:A,'Sheridan Main'!B:B=C409),1))"),"https://dl.acm.org/doi/10.1145/3774904.3792138")</f>
        <v>https://dl.acm.org/doi/10.1145/3774904.3792138</v>
      </c>
      <c r="H409" s="189" t="s">
        <v>158</v>
      </c>
      <c r="I409" s="209"/>
      <c r="J409" s="209"/>
      <c r="K409" s="147"/>
      <c r="L409" s="147"/>
      <c r="M409" s="209"/>
      <c r="N409" s="209"/>
      <c r="O409" s="209"/>
      <c r="P409" s="209"/>
      <c r="Q409" s="209"/>
      <c r="R409" s="209"/>
      <c r="S409" s="209"/>
      <c r="T409" s="209"/>
      <c r="U409" s="209"/>
      <c r="V409" s="209"/>
      <c r="W409" s="209"/>
      <c r="X409" s="209"/>
      <c r="Y409" s="209"/>
      <c r="Z409" s="209"/>
      <c r="AA409" s="209"/>
      <c r="AB409" s="209"/>
      <c r="AC409" s="209"/>
      <c r="AD409" s="209"/>
      <c r="AE409" s="209"/>
    </row>
    <row r="410">
      <c r="A410" s="208" t="s">
        <v>2899</v>
      </c>
      <c r="B410" s="189" t="str">
        <f>IFERROR(__xludf.DUMMYFUNCTION("FILTER ('Research Papers'!D:D,'Research Papers'!A:A=C410)"),"Towards Rare Social Event Prediction via Mediator Learning")</f>
        <v>Towards Rare Social Event Prediction via Mediator Learning</v>
      </c>
      <c r="C410" s="189" t="s">
        <v>784</v>
      </c>
      <c r="D410" s="209" t="str">
        <f t="shared" si="1"/>
        <v>Towards Rare Social Event Prediction via Mediator Learning
Mingjie Qiu, Zhiyi Tan and Bing-Kun Bao
</v>
      </c>
      <c r="E410" s="209" t="str">
        <f>IFERROR(__xludf.DUMMYFUNCTION("TEXTJOIN(CHAR(10), TRUE,FILTER('Research Papers'!$C:$C,'Research Papers'!$A:$A=C410))"),"Mingjie Qiu, Zhiyi Tan and Bing-Kun Bao")</f>
        <v>Mingjie Qiu, Zhiyi Tan and Bing-Kun Bao</v>
      </c>
      <c r="F410" s="209" t="str">
        <f>IFERROR(__xludf.DUMMYFUNCTION("TEXTJOIN(CHAR(10), TRUE,FILTER ('Sheridan Main'!E:E,'Sheridan Main'!B:B=C410))"),"bingkunbao@njupt.edu.cn")</f>
        <v>bingkunbao@njupt.edu.cn</v>
      </c>
      <c r="G410" s="210" t="str">
        <f>IFERROR(__xludf.DUMMYFUNCTION("CONCATENATE(""https://dl.acm.org/doi/"",INDEX(FILTER('Sheridan Main'!A:A,'Sheridan Main'!B:B=C410),1))"),"https://dl.acm.org/doi/10.1145/3774904.3792234")</f>
        <v>https://dl.acm.org/doi/10.1145/3774904.3792234</v>
      </c>
      <c r="H410" s="189" t="s">
        <v>158</v>
      </c>
      <c r="I410" s="209"/>
      <c r="J410" s="209"/>
      <c r="K410" s="147"/>
      <c r="L410" s="147"/>
      <c r="M410" s="209"/>
      <c r="N410" s="209"/>
      <c r="O410" s="209"/>
      <c r="P410" s="209"/>
      <c r="Q410" s="209"/>
      <c r="R410" s="209"/>
      <c r="S410" s="209"/>
      <c r="T410" s="209"/>
      <c r="U410" s="209"/>
      <c r="V410" s="209"/>
      <c r="W410" s="209"/>
      <c r="X410" s="209"/>
      <c r="Y410" s="209"/>
      <c r="Z410" s="209"/>
      <c r="AA410" s="209"/>
      <c r="AB410" s="209"/>
      <c r="AC410" s="209"/>
      <c r="AD410" s="209"/>
      <c r="AE410" s="209"/>
    </row>
    <row r="411">
      <c r="A411" s="208" t="s">
        <v>2899</v>
      </c>
      <c r="B411" s="189" t="str">
        <f>IFERROR(__xludf.DUMMYFUNCTION("FILTER ('Research Papers'!D:D,'Research Papers'!A:A=C411)"),"Beyond Words: Enhancing Desire, Emotion, and Sentiment Recognition with Non-Verbal Cues")</f>
        <v>Beyond Words: Enhancing Desire, Emotion, and Sentiment Recognition with Non-Verbal Cues</v>
      </c>
      <c r="C411" s="189" t="s">
        <v>1102</v>
      </c>
      <c r="D411" s="209" t="str">
        <f t="shared" si="1"/>
        <v>Beyond Words: Enhancing Desire, Emotion, and Sentiment Recognition with Non-Verbal Cues
Wei Chen, Tongguan Wang, Feiyue Xue, Junkai Li, Hui Liu and
Ying Sha
</v>
      </c>
      <c r="E411" s="209" t="str">
        <f>IFERROR(__xludf.DUMMYFUNCTION("TEXTJOIN(CHAR(10), TRUE,FILTER('Research Papers'!$C:$C,'Research Papers'!$A:$A=C411))"),"Wei Chen, Tongguan Wang, Feiyue Xue, Junkai Li, Hui Liu and
Ying Sha")</f>
        <v>Wei Chen, Tongguan Wang, Feiyue Xue, Junkai Li, Hui Liu and
Ying Sha</v>
      </c>
      <c r="F411" s="209" t="str">
        <f>IFERROR(__xludf.DUMMYFUNCTION("TEXTJOIN(CHAR(10), TRUE,FILTER ('Sheridan Main'!E:E,'Sheridan Main'!B:B=C411))"),"shaying@mail.hzau.edu.cn")</f>
        <v>shaying@mail.hzau.edu.cn</v>
      </c>
      <c r="G411" s="210" t="str">
        <f>IFERROR(__xludf.DUMMYFUNCTION("CONCATENATE(""https://dl.acm.org/doi/"",INDEX(FILTER('Sheridan Main'!A:A,'Sheridan Main'!B:B=C411),1))"),"https://dl.acm.org/doi/10.1145/3774904.3792393")</f>
        <v>https://dl.acm.org/doi/10.1145/3774904.3792393</v>
      </c>
      <c r="H411" s="189" t="s">
        <v>158</v>
      </c>
      <c r="I411" s="209"/>
      <c r="J411" s="209"/>
      <c r="K411" s="147"/>
      <c r="L411" s="147"/>
      <c r="M411" s="209"/>
      <c r="N411" s="209"/>
      <c r="O411" s="209"/>
      <c r="P411" s="209"/>
      <c r="Q411" s="209"/>
      <c r="R411" s="209"/>
      <c r="S411" s="209"/>
      <c r="T411" s="209"/>
      <c r="U411" s="209"/>
      <c r="V411" s="209"/>
      <c r="W411" s="209"/>
      <c r="X411" s="209"/>
      <c r="Y411" s="209"/>
      <c r="Z411" s="209"/>
      <c r="AA411" s="209"/>
      <c r="AB411" s="209"/>
      <c r="AC411" s="209"/>
      <c r="AD411" s="209"/>
      <c r="AE411" s="209"/>
    </row>
    <row r="412">
      <c r="A412" s="208" t="s">
        <v>2899</v>
      </c>
      <c r="B412" s="189" t="str">
        <f>IFERROR(__xludf.DUMMYFUNCTION("FILTER ('Research Papers'!D:D,'Research Papers'!A:A=C412)"),"How Social Media Peer Comments Influence Privacy Decisions in Photo Sharing: Context and Individual Differences Cause Comments to Backfire")</f>
        <v>How Social Media Peer Comments Influence Privacy Decisions in Photo Sharing: Context and Individual Differences Cause Comments to Backfire</v>
      </c>
      <c r="C412" s="189" t="s">
        <v>1252</v>
      </c>
      <c r="D412" s="209" t="str">
        <f t="shared" si="1"/>
        <v>How Social Media Peer Comments Influence Privacy Decisions in Photo Sharing: Context and Individual Differences Cause Comments to Backfire
Tangila Islam Tanni, Renita Washburn, Yan Solihin and Mary
Jean Amon
</v>
      </c>
      <c r="E412" s="209" t="str">
        <f>IFERROR(__xludf.DUMMYFUNCTION("TEXTJOIN(CHAR(10), TRUE,FILTER('Research Papers'!$C:$C,'Research Papers'!$A:$A=C412))"),"Tangila Islam Tanni, Renita Washburn, Yan Solihin and Mary
Jean Amon")</f>
        <v>Tangila Islam Tanni, Renita Washburn, Yan Solihin and Mary
Jean Amon</v>
      </c>
      <c r="F412" s="209" t="str">
        <f>IFERROR(__xludf.DUMMYFUNCTION("TEXTJOIN(CHAR(10), TRUE,FILTER ('Sheridan Main'!E:E,'Sheridan Main'!B:B=C412))"),"tangilaislam.tanni@ucf.edu")</f>
        <v>tangilaislam.tanni@ucf.edu</v>
      </c>
      <c r="G412" s="210" t="str">
        <f>IFERROR(__xludf.DUMMYFUNCTION("CONCATENATE(""https://dl.acm.org/doi/"",INDEX(FILTER('Sheridan Main'!A:A,'Sheridan Main'!B:B=C412),1))"),"https://dl.acm.org/doi/10.1145/3774904.3792468")</f>
        <v>https://dl.acm.org/doi/10.1145/3774904.3792468</v>
      </c>
      <c r="H412" s="189" t="s">
        <v>158</v>
      </c>
      <c r="I412" s="209"/>
      <c r="J412" s="209"/>
      <c r="K412" s="147"/>
      <c r="L412" s="147"/>
      <c r="M412" s="209"/>
      <c r="N412" s="209"/>
      <c r="O412" s="209"/>
      <c r="P412" s="209"/>
      <c r="Q412" s="209"/>
      <c r="R412" s="209"/>
      <c r="S412" s="209"/>
      <c r="T412" s="209"/>
      <c r="U412" s="209"/>
      <c r="V412" s="209"/>
      <c r="W412" s="209"/>
      <c r="X412" s="209"/>
      <c r="Y412" s="209"/>
      <c r="Z412" s="209"/>
      <c r="AA412" s="209"/>
      <c r="AB412" s="209"/>
      <c r="AC412" s="209"/>
      <c r="AD412" s="209"/>
      <c r="AE412" s="209"/>
    </row>
    <row r="413">
      <c r="A413" s="208" t="s">
        <v>2899</v>
      </c>
      <c r="B413" s="189" t="str">
        <f>IFERROR(__xludf.DUMMYFUNCTION("FILTER ('Research Papers'!D:D,'Research Papers'!A:A=C413)"),"From Social Media to Psychological Scale: An Adaptive Framework with Two-Hop Retrieval for Depression Screening")</f>
        <v>From Social Media to Psychological Scale: An Adaptive Framework with Two-Hop Retrieval for Depression Screening</v>
      </c>
      <c r="C413" s="189" t="s">
        <v>1504</v>
      </c>
      <c r="D413" s="209" t="str">
        <f t="shared" si="1"/>
        <v>From Social Media to Psychological Scale: An Adaptive Framework with Two-Hop Retrieval for Depression Screening
Yangyang Xu, Jinpeng Hu, Peipei Song, Zhangling Duan and
Xun Yang
</v>
      </c>
      <c r="E413" s="209" t="str">
        <f>IFERROR(__xludf.DUMMYFUNCTION("TEXTJOIN(CHAR(10), TRUE,FILTER('Research Papers'!$C:$C,'Research Papers'!$A:$A=C413))"),"Yangyang Xu, Jinpeng Hu, Peipei Song, Zhangling Duan and
Xun Yang")</f>
        <v>Yangyang Xu, Jinpeng Hu, Peipei Song, Zhangling Duan and
Xun Yang</v>
      </c>
      <c r="F413" s="209" t="str">
        <f>IFERROR(__xludf.DUMMYFUNCTION("TEXTJOIN(CHAR(10), TRUE,FILTER ('Sheridan Main'!E:E,'Sheridan Main'!B:B=C413))"),"xyang21@ustc.edu.cn")</f>
        <v>xyang21@ustc.edu.cn</v>
      </c>
      <c r="G413" s="210" t="str">
        <f>IFERROR(__xludf.DUMMYFUNCTION("CONCATENATE(""https://dl.acm.org/doi/"",INDEX(FILTER('Sheridan Main'!A:A,'Sheridan Main'!B:B=C413),1))"),"https://dl.acm.org/doi/10.1145/3774904.3792594")</f>
        <v>https://dl.acm.org/doi/10.1145/3774904.3792594</v>
      </c>
      <c r="H413" s="189" t="s">
        <v>158</v>
      </c>
      <c r="I413" s="209"/>
      <c r="J413" s="209"/>
      <c r="K413" s="147"/>
      <c r="L413" s="147"/>
      <c r="M413" s="209"/>
      <c r="N413" s="209"/>
      <c r="O413" s="209"/>
      <c r="P413" s="209"/>
      <c r="Q413" s="209"/>
      <c r="R413" s="209"/>
      <c r="S413" s="209"/>
      <c r="T413" s="209"/>
      <c r="U413" s="209"/>
      <c r="V413" s="209"/>
      <c r="W413" s="209"/>
      <c r="X413" s="209"/>
      <c r="Y413" s="209"/>
      <c r="Z413" s="209"/>
      <c r="AA413" s="209"/>
      <c r="AB413" s="209"/>
      <c r="AC413" s="209"/>
      <c r="AD413" s="209"/>
      <c r="AE413" s="209"/>
    </row>
    <row r="414">
      <c r="A414" s="208" t="s">
        <v>2899</v>
      </c>
      <c r="B414" s="189" t="str">
        <f>IFERROR(__xludf.DUMMYFUNCTION("FILTER ('Research Papers'!D:D,'Research Papers'!A:A=C414)"),"Collusion-Aware Set-level Learning Framework for Detecting Spamming Activities")</f>
        <v>Collusion-Aware Set-level Learning Framework for Detecting Spamming Activities</v>
      </c>
      <c r="C414" s="189" t="s">
        <v>512</v>
      </c>
      <c r="D414" s="209" t="str">
        <f t="shared" si="1"/>
        <v>Collusion-Aware Set-level Learning Framework for Detecting Spamming Activities
Yuli Liu
</v>
      </c>
      <c r="E414" s="209" t="str">
        <f>IFERROR(__xludf.DUMMYFUNCTION("TEXTJOIN(CHAR(10), TRUE,FILTER('Research Papers'!$C:$C,'Research Papers'!$A:$A=C414))"),"Yuli Liu")</f>
        <v>Yuli Liu</v>
      </c>
      <c r="F414" s="209" t="str">
        <f>IFERROR(__xludf.DUMMYFUNCTION("TEXTJOIN(CHAR(10), TRUE,FILTER ('Sheridan Main'!E:E,'Sheridan Main'!B:B=C414))"),"liuyuli012@gmail.com")</f>
        <v>liuyuli012@gmail.com</v>
      </c>
      <c r="G414" s="210" t="str">
        <f>IFERROR(__xludf.DUMMYFUNCTION("CONCATENATE(""https://dl.acm.org/doi/"",INDEX(FILTER('Sheridan Main'!A:A,'Sheridan Main'!B:B=C414),1))"),"https://dl.acm.org/doi/10.1145/3774904.3792098")</f>
        <v>https://dl.acm.org/doi/10.1145/3774904.3792098</v>
      </c>
      <c r="H414" s="189" t="s">
        <v>2853</v>
      </c>
      <c r="I414" s="189" t="s">
        <v>2900</v>
      </c>
      <c r="J414" s="209"/>
      <c r="K414" s="205" t="s">
        <v>2930</v>
      </c>
      <c r="L414" s="174">
        <f>COUNTIF(H:H,H414)</f>
        <v>22</v>
      </c>
      <c r="M414" s="209"/>
      <c r="N414" s="209"/>
      <c r="O414" s="209"/>
      <c r="P414" s="209"/>
      <c r="Q414" s="209"/>
      <c r="R414" s="209"/>
      <c r="S414" s="209"/>
      <c r="T414" s="209"/>
      <c r="U414" s="209"/>
      <c r="V414" s="209"/>
      <c r="W414" s="209"/>
      <c r="X414" s="209"/>
      <c r="Y414" s="209"/>
      <c r="Z414" s="209"/>
      <c r="AA414" s="209"/>
      <c r="AB414" s="209"/>
      <c r="AC414" s="209"/>
      <c r="AD414" s="209"/>
      <c r="AE414" s="209"/>
    </row>
    <row r="415">
      <c r="A415" s="208" t="s">
        <v>2899</v>
      </c>
      <c r="B415" s="189" t="str">
        <f>IFERROR(__xludf.DUMMYFUNCTION("FILTER ('Research Papers'!D:D,'Research Papers'!A:A=C415)"),"The Devil Within, The Cure Without: Securing Locally Private Graph Learning under Poisoning")</f>
        <v>The Devil Within, The Cure Without: Securing Locally Private Graph Learning under Poisoning</v>
      </c>
      <c r="C415" s="189" t="s">
        <v>520</v>
      </c>
      <c r="D415" s="209" t="str">
        <f t="shared" si="1"/>
        <v>The Devil Within, The Cure Without: Securing Locally Private Graph Learning under Poisoning
Longzhu He, Peng Tang, Li Sun and Sen Su
</v>
      </c>
      <c r="E415" s="209" t="str">
        <f>IFERROR(__xludf.DUMMYFUNCTION("TEXTJOIN(CHAR(10), TRUE,FILTER('Research Papers'!$C:$C,'Research Papers'!$A:$A=C415))"),"Longzhu He, Peng Tang, Li Sun and Sen Su")</f>
        <v>Longzhu He, Peng Tang, Li Sun and Sen Su</v>
      </c>
      <c r="F415" s="209" t="str">
        <f>IFERROR(__xludf.DUMMYFUNCTION("TEXTJOIN(CHAR(10), TRUE,FILTER ('Sheridan Main'!E:E,'Sheridan Main'!B:B=C415))"),"helongzhu@bupt.edu.cn")</f>
        <v>helongzhu@bupt.edu.cn</v>
      </c>
      <c r="G415" s="210" t="str">
        <f>IFERROR(__xludf.DUMMYFUNCTION("CONCATENATE(""https://dl.acm.org/doi/"",INDEX(FILTER('Sheridan Main'!A:A,'Sheridan Main'!B:B=C415),1))"),"https://dl.acm.org/doi/10.1145/3774904.3792102")</f>
        <v>https://dl.acm.org/doi/10.1145/3774904.3792102</v>
      </c>
      <c r="H415" s="189" t="s">
        <v>2853</v>
      </c>
      <c r="I415" s="189" t="s">
        <v>2900</v>
      </c>
      <c r="J415" s="209"/>
      <c r="K415" s="147"/>
      <c r="L415" s="147"/>
      <c r="M415" s="209"/>
      <c r="N415" s="209"/>
      <c r="O415" s="209"/>
      <c r="P415" s="209"/>
      <c r="Q415" s="209"/>
      <c r="R415" s="209"/>
      <c r="S415" s="209"/>
      <c r="T415" s="209"/>
      <c r="U415" s="209"/>
      <c r="V415" s="209"/>
      <c r="W415" s="209"/>
      <c r="X415" s="209"/>
      <c r="Y415" s="209"/>
      <c r="Z415" s="209"/>
      <c r="AA415" s="209"/>
      <c r="AB415" s="209"/>
      <c r="AC415" s="209"/>
      <c r="AD415" s="209"/>
      <c r="AE415" s="209"/>
    </row>
    <row r="416">
      <c r="A416" s="208" t="s">
        <v>2899</v>
      </c>
      <c r="B416" s="189" t="str">
        <f>IFERROR(__xludf.DUMMYFUNCTION("FILTER ('Research Papers'!D:D,'Research Papers'!A:A=C416)"),"H-NeiFi: Non-Invasive and Consensus-Efficient Multi-Agent Opinion Guidance")</f>
        <v>H-NeiFi: Non-Invasive and Consensus-Efficient Multi-Agent Opinion Guidance</v>
      </c>
      <c r="C416" s="189" t="s">
        <v>542</v>
      </c>
      <c r="D416" s="209" t="str">
        <f t="shared" si="1"/>
        <v>H-NeiFi: Non-Invasive and Consensus-Efficient Multi-Agent Opinion Guidance
Shijun Guo, Haoran Xu, Yaming Yang, Ziyu Guan, Wei Zhao,
Zhang Xinyi and Song Yishan
</v>
      </c>
      <c r="E416" s="209" t="str">
        <f>IFERROR(__xludf.DUMMYFUNCTION("TEXTJOIN(CHAR(10), TRUE,FILTER('Research Papers'!$C:$C,'Research Papers'!$A:$A=C416))"),"Shijun Guo, Haoran Xu, Yaming Yang, Ziyu Guan, Wei Zhao,
Zhang Xinyi and Song Yishan")</f>
        <v>Shijun Guo, Haoran Xu, Yaming Yang, Ziyu Guan, Wei Zhao,
Zhang Xinyi and Song Yishan</v>
      </c>
      <c r="F416" s="209" t="str">
        <f>IFERROR(__xludf.DUMMYFUNCTION("TEXTJOIN(CHAR(10), TRUE,FILTER ('Sheridan Main'!E:E,'Sheridan Main'!B:B=C416))"),"zyguan@xidian.edu.cn")</f>
        <v>zyguan@xidian.edu.cn</v>
      </c>
      <c r="G416" s="210" t="str">
        <f>IFERROR(__xludf.DUMMYFUNCTION("CONCATENATE(""https://dl.acm.org/doi/"",INDEX(FILTER('Sheridan Main'!A:A,'Sheridan Main'!B:B=C416),1))"),"https://dl.acm.org/doi/10.1145/3774904.3792113")</f>
        <v>https://dl.acm.org/doi/10.1145/3774904.3792113</v>
      </c>
      <c r="H416" s="189" t="s">
        <v>2853</v>
      </c>
      <c r="I416" s="189" t="s">
        <v>2900</v>
      </c>
      <c r="J416" s="209"/>
      <c r="K416" s="147"/>
      <c r="L416" s="147"/>
      <c r="M416" s="209"/>
      <c r="N416" s="209"/>
      <c r="O416" s="209"/>
      <c r="P416" s="209"/>
      <c r="Q416" s="209"/>
      <c r="R416" s="209"/>
      <c r="S416" s="209"/>
      <c r="T416" s="209"/>
      <c r="U416" s="209"/>
      <c r="V416" s="209"/>
      <c r="W416" s="209"/>
      <c r="X416" s="209"/>
      <c r="Y416" s="209"/>
      <c r="Z416" s="209"/>
      <c r="AA416" s="209"/>
      <c r="AB416" s="209"/>
      <c r="AC416" s="209"/>
      <c r="AD416" s="209"/>
      <c r="AE416" s="209"/>
    </row>
    <row r="417">
      <c r="A417" s="208" t="s">
        <v>2899</v>
      </c>
      <c r="B417" s="189" t="str">
        <f>IFERROR(__xludf.DUMMYFUNCTION("FILTER ('Research Papers'!D:D,'Research Papers'!A:A=C417)"),"FairGE: Fairness-Aware Graph Encoding in Incomplete Social Networks")</f>
        <v>FairGE: Fairness-Aware Graph Encoding in Incomplete Social Networks</v>
      </c>
      <c r="C417" s="189" t="s">
        <v>654</v>
      </c>
      <c r="D417" s="209" t="str">
        <f t="shared" si="1"/>
        <v>FairGE: Fairness-Aware Graph Encoding in Incomplete Social Networks
Renqiang Luo, Huafei Huang, Tao Tang, Jing Ren, Ziqi Xu,
Mingliang Hou, Enyan Dai and Feng Xia
</v>
      </c>
      <c r="E417" s="209" t="str">
        <f>IFERROR(__xludf.DUMMYFUNCTION("TEXTJOIN(CHAR(10), TRUE,FILTER('Research Papers'!$C:$C,'Research Papers'!$A:$A=C417))"),"Renqiang Luo, Huafei Huang, Tao Tang, Jing Ren, Ziqi Xu,
Mingliang Hou, Enyan Dai and Feng Xia")</f>
        <v>Renqiang Luo, Huafei Huang, Tao Tang, Jing Ren, Ziqi Xu,
Mingliang Hou, Enyan Dai and Feng Xia</v>
      </c>
      <c r="F417" s="209" t="str">
        <f>IFERROR(__xludf.DUMMYFUNCTION("TEXTJOIN(CHAR(10), TRUE,FILTER ('Sheridan Main'!E:E,'Sheridan Main'!B:B=C417))"),"ziqi.xu@rmit.edu.au")</f>
        <v>ziqi.xu@rmit.edu.au</v>
      </c>
      <c r="G417" s="210" t="str">
        <f>IFERROR(__xludf.DUMMYFUNCTION("CONCATENATE(""https://dl.acm.org/doi/"",INDEX(FILTER('Sheridan Main'!A:A,'Sheridan Main'!B:B=C417),1))"),"https://dl.acm.org/doi/10.1145/3774904.3792169")</f>
        <v>https://dl.acm.org/doi/10.1145/3774904.3792169</v>
      </c>
      <c r="H417" s="189" t="s">
        <v>2853</v>
      </c>
      <c r="I417" s="189" t="s">
        <v>2900</v>
      </c>
      <c r="J417" s="209"/>
      <c r="K417" s="147"/>
      <c r="L417" s="147"/>
      <c r="M417" s="209"/>
      <c r="N417" s="209"/>
      <c r="O417" s="209"/>
      <c r="P417" s="209"/>
      <c r="Q417" s="209"/>
      <c r="R417" s="209"/>
      <c r="S417" s="209"/>
      <c r="T417" s="209"/>
      <c r="U417" s="209"/>
      <c r="V417" s="209"/>
      <c r="W417" s="209"/>
      <c r="X417" s="209"/>
      <c r="Y417" s="209"/>
      <c r="Z417" s="209"/>
      <c r="AA417" s="209"/>
      <c r="AB417" s="209"/>
      <c r="AC417" s="209"/>
      <c r="AD417" s="209"/>
      <c r="AE417" s="209"/>
    </row>
    <row r="418">
      <c r="A418" s="208" t="s">
        <v>2899</v>
      </c>
      <c r="B418" s="189" t="str">
        <f>IFERROR(__xludf.DUMMYFUNCTION("FILTER ('Research Papers'!D:D,'Research Papers'!A:A=C418)"),"Explaining Synergistic Effects in Social Recommendations")</f>
        <v>Explaining Synergistic Effects in Social Recommendations</v>
      </c>
      <c r="C418" s="189" t="s">
        <v>664</v>
      </c>
      <c r="D418" s="209" t="str">
        <f t="shared" si="1"/>
        <v>Explaining Synergistic Effects in Social Recommendations
Yicong Li, Shan Jin, Qi Liu, Shuo Wang, Jiaying Liu, Shuo
Yu, Qiang Zhang, Kuanjiu Zhou and Feng Xia
</v>
      </c>
      <c r="E418" s="209" t="str">
        <f>IFERROR(__xludf.DUMMYFUNCTION("TEXTJOIN(CHAR(10), TRUE,FILTER('Research Papers'!$C:$C,'Research Papers'!$A:$A=C418))"),"Yicong Li, Shan Jin, Qi Liu, Shuo Wang, Jiaying Liu, Shuo
Yu, Qiang Zhang, Kuanjiu Zhou and Feng Xia")</f>
        <v>Yicong Li, Shan Jin, Qi Liu, Shuo Wang, Jiaying Liu, Shuo
Yu, Qiang Zhang, Kuanjiu Zhou and Feng Xia</v>
      </c>
      <c r="F418" s="209" t="str">
        <f>IFERROR(__xludf.DUMMYFUNCTION("TEXTJOIN(CHAR(10), TRUE,FILTER ('Sheridan Main'!E:E,'Sheridan Main'!B:B=C418))"),"shuo.yu@ieee.org")</f>
        <v>shuo.yu@ieee.org</v>
      </c>
      <c r="G418" s="210" t="str">
        <f>IFERROR(__xludf.DUMMYFUNCTION("CONCATENATE(""https://dl.acm.org/doi/"",INDEX(FILTER('Sheridan Main'!A:A,'Sheridan Main'!B:B=C418),1))"),"https://dl.acm.org/doi/10.1145/3774904.3792174")</f>
        <v>https://dl.acm.org/doi/10.1145/3774904.3792174</v>
      </c>
      <c r="H418" s="189" t="s">
        <v>2853</v>
      </c>
      <c r="I418" s="189" t="s">
        <v>2900</v>
      </c>
      <c r="J418" s="209"/>
      <c r="K418" s="147"/>
      <c r="L418" s="147"/>
      <c r="M418" s="209"/>
      <c r="N418" s="209"/>
      <c r="O418" s="209"/>
      <c r="P418" s="209"/>
      <c r="Q418" s="209"/>
      <c r="R418" s="209"/>
      <c r="S418" s="209"/>
      <c r="T418" s="209"/>
      <c r="U418" s="209"/>
      <c r="V418" s="209"/>
      <c r="W418" s="209"/>
      <c r="X418" s="209"/>
      <c r="Y418" s="209"/>
      <c r="Z418" s="209"/>
      <c r="AA418" s="209"/>
      <c r="AB418" s="209"/>
      <c r="AC418" s="209"/>
      <c r="AD418" s="209"/>
      <c r="AE418" s="209"/>
    </row>
    <row r="419">
      <c r="A419" s="208" t="s">
        <v>2899</v>
      </c>
      <c r="B419" s="189" t="str">
        <f>IFERROR(__xludf.DUMMYFUNCTION("FILTER ('Research Papers'!D:D,'Research Papers'!A:A=C419)"),"Graph Adversarial Defense via Hilbert-Schmidt Independence Criterion against Influence Maximization Attacks")</f>
        <v>Graph Adversarial Defense via Hilbert-Schmidt Independence Criterion against Influence Maximization Attacks</v>
      </c>
      <c r="C419" s="189" t="s">
        <v>712</v>
      </c>
      <c r="D419" s="209" t="str">
        <f t="shared" si="1"/>
        <v>Graph Adversarial Defense via Hilbert-Schmidt Independence Criterion against Influence Maximization Attacks
Yuxing Guo, Jianqing Liang, Kaixuan Yao, Zhihao Guo and
Jiye Liang
</v>
      </c>
      <c r="E419" s="209" t="str">
        <f>IFERROR(__xludf.DUMMYFUNCTION("TEXTJOIN(CHAR(10), TRUE,FILTER('Research Papers'!$C:$C,'Research Papers'!$A:$A=C419))"),"Yuxing Guo, Jianqing Liang, Kaixuan Yao, Zhihao Guo and
Jiye Liang")</f>
        <v>Yuxing Guo, Jianqing Liang, Kaixuan Yao, Zhihao Guo and
Jiye Liang</v>
      </c>
      <c r="F419" s="209" t="str">
        <f>IFERROR(__xludf.DUMMYFUNCTION("TEXTJOIN(CHAR(10), TRUE,FILTER ('Sheridan Main'!E:E,'Sheridan Main'!B:B=C419))"),"liangjq@sxu.edu.cn")</f>
        <v>liangjq@sxu.edu.cn</v>
      </c>
      <c r="G419" s="210" t="str">
        <f>IFERROR(__xludf.DUMMYFUNCTION("CONCATENATE(""https://dl.acm.org/doi/"",INDEX(FILTER('Sheridan Main'!A:A,'Sheridan Main'!B:B=C419),1))"),"https://dl.acm.org/doi/10.1145/3774904.3792198")</f>
        <v>https://dl.acm.org/doi/10.1145/3774904.3792198</v>
      </c>
      <c r="H419" s="189" t="s">
        <v>2853</v>
      </c>
      <c r="I419" s="189" t="s">
        <v>2900</v>
      </c>
      <c r="J419" s="209"/>
      <c r="K419" s="147"/>
      <c r="L419" s="147"/>
      <c r="M419" s="209"/>
      <c r="N419" s="209"/>
      <c r="O419" s="209"/>
      <c r="P419" s="209"/>
      <c r="Q419" s="209"/>
      <c r="R419" s="209"/>
      <c r="S419" s="209"/>
      <c r="T419" s="209"/>
      <c r="U419" s="209"/>
      <c r="V419" s="209"/>
      <c r="W419" s="209"/>
      <c r="X419" s="209"/>
      <c r="Y419" s="209"/>
      <c r="Z419" s="209"/>
      <c r="AA419" s="209"/>
      <c r="AB419" s="209"/>
      <c r="AC419" s="209"/>
      <c r="AD419" s="209"/>
      <c r="AE419" s="209"/>
    </row>
    <row r="420">
      <c r="A420" s="208" t="s">
        <v>2899</v>
      </c>
      <c r="B420" s="189" t="str">
        <f>IFERROR(__xludf.DUMMYFUNCTION("FILTER ('Research Papers'!D:D,'Research Papers'!A:A=C420)"),"Social Event Prediction via Fourier Graph Learning")</f>
        <v>Social Event Prediction via Fourier Graph Learning</v>
      </c>
      <c r="C420" s="189" t="s">
        <v>780</v>
      </c>
      <c r="D420" s="209" t="str">
        <f t="shared" si="1"/>
        <v>Social Event Prediction via Fourier Graph Learning
Mingjie Qiu, Zhiyi Tan and Bing-Kun Bao
</v>
      </c>
      <c r="E420" s="209" t="str">
        <f>IFERROR(__xludf.DUMMYFUNCTION("TEXTJOIN(CHAR(10), TRUE,FILTER('Research Papers'!$C:$C,'Research Papers'!$A:$A=C420))"),"Mingjie Qiu, Zhiyi Tan and Bing-Kun Bao")</f>
        <v>Mingjie Qiu, Zhiyi Tan and Bing-Kun Bao</v>
      </c>
      <c r="F420" s="209" t="str">
        <f>IFERROR(__xludf.DUMMYFUNCTION("TEXTJOIN(CHAR(10), TRUE,FILTER ('Sheridan Main'!E:E,'Sheridan Main'!B:B=C420))"),"bingkunbao@njupt.edu.cn")</f>
        <v>bingkunbao@njupt.edu.cn</v>
      </c>
      <c r="G420" s="210" t="str">
        <f>IFERROR(__xludf.DUMMYFUNCTION("CONCATENATE(""https://dl.acm.org/doi/"",INDEX(FILTER('Sheridan Main'!A:A,'Sheridan Main'!B:B=C420),1))"),"https://dl.acm.org/doi/10.1145/3774904.3792232")</f>
        <v>https://dl.acm.org/doi/10.1145/3774904.3792232</v>
      </c>
      <c r="H420" s="189" t="s">
        <v>2853</v>
      </c>
      <c r="I420" s="189" t="s">
        <v>119</v>
      </c>
      <c r="J420" s="209"/>
      <c r="K420" s="147"/>
      <c r="L420" s="147"/>
      <c r="M420" s="209"/>
      <c r="N420" s="209"/>
      <c r="O420" s="209"/>
      <c r="P420" s="209"/>
      <c r="Q420" s="209"/>
      <c r="R420" s="209"/>
      <c r="S420" s="209"/>
      <c r="T420" s="209"/>
      <c r="U420" s="209"/>
      <c r="V420" s="209"/>
      <c r="W420" s="209"/>
      <c r="X420" s="209"/>
      <c r="Y420" s="209"/>
      <c r="Z420" s="209"/>
      <c r="AA420" s="209"/>
      <c r="AB420" s="209"/>
      <c r="AC420" s="209"/>
      <c r="AD420" s="209"/>
      <c r="AE420" s="209"/>
    </row>
    <row r="421">
      <c r="A421" s="208" t="s">
        <v>2899</v>
      </c>
      <c r="B421" s="189" t="str">
        <f>IFERROR(__xludf.DUMMYFUNCTION("FILTER ('Research Papers'!D:D,'Research Papers'!A:A=C421)"),"FS_GPlib: Breaking the Web-Scale Barrier — A Unified Acceleration Framework for Graph Propagation Models")</f>
        <v>FS_GPlib: Breaking the Web-Scale Barrier — A Unified Acceleration Framework for Graph Propagation Models</v>
      </c>
      <c r="C421" s="189" t="s">
        <v>1086</v>
      </c>
      <c r="D421" s="209" t="str">
        <f t="shared" si="1"/>
        <v>FS_GPlib: Breaking the Web-Scale Barrier — A Unified Acceleration Framework for Graph Propagation Models
Chang Guo, Juyuan Zhang, Chang Su, Tianlong Fan and Linyuan
Lü
</v>
      </c>
      <c r="E421" s="209" t="str">
        <f>IFERROR(__xludf.DUMMYFUNCTION("TEXTJOIN(CHAR(10), TRUE,FILTER('Research Papers'!$C:$C,'Research Papers'!$A:$A=C421))"),"Chang Guo, Juyuan Zhang, Chang Su, Tianlong Fan and Linyuan
Lü")</f>
        <v>Chang Guo, Juyuan Zhang, Chang Su, Tianlong Fan and Linyuan
Lü</v>
      </c>
      <c r="F421" s="209" t="str">
        <f>IFERROR(__xludf.DUMMYFUNCTION("TEXTJOIN(CHAR(10), TRUE,FILTER ('Sheridan Main'!E:E,'Sheridan Main'!B:B=C421))"),"tianlong.fan@ustc.edu.cn")</f>
        <v>tianlong.fan@ustc.edu.cn</v>
      </c>
      <c r="G421" s="210" t="str">
        <f>IFERROR(__xludf.DUMMYFUNCTION("CONCATENATE(""https://dl.acm.org/doi/"",INDEX(FILTER('Sheridan Main'!A:A,'Sheridan Main'!B:B=C421),1))"),"https://dl.acm.org/doi/10.1145/3774904.3792385")</f>
        <v>https://dl.acm.org/doi/10.1145/3774904.3792385</v>
      </c>
      <c r="H421" s="189" t="s">
        <v>2853</v>
      </c>
      <c r="I421" s="189" t="s">
        <v>119</v>
      </c>
      <c r="J421" s="209"/>
      <c r="K421" s="147"/>
      <c r="L421" s="147"/>
      <c r="M421" s="209"/>
      <c r="N421" s="209"/>
      <c r="O421" s="209"/>
      <c r="P421" s="209"/>
      <c r="Q421" s="209"/>
      <c r="R421" s="209"/>
      <c r="S421" s="209"/>
      <c r="T421" s="209"/>
      <c r="U421" s="209"/>
      <c r="V421" s="209"/>
      <c r="W421" s="209"/>
      <c r="X421" s="209"/>
      <c r="Y421" s="209"/>
      <c r="Z421" s="209"/>
      <c r="AA421" s="209"/>
      <c r="AB421" s="209"/>
      <c r="AC421" s="209"/>
      <c r="AD421" s="209"/>
      <c r="AE421" s="209"/>
    </row>
    <row r="422">
      <c r="A422" s="208" t="s">
        <v>2899</v>
      </c>
      <c r="B422" s="189" t="str">
        <f>IFERROR(__xludf.DUMMYFUNCTION("FILTER ('Research Papers'!D:D,'Research Papers'!A:A=C422)"),"Source Localization in Continuous-Time Propagation via Spectral ODE Modeling")</f>
        <v>Source Localization in Continuous-Time Propagation via Spectral ODE Modeling</v>
      </c>
      <c r="C422" s="189" t="s">
        <v>1120</v>
      </c>
      <c r="D422" s="209" t="str">
        <f t="shared" si="1"/>
        <v>Source Localization in Continuous-Time Propagation via Spectral ODE Modeling
Dongpeng Hou, Yuchen Wang, Giulio Cimini, Roberto Benzi,
Huixiang Zhang, Zhen Wang and Chao Gao
</v>
      </c>
      <c r="E422" s="209" t="str">
        <f>IFERROR(__xludf.DUMMYFUNCTION("TEXTJOIN(CHAR(10), TRUE,FILTER('Research Papers'!$C:$C,'Research Papers'!$A:$A=C422))"),"Dongpeng Hou, Yuchen Wang, Giulio Cimini, Roberto Benzi,
Huixiang Zhang, Zhen Wang and Chao Gao")</f>
        <v>Dongpeng Hou, Yuchen Wang, Giulio Cimini, Roberto Benzi,
Huixiang Zhang, Zhen Wang and Chao Gao</v>
      </c>
      <c r="F422" s="209" t="str">
        <f>IFERROR(__xludf.DUMMYFUNCTION("TEXTJOIN(CHAR(10), TRUE,FILTER ('Sheridan Main'!E:E,'Sheridan Main'!B:B=C422))"),"zhanghuixiang@nwpu.edu.cn")</f>
        <v>zhanghuixiang@nwpu.edu.cn</v>
      </c>
      <c r="G422" s="210" t="str">
        <f>IFERROR(__xludf.DUMMYFUNCTION("CONCATENATE(""https://dl.acm.org/doi/"",INDEX(FILTER('Sheridan Main'!A:A,'Sheridan Main'!B:B=C422),1))"),"https://dl.acm.org/doi/10.1145/3774904.3792402")</f>
        <v>https://dl.acm.org/doi/10.1145/3774904.3792402</v>
      </c>
      <c r="H422" s="189" t="s">
        <v>2853</v>
      </c>
      <c r="I422" s="189" t="s">
        <v>119</v>
      </c>
      <c r="J422" s="209"/>
      <c r="K422" s="147"/>
      <c r="L422" s="147"/>
      <c r="M422" s="209"/>
      <c r="N422" s="209"/>
      <c r="O422" s="209"/>
      <c r="P422" s="209"/>
      <c r="Q422" s="209"/>
      <c r="R422" s="209"/>
      <c r="S422" s="209"/>
      <c r="T422" s="209"/>
      <c r="U422" s="209"/>
      <c r="V422" s="209"/>
      <c r="W422" s="209"/>
      <c r="X422" s="209"/>
      <c r="Y422" s="209"/>
      <c r="Z422" s="209"/>
      <c r="AA422" s="209"/>
      <c r="AB422" s="209"/>
      <c r="AC422" s="209"/>
      <c r="AD422" s="209"/>
      <c r="AE422" s="209"/>
    </row>
    <row r="423">
      <c r="A423" s="208" t="s">
        <v>2899</v>
      </c>
      <c r="B423" s="189" t="str">
        <f>IFERROR(__xludf.DUMMYFUNCTION("FILTER ('Research Papers'!D:D,'Research Papers'!A:A=C423)"),"TFWaveFormer: Temporal-Frequency Collaborative Multi-level Wavelet Transformer for Dynamic Link Prediction")</f>
        <v>TFWaveFormer: Temporal-Frequency Collaborative Multi-level Wavelet Transformer for Dynamic Link Prediction</v>
      </c>
      <c r="C423" s="189" t="s">
        <v>1160</v>
      </c>
      <c r="D423" s="209" t="str">
        <f t="shared" si="1"/>
        <v>TFWaveFormer: Temporal-Frequency Collaborative Multi-level Wavelet Transformer for Dynamic Link Prediction
Hantong Feng, Yonggang Wu, Duxin Chen and Wenwu Yu
</v>
      </c>
      <c r="E423" s="209" t="str">
        <f>IFERROR(__xludf.DUMMYFUNCTION("TEXTJOIN(CHAR(10), TRUE,FILTER('Research Papers'!$C:$C,'Research Papers'!$A:$A=C423))"),"Hantong Feng, Yonggang Wu, Duxin Chen and Wenwu Yu")</f>
        <v>Hantong Feng, Yonggang Wu, Duxin Chen and Wenwu Yu</v>
      </c>
      <c r="F423" s="209" t="str">
        <f>IFERROR(__xludf.DUMMYFUNCTION("TEXTJOIN(CHAR(10), TRUE,FILTER ('Sheridan Main'!E:E,'Sheridan Main'!B:B=C423))"),"chendx@seu.edu.cn")</f>
        <v>chendx@seu.edu.cn</v>
      </c>
      <c r="G423" s="210" t="str">
        <f>IFERROR(__xludf.DUMMYFUNCTION("CONCATENATE(""https://dl.acm.org/doi/"",INDEX(FILTER('Sheridan Main'!A:A,'Sheridan Main'!B:B=C423),1))"),"https://dl.acm.org/doi/10.1145/3774904.3792422")</f>
        <v>https://dl.acm.org/doi/10.1145/3774904.3792422</v>
      </c>
      <c r="H423" s="189" t="s">
        <v>2853</v>
      </c>
      <c r="I423" s="189" t="s">
        <v>119</v>
      </c>
      <c r="J423" s="209"/>
      <c r="K423" s="147"/>
      <c r="L423" s="147"/>
      <c r="M423" s="209"/>
      <c r="N423" s="209"/>
      <c r="O423" s="209"/>
      <c r="P423" s="209"/>
      <c r="Q423" s="209"/>
      <c r="R423" s="209"/>
      <c r="S423" s="209"/>
      <c r="T423" s="209"/>
      <c r="U423" s="209"/>
      <c r="V423" s="209"/>
      <c r="W423" s="209"/>
      <c r="X423" s="209"/>
      <c r="Y423" s="209"/>
      <c r="Z423" s="209"/>
      <c r="AA423" s="209"/>
      <c r="AB423" s="209"/>
      <c r="AC423" s="209"/>
      <c r="AD423" s="209"/>
      <c r="AE423" s="209"/>
    </row>
    <row r="424">
      <c r="A424" s="208" t="s">
        <v>2899</v>
      </c>
      <c r="B424" s="189" t="str">
        <f>IFERROR(__xludf.DUMMYFUNCTION("FILTER ('Research Papers'!D:D,'Research Papers'!A:A=C424)"),"CIFAD: Causal-Invariant Subspace Learning for Few-Shot Anomaly Detection on Dynamic Relational Graphs")</f>
        <v>CIFAD: Causal-Invariant Subspace Learning for Few-Shot Anomaly Detection on Dynamic Relational Graphs</v>
      </c>
      <c r="C424" s="189" t="s">
        <v>1200</v>
      </c>
      <c r="D424" s="209" t="str">
        <f t="shared" si="1"/>
        <v>CIFAD: Causal-Invariant Subspace Learning for Few-Shot Anomaly Detection on Dynamic Relational Graphs
Xiao Yu, Haolong Xiang, Xiaolong Xu, Qi Lianyong, Zhang
Xuyun, Fan Wei and Dou Wanchun
</v>
      </c>
      <c r="E424" s="209" t="str">
        <f>IFERROR(__xludf.DUMMYFUNCTION("TEXTJOIN(CHAR(10), TRUE,FILTER('Research Papers'!$C:$C,'Research Papers'!$A:$A=C424))"),"Xiao Yu, Haolong Xiang, Xiaolong Xu, Qi Lianyong, Zhang
Xuyun, Fan Wei and Dou Wanchun")</f>
        <v>Xiao Yu, Haolong Xiang, Xiaolong Xu, Qi Lianyong, Zhang
Xuyun, Fan Wei and Dou Wanchun</v>
      </c>
      <c r="F424" s="209" t="str">
        <f>IFERROR(__xludf.DUMMYFUNCTION("TEXTJOIN(CHAR(10), TRUE,FILTER ('Sheridan Main'!E:E,'Sheridan Main'!B:B=C424))"),"xlxu@nuist.edu.cn")</f>
        <v>xlxu@nuist.edu.cn</v>
      </c>
      <c r="G424" s="210" t="str">
        <f>IFERROR(__xludf.DUMMYFUNCTION("CONCATENATE(""https://dl.acm.org/doi/"",INDEX(FILTER('Sheridan Main'!A:A,'Sheridan Main'!B:B=C424),1))"),"https://dl.acm.org/doi/10.1145/3774904.3792442")</f>
        <v>https://dl.acm.org/doi/10.1145/3774904.3792442</v>
      </c>
      <c r="H424" s="189" t="s">
        <v>2853</v>
      </c>
      <c r="I424" s="189" t="s">
        <v>119</v>
      </c>
      <c r="J424" s="209"/>
      <c r="K424" s="147"/>
      <c r="L424" s="147"/>
      <c r="M424" s="209"/>
      <c r="N424" s="209"/>
      <c r="O424" s="209"/>
      <c r="P424" s="209"/>
      <c r="Q424" s="209"/>
      <c r="R424" s="209"/>
      <c r="S424" s="209"/>
      <c r="T424" s="209"/>
      <c r="U424" s="209"/>
      <c r="V424" s="209"/>
      <c r="W424" s="209"/>
      <c r="X424" s="209"/>
      <c r="Y424" s="209"/>
      <c r="Z424" s="209"/>
      <c r="AA424" s="209"/>
      <c r="AB424" s="209"/>
      <c r="AC424" s="209"/>
      <c r="AD424" s="209"/>
      <c r="AE424" s="209"/>
    </row>
    <row r="425">
      <c r="A425" s="208" t="s">
        <v>2899</v>
      </c>
      <c r="B425" s="189" t="str">
        <f>IFERROR(__xludf.DUMMYFUNCTION("FILTER ('Research Papers'!D:D,'Research Papers'!A:A=C425)"),"Fair k-Center Clustering on Massive Social Network Data Streams")</f>
        <v>Fair k-Center Clustering on Massive Social Network Data Streams</v>
      </c>
      <c r="C425" s="189" t="s">
        <v>1216</v>
      </c>
      <c r="D425" s="209" t="str">
        <f t="shared" si="1"/>
        <v>Fair k-Center Clustering on Massive Social Network Data Streams
Longkun Guo, Chaoqi Jia and Chao Chen
</v>
      </c>
      <c r="E425" s="209" t="str">
        <f>IFERROR(__xludf.DUMMYFUNCTION("TEXTJOIN(CHAR(10), TRUE,FILTER('Research Papers'!$C:$C,'Research Papers'!$A:$A=C425))"),"Longkun Guo, Chaoqi Jia and Chao Chen")</f>
        <v>Longkun Guo, Chaoqi Jia and Chao Chen</v>
      </c>
      <c r="F425" s="209" t="str">
        <f>IFERROR(__xludf.DUMMYFUNCTION("TEXTJOIN(CHAR(10), TRUE,FILTER ('Sheridan Main'!E:E,'Sheridan Main'!B:B=C425))"),"chaoqi.jia@rmit.edu.au")</f>
        <v>chaoqi.jia@rmit.edu.au</v>
      </c>
      <c r="G425" s="210" t="str">
        <f>IFERROR(__xludf.DUMMYFUNCTION("CONCATENATE(""https://dl.acm.org/doi/"",INDEX(FILTER('Sheridan Main'!A:A,'Sheridan Main'!B:B=C425),1))"),"https://dl.acm.org/doi/10.1145/3774904.3792450")</f>
        <v>https://dl.acm.org/doi/10.1145/3774904.3792450</v>
      </c>
      <c r="H425" s="189" t="s">
        <v>2853</v>
      </c>
      <c r="I425" s="189" t="s">
        <v>119</v>
      </c>
      <c r="J425" s="209"/>
      <c r="K425" s="147"/>
      <c r="L425" s="147"/>
      <c r="M425" s="209"/>
      <c r="N425" s="209"/>
      <c r="O425" s="209"/>
      <c r="P425" s="209"/>
      <c r="Q425" s="209"/>
      <c r="R425" s="209"/>
      <c r="S425" s="209"/>
      <c r="T425" s="209"/>
      <c r="U425" s="209"/>
      <c r="V425" s="209"/>
      <c r="W425" s="209"/>
      <c r="X425" s="209"/>
      <c r="Y425" s="209"/>
      <c r="Z425" s="209"/>
      <c r="AA425" s="209"/>
      <c r="AB425" s="209"/>
      <c r="AC425" s="209"/>
      <c r="AD425" s="209"/>
      <c r="AE425" s="209"/>
    </row>
    <row r="426">
      <c r="A426" s="208" t="s">
        <v>2899</v>
      </c>
      <c r="B426" s="189" t="str">
        <f>IFERROR(__xludf.DUMMYFUNCTION("FILTER ('Research Papers'!D:D,'Research Papers'!A:A=C426)"),"Unicoon: Hypergraph-based Multi-Agent Simulation of Information Cocoons")</f>
        <v>Unicoon: Hypergraph-based Multi-Agent Simulation of Information Cocoons</v>
      </c>
      <c r="C426" s="189" t="s">
        <v>1288</v>
      </c>
      <c r="D426" s="209" t="str">
        <f t="shared" si="1"/>
        <v>Unicoon: Hypergraph-based Multi-Agent Simulation of Information Cocoons
Chunyu Wei, Tu Yongsiqi and Yunhai Wang
</v>
      </c>
      <c r="E426" s="209" t="str">
        <f>IFERROR(__xludf.DUMMYFUNCTION("TEXTJOIN(CHAR(10), TRUE,FILTER('Research Papers'!$C:$C,'Research Papers'!$A:$A=C426))"),"Chunyu Wei, Tu Yongsiqi and Yunhai Wang")</f>
        <v>Chunyu Wei, Tu Yongsiqi and Yunhai Wang</v>
      </c>
      <c r="F426" s="209" t="str">
        <f>IFERROR(__xludf.DUMMYFUNCTION("TEXTJOIN(CHAR(10), TRUE,FILTER ('Sheridan Main'!E:E,'Sheridan Main'!B:B=C426))"),"weicy15@icloud.com")</f>
        <v>weicy15@icloud.com</v>
      </c>
      <c r="G426" s="210" t="str">
        <f>IFERROR(__xludf.DUMMYFUNCTION("CONCATENATE(""https://dl.acm.org/doi/"",INDEX(FILTER('Sheridan Main'!A:A,'Sheridan Main'!B:B=C426),1))"),"https://dl.acm.org/doi/10.1145/3774904.3792486")</f>
        <v>https://dl.acm.org/doi/10.1145/3774904.3792486</v>
      </c>
      <c r="H426" s="189" t="s">
        <v>2853</v>
      </c>
      <c r="I426" s="189" t="s">
        <v>2901</v>
      </c>
      <c r="J426" s="209"/>
      <c r="K426" s="147"/>
      <c r="L426" s="147"/>
      <c r="M426" s="209"/>
      <c r="N426" s="209"/>
      <c r="O426" s="209"/>
      <c r="P426" s="209"/>
      <c r="Q426" s="209"/>
      <c r="R426" s="209"/>
      <c r="S426" s="209"/>
      <c r="T426" s="209"/>
      <c r="U426" s="209"/>
      <c r="V426" s="209"/>
      <c r="W426" s="209"/>
      <c r="X426" s="209"/>
      <c r="Y426" s="209"/>
      <c r="Z426" s="209"/>
      <c r="AA426" s="209"/>
      <c r="AB426" s="209"/>
      <c r="AC426" s="209"/>
      <c r="AD426" s="209"/>
      <c r="AE426" s="209"/>
    </row>
    <row r="427">
      <c r="A427" s="208" t="s">
        <v>2899</v>
      </c>
      <c r="B427" s="189" t="str">
        <f>IFERROR(__xludf.DUMMYFUNCTION("FILTER ('Research Papers'!D:D,'Research Papers'!A:A=C427)"),"Prism: Towards Lowering User Cognitive Load in LLMs via Complex Intent Understanding")</f>
        <v>Prism: Towards Lowering User Cognitive Load in LLMs via Complex Intent Understanding</v>
      </c>
      <c r="C427" s="189" t="s">
        <v>1304</v>
      </c>
      <c r="D427" s="209" t="str">
        <f t="shared" si="1"/>
        <v>Prism: Towards Lowering User Cognitive Load in LLMs via Complex Intent Understanding
Zenghua Liao, Jinzhi Liao and Xiang Zhao
</v>
      </c>
      <c r="E427" s="209" t="str">
        <f>IFERROR(__xludf.DUMMYFUNCTION("TEXTJOIN(CHAR(10), TRUE,FILTER('Research Papers'!$C:$C,'Research Papers'!$A:$A=C427))"),"Zenghua Liao, Jinzhi Liao and Xiang Zhao")</f>
        <v>Zenghua Liao, Jinzhi Liao and Xiang Zhao</v>
      </c>
      <c r="F427" s="209" t="str">
        <f>IFERROR(__xludf.DUMMYFUNCTION("TEXTJOIN(CHAR(10), TRUE,FILTER ('Sheridan Main'!E:E,'Sheridan Main'!B:B=C427))"),"liaozenghua18@nudt.edu.cn")</f>
        <v>liaozenghua18@nudt.edu.cn</v>
      </c>
      <c r="G427" s="210" t="str">
        <f>IFERROR(__xludf.DUMMYFUNCTION("CONCATENATE(""https://dl.acm.org/doi/"",INDEX(FILTER('Sheridan Main'!A:A,'Sheridan Main'!B:B=C427),1))"),"https://dl.acm.org/doi/10.1145/3774904.3792494")</f>
        <v>https://dl.acm.org/doi/10.1145/3774904.3792494</v>
      </c>
      <c r="H427" s="189" t="s">
        <v>2853</v>
      </c>
      <c r="I427" s="189" t="s">
        <v>2901</v>
      </c>
      <c r="J427" s="209"/>
      <c r="K427" s="147"/>
      <c r="L427" s="147"/>
      <c r="M427" s="209"/>
      <c r="N427" s="209"/>
      <c r="O427" s="209"/>
      <c r="P427" s="209"/>
      <c r="Q427" s="209"/>
      <c r="R427" s="209"/>
      <c r="S427" s="209"/>
      <c r="T427" s="209"/>
      <c r="U427" s="209"/>
      <c r="V427" s="209"/>
      <c r="W427" s="209"/>
      <c r="X427" s="209"/>
      <c r="Y427" s="209"/>
      <c r="Z427" s="209"/>
      <c r="AA427" s="209"/>
      <c r="AB427" s="209"/>
      <c r="AC427" s="209"/>
      <c r="AD427" s="209"/>
      <c r="AE427" s="209"/>
    </row>
    <row r="428">
      <c r="A428" s="208" t="s">
        <v>2899</v>
      </c>
      <c r="B428" s="189" t="str">
        <f>IFERROR(__xludf.DUMMYFUNCTION("FILTER ('Research Papers'!D:D,'Research Papers'!A:A=C428)"),"TGSBM: Transformer-Guided Stochastic Block Model for Link Prediction")</f>
        <v>TGSBM: Transformer-Guided Stochastic Block Model for Link Prediction</v>
      </c>
      <c r="C428" s="189" t="s">
        <v>1310</v>
      </c>
      <c r="D428" s="209" t="str">
        <f t="shared" si="1"/>
        <v>TGSBM: Transformer-Guided Stochastic Block Model for Link Prediction
Zhejian Yang, Songwei Zhao, Zilin Zhao and Hechang Chen
</v>
      </c>
      <c r="E428" s="209" t="str">
        <f>IFERROR(__xludf.DUMMYFUNCTION("TEXTJOIN(CHAR(10), TRUE,FILTER('Research Papers'!$C:$C,'Research Papers'!$A:$A=C428))"),"Zhejian Yang, Songwei Zhao, Zilin Zhao and Hechang Chen")</f>
        <v>Zhejian Yang, Songwei Zhao, Zilin Zhao and Hechang Chen</v>
      </c>
      <c r="F428" s="209" t="str">
        <f>IFERROR(__xludf.DUMMYFUNCTION("TEXTJOIN(CHAR(10), TRUE,FILTER ('Sheridan Main'!E:E,'Sheridan Main'!B:B=C428))"),"zjyang22@mails.jlu.edu.cn")</f>
        <v>zjyang22@mails.jlu.edu.cn</v>
      </c>
      <c r="G428" s="210" t="str">
        <f>IFERROR(__xludf.DUMMYFUNCTION("CONCATENATE(""https://dl.acm.org/doi/"",INDEX(FILTER('Sheridan Main'!A:A,'Sheridan Main'!B:B=C428),1))"),"https://dl.acm.org/doi/10.1145/3774904.3792497")</f>
        <v>https://dl.acm.org/doi/10.1145/3774904.3792497</v>
      </c>
      <c r="H428" s="189" t="s">
        <v>2853</v>
      </c>
      <c r="I428" s="189" t="s">
        <v>2901</v>
      </c>
      <c r="J428" s="209"/>
      <c r="K428" s="147"/>
      <c r="L428" s="147"/>
      <c r="M428" s="209"/>
      <c r="N428" s="209"/>
      <c r="O428" s="209"/>
      <c r="P428" s="209"/>
      <c r="Q428" s="209"/>
      <c r="R428" s="209"/>
      <c r="S428" s="209"/>
      <c r="T428" s="209"/>
      <c r="U428" s="209"/>
      <c r="V428" s="209"/>
      <c r="W428" s="209"/>
      <c r="X428" s="209"/>
      <c r="Y428" s="209"/>
      <c r="Z428" s="209"/>
      <c r="AA428" s="209"/>
      <c r="AB428" s="209"/>
      <c r="AC428" s="209"/>
      <c r="AD428" s="209"/>
      <c r="AE428" s="209"/>
    </row>
    <row r="429">
      <c r="A429" s="208" t="s">
        <v>2899</v>
      </c>
      <c r="B429" s="189" t="str">
        <f>IFERROR(__xludf.DUMMYFUNCTION("FILTER ('Research Papers'!D:D,'Research Papers'!A:A=C429)"),"LAPS: A Lightweight Privilege-Allocation Prompting Framework for Source Localization")</f>
        <v>LAPS: A Lightweight Privilege-Allocation Prompting Framework for Source Localization</v>
      </c>
      <c r="C429" s="189" t="s">
        <v>1324</v>
      </c>
      <c r="D429" s="209" t="str">
        <f t="shared" si="1"/>
        <v>LAPS: A Lightweight Privilege-Allocation Prompting Framework for Source Localization
Hengrui Cui, Yang Fang, Yuehang Cao and Xiang Zhao
</v>
      </c>
      <c r="E429" s="209" t="str">
        <f>IFERROR(__xludf.DUMMYFUNCTION("TEXTJOIN(CHAR(10), TRUE,FILTER('Research Papers'!$C:$C,'Research Papers'!$A:$A=C429))"),"Hengrui Cui, Yang Fang, Yuehang Cao and Xiang Zhao")</f>
        <v>Hengrui Cui, Yang Fang, Yuehang Cao and Xiang Zhao</v>
      </c>
      <c r="F429" s="209" t="str">
        <f>IFERROR(__xludf.DUMMYFUNCTION("TEXTJOIN(CHAR(10), TRUE,FILTER ('Sheridan Main'!E:E,'Sheridan Main'!B:B=C429))"),"hengruicui@nudt.edu.cn")</f>
        <v>hengruicui@nudt.edu.cn</v>
      </c>
      <c r="G429" s="210" t="str">
        <f>IFERROR(__xludf.DUMMYFUNCTION("CONCATENATE(""https://dl.acm.org/doi/"",INDEX(FILTER('Sheridan Main'!A:A,'Sheridan Main'!B:B=C429),1))"),"https://dl.acm.org/doi/10.1145/3774904.3792504")</f>
        <v>https://dl.acm.org/doi/10.1145/3774904.3792504</v>
      </c>
      <c r="H429" s="189" t="s">
        <v>2853</v>
      </c>
      <c r="I429" s="189" t="s">
        <v>2901</v>
      </c>
      <c r="J429" s="209"/>
      <c r="K429" s="147"/>
      <c r="L429" s="147"/>
      <c r="M429" s="209"/>
      <c r="N429" s="209"/>
      <c r="O429" s="209"/>
      <c r="P429" s="209"/>
      <c r="Q429" s="209"/>
      <c r="R429" s="209"/>
      <c r="S429" s="209"/>
      <c r="T429" s="209"/>
      <c r="U429" s="209"/>
      <c r="V429" s="209"/>
      <c r="W429" s="209"/>
      <c r="X429" s="209"/>
      <c r="Y429" s="209"/>
      <c r="Z429" s="209"/>
      <c r="AA429" s="209"/>
      <c r="AB429" s="209"/>
      <c r="AC429" s="209"/>
      <c r="AD429" s="209"/>
      <c r="AE429" s="209"/>
    </row>
    <row r="430">
      <c r="A430" s="208" t="s">
        <v>2899</v>
      </c>
      <c r="B430" s="189" t="str">
        <f>IFERROR(__xludf.DUMMYFUNCTION("FILTER ('Research Papers'!D:D,'Research Papers'!A:A=C430)"),"Securing Your Place in the Review Network: A Dynamic Embeddedness-aware Graph Neural Network for Restaurant Survival Prediction")</f>
        <v>Securing Your Place in the Review Network: A Dynamic Embeddedness-aware Graph Neural Network for Restaurant Survival Prediction</v>
      </c>
      <c r="C430" s="189" t="s">
        <v>1464</v>
      </c>
      <c r="D430" s="209" t="str">
        <f t="shared" si="1"/>
        <v>Securing Your Place in the Review Network: A Dynamic Embeddedness-aware Graph Neural Network for Restaurant Survival Prediction
Yilong Zang, Hengyun Li, Xinbo Yu and Liangfei Qiu
</v>
      </c>
      <c r="E430" s="209" t="str">
        <f>IFERROR(__xludf.DUMMYFUNCTION("TEXTJOIN(CHAR(10), TRUE,FILTER('Research Papers'!$C:$C,'Research Papers'!$A:$A=C430))"),"Yilong Zang, Hengyun Li, Xinbo Yu and Liangfei Qiu")</f>
        <v>Yilong Zang, Hengyun Li, Xinbo Yu and Liangfei Qiu</v>
      </c>
      <c r="F430" s="209" t="str">
        <f>IFERROR(__xludf.DUMMYFUNCTION("TEXTJOIN(CHAR(10), TRUE,FILTER ('Sheridan Main'!E:E,'Sheridan Main'!B:B=C430))"),"neilhengyun.li@polyu.edu.hk")</f>
        <v>neilhengyun.li@polyu.edu.hk</v>
      </c>
      <c r="G430" s="210" t="str">
        <f>IFERROR(__xludf.DUMMYFUNCTION("CONCATENATE(""https://dl.acm.org/doi/"",INDEX(FILTER('Sheridan Main'!A:A,'Sheridan Main'!B:B=C430),1))"),"https://dl.acm.org/doi/10.1145/3774904.3792574")</f>
        <v>https://dl.acm.org/doi/10.1145/3774904.3792574</v>
      </c>
      <c r="H430" s="189" t="s">
        <v>2853</v>
      </c>
      <c r="I430" s="189" t="s">
        <v>2901</v>
      </c>
      <c r="J430" s="209"/>
      <c r="K430" s="147"/>
      <c r="L430" s="147"/>
      <c r="M430" s="209"/>
      <c r="N430" s="209"/>
      <c r="O430" s="209"/>
      <c r="P430" s="209"/>
      <c r="Q430" s="209"/>
      <c r="R430" s="209"/>
      <c r="S430" s="209"/>
      <c r="T430" s="209"/>
      <c r="U430" s="209"/>
      <c r="V430" s="209"/>
      <c r="W430" s="209"/>
      <c r="X430" s="209"/>
      <c r="Y430" s="209"/>
      <c r="Z430" s="209"/>
      <c r="AA430" s="209"/>
      <c r="AB430" s="209"/>
      <c r="AC430" s="209"/>
      <c r="AD430" s="209"/>
      <c r="AE430" s="209"/>
    </row>
    <row r="431">
      <c r="A431" s="208" t="s">
        <v>2899</v>
      </c>
      <c r="B431" s="189" t="str">
        <f>IFERROR(__xludf.DUMMYFUNCTION("FILTER ('Research Papers'!D:D,'Research Papers'!A:A=C431)"),"Emergent Coordinated Behaviors in Networked LLM Agents: Modeling the Strategic Dynamics of Information Operations")</f>
        <v>Emergent Coordinated Behaviors in Networked LLM Agents: Modeling the Strategic Dynamics of Information Operations</v>
      </c>
      <c r="C431" s="189" t="s">
        <v>1476</v>
      </c>
      <c r="D431" s="209" t="str">
        <f t="shared" si="1"/>
        <v>Emergent Coordinated Behaviors in Networked LLM Agents: Modeling the Strategic Dynamics of Information Operations
Gian Marco Orlando, Jinyi Ye, Valerio La Gatta, Mahdi
Saeedi, Vincenzo Moscato, Emilio Ferrara and Luca Luceri
</v>
      </c>
      <c r="E431" s="209" t="str">
        <f>IFERROR(__xludf.DUMMYFUNCTION("TEXTJOIN(CHAR(10), TRUE,FILTER('Research Papers'!$C:$C,'Research Papers'!$A:$A=C431))"),"Gian Marco Orlando, Jinyi Ye, Valerio La Gatta, Mahdi
Saeedi, Vincenzo Moscato, Emilio Ferrara and Luca Luceri")</f>
        <v>Gian Marco Orlando, Jinyi Ye, Valerio La Gatta, Mahdi
Saeedi, Vincenzo Moscato, Emilio Ferrara and Luca Luceri</v>
      </c>
      <c r="F431" s="209" t="str">
        <f>IFERROR(__xludf.DUMMYFUNCTION("TEXTJOIN(CHAR(10), TRUE,FILTER ('Sheridan Main'!E:E,'Sheridan Main'!B:B=C431))"),"gianmarco.orlando@unina.it")</f>
        <v>gianmarco.orlando@unina.it</v>
      </c>
      <c r="G431" s="210" t="str">
        <f>IFERROR(__xludf.DUMMYFUNCTION("CONCATENATE(""https://dl.acm.org/doi/"",INDEX(FILTER('Sheridan Main'!A:A,'Sheridan Main'!B:B=C431),1))"),"https://dl.acm.org/doi/10.1145/3774904.3792580")</f>
        <v>https://dl.acm.org/doi/10.1145/3774904.3792580</v>
      </c>
      <c r="H431" s="189" t="s">
        <v>2853</v>
      </c>
      <c r="I431" s="189" t="s">
        <v>2902</v>
      </c>
      <c r="J431" s="209"/>
      <c r="K431" s="147"/>
      <c r="L431" s="147"/>
      <c r="M431" s="209"/>
      <c r="N431" s="209"/>
      <c r="O431" s="209"/>
      <c r="P431" s="209"/>
      <c r="Q431" s="209"/>
      <c r="R431" s="209"/>
      <c r="S431" s="209"/>
      <c r="T431" s="209"/>
      <c r="U431" s="209"/>
      <c r="V431" s="209"/>
      <c r="W431" s="209"/>
      <c r="X431" s="209"/>
      <c r="Y431" s="209"/>
      <c r="Z431" s="209"/>
      <c r="AA431" s="209"/>
      <c r="AB431" s="209"/>
      <c r="AC431" s="209"/>
      <c r="AD431" s="209"/>
      <c r="AE431" s="209"/>
    </row>
    <row r="432">
      <c r="A432" s="208" t="s">
        <v>2899</v>
      </c>
      <c r="B432" s="189" t="str">
        <f>IFERROR(__xludf.DUMMYFUNCTION("FILTER ('Research Papers'!D:D,'Research Papers'!A:A=C432)"),"Fairness in Opinion-Formation Dynamics")</f>
        <v>Fairness in Opinion-Formation Dynamics</v>
      </c>
      <c r="C432" s="189" t="s">
        <v>1612</v>
      </c>
      <c r="D432" s="209" t="str">
        <f t="shared" si="1"/>
        <v>Fairness in Opinion-Formation Dynamics
Nikos Theologis, Evaggelia Pitoura, Evimaria Terzi and
Panayiotis Tsaparas
</v>
      </c>
      <c r="E432" s="209" t="str">
        <f>IFERROR(__xludf.DUMMYFUNCTION("TEXTJOIN(CHAR(10), TRUE,FILTER('Research Papers'!$C:$C,'Research Papers'!$A:$A=C432))"),"Nikos Theologis, Evaggelia Pitoura, Evimaria Terzi and
Panayiotis Tsaparas")</f>
        <v>Nikos Theologis, Evaggelia Pitoura, Evimaria Terzi and
Panayiotis Tsaparas</v>
      </c>
      <c r="F432" s="209" t="str">
        <f>IFERROR(__xludf.DUMMYFUNCTION("TEXTJOIN(CHAR(10), TRUE,FILTER ('Sheridan Main'!E:E,'Sheridan Main'!B:B=C432))"),"n.theologis@athenarc.gr")</f>
        <v>n.theologis@athenarc.gr</v>
      </c>
      <c r="G432" s="210" t="str">
        <f>IFERROR(__xludf.DUMMYFUNCTION("CONCATENATE(""https://dl.acm.org/doi/"",INDEX(FILTER('Sheridan Main'!A:A,'Sheridan Main'!B:B=C432),1))"),"https://dl.acm.org/doi/10.1145/3774904.3792648")</f>
        <v>https://dl.acm.org/doi/10.1145/3774904.3792648</v>
      </c>
      <c r="H432" s="189" t="s">
        <v>2853</v>
      </c>
      <c r="I432" s="189" t="s">
        <v>2902</v>
      </c>
      <c r="J432" s="209"/>
      <c r="K432" s="147"/>
      <c r="L432" s="147"/>
      <c r="M432" s="209"/>
      <c r="N432" s="209"/>
      <c r="O432" s="209"/>
      <c r="P432" s="209"/>
      <c r="Q432" s="209"/>
      <c r="R432" s="209"/>
      <c r="S432" s="209"/>
      <c r="T432" s="209"/>
      <c r="U432" s="209"/>
      <c r="V432" s="209"/>
      <c r="W432" s="209"/>
      <c r="X432" s="209"/>
      <c r="Y432" s="209"/>
      <c r="Z432" s="209"/>
      <c r="AA432" s="209"/>
      <c r="AB432" s="209"/>
      <c r="AC432" s="209"/>
      <c r="AD432" s="209"/>
      <c r="AE432" s="209"/>
    </row>
    <row r="433">
      <c r="A433" s="208" t="s">
        <v>2899</v>
      </c>
      <c r="B433" s="189" t="str">
        <f>IFERROR(__xludf.DUMMYFUNCTION("FILTER ('Research Papers'!D:D,'Research Papers'!A:A=C433)"),"SoftHateBench: Evaluating Moderation Models Against Reasoning-Driven, Policy-Compliant Hostility")</f>
        <v>SoftHateBench: Evaluating Moderation Models Against Reasoning-Driven, Policy-Compliant Hostility</v>
      </c>
      <c r="C433" s="189" t="s">
        <v>1632</v>
      </c>
      <c r="D433" s="209" t="str">
        <f t="shared" si="1"/>
        <v>SoftHateBench: Evaluating Moderation Models Against Reasoning-Driven, Policy-Compliant Hostility
Xuanyu Su, Diana Inkpen and Nathalie Japkowicz
</v>
      </c>
      <c r="E433" s="209" t="str">
        <f>IFERROR(__xludf.DUMMYFUNCTION("TEXTJOIN(CHAR(10), TRUE,FILTER('Research Papers'!$C:$C,'Research Papers'!$A:$A=C433))"),"Xuanyu Su, Diana Inkpen and Nathalie Japkowicz")</f>
        <v>Xuanyu Su, Diana Inkpen and Nathalie Japkowicz</v>
      </c>
      <c r="F433" s="209" t="str">
        <f>IFERROR(__xludf.DUMMYFUNCTION("TEXTJOIN(CHAR(10), TRUE,FILTER ('Sheridan Main'!E:E,'Sheridan Main'!B:B=C433))"),"xsu072@uottawa.ca")</f>
        <v>xsu072@uottawa.ca</v>
      </c>
      <c r="G433" s="210" t="str">
        <f>IFERROR(__xludf.DUMMYFUNCTION("CONCATENATE(""https://dl.acm.org/doi/"",INDEX(FILTER('Sheridan Main'!A:A,'Sheridan Main'!B:B=C433),1))"),"https://dl.acm.org/doi/10.1145/3774904.3792658")</f>
        <v>https://dl.acm.org/doi/10.1145/3774904.3792658</v>
      </c>
      <c r="H433" s="189" t="s">
        <v>2853</v>
      </c>
      <c r="I433" s="189" t="s">
        <v>2902</v>
      </c>
      <c r="J433" s="209"/>
      <c r="K433" s="147"/>
      <c r="L433" s="147"/>
      <c r="M433" s="209"/>
      <c r="N433" s="209"/>
      <c r="O433" s="209"/>
      <c r="P433" s="209"/>
      <c r="Q433" s="209"/>
      <c r="R433" s="209"/>
      <c r="S433" s="209"/>
      <c r="T433" s="209"/>
      <c r="U433" s="209"/>
      <c r="V433" s="209"/>
      <c r="W433" s="209"/>
      <c r="X433" s="209"/>
      <c r="Y433" s="209"/>
      <c r="Z433" s="209"/>
      <c r="AA433" s="209"/>
      <c r="AB433" s="209"/>
      <c r="AC433" s="209"/>
      <c r="AD433" s="209"/>
      <c r="AE433" s="209"/>
    </row>
    <row r="434">
      <c r="A434" s="208" t="s">
        <v>2899</v>
      </c>
      <c r="B434" s="189" t="str">
        <f>IFERROR(__xludf.DUMMYFUNCTION("FILTER ('Research Papers'!D:D,'Research Papers'!A:A=C434)"),"Relational Database Distillation: From Structured Tables to Condensed Graph Data")</f>
        <v>Relational Database Distillation: From Structured Tables to Condensed Graph Data</v>
      </c>
      <c r="C434" s="189" t="s">
        <v>1784</v>
      </c>
      <c r="D434" s="209" t="str">
        <f t="shared" si="1"/>
        <v>Relational Database Distillation: From Structured Tables to Condensed Graph Data
Xinyi Gao, Jingxi Zhang, Lijian Chen, Tong Chen, Lizhen Cui
and Hongzhi Yin
</v>
      </c>
      <c r="E434" s="209" t="str">
        <f>IFERROR(__xludf.DUMMYFUNCTION("TEXTJOIN(CHAR(10), TRUE,FILTER('Research Papers'!$C:$C,'Research Papers'!$A:$A=C434))"),"Xinyi Gao, Jingxi Zhang, Lijian Chen, Tong Chen, Lizhen Cui
and Hongzhi Yin")</f>
        <v>Xinyi Gao, Jingxi Zhang, Lijian Chen, Tong Chen, Lizhen Cui
and Hongzhi Yin</v>
      </c>
      <c r="F434" s="209" t="str">
        <f>IFERROR(__xludf.DUMMYFUNCTION("TEXTJOIN(CHAR(10), TRUE,FILTER ('Sheridan Main'!E:E,'Sheridan Main'!B:B=C434))"),"h.yin1@uq.edu.au")</f>
        <v>h.yin1@uq.edu.au</v>
      </c>
      <c r="G434" s="210" t="str">
        <f>IFERROR(__xludf.DUMMYFUNCTION("CONCATENATE(""https://dl.acm.org/doi/"",INDEX(FILTER('Sheridan Main'!A:A,'Sheridan Main'!B:B=C434),1))"),"https://dl.acm.org/doi/10.1145/3774904.3792734")</f>
        <v>https://dl.acm.org/doi/10.1145/3774904.3792734</v>
      </c>
      <c r="H434" s="189" t="s">
        <v>2853</v>
      </c>
      <c r="I434" s="189" t="s">
        <v>2902</v>
      </c>
      <c r="J434" s="209"/>
      <c r="K434" s="147"/>
      <c r="L434" s="147"/>
      <c r="M434" s="209"/>
      <c r="N434" s="209"/>
      <c r="O434" s="209"/>
      <c r="P434" s="209"/>
      <c r="Q434" s="209"/>
      <c r="R434" s="209"/>
      <c r="S434" s="209"/>
      <c r="T434" s="209"/>
      <c r="U434" s="209"/>
      <c r="V434" s="209"/>
      <c r="W434" s="209"/>
      <c r="X434" s="209"/>
      <c r="Y434" s="209"/>
      <c r="Z434" s="209"/>
      <c r="AA434" s="209"/>
      <c r="AB434" s="209"/>
      <c r="AC434" s="209"/>
      <c r="AD434" s="209"/>
      <c r="AE434" s="209"/>
    </row>
    <row r="435">
      <c r="A435" s="208" t="s">
        <v>2899</v>
      </c>
      <c r="B435" s="189" t="str">
        <f>IFERROR(__xludf.DUMMYFUNCTION("FILTER ('Research Papers'!D:D,'Research Papers'!A:A=C435)"),"LLMs Killed Q&amp;A Stars? Analyzing the Impact of LLM-Generated Answers on an Online Q&amp;A Platform")</f>
        <v>LLMs Killed Q&amp;A Stars? Analyzing the Impact of LLM-Generated Answers on an Online Q&amp;A Platform</v>
      </c>
      <c r="C435" s="189" t="s">
        <v>1794</v>
      </c>
      <c r="D435" s="209" t="str">
        <f t="shared" si="1"/>
        <v>LLMs Killed Q&amp;A Stars? Analyzing the Impact of LLM-Generated Answers on an Online Q&amp;A Platform
Dongwon Shin and Sooel Son
</v>
      </c>
      <c r="E435" s="209" t="str">
        <f>IFERROR(__xludf.DUMMYFUNCTION("TEXTJOIN(CHAR(10), TRUE,FILTER('Research Papers'!$C:$C,'Research Papers'!$A:$A=C435))"),"Dongwon Shin and Sooel Son")</f>
        <v>Dongwon Shin and Sooel Son</v>
      </c>
      <c r="F435" s="209" t="str">
        <f>IFERROR(__xludf.DUMMYFUNCTION("TEXTJOIN(CHAR(10), TRUE,FILTER ('Sheridan Main'!E:E,'Sheridan Main'!B:B=C435))"),"sl.son@kaist.ac.kr")</f>
        <v>sl.son@kaist.ac.kr</v>
      </c>
      <c r="G435" s="210" t="str">
        <f>IFERROR(__xludf.DUMMYFUNCTION("CONCATENATE(""https://dl.acm.org/doi/"",INDEX(FILTER('Sheridan Main'!A:A,'Sheridan Main'!B:B=C435),1))"),"https://dl.acm.org/doi/10.1145/3774904.3792739")</f>
        <v>https://dl.acm.org/doi/10.1145/3774904.3792739</v>
      </c>
      <c r="H435" s="189" t="s">
        <v>2853</v>
      </c>
      <c r="I435" s="189" t="s">
        <v>2902</v>
      </c>
      <c r="J435" s="209"/>
      <c r="K435" s="147"/>
      <c r="L435" s="147"/>
      <c r="M435" s="209"/>
      <c r="N435" s="209"/>
      <c r="O435" s="209"/>
      <c r="P435" s="209"/>
      <c r="Q435" s="209"/>
      <c r="R435" s="209"/>
      <c r="S435" s="209"/>
      <c r="T435" s="209"/>
      <c r="U435" s="209"/>
      <c r="V435" s="209"/>
      <c r="W435" s="209"/>
      <c r="X435" s="209"/>
      <c r="Y435" s="209"/>
      <c r="Z435" s="209"/>
      <c r="AA435" s="209"/>
      <c r="AB435" s="209"/>
      <c r="AC435" s="209"/>
      <c r="AD435" s="209"/>
      <c r="AE435" s="209"/>
    </row>
    <row r="436">
      <c r="A436" s="208" t="s">
        <v>2903</v>
      </c>
      <c r="B436" s="189" t="str">
        <f>IFERROR(__xludf.DUMMYFUNCTION("FILTER ('Research Papers'!D:D,'Research Papers'!A:A=C436)"),"FedBridge: Accelerating Edge-Assisted Federated Learning for Model-Heterogeneous Clients")</f>
        <v>FedBridge: Accelerating Edge-Assisted Federated Learning for Model-Heterogeneous Clients</v>
      </c>
      <c r="C436" s="189" t="s">
        <v>484</v>
      </c>
      <c r="D436" s="209" t="str">
        <f t="shared" si="1"/>
        <v>FedBridge: Accelerating Edge-Assisted Federated Learning for Model-Heterogeneous Clients
Kaibin Wang, Qiang He, Zeqian Dong, Ziteng Wei, Caslon
Chua, Feifei Chen, Hai Jin and Yun Yang
</v>
      </c>
      <c r="E436" s="209" t="str">
        <f>IFERROR(__xludf.DUMMYFUNCTION("TEXTJOIN(CHAR(10), TRUE,FILTER('Research Papers'!$C:$C,'Research Papers'!$A:$A=C436))"),"Kaibin Wang, Qiang He, Zeqian Dong, Ziteng Wei, Caslon
Chua, Feifei Chen, Hai Jin and Yun Yang")</f>
        <v>Kaibin Wang, Qiang He, Zeqian Dong, Ziteng Wei, Caslon
Chua, Feifei Chen, Hai Jin and Yun Yang</v>
      </c>
      <c r="F436" s="209" t="str">
        <f>IFERROR(__xludf.DUMMYFUNCTION("TEXTJOIN(CHAR(10), TRUE,FILTER ('Sheridan Main'!E:E,'Sheridan Main'!B:B=C436))"),"hqiang@hust.edu.cn")</f>
        <v>hqiang@hust.edu.cn</v>
      </c>
      <c r="G436" s="210" t="str">
        <f>IFERROR(__xludf.DUMMYFUNCTION("CONCATENATE(""https://dl.acm.org/doi/"",INDEX(FILTER('Sheridan Main'!A:A,'Sheridan Main'!B:B=C436),1))"),"https://dl.acm.org/doi/10.1145/3774904.3792084")</f>
        <v>https://dl.acm.org/doi/10.1145/3774904.3792084</v>
      </c>
      <c r="H436" s="189" t="s">
        <v>80</v>
      </c>
      <c r="I436" s="209"/>
      <c r="J436" s="209"/>
      <c r="K436" s="147"/>
      <c r="L436" s="147"/>
      <c r="M436" s="209"/>
      <c r="N436" s="209"/>
      <c r="O436" s="209"/>
      <c r="P436" s="209"/>
      <c r="Q436" s="209"/>
      <c r="R436" s="209"/>
      <c r="S436" s="209"/>
      <c r="T436" s="209"/>
      <c r="U436" s="209"/>
      <c r="V436" s="209"/>
      <c r="W436" s="209"/>
      <c r="X436" s="209"/>
      <c r="Y436" s="209"/>
      <c r="Z436" s="209"/>
      <c r="AA436" s="209"/>
      <c r="AB436" s="209"/>
      <c r="AC436" s="209"/>
      <c r="AD436" s="209"/>
      <c r="AE436" s="209"/>
    </row>
    <row r="437">
      <c r="A437" s="208" t="s">
        <v>2903</v>
      </c>
      <c r="B437" s="189" t="str">
        <f>IFERROR(__xludf.DUMMYFUNCTION("FILTER ('Research Papers'!D:D,'Research Papers'!A:A=C437)"),"WinFLoRA: Incentivizing Client-Adaptive Aggregation in Federated LoRA under Privacy Heterogeneity")</f>
        <v>WinFLoRA: Incentivizing Client-Adaptive Aggregation in Federated LoRA under Privacy Heterogeneity</v>
      </c>
      <c r="C437" s="189" t="s">
        <v>906</v>
      </c>
      <c r="D437" s="209" t="str">
        <f t="shared" si="1"/>
        <v>WinFLoRA: Incentivizing Client-Adaptive Aggregation in Federated LoRA under Privacy Heterogeneity
Mengsha Kou, Xiaoyu Xia, Ziqi Wang, Ibrahim Khalil, Ruikun
Luo, Jingwen Zhou and Minhui Xue
</v>
      </c>
      <c r="E437" s="209" t="str">
        <f>IFERROR(__xludf.DUMMYFUNCTION("TEXTJOIN(CHAR(10), TRUE,FILTER('Research Papers'!$C:$C,'Research Papers'!$A:$A=C437))"),"Mengsha Kou, Xiaoyu Xia, Ziqi Wang, Ibrahim Khalil, Ruikun
Luo, Jingwen Zhou and Minhui Xue")</f>
        <v>Mengsha Kou, Xiaoyu Xia, Ziqi Wang, Ibrahim Khalil, Ruikun
Luo, Jingwen Zhou and Minhui Xue</v>
      </c>
      <c r="F437" s="209" t="str">
        <f>IFERROR(__xludf.DUMMYFUNCTION("TEXTJOIN(CHAR(10), TRUE,FILTER ('Sheridan Main'!E:E,'Sheridan Main'!B:B=C437))"),"xiaoyushaw@gmail.com")</f>
        <v>xiaoyushaw@gmail.com</v>
      </c>
      <c r="G437" s="210" t="str">
        <f>IFERROR(__xludf.DUMMYFUNCTION("CONCATENATE(""https://dl.acm.org/doi/"",INDEX(FILTER('Sheridan Main'!A:A,'Sheridan Main'!B:B=C437),1))"),"https://dl.acm.org/doi/10.1145/3774904.3792295")</f>
        <v>https://dl.acm.org/doi/10.1145/3774904.3792295</v>
      </c>
      <c r="H437" s="189" t="s">
        <v>80</v>
      </c>
      <c r="I437" s="209"/>
      <c r="J437" s="209"/>
      <c r="K437" s="147"/>
      <c r="L437" s="147"/>
      <c r="M437" s="209"/>
      <c r="N437" s="209"/>
      <c r="O437" s="209"/>
      <c r="P437" s="209"/>
      <c r="Q437" s="209"/>
      <c r="R437" s="209"/>
      <c r="S437" s="209"/>
      <c r="T437" s="209"/>
      <c r="U437" s="209"/>
      <c r="V437" s="209"/>
      <c r="W437" s="209"/>
      <c r="X437" s="209"/>
      <c r="Y437" s="209"/>
      <c r="Z437" s="209"/>
      <c r="AA437" s="209"/>
      <c r="AB437" s="209"/>
      <c r="AC437" s="209"/>
      <c r="AD437" s="209"/>
      <c r="AE437" s="209"/>
    </row>
    <row r="438">
      <c r="A438" s="208" t="s">
        <v>2903</v>
      </c>
      <c r="B438" s="189" t="str">
        <f>IFERROR(__xludf.DUMMYFUNCTION("FILTER ('Research Papers'!D:D,'Research Papers'!A:A=C438)"),"Beyond Class Boundaries: Federated Visual Primitive Sharing with Text-Guided Adaptation")</f>
        <v>Beyond Class Boundaries: Federated Visual Primitive Sharing with Text-Guided Adaptation</v>
      </c>
      <c r="C438" s="189" t="s">
        <v>958</v>
      </c>
      <c r="D438" s="209" t="str">
        <f t="shared" si="1"/>
        <v>Beyond Class Boundaries: Federated Visual Primitive Sharing with Text-Guided Adaptation
Yongqiang Huang, Yingyu Chen, Tao Wang, Zexin Lu, Zerui
Shao, Beibei Li and Yi Zhang
</v>
      </c>
      <c r="E438" s="209" t="str">
        <f>IFERROR(__xludf.DUMMYFUNCTION("TEXTJOIN(CHAR(10), TRUE,FILTER('Research Papers'!$C:$C,'Research Papers'!$A:$A=C438))"),"Yongqiang Huang, Yingyu Chen, Tao Wang, Zexin Lu, Zerui
Shao, Beibei Li and Yi Zhang")</f>
        <v>Yongqiang Huang, Yingyu Chen, Tao Wang, Zexin Lu, Zerui
Shao, Beibei Li and Yi Zhang</v>
      </c>
      <c r="F438" s="209" t="str">
        <f>IFERROR(__xludf.DUMMYFUNCTION("TEXTJOIN(CHAR(10), TRUE,FILTER ('Sheridan Main'!E:E,'Sheridan Main'!B:B=C438))"),"yqhuang2912@gmail.com")</f>
        <v>yqhuang2912@gmail.com</v>
      </c>
      <c r="G438" s="210" t="str">
        <f>IFERROR(__xludf.DUMMYFUNCTION("CONCATENATE(""https://dl.acm.org/doi/"",INDEX(FILTER('Sheridan Main'!A:A,'Sheridan Main'!B:B=C438),1))"),"https://dl.acm.org/doi/10.1145/3774904.3792321")</f>
        <v>https://dl.acm.org/doi/10.1145/3774904.3792321</v>
      </c>
      <c r="H438" s="189" t="s">
        <v>80</v>
      </c>
      <c r="I438" s="209"/>
      <c r="J438" s="209"/>
      <c r="K438" s="147"/>
      <c r="L438" s="147"/>
      <c r="M438" s="209"/>
      <c r="N438" s="209"/>
      <c r="O438" s="209"/>
      <c r="P438" s="209"/>
      <c r="Q438" s="209"/>
      <c r="R438" s="209"/>
      <c r="S438" s="209"/>
      <c r="T438" s="209"/>
      <c r="U438" s="209"/>
      <c r="V438" s="209"/>
      <c r="W438" s="209"/>
      <c r="X438" s="209"/>
      <c r="Y438" s="209"/>
      <c r="Z438" s="209"/>
      <c r="AA438" s="209"/>
      <c r="AB438" s="209"/>
      <c r="AC438" s="209"/>
      <c r="AD438" s="209"/>
      <c r="AE438" s="209"/>
    </row>
    <row r="439">
      <c r="A439" s="208" t="s">
        <v>2903</v>
      </c>
      <c r="B439" s="189" t="str">
        <f>IFERROR(__xludf.DUMMYFUNCTION("FILTER ('Research Papers'!D:D,'Research Papers'!A:A=C439)"),"CoLOR-DP: Conjugate Low-Rank Differential Privacy for Structure-Aware LoRA Fine-Tuning")</f>
        <v>CoLOR-DP: Conjugate Low-Rank Differential Privacy for Structure-Aware LoRA Fine-Tuning</v>
      </c>
      <c r="C439" s="189" t="s">
        <v>1542</v>
      </c>
      <c r="D439" s="209" t="str">
        <f t="shared" si="1"/>
        <v>CoLOR-DP: Conjugate Low-Rank Differential Privacy for Structure-Aware LoRA Fine-Tuning
Kai Zhang, Yuxuan Xu, Wenxiang Lin, Chaoqun Hong, Pei-Wei
Tsai, Xin Yuan and Minhui Xue
</v>
      </c>
      <c r="E439" s="209" t="str">
        <f>IFERROR(__xludf.DUMMYFUNCTION("TEXTJOIN(CHAR(10), TRUE,FILTER('Research Papers'!$C:$C,'Research Papers'!$A:$A=C439))"),"Kai Zhang, Yuxuan Xu, Wenxiang Lin, Chaoqun Hong, Pei-Wei
Tsai, Xin Yuan and Minhui Xue")</f>
        <v>Kai Zhang, Yuxuan Xu, Wenxiang Lin, Chaoqun Hong, Pei-Wei
Tsai, Xin Yuan and Minhui Xue</v>
      </c>
      <c r="F439" s="209" t="str">
        <f>IFERROR(__xludf.DUMMYFUNCTION("TEXTJOIN(CHAR(10), TRUE,FILTER ('Sheridan Main'!E:E,'Sheridan Main'!B:B=C439))"),"cqhong@xmut.edu.cn")</f>
        <v>cqhong@xmut.edu.cn</v>
      </c>
      <c r="G439" s="210" t="str">
        <f>IFERROR(__xludf.DUMMYFUNCTION("CONCATENATE(""https://dl.acm.org/doi/"",INDEX(FILTER('Sheridan Main'!A:A,'Sheridan Main'!B:B=C439),1))"),"https://dl.acm.org/doi/10.1145/3774904.3792613")</f>
        <v>https://dl.acm.org/doi/10.1145/3774904.3792613</v>
      </c>
      <c r="H439" s="189" t="s">
        <v>80</v>
      </c>
      <c r="I439" s="209"/>
      <c r="J439" s="209"/>
      <c r="K439" s="147"/>
      <c r="L439" s="147"/>
      <c r="M439" s="209"/>
      <c r="N439" s="209"/>
      <c r="O439" s="209"/>
      <c r="P439" s="209"/>
      <c r="Q439" s="209"/>
      <c r="R439" s="209"/>
      <c r="S439" s="209"/>
      <c r="T439" s="209"/>
      <c r="U439" s="209"/>
      <c r="V439" s="209"/>
      <c r="W439" s="209"/>
      <c r="X439" s="209"/>
      <c r="Y439" s="209"/>
      <c r="Z439" s="209"/>
      <c r="AA439" s="209"/>
      <c r="AB439" s="209"/>
      <c r="AC439" s="209"/>
      <c r="AD439" s="209"/>
      <c r="AE439" s="209"/>
    </row>
    <row r="440">
      <c r="A440" s="208" t="s">
        <v>2903</v>
      </c>
      <c r="B440" s="189" t="str">
        <f>IFERROR(__xludf.DUMMYFUNCTION("FILTER ('Research Papers'!D:D,'Research Papers'!A:A=C440)"),"CA-PFL: Client-adaptive Parameter-efficient Fine-tuning for Personalized Federated Learning")</f>
        <v>CA-PFL: Client-adaptive Parameter-efficient Fine-tuning for Personalized Federated Learning</v>
      </c>
      <c r="C440" s="189" t="s">
        <v>1554</v>
      </c>
      <c r="D440" s="209" t="str">
        <f t="shared" si="1"/>
        <v>CA-PFL: Client-adaptive Parameter-efficient Fine-tuning for Personalized Federated Learning
Daixin Song, Hui Cai, Haojie Zhang, Biyun Sheng, Jian Zhou,
Mang Ye and Fu Xiao
</v>
      </c>
      <c r="E440" s="209" t="str">
        <f>IFERROR(__xludf.DUMMYFUNCTION("TEXTJOIN(CHAR(10), TRUE,FILTER('Research Papers'!$C:$C,'Research Papers'!$A:$A=C440))"),"Daixin Song, Hui Cai, Haojie Zhang, Biyun Sheng, Jian Zhou,
Mang Ye and Fu Xiao")</f>
        <v>Daixin Song, Hui Cai, Haojie Zhang, Biyun Sheng, Jian Zhou,
Mang Ye and Fu Xiao</v>
      </c>
      <c r="F440" s="209" t="str">
        <f>IFERROR(__xludf.DUMMYFUNCTION("TEXTJOIN(CHAR(10), TRUE,FILTER ('Sheridan Main'!E:E,'Sheridan Main'!B:B=C440))"),"carolinecai@njupt.edu.cn")</f>
        <v>carolinecai@njupt.edu.cn</v>
      </c>
      <c r="G440" s="210" t="str">
        <f>IFERROR(__xludf.DUMMYFUNCTION("CONCATENATE(""https://dl.acm.org/doi/"",INDEX(FILTER('Sheridan Main'!A:A,'Sheridan Main'!B:B=C440),1))"),"https://dl.acm.org/doi/10.1145/3774904.3792619")</f>
        <v>https://dl.acm.org/doi/10.1145/3774904.3792619</v>
      </c>
      <c r="H440" s="189" t="s">
        <v>80</v>
      </c>
      <c r="I440" s="209"/>
      <c r="J440" s="209"/>
      <c r="K440" s="147"/>
      <c r="L440" s="147"/>
      <c r="M440" s="209"/>
      <c r="N440" s="209"/>
      <c r="O440" s="209"/>
      <c r="P440" s="209"/>
      <c r="Q440" s="209"/>
      <c r="R440" s="209"/>
      <c r="S440" s="209"/>
      <c r="T440" s="209"/>
      <c r="U440" s="209"/>
      <c r="V440" s="209"/>
      <c r="W440" s="209"/>
      <c r="X440" s="209"/>
      <c r="Y440" s="209"/>
      <c r="Z440" s="209"/>
      <c r="AA440" s="209"/>
      <c r="AB440" s="209"/>
      <c r="AC440" s="209"/>
      <c r="AD440" s="209"/>
      <c r="AE440" s="209"/>
    </row>
    <row r="441">
      <c r="A441" s="208" t="s">
        <v>2903</v>
      </c>
      <c r="B441" s="189" t="str">
        <f>IFERROR(__xludf.DUMMYFUNCTION("FILTER ('Research Papers'!D:D,'Research Papers'!A:A=C441)"),"FedSRD: Sparsify-Reconstruct-Decompose for Communication-Efficient Federated Large Language Models Fine-Tuning")</f>
        <v>FedSRD: Sparsify-Reconstruct-Decompose for Communication-Efficient Federated Large Language Models Fine-Tuning</v>
      </c>
      <c r="C441" s="189" t="s">
        <v>604</v>
      </c>
      <c r="D441" s="209" t="str">
        <f t="shared" si="1"/>
        <v>FedSRD: Sparsify-Reconstruct-Decompose for Communication-Efficient Federated Large Language Models Fine-Tuning
Guochen Yan, Luyuan Xie, Qingni Shen, Yuejian Fang and
Zhonghai Wu
</v>
      </c>
      <c r="E441" s="209" t="str">
        <f>IFERROR(__xludf.DUMMYFUNCTION("TEXTJOIN(CHAR(10), TRUE,FILTER('Research Papers'!$C:$C,'Research Papers'!$A:$A=C441))"),"Guochen Yan, Luyuan Xie, Qingni Shen, Yuejian Fang and
Zhonghai Wu")</f>
        <v>Guochen Yan, Luyuan Xie, Qingni Shen, Yuejian Fang and
Zhonghai Wu</v>
      </c>
      <c r="F441" s="209" t="str">
        <f>IFERROR(__xludf.DUMMYFUNCTION("TEXTJOIN(CHAR(10), TRUE,FILTER ('Sheridan Main'!E:E,'Sheridan Main'!B:B=C441))"),"guochen_yan@outlook.com")</f>
        <v>guochen_yan@outlook.com</v>
      </c>
      <c r="G441" s="210" t="str">
        <f>IFERROR(__xludf.DUMMYFUNCTION("CONCATENATE(""https://dl.acm.org/doi/"",INDEX(FILTER('Sheridan Main'!A:A,'Sheridan Main'!B:B=C441),1))"),"https://dl.acm.org/doi/10.1145/3774904.3792144")</f>
        <v>https://dl.acm.org/doi/10.1145/3774904.3792144</v>
      </c>
      <c r="H441" s="189" t="s">
        <v>103</v>
      </c>
      <c r="I441" s="209"/>
      <c r="J441" s="209"/>
      <c r="K441" s="147"/>
      <c r="L441" s="147"/>
      <c r="M441" s="209"/>
      <c r="N441" s="209"/>
      <c r="O441" s="209"/>
      <c r="P441" s="209"/>
      <c r="Q441" s="209"/>
      <c r="R441" s="209"/>
      <c r="S441" s="209"/>
      <c r="T441" s="209"/>
      <c r="U441" s="209"/>
      <c r="V441" s="209"/>
      <c r="W441" s="209"/>
      <c r="X441" s="209"/>
      <c r="Y441" s="209"/>
      <c r="Z441" s="209"/>
      <c r="AA441" s="209"/>
      <c r="AB441" s="209"/>
      <c r="AC441" s="209"/>
      <c r="AD441" s="209"/>
      <c r="AE441" s="209"/>
    </row>
    <row r="442">
      <c r="A442" s="208" t="s">
        <v>2903</v>
      </c>
      <c r="B442" s="189" t="str">
        <f>IFERROR(__xludf.DUMMYFUNCTION("FILTER ('Research Papers'!D:D,'Research Papers'!A:A=C442)"),"Personalized Federated Fine-Tuning for LLMs via Data-Driven Heterogeneous Model Architectures")</f>
        <v>Personalized Federated Fine-Tuning for LLMs via Data-Driven Heterogeneous Model Architectures</v>
      </c>
      <c r="C442" s="189" t="s">
        <v>610</v>
      </c>
      <c r="D442" s="209" t="str">
        <f t="shared" si="1"/>
        <v>Personalized Federated Fine-Tuning for LLMs via Data-Driven Heterogeneous Model Architectures
Yicheng Zhang, Zhen Qin, Zhaomin Wu, Jian Hou and Shuiguang
Deng
</v>
      </c>
      <c r="E442" s="209" t="str">
        <f>IFERROR(__xludf.DUMMYFUNCTION("TEXTJOIN(CHAR(10), TRUE,FILTER('Research Papers'!$C:$C,'Research Papers'!$A:$A=C442))"),"Yicheng Zhang, Zhen Qin, Zhaomin Wu, Jian Hou and Shuiguang
Deng")</f>
        <v>Yicheng Zhang, Zhen Qin, Zhaomin Wu, Jian Hou and Shuiguang
Deng</v>
      </c>
      <c r="F442" s="209" t="str">
        <f>IFERROR(__xludf.DUMMYFUNCTION("TEXTJOIN(CHAR(10), TRUE,FILTER ('Sheridan Main'!E:E,'Sheridan Main'!B:B=C442))"),"zhenqin@zju.edu.cn")</f>
        <v>zhenqin@zju.edu.cn</v>
      </c>
      <c r="G442" s="210" t="str">
        <f>IFERROR(__xludf.DUMMYFUNCTION("CONCATENATE(""https://dl.acm.org/doi/"",INDEX(FILTER('Sheridan Main'!A:A,'Sheridan Main'!B:B=C442),1))"),"https://dl.acm.org/doi/10.1145/3774904.3792147")</f>
        <v>https://dl.acm.org/doi/10.1145/3774904.3792147</v>
      </c>
      <c r="H442" s="189" t="s">
        <v>103</v>
      </c>
      <c r="I442" s="209"/>
      <c r="J442" s="209"/>
      <c r="K442" s="147"/>
      <c r="L442" s="147"/>
      <c r="M442" s="209"/>
      <c r="N442" s="209"/>
      <c r="O442" s="209"/>
      <c r="P442" s="209"/>
      <c r="Q442" s="209"/>
      <c r="R442" s="209"/>
      <c r="S442" s="209"/>
      <c r="T442" s="209"/>
      <c r="U442" s="209"/>
      <c r="V442" s="209"/>
      <c r="W442" s="209"/>
      <c r="X442" s="209"/>
      <c r="Y442" s="209"/>
      <c r="Z442" s="209"/>
      <c r="AA442" s="209"/>
      <c r="AB442" s="209"/>
      <c r="AC442" s="209"/>
      <c r="AD442" s="209"/>
      <c r="AE442" s="209"/>
    </row>
    <row r="443">
      <c r="A443" s="208" t="s">
        <v>2903</v>
      </c>
      <c r="B443" s="189" t="str">
        <f>IFERROR(__xludf.DUMMYFUNCTION("FILTER ('Research Papers'!D:D,'Research Papers'!A:A=C443)"),"EcoTune: Edge-Cloud Collaborative Model Adaptation for Budget-Constrained On-Device SLM Personalization")</f>
        <v>EcoTune: Edge-Cloud Collaborative Model Adaptation for Budget-Constrained On-Device SLM Personalization</v>
      </c>
      <c r="C443" s="189" t="s">
        <v>844</v>
      </c>
      <c r="D443" s="209" t="str">
        <f t="shared" si="1"/>
        <v>EcoTune: Edge-Cloud Collaborative Model Adaptation for Budget-Constrained On-Device SLM Personalization
Gong Chen, Mingkai Lin, Xiaobin Hong, Wenzhong Li and
Sanglu Lu
</v>
      </c>
      <c r="E443" s="209" t="str">
        <f>IFERROR(__xludf.DUMMYFUNCTION("TEXTJOIN(CHAR(10), TRUE,FILTER('Research Papers'!$C:$C,'Research Papers'!$A:$A=C443))"),"Gong Chen, Mingkai Lin, Xiaobin Hong, Wenzhong Li and
Sanglu Lu")</f>
        <v>Gong Chen, Mingkai Lin, Xiaobin Hong, Wenzhong Li and
Sanglu Lu</v>
      </c>
      <c r="F443" s="209" t="str">
        <f>IFERROR(__xludf.DUMMYFUNCTION("TEXTJOIN(CHAR(10), TRUE,FILTER ('Sheridan Main'!E:E,'Sheridan Main'!B:B=C443))"),"lwz@nju.edu.cn")</f>
        <v>lwz@nju.edu.cn</v>
      </c>
      <c r="G443" s="210" t="str">
        <f>IFERROR(__xludf.DUMMYFUNCTION("CONCATENATE(""https://dl.acm.org/doi/"",INDEX(FILTER('Sheridan Main'!A:A,'Sheridan Main'!B:B=C443),1))"),"https://dl.acm.org/doi/10.1145/3774904.3792264")</f>
        <v>https://dl.acm.org/doi/10.1145/3774904.3792264</v>
      </c>
      <c r="H443" s="189" t="s">
        <v>103</v>
      </c>
      <c r="I443" s="209"/>
      <c r="J443" s="209"/>
      <c r="K443" s="147"/>
      <c r="L443" s="147"/>
      <c r="M443" s="209"/>
      <c r="N443" s="209"/>
      <c r="O443" s="209"/>
      <c r="P443" s="209"/>
      <c r="Q443" s="209"/>
      <c r="R443" s="209"/>
      <c r="S443" s="209"/>
      <c r="T443" s="209"/>
      <c r="U443" s="209"/>
      <c r="V443" s="209"/>
      <c r="W443" s="209"/>
      <c r="X443" s="209"/>
      <c r="Y443" s="209"/>
      <c r="Z443" s="209"/>
      <c r="AA443" s="209"/>
      <c r="AB443" s="209"/>
      <c r="AC443" s="209"/>
      <c r="AD443" s="209"/>
      <c r="AE443" s="209"/>
    </row>
    <row r="444">
      <c r="A444" s="208" t="s">
        <v>2903</v>
      </c>
      <c r="B444" s="189" t="str">
        <f>IFERROR(__xludf.DUMMYFUNCTION("FILTER ('Research Papers'!D:D,'Research Papers'!A:A=C444)"),"FedDiG: Frequency-Guided Diffusion Diversity for Generalizable Federated Time Series Classification")</f>
        <v>FedDiG: Frequency-Guided Diffusion Diversity for Generalizable Federated Time Series Classification</v>
      </c>
      <c r="C444" s="189" t="s">
        <v>974</v>
      </c>
      <c r="D444" s="209" t="str">
        <f t="shared" si="1"/>
        <v>FedDiG: Frequency-Guided Diffusion Diversity for Generalizable Federated Time Series Classification
Haoran Shi, Junru Zhang, Cheng Peng, Xiaoli Tang, Longtao
Huang and Han Yu
</v>
      </c>
      <c r="E444" s="209" t="str">
        <f>IFERROR(__xludf.DUMMYFUNCTION("TEXTJOIN(CHAR(10), TRUE,FILTER('Research Papers'!$C:$C,'Research Papers'!$A:$A=C444))"),"Haoran Shi, Junru Zhang, Cheng Peng, Xiaoli Tang, Longtao
Huang and Han Yu")</f>
        <v>Haoran Shi, Junru Zhang, Cheng Peng, Xiaoli Tang, Longtao
Huang and Han Yu</v>
      </c>
      <c r="F444" s="209" t="str">
        <f>IFERROR(__xludf.DUMMYFUNCTION("TEXTJOIN(CHAR(10), TRUE,FILTER ('Sheridan Main'!E:E,'Sheridan Main'!B:B=C444))"),"SHIH0020@e.ntu.edu.sg")</f>
        <v>SHIH0020@e.ntu.edu.sg</v>
      </c>
      <c r="G444" s="210" t="str">
        <f>IFERROR(__xludf.DUMMYFUNCTION("CONCATENATE(""https://dl.acm.org/doi/"",INDEX(FILTER('Sheridan Main'!A:A,'Sheridan Main'!B:B=C444),1))"),"https://dl.acm.org/doi/10.1145/3774904.3792329")</f>
        <v>https://dl.acm.org/doi/10.1145/3774904.3792329</v>
      </c>
      <c r="H444" s="189" t="s">
        <v>103</v>
      </c>
      <c r="I444" s="209"/>
      <c r="J444" s="209"/>
      <c r="K444" s="147"/>
      <c r="L444" s="147"/>
      <c r="M444" s="209"/>
      <c r="N444" s="209"/>
      <c r="O444" s="209"/>
      <c r="P444" s="209"/>
      <c r="Q444" s="209"/>
      <c r="R444" s="209"/>
      <c r="S444" s="209"/>
      <c r="T444" s="209"/>
      <c r="U444" s="209"/>
      <c r="V444" s="209"/>
      <c r="W444" s="209"/>
      <c r="X444" s="209"/>
      <c r="Y444" s="209"/>
      <c r="Z444" s="209"/>
      <c r="AA444" s="209"/>
      <c r="AB444" s="209"/>
      <c r="AC444" s="209"/>
      <c r="AD444" s="209"/>
      <c r="AE444" s="209"/>
    </row>
    <row r="445">
      <c r="A445" s="208" t="s">
        <v>2903</v>
      </c>
      <c r="B445" s="189" t="str">
        <f>IFERROR(__xludf.DUMMYFUNCTION("FILTER ('Research Papers'!D:D,'Research Papers'!A:A=C445)"),"FedAKD: Federated Adaptive Knowledge Distillation via Global Knowledge Calibration and Decoupling")</f>
        <v>FedAKD: Federated Adaptive Knowledge Distillation via Global Knowledge Calibration and Decoupling</v>
      </c>
      <c r="C445" s="189" t="s">
        <v>1088</v>
      </c>
      <c r="D445" s="209" t="str">
        <f t="shared" si="1"/>
        <v>FedAKD: Federated Adaptive Knowledge Distillation via Global Knowledge Calibration and Decoupling
Yingchao Wang, Wenqi Niu and Hanpo Hou
</v>
      </c>
      <c r="E445" s="209" t="str">
        <f>IFERROR(__xludf.DUMMYFUNCTION("TEXTJOIN(CHAR(10), TRUE,FILTER('Research Papers'!$C:$C,'Research Papers'!$A:$A=C445))"),"Yingchao Wang, Wenqi Niu and Hanpo Hou")</f>
        <v>Yingchao Wang, Wenqi Niu and Hanpo Hou</v>
      </c>
      <c r="F445" s="209" t="str">
        <f>IFERROR(__xludf.DUMMYFUNCTION("TEXTJOIN(CHAR(10), TRUE,FILTER ('Sheridan Main'!E:E,'Sheridan Main'!B:B=C445))"),"yingchaowang@bit.edu.cn")</f>
        <v>yingchaowang@bit.edu.cn</v>
      </c>
      <c r="G445" s="210" t="str">
        <f>IFERROR(__xludf.DUMMYFUNCTION("CONCATENATE(""https://dl.acm.org/doi/"",INDEX(FILTER('Sheridan Main'!A:A,'Sheridan Main'!B:B=C445),1))"),"https://dl.acm.org/doi/10.1145/3774904.3792386")</f>
        <v>https://dl.acm.org/doi/10.1145/3774904.3792386</v>
      </c>
      <c r="H445" s="189" t="s">
        <v>103</v>
      </c>
      <c r="I445" s="209"/>
      <c r="J445" s="209"/>
      <c r="K445" s="147"/>
      <c r="L445" s="147"/>
      <c r="M445" s="209"/>
      <c r="N445" s="209"/>
      <c r="O445" s="209"/>
      <c r="P445" s="209"/>
      <c r="Q445" s="209"/>
      <c r="R445" s="209"/>
      <c r="S445" s="209"/>
      <c r="T445" s="209"/>
      <c r="U445" s="209"/>
      <c r="V445" s="209"/>
      <c r="W445" s="209"/>
      <c r="X445" s="209"/>
      <c r="Y445" s="209"/>
      <c r="Z445" s="209"/>
      <c r="AA445" s="209"/>
      <c r="AB445" s="209"/>
      <c r="AC445" s="209"/>
      <c r="AD445" s="209"/>
      <c r="AE445" s="209"/>
    </row>
    <row r="446">
      <c r="A446" s="208" t="s">
        <v>2903</v>
      </c>
      <c r="B446" s="189" t="str">
        <f>IFERROR(__xludf.DUMMYFUNCTION("FILTER ('Research Papers'!D:D,'Research Papers'!A:A=C446)"),"Wiseswap: Elastic Datacenter Network-Aware Disaggregated Memory for Multi-Tenant Cloud")</f>
        <v>Wiseswap: Elastic Datacenter Network-Aware Disaggregated Memory for Multi-Tenant Cloud</v>
      </c>
      <c r="C446" s="189" t="s">
        <v>934</v>
      </c>
      <c r="D446" s="209" t="str">
        <f t="shared" si="1"/>
        <v>Wiseswap: Elastic Datacenter Network-Aware Disaggregated Memory for Multi-Tenant Cloud
Mingxuan Liu, Jianhua Gu, Tianhai Zhao and Dong Sun
</v>
      </c>
      <c r="E446" s="209" t="str">
        <f>IFERROR(__xludf.DUMMYFUNCTION("TEXTJOIN(CHAR(10), TRUE,FILTER('Research Papers'!$C:$C,'Research Papers'!$A:$A=C446))"),"Mingxuan Liu, Jianhua Gu, Tianhai Zhao and Dong Sun")</f>
        <v>Mingxuan Liu, Jianhua Gu, Tianhai Zhao and Dong Sun</v>
      </c>
      <c r="F446" s="209" t="str">
        <f>IFERROR(__xludf.DUMMYFUNCTION("TEXTJOIN(CHAR(10), TRUE,FILTER ('Sheridan Main'!E:E,'Sheridan Main'!B:B=C446))"),"gujh@nwpu.edu.cn")</f>
        <v>gujh@nwpu.edu.cn</v>
      </c>
      <c r="G446" s="210" t="str">
        <f>IFERROR(__xludf.DUMMYFUNCTION("CONCATENATE(""https://dl.acm.org/doi/"",INDEX(FILTER('Sheridan Main'!A:A,'Sheridan Main'!B:B=C446),1))"),"https://dl.acm.org/doi/10.1145/3774904.3792309")</f>
        <v>https://dl.acm.org/doi/10.1145/3774904.3792309</v>
      </c>
      <c r="H446" s="189" t="s">
        <v>137</v>
      </c>
      <c r="I446" s="209"/>
      <c r="J446" s="209"/>
      <c r="K446" s="147"/>
      <c r="L446" s="147"/>
      <c r="M446" s="209"/>
      <c r="N446" s="209"/>
      <c r="O446" s="209"/>
      <c r="P446" s="209"/>
      <c r="Q446" s="209"/>
      <c r="R446" s="209"/>
      <c r="S446" s="209"/>
      <c r="T446" s="209"/>
      <c r="U446" s="209"/>
      <c r="V446" s="209"/>
      <c r="W446" s="209"/>
      <c r="X446" s="209"/>
      <c r="Y446" s="209"/>
      <c r="Z446" s="209"/>
      <c r="AA446" s="209"/>
      <c r="AB446" s="209"/>
      <c r="AC446" s="209"/>
      <c r="AD446" s="209"/>
      <c r="AE446" s="209"/>
    </row>
    <row r="447">
      <c r="A447" s="208" t="s">
        <v>2903</v>
      </c>
      <c r="B447" s="189" t="str">
        <f>IFERROR(__xludf.DUMMYFUNCTION("FILTER ('Research Papers'!D:D,'Research Papers'!A:A=C447)"),"LaTune: Lightweight and Adaptive Configuration Tuning for LLM Inference on Edge Devices")</f>
        <v>LaTune: Lightweight and Adaptive Configuration Tuning for LLM Inference on Edge Devices</v>
      </c>
      <c r="C447" s="189" t="s">
        <v>1080</v>
      </c>
      <c r="D447" s="209" t="str">
        <f t="shared" si="1"/>
        <v>LaTune: Lightweight and Adaptive Configuration Tuning for LLM Inference on Edge Devices
Siqi Zhong, Mugeng Liu, Haiyang Shen, Chongyang Pan and Yun
Ma
</v>
      </c>
      <c r="E447" s="209" t="str">
        <f>IFERROR(__xludf.DUMMYFUNCTION("TEXTJOIN(CHAR(10), TRUE,FILTER('Research Papers'!$C:$C,'Research Papers'!$A:$A=C447))"),"Siqi Zhong, Mugeng Liu, Haiyang Shen, Chongyang Pan and Yun
Ma")</f>
        <v>Siqi Zhong, Mugeng Liu, Haiyang Shen, Chongyang Pan and Yun
Ma</v>
      </c>
      <c r="F447" s="209" t="str">
        <f>IFERROR(__xludf.DUMMYFUNCTION("TEXTJOIN(CHAR(10), TRUE,FILTER ('Sheridan Main'!E:E,'Sheridan Main'!B:B=C447))"),"siqizhong25@stu.pku.edu.cn")</f>
        <v>siqizhong25@stu.pku.edu.cn</v>
      </c>
      <c r="G447" s="210" t="str">
        <f>IFERROR(__xludf.DUMMYFUNCTION("CONCATENATE(""https://dl.acm.org/doi/"",INDEX(FILTER('Sheridan Main'!A:A,'Sheridan Main'!B:B=C447),1))"),"https://dl.acm.org/doi/10.1145/3774904.3792382")</f>
        <v>https://dl.acm.org/doi/10.1145/3774904.3792382</v>
      </c>
      <c r="H447" s="189" t="s">
        <v>137</v>
      </c>
      <c r="I447" s="209"/>
      <c r="J447" s="209"/>
      <c r="K447" s="147"/>
      <c r="L447" s="147"/>
      <c r="M447" s="209"/>
      <c r="N447" s="209"/>
      <c r="O447" s="209"/>
      <c r="P447" s="209"/>
      <c r="Q447" s="209"/>
      <c r="R447" s="209"/>
      <c r="S447" s="209"/>
      <c r="T447" s="209"/>
      <c r="U447" s="209"/>
      <c r="V447" s="209"/>
      <c r="W447" s="209"/>
      <c r="X447" s="209"/>
      <c r="Y447" s="209"/>
      <c r="Z447" s="209"/>
      <c r="AA447" s="209"/>
      <c r="AB447" s="209"/>
      <c r="AC447" s="209"/>
      <c r="AD447" s="209"/>
      <c r="AE447" s="209"/>
    </row>
    <row r="448">
      <c r="A448" s="208" t="s">
        <v>2903</v>
      </c>
      <c r="B448" s="189" t="str">
        <f>IFERROR(__xludf.DUMMYFUNCTION("FILTER ('Research Papers'!D:D,'Research Papers'!A:A=C448)"),"EdgeGen: Efficient LLM-Empowered Model Generation with Quantization-Aware NAS")</f>
        <v>EdgeGen: Efficient LLM-Empowered Model Generation with Quantization-Aware NAS</v>
      </c>
      <c r="C448" s="189" t="s">
        <v>1104</v>
      </c>
      <c r="D448" s="209" t="str">
        <f t="shared" si="1"/>
        <v>EdgeGen: Efficient LLM-Empowered Model Generation with Quantization-Aware NAS
Yingqi Peng, Wenhao Zhou, Kaijie Gong, Yang Liu, Yi Gao and
Wei Dong
</v>
      </c>
      <c r="E448" s="209" t="str">
        <f>IFERROR(__xludf.DUMMYFUNCTION("TEXTJOIN(CHAR(10), TRUE,FILTER('Research Papers'!$C:$C,'Research Papers'!$A:$A=C448))"),"Yingqi Peng, Wenhao Zhou, Kaijie Gong, Yang Liu, Yi Gao and
Wei Dong")</f>
        <v>Yingqi Peng, Wenhao Zhou, Kaijie Gong, Yang Liu, Yi Gao and
Wei Dong</v>
      </c>
      <c r="F448" s="209" t="str">
        <f>IFERROR(__xludf.DUMMYFUNCTION("TEXTJOIN(CHAR(10), TRUE,FILTER ('Sheridan Main'!E:E,'Sheridan Main'!B:B=C448))"),"gaoyi@zju.edu.cn")</f>
        <v>gaoyi@zju.edu.cn</v>
      </c>
      <c r="G448" s="210" t="str">
        <f>IFERROR(__xludf.DUMMYFUNCTION("CONCATENATE(""https://dl.acm.org/doi/"",INDEX(FILTER('Sheridan Main'!A:A,'Sheridan Main'!B:B=C448),1))"),"https://dl.acm.org/doi/10.1145/3774904.3792394")</f>
        <v>https://dl.acm.org/doi/10.1145/3774904.3792394</v>
      </c>
      <c r="H448" s="189" t="s">
        <v>137</v>
      </c>
      <c r="I448" s="209"/>
      <c r="J448" s="209"/>
      <c r="K448" s="147"/>
      <c r="L448" s="147"/>
      <c r="M448" s="209"/>
      <c r="N448" s="209"/>
      <c r="O448" s="209"/>
      <c r="P448" s="209"/>
      <c r="Q448" s="209"/>
      <c r="R448" s="209"/>
      <c r="S448" s="209"/>
      <c r="T448" s="209"/>
      <c r="U448" s="209"/>
      <c r="V448" s="209"/>
      <c r="W448" s="209"/>
      <c r="X448" s="209"/>
      <c r="Y448" s="209"/>
      <c r="Z448" s="209"/>
      <c r="AA448" s="209"/>
      <c r="AB448" s="209"/>
      <c r="AC448" s="209"/>
      <c r="AD448" s="209"/>
      <c r="AE448" s="209"/>
    </row>
    <row r="449">
      <c r="A449" s="208" t="s">
        <v>2903</v>
      </c>
      <c r="B449" s="189" t="str">
        <f>IFERROR(__xludf.DUMMYFUNCTION("FILTER ('Research Papers'!D:D,'Research Papers'!A:A=C449)"),"BeeQoS: A Cloud-Native QoS System for Adaptive and Scalable Multi-Priority Bandwidth Guarantees")</f>
        <v>BeeQoS: A Cloud-Native QoS System for Adaptive and Scalable Multi-Priority Bandwidth Guarantees</v>
      </c>
      <c r="C449" s="189" t="s">
        <v>1290</v>
      </c>
      <c r="D449" s="209" t="str">
        <f t="shared" si="1"/>
        <v>BeeQoS: A Cloud-Native QoS System for Adaptive and Scalable Multi-Priority Bandwidth Guarantees
Jinyao Liu, Si Wu, Haoyuan Ma, Chaoqun Li, Hongjing Yu,
Dingyi Jia, Feng Li and Pengfei Hu
</v>
      </c>
      <c r="E449" s="209" t="str">
        <f>IFERROR(__xludf.DUMMYFUNCTION("TEXTJOIN(CHAR(10), TRUE,FILTER('Research Papers'!$C:$C,'Research Papers'!$A:$A=C449))"),"Jinyao Liu, Si Wu, Haoyuan Ma, Chaoqun Li, Hongjing Yu,
Dingyi Jia, Feng Li and Pengfei Hu")</f>
        <v>Jinyao Liu, Si Wu, Haoyuan Ma, Chaoqun Li, Hongjing Yu,
Dingyi Jia, Feng Li and Pengfei Hu</v>
      </c>
      <c r="F449" s="209" t="str">
        <f>IFERROR(__xludf.DUMMYFUNCTION("TEXTJOIN(CHAR(10), TRUE,FILTER ('Sheridan Main'!E:E,'Sheridan Main'!B:B=C449))"),"phu@sdu.edu.cn")</f>
        <v>phu@sdu.edu.cn</v>
      </c>
      <c r="G449" s="210" t="str">
        <f>IFERROR(__xludf.DUMMYFUNCTION("CONCATENATE(""https://dl.acm.org/doi/"",INDEX(FILTER('Sheridan Main'!A:A,'Sheridan Main'!B:B=C449),1))"),"https://dl.acm.org/doi/10.1145/3774904.3792487")</f>
        <v>https://dl.acm.org/doi/10.1145/3774904.3792487</v>
      </c>
      <c r="H449" s="189" t="s">
        <v>137</v>
      </c>
      <c r="I449" s="209"/>
      <c r="J449" s="209"/>
      <c r="K449" s="147"/>
      <c r="L449" s="147"/>
      <c r="M449" s="209"/>
      <c r="N449" s="209"/>
      <c r="O449" s="209"/>
      <c r="P449" s="209"/>
      <c r="Q449" s="209"/>
      <c r="R449" s="209"/>
      <c r="S449" s="209"/>
      <c r="T449" s="209"/>
      <c r="U449" s="209"/>
      <c r="V449" s="209"/>
      <c r="W449" s="209"/>
      <c r="X449" s="209"/>
      <c r="Y449" s="209"/>
      <c r="Z449" s="209"/>
      <c r="AA449" s="209"/>
      <c r="AB449" s="209"/>
      <c r="AC449" s="209"/>
      <c r="AD449" s="209"/>
      <c r="AE449" s="209"/>
    </row>
    <row r="450">
      <c r="A450" s="208" t="s">
        <v>2903</v>
      </c>
      <c r="B450" s="189" t="str">
        <f>IFERROR(__xludf.DUMMYFUNCTION("FILTER ('Research Papers'!D:D,'Research Papers'!A:A=C450)"),"A Structure-Agnostic Co-Tuning Framework for LLMs and SLMs in Cloud-Edge Systems")</f>
        <v>A Structure-Agnostic Co-Tuning Framework for LLMs and SLMs in Cloud-Edge Systems</v>
      </c>
      <c r="C450" s="189" t="s">
        <v>1680</v>
      </c>
      <c r="D450" s="209" t="str">
        <f t="shared" si="1"/>
        <v>A Structure-Agnostic Co-Tuning Framework for LLMs and SLMs in Cloud-Edge Systems
Yuze Liu, Yunhan Wang, Tiehua Zhang, Zhishu Shen, Cheng
Peng, Libing Wu, Feng Xia and Jiong Jin
</v>
      </c>
      <c r="E450" s="209" t="str">
        <f>IFERROR(__xludf.DUMMYFUNCTION("TEXTJOIN(CHAR(10), TRUE,FILTER('Research Papers'!$C:$C,'Research Papers'!$A:$A=C450))"),"Yuze Liu, Yunhan Wang, Tiehua Zhang, Zhishu Shen, Cheng
Peng, Libing Wu, Feng Xia and Jiong Jin")</f>
        <v>Yuze Liu, Yunhan Wang, Tiehua Zhang, Zhishu Shen, Cheng
Peng, Libing Wu, Feng Xia and Jiong Jin</v>
      </c>
      <c r="F450" s="209" t="str">
        <f>IFERROR(__xludf.DUMMYFUNCTION("TEXTJOIN(CHAR(10), TRUE,FILTER ('Sheridan Main'!E:E,'Sheridan Main'!B:B=C450))"),"tiehuaz@tongji.edu.cn")</f>
        <v>tiehuaz@tongji.edu.cn</v>
      </c>
      <c r="G450" s="210" t="str">
        <f>IFERROR(__xludf.DUMMYFUNCTION("CONCATENATE(""https://dl.acm.org/doi/"",INDEX(FILTER('Sheridan Main'!A:A,'Sheridan Main'!B:B=C450),1))"),"https://dl.acm.org/doi/10.1145/3774904.3792682")</f>
        <v>https://dl.acm.org/doi/10.1145/3774904.3792682</v>
      </c>
      <c r="H450" s="189" t="s">
        <v>137</v>
      </c>
      <c r="I450" s="209"/>
      <c r="J450" s="209"/>
      <c r="K450" s="147"/>
      <c r="L450" s="147"/>
      <c r="M450" s="209"/>
      <c r="N450" s="209"/>
      <c r="O450" s="209"/>
      <c r="P450" s="209"/>
      <c r="Q450" s="209"/>
      <c r="R450" s="209"/>
      <c r="S450" s="209"/>
      <c r="T450" s="209"/>
      <c r="U450" s="209"/>
      <c r="V450" s="209"/>
      <c r="W450" s="209"/>
      <c r="X450" s="209"/>
      <c r="Y450" s="209"/>
      <c r="Z450" s="209"/>
      <c r="AA450" s="209"/>
      <c r="AB450" s="209"/>
      <c r="AC450" s="209"/>
      <c r="AD450" s="209"/>
      <c r="AE450" s="209"/>
    </row>
    <row r="451">
      <c r="A451" s="208" t="s">
        <v>2903</v>
      </c>
      <c r="B451" s="189" t="str">
        <f>IFERROR(__xludf.DUMMYFUNCTION("FILTER ('Research Papers'!D:D,'Research Papers'!A:A=C451)"),"Cross-city Time Series Forecasting with Retrieval-Augmented Large Language Models")</f>
        <v>Cross-city Time Series Forecasting with Retrieval-Augmented Large Language Models</v>
      </c>
      <c r="C451" s="189" t="s">
        <v>464</v>
      </c>
      <c r="D451" s="209" t="str">
        <f t="shared" si="1"/>
        <v>Cross-city Time Series Forecasting with Retrieval-Augmented Large Language Models
Yue Jiang, Chenxi Liu, Yile Chen, Qin Chao, Shuai Liu,
Cheng Long and Gao Cong
</v>
      </c>
      <c r="E451" s="209" t="str">
        <f>IFERROR(__xludf.DUMMYFUNCTION("TEXTJOIN(CHAR(10), TRUE,FILTER('Research Papers'!$C:$C,'Research Papers'!$A:$A=C451))"),"Yue Jiang, Chenxi Liu, Yile Chen, Qin Chao, Shuai Liu,
Cheng Long and Gao Cong")</f>
        <v>Yue Jiang, Chenxi Liu, Yile Chen, Qin Chao, Shuai Liu,
Cheng Long and Gao Cong</v>
      </c>
      <c r="F451" s="209" t="str">
        <f>IFERROR(__xludf.DUMMYFUNCTION("TEXTJOIN(CHAR(10), TRUE,FILTER ('Sheridan Main'!E:E,'Sheridan Main'!B:B=C451))"),"YILE001@e.ntu.edu.sg")</f>
        <v>YILE001@e.ntu.edu.sg</v>
      </c>
      <c r="G451" s="210" t="str">
        <f>IFERROR(__xludf.DUMMYFUNCTION("CONCATENATE(""https://dl.acm.org/doi/"",INDEX(FILTER('Sheridan Main'!A:A,'Sheridan Main'!B:B=C451),1))"),"https://dl.acm.org/doi/10.1145/3774904.3792074")</f>
        <v>https://dl.acm.org/doi/10.1145/3774904.3792074</v>
      </c>
      <c r="H451" s="189" t="s">
        <v>159</v>
      </c>
      <c r="I451" s="209"/>
      <c r="J451" s="209"/>
      <c r="K451" s="147"/>
      <c r="L451" s="147"/>
      <c r="M451" s="209"/>
      <c r="N451" s="209"/>
      <c r="O451" s="209"/>
      <c r="P451" s="209"/>
      <c r="Q451" s="209"/>
      <c r="R451" s="209"/>
      <c r="S451" s="209"/>
      <c r="T451" s="209"/>
      <c r="U451" s="209"/>
      <c r="V451" s="209"/>
      <c r="W451" s="209"/>
      <c r="X451" s="209"/>
      <c r="Y451" s="209"/>
      <c r="Z451" s="209"/>
      <c r="AA451" s="209"/>
      <c r="AB451" s="209"/>
      <c r="AC451" s="209"/>
      <c r="AD451" s="209"/>
      <c r="AE451" s="209"/>
    </row>
    <row r="452">
      <c r="A452" s="208" t="s">
        <v>2903</v>
      </c>
      <c r="B452" s="189" t="str">
        <f>IFERROR(__xludf.DUMMYFUNCTION("FILTER ('Research Papers'!D:D,'Research Papers'!A:A=C452)"),"Glasses: Enabling Fast Environment-aware Few-Shot Learning via Device-Cloud Collaboration")</f>
        <v>Glasses: Enabling Fast Environment-aware Few-Shot Learning via Device-Cloud Collaboration</v>
      </c>
      <c r="C452" s="189" t="s">
        <v>536</v>
      </c>
      <c r="D452" s="209" t="str">
        <f t="shared" si="1"/>
        <v>Glasses: Enabling Fast Environment-aware Few-Shot Learning via Device-Cloud Collaboration
Qiang He, Sheng Zhong, Jiazhen Yang, Feifei Chen, Hai Jin
and Yun Yang
</v>
      </c>
      <c r="E452" s="209" t="str">
        <f>IFERROR(__xludf.DUMMYFUNCTION("TEXTJOIN(CHAR(10), TRUE,FILTER('Research Papers'!$C:$C,'Research Papers'!$A:$A=C452))"),"Qiang He, Sheng Zhong, Jiazhen Yang, Feifei Chen, Hai Jin
and Yun Yang")</f>
        <v>Qiang He, Sheng Zhong, Jiazhen Yang, Feifei Chen, Hai Jin
and Yun Yang</v>
      </c>
      <c r="F452" s="209" t="str">
        <f>IFERROR(__xludf.DUMMYFUNCTION("TEXTJOIN(CHAR(10), TRUE,FILTER ('Sheridan Main'!E:E,'Sheridan Main'!B:B=C452))"),"feifei.chen@deakin.edu.au")</f>
        <v>feifei.chen@deakin.edu.au</v>
      </c>
      <c r="G452" s="210" t="str">
        <f>IFERROR(__xludf.DUMMYFUNCTION("CONCATENATE(""https://dl.acm.org/doi/"",INDEX(FILTER('Sheridan Main'!A:A,'Sheridan Main'!B:B=C452),1))"),"https://dl.acm.org/doi/10.1145/3774904.3792110")</f>
        <v>https://dl.acm.org/doi/10.1145/3774904.3792110</v>
      </c>
      <c r="H452" s="189" t="s">
        <v>159</v>
      </c>
      <c r="I452" s="209"/>
      <c r="J452" s="209"/>
      <c r="K452" s="147"/>
      <c r="L452" s="147"/>
      <c r="M452" s="209"/>
      <c r="N452" s="209"/>
      <c r="O452" s="209"/>
      <c r="P452" s="209"/>
      <c r="Q452" s="209"/>
      <c r="R452" s="209"/>
      <c r="S452" s="209"/>
      <c r="T452" s="209"/>
      <c r="U452" s="209"/>
      <c r="V452" s="209"/>
      <c r="W452" s="209"/>
      <c r="X452" s="209"/>
      <c r="Y452" s="209"/>
      <c r="Z452" s="209"/>
      <c r="AA452" s="209"/>
      <c r="AB452" s="209"/>
      <c r="AC452" s="209"/>
      <c r="AD452" s="209"/>
      <c r="AE452" s="209"/>
    </row>
    <row r="453">
      <c r="A453" s="208" t="s">
        <v>2903</v>
      </c>
      <c r="B453" s="189" t="str">
        <f>IFERROR(__xludf.DUMMYFUNCTION("FILTER ('Research Papers'!D:D,'Research Papers'!A:A=C453)"),"TimeMar: Multi-Scale Autoregressive Modeling for Unconditional Time Series Generation")</f>
        <v>TimeMar: Multi-Scale Autoregressive Modeling for Unconditional Time Series Generation</v>
      </c>
      <c r="C453" s="189" t="s">
        <v>662</v>
      </c>
      <c r="D453" s="209" t="str">
        <f t="shared" si="1"/>
        <v>TimeMar: Multi-Scale Autoregressive Modeling for Unconditional Time Series Generation
Xiangyu Xu, Qingsong Zhong and Jilin Hu
</v>
      </c>
      <c r="E453" s="209" t="str">
        <f>IFERROR(__xludf.DUMMYFUNCTION("TEXTJOIN(CHAR(10), TRUE,FILTER('Research Papers'!$C:$C,'Research Papers'!$A:$A=C453))"),"Xiangyu Xu, Qingsong Zhong and Jilin Hu")</f>
        <v>Xiangyu Xu, Qingsong Zhong and Jilin Hu</v>
      </c>
      <c r="F453" s="209" t="str">
        <f>IFERROR(__xludf.DUMMYFUNCTION("TEXTJOIN(CHAR(10), TRUE,FILTER ('Sheridan Main'!E:E,'Sheridan Main'!B:B=C453))"),"jlhu@dase.ecnu.edu.cn")</f>
        <v>jlhu@dase.ecnu.edu.cn</v>
      </c>
      <c r="G453" s="210" t="str">
        <f>IFERROR(__xludf.DUMMYFUNCTION("CONCATENATE(""https://dl.acm.org/doi/"",INDEX(FILTER('Sheridan Main'!A:A,'Sheridan Main'!B:B=C453),1))"),"https://dl.acm.org/doi/10.1145/3774904.3792173")</f>
        <v>https://dl.acm.org/doi/10.1145/3774904.3792173</v>
      </c>
      <c r="H453" s="189" t="s">
        <v>159</v>
      </c>
      <c r="I453" s="209"/>
      <c r="J453" s="209"/>
      <c r="K453" s="147"/>
      <c r="L453" s="147"/>
      <c r="M453" s="209"/>
      <c r="N453" s="209"/>
      <c r="O453" s="209"/>
      <c r="P453" s="209"/>
      <c r="Q453" s="209"/>
      <c r="R453" s="209"/>
      <c r="S453" s="209"/>
      <c r="T453" s="209"/>
      <c r="U453" s="209"/>
      <c r="V453" s="209"/>
      <c r="W453" s="209"/>
      <c r="X453" s="209"/>
      <c r="Y453" s="209"/>
      <c r="Z453" s="209"/>
      <c r="AA453" s="209"/>
      <c r="AB453" s="209"/>
      <c r="AC453" s="209"/>
      <c r="AD453" s="209"/>
      <c r="AE453" s="209"/>
    </row>
    <row r="454">
      <c r="A454" s="208" t="s">
        <v>2903</v>
      </c>
      <c r="B454" s="189" t="str">
        <f>IFERROR(__xludf.DUMMYFUNCTION("FILTER ('Research Papers'!D:D,'Research Papers'!A:A=C454)"),"Augmenting Cross-View Geo-Localization with Spatial Semantics from Vision Foundation Models")</f>
        <v>Augmenting Cross-View Geo-Localization with Spatial Semantics from Vision Foundation Models</v>
      </c>
      <c r="C454" s="189" t="s">
        <v>782</v>
      </c>
      <c r="D454" s="209" t="str">
        <f t="shared" si="1"/>
        <v>Augmenting Cross-View Geo-Localization with Spatial Semantics from Vision Foundation Models
Ji Shen, Lixing Chen, Yang Bai, Zhongqi Miao, Zhe Qu, Pan
Zhou and Jianhua Li
</v>
      </c>
      <c r="E454" s="209" t="str">
        <f>IFERROR(__xludf.DUMMYFUNCTION("TEXTJOIN(CHAR(10), TRUE,FILTER('Research Papers'!$C:$C,'Research Papers'!$A:$A=C454))"),"Ji Shen, Lixing Chen, Yang Bai, Zhongqi Miao, Zhe Qu, Pan
Zhou and Jianhua Li")</f>
        <v>Ji Shen, Lixing Chen, Yang Bai, Zhongqi Miao, Zhe Qu, Pan
Zhou and Jianhua Li</v>
      </c>
      <c r="F454" s="209" t="str">
        <f>IFERROR(__xludf.DUMMYFUNCTION("TEXTJOIN(CHAR(10), TRUE,FILTER ('Sheridan Main'!E:E,'Sheridan Main'!B:B=C454))"),"lxchen@sjtu.edu.cn")</f>
        <v>lxchen@sjtu.edu.cn</v>
      </c>
      <c r="G454" s="210" t="str">
        <f>IFERROR(__xludf.DUMMYFUNCTION("CONCATENATE(""https://dl.acm.org/doi/"",INDEX(FILTER('Sheridan Main'!A:A,'Sheridan Main'!B:B=C454),1))"),"https://dl.acm.org/doi/10.1145/3774904.3792233")</f>
        <v>https://dl.acm.org/doi/10.1145/3774904.3792233</v>
      </c>
      <c r="H454" s="189" t="s">
        <v>159</v>
      </c>
      <c r="I454" s="209"/>
      <c r="J454" s="209"/>
      <c r="K454" s="147"/>
      <c r="L454" s="147"/>
      <c r="M454" s="209"/>
      <c r="N454" s="209"/>
      <c r="O454" s="209"/>
      <c r="P454" s="209"/>
      <c r="Q454" s="209"/>
      <c r="R454" s="209"/>
      <c r="S454" s="209"/>
      <c r="T454" s="209"/>
      <c r="U454" s="209"/>
      <c r="V454" s="209"/>
      <c r="W454" s="209"/>
      <c r="X454" s="209"/>
      <c r="Y454" s="209"/>
      <c r="Z454" s="209"/>
      <c r="AA454" s="209"/>
      <c r="AB454" s="209"/>
      <c r="AC454" s="209"/>
      <c r="AD454" s="209"/>
      <c r="AE454" s="209"/>
    </row>
    <row r="455">
      <c r="A455" s="208" t="s">
        <v>2903</v>
      </c>
      <c r="B455" s="189" t="str">
        <f>IFERROR(__xludf.DUMMYFUNCTION("FILTER ('Research Papers'!D:D,'Research Papers'!A:A=C455)"),"SEMixer: Semantics Enhanced MLP-Mixer for Multiscale Mixing and Long-term Time Series Forecasting")</f>
        <v>SEMixer: Semantics Enhanced MLP-Mixer for Multiscale Mixing and Long-term Time Series Forecasting</v>
      </c>
      <c r="C455" s="189" t="s">
        <v>1594</v>
      </c>
      <c r="D455" s="209" t="str">
        <f t="shared" si="1"/>
        <v>SEMixer: Semantics Enhanced MLP-Mixer for Multiscale Mixing and Long-term Time Series Forecasting
Xu Zhang, Qitong Wang, Peng Wang and Wei Wang
</v>
      </c>
      <c r="E455" s="209" t="str">
        <f>IFERROR(__xludf.DUMMYFUNCTION("TEXTJOIN(CHAR(10), TRUE,FILTER('Research Papers'!$C:$C,'Research Papers'!$A:$A=C455))"),"Xu Zhang, Qitong Wang, Peng Wang and Wei Wang")</f>
        <v>Xu Zhang, Qitong Wang, Peng Wang and Wei Wang</v>
      </c>
      <c r="F455" s="209" t="str">
        <f>IFERROR(__xludf.DUMMYFUNCTION("TEXTJOIN(CHAR(10), TRUE,FILTER ('Sheridan Main'!E:E,'Sheridan Main'!B:B=C455))"),"pengwang5@fudan.edu.cn")</f>
        <v>pengwang5@fudan.edu.cn</v>
      </c>
      <c r="G455" s="210" t="str">
        <f>IFERROR(__xludf.DUMMYFUNCTION("CONCATENATE(""https://dl.acm.org/doi/"",INDEX(FILTER('Sheridan Main'!A:A,'Sheridan Main'!B:B=C455),1))"),"https://dl.acm.org/doi/10.1145/3774904.3792639")</f>
        <v>https://dl.acm.org/doi/10.1145/3774904.3792639</v>
      </c>
      <c r="H455" s="189" t="s">
        <v>159</v>
      </c>
      <c r="I455" s="209"/>
      <c r="J455" s="209"/>
      <c r="K455" s="147"/>
      <c r="L455" s="147"/>
      <c r="M455" s="209"/>
      <c r="N455" s="209"/>
      <c r="O455" s="209"/>
      <c r="P455" s="209"/>
      <c r="Q455" s="209"/>
      <c r="R455" s="209"/>
      <c r="S455" s="209"/>
      <c r="T455" s="209"/>
      <c r="U455" s="209"/>
      <c r="V455" s="209"/>
      <c r="W455" s="209"/>
      <c r="X455" s="209"/>
      <c r="Y455" s="209"/>
      <c r="Z455" s="209"/>
      <c r="AA455" s="209"/>
      <c r="AB455" s="209"/>
      <c r="AC455" s="209"/>
      <c r="AD455" s="209"/>
      <c r="AE455" s="209"/>
    </row>
    <row r="456">
      <c r="A456" s="208" t="s">
        <v>2903</v>
      </c>
      <c r="B456" s="189" t="str">
        <f>IFERROR(__xludf.DUMMYFUNCTION("FILTER ('Research Papers'!D:D,'Research Papers'!A:A=C456)"),"Investigating Web Content Delivery Performance over Starlink")</f>
        <v>Investigating Web Content Delivery Performance over Starlink</v>
      </c>
      <c r="C456" s="189" t="s">
        <v>770</v>
      </c>
      <c r="D456" s="209" t="str">
        <f t="shared" si="1"/>
        <v>Investigating Web Content Delivery Performance over Starlink
Rohan Bose, Jinwei Zhao, Tanya Shreedhar, Jianping Pan and
Nitinder Mohan
</v>
      </c>
      <c r="E456" s="209" t="str">
        <f>IFERROR(__xludf.DUMMYFUNCTION("TEXTJOIN(CHAR(10), TRUE,FILTER('Research Papers'!$C:$C,'Research Papers'!$A:$A=C456))"),"Rohan Bose, Jinwei Zhao, Tanya Shreedhar, Jianping Pan and
Nitinder Mohan")</f>
        <v>Rohan Bose, Jinwei Zhao, Tanya Shreedhar, Jianping Pan and
Nitinder Mohan</v>
      </c>
      <c r="F456" s="209" t="str">
        <f>IFERROR(__xludf.DUMMYFUNCTION("TEXTJOIN(CHAR(10), TRUE,FILTER ('Sheridan Main'!E:E,'Sheridan Main'!B:B=C456))"),"rohan.bose@tum.de")</f>
        <v>rohan.bose@tum.de</v>
      </c>
      <c r="G456" s="210" t="str">
        <f>IFERROR(__xludf.DUMMYFUNCTION("CONCATENATE(""https://dl.acm.org/doi/"",INDEX(FILTER('Sheridan Main'!A:A,'Sheridan Main'!B:B=C456),1))"),"https://dl.acm.org/doi/10.1145/3774904.3792227")</f>
        <v>https://dl.acm.org/doi/10.1145/3774904.3792227</v>
      </c>
      <c r="H456" s="189" t="s">
        <v>179</v>
      </c>
      <c r="I456" s="209"/>
      <c r="J456" s="209"/>
      <c r="K456" s="147"/>
      <c r="L456" s="147"/>
      <c r="M456" s="209"/>
      <c r="N456" s="209"/>
      <c r="O456" s="209"/>
      <c r="P456" s="209"/>
      <c r="Q456" s="209"/>
      <c r="R456" s="209"/>
      <c r="S456" s="209"/>
      <c r="T456" s="209"/>
      <c r="U456" s="209"/>
      <c r="V456" s="209"/>
      <c r="W456" s="209"/>
      <c r="X456" s="209"/>
      <c r="Y456" s="209"/>
      <c r="Z456" s="209"/>
      <c r="AA456" s="209"/>
      <c r="AB456" s="209"/>
      <c r="AC456" s="209"/>
      <c r="AD456" s="209"/>
      <c r="AE456" s="209"/>
    </row>
    <row r="457">
      <c r="A457" s="208" t="s">
        <v>2903</v>
      </c>
      <c r="B457" s="189" t="str">
        <f>IFERROR(__xludf.DUMMYFUNCTION("FILTER ('Research Papers'!D:D,'Research Papers'!A:A=C457)"),"Breath: Adaptive Protection Boundary in FEC Encoding for Mobile Real-Time Video Streaming")</f>
        <v>Breath: Adaptive Protection Boundary in FEC Encoding for Mobile Real-Time Video Streaming</v>
      </c>
      <c r="C457" s="189" t="s">
        <v>846</v>
      </c>
      <c r="D457" s="209" t="str">
        <f t="shared" si="1"/>
        <v>Breath: Adaptive Protection Boundary in FEC Encoding for Mobile Real-Time Video Streaming
Shiyang Huang, Gerui Lv, Yuankang Zhao, Jiaxing Zhang,
Qingyue Tan, Congkai An, Huanhuan Zhang, Xinyi Zhang,
Qinghua Wu and Zhenyu Li
</v>
      </c>
      <c r="E457" s="209" t="str">
        <f>IFERROR(__xludf.DUMMYFUNCTION("TEXTJOIN(CHAR(10), TRUE,FILTER('Research Papers'!$C:$C,'Research Papers'!$A:$A=C457))"),"Shiyang Huang, Gerui Lv, Yuankang Zhao, Jiaxing Zhang,
Qingyue Tan, Congkai An, Huanhuan Zhang, Xinyi Zhang,
Qinghua Wu and Zhenyu Li")</f>
        <v>Shiyang Huang, Gerui Lv, Yuankang Zhao, Jiaxing Zhang,
Qingyue Tan, Congkai An, Huanhuan Zhang, Xinyi Zhang,
Qinghua Wu and Zhenyu Li</v>
      </c>
      <c r="F457" s="209" t="str">
        <f>IFERROR(__xludf.DUMMYFUNCTION("TEXTJOIN(CHAR(10), TRUE,FILTER ('Sheridan Main'!E:E,'Sheridan Main'!B:B=C457))"),"wuqinghua@ict.ac.cn")</f>
        <v>wuqinghua@ict.ac.cn</v>
      </c>
      <c r="G457" s="210" t="str">
        <f>IFERROR(__xludf.DUMMYFUNCTION("CONCATENATE(""https://dl.acm.org/doi/"",INDEX(FILTER('Sheridan Main'!A:A,'Sheridan Main'!B:B=C457),1))"),"https://dl.acm.org/doi/10.1145/3774904.3792265")</f>
        <v>https://dl.acm.org/doi/10.1145/3774904.3792265</v>
      </c>
      <c r="H457" s="189" t="s">
        <v>179</v>
      </c>
      <c r="I457" s="209"/>
      <c r="J457" s="209"/>
      <c r="K457" s="147"/>
      <c r="L457" s="147"/>
      <c r="M457" s="209"/>
      <c r="N457" s="209"/>
      <c r="O457" s="209"/>
      <c r="P457" s="209"/>
      <c r="Q457" s="209"/>
      <c r="R457" s="209"/>
      <c r="S457" s="209"/>
      <c r="T457" s="209"/>
      <c r="U457" s="209"/>
      <c r="V457" s="209"/>
      <c r="W457" s="209"/>
      <c r="X457" s="209"/>
      <c r="Y457" s="209"/>
      <c r="Z457" s="209"/>
      <c r="AA457" s="209"/>
      <c r="AB457" s="209"/>
      <c r="AC457" s="209"/>
      <c r="AD457" s="209"/>
      <c r="AE457" s="209"/>
    </row>
    <row r="458">
      <c r="A458" s="208" t="s">
        <v>2903</v>
      </c>
      <c r="B458" s="189" t="str">
        <f>IFERROR(__xludf.DUMMYFUNCTION("FILTER ('Research Papers'!D:D,'Research Papers'!A:A=C458)"),"Camel: Frame-Level Bandwidth Estimation for Low-Latency Live Streaming under Video Bitrate Undershooting")</f>
        <v>Camel: Frame-Level Bandwidth Estimation for Low-Latency Live Streaming under Video Bitrate Undershooting</v>
      </c>
      <c r="C458" s="189" t="s">
        <v>1386</v>
      </c>
      <c r="D458" s="209" t="str">
        <f t="shared" si="1"/>
        <v>Camel: Frame-Level Bandwidth Estimation for Low-Latency Live Streaming under Video Bitrate Undershooting
Liming Liu, Zhidong Jia, Li Jiang, Wei Zhang, Lan Xie, Feng
Qian, Leju Yan, Bing Yan, Qiang Ma, Zhou Sha, Wei Yang,
Yixuan Ban and Xinggong Zhang
</v>
      </c>
      <c r="E458" s="209" t="str">
        <f>IFERROR(__xludf.DUMMYFUNCTION("TEXTJOIN(CHAR(10), TRUE,FILTER('Research Papers'!$C:$C,'Research Papers'!$A:$A=C458))"),"Liming Liu, Zhidong Jia, Li Jiang, Wei Zhang, Lan Xie, Feng
Qian, Leju Yan, Bing Yan, Qiang Ma, Zhou Sha, Wei Yang,
Yixuan Ban and Xinggong Zhang")</f>
        <v>Liming Liu, Zhidong Jia, Li Jiang, Wei Zhang, Lan Xie, Feng
Qian, Leju Yan, Bing Yan, Qiang Ma, Zhou Sha, Wei Yang,
Yixuan Ban and Xinggong Zhang</v>
      </c>
      <c r="F458" s="209" t="str">
        <f>IFERROR(__xludf.DUMMYFUNCTION("TEXTJOIN(CHAR(10), TRUE,FILTER ('Sheridan Main'!E:E,'Sheridan Main'!B:B=C458))"),"zhangxg@pku.edu.cn")</f>
        <v>zhangxg@pku.edu.cn</v>
      </c>
      <c r="G458" s="210" t="str">
        <f>IFERROR(__xludf.DUMMYFUNCTION("CONCATENATE(""https://dl.acm.org/doi/"",INDEX(FILTER('Sheridan Main'!A:A,'Sheridan Main'!B:B=C458),1))"),"https://dl.acm.org/doi/10.1145/3774904.3792535")</f>
        <v>https://dl.acm.org/doi/10.1145/3774904.3792535</v>
      </c>
      <c r="H458" s="189" t="s">
        <v>179</v>
      </c>
      <c r="I458" s="209"/>
      <c r="J458" s="209"/>
      <c r="K458" s="147"/>
      <c r="L458" s="147"/>
      <c r="M458" s="209"/>
      <c r="N458" s="209"/>
      <c r="O458" s="209"/>
      <c r="P458" s="209"/>
      <c r="Q458" s="209"/>
      <c r="R458" s="209"/>
      <c r="S458" s="209"/>
      <c r="T458" s="209"/>
      <c r="U458" s="209"/>
      <c r="V458" s="209"/>
      <c r="W458" s="209"/>
      <c r="X458" s="209"/>
      <c r="Y458" s="209"/>
      <c r="Z458" s="209"/>
      <c r="AA458" s="209"/>
      <c r="AB458" s="209"/>
      <c r="AC458" s="209"/>
      <c r="AD458" s="209"/>
      <c r="AE458" s="209"/>
    </row>
    <row r="459">
      <c r="A459" s="208" t="s">
        <v>2903</v>
      </c>
      <c r="B459" s="189" t="str">
        <f>IFERROR(__xludf.DUMMYFUNCTION("FILTER ('Research Papers'!D:D,'Research Papers'!A:A=C459)"),"DualDis: A Dual Disentanglement Network for Vehicle Re-identification")</f>
        <v>DualDis: A Dual Disentanglement Network for Vehicle Re-identification</v>
      </c>
      <c r="C459" s="189" t="s">
        <v>1444</v>
      </c>
      <c r="D459" s="209" t="str">
        <f t="shared" si="1"/>
        <v>DualDis: A Dual Disentanglement Network for Vehicle Re-identification
Wenying He, Feiyu Wang, Guangquan Xu, Yude Bai and Fei Guo
</v>
      </c>
      <c r="E459" s="209" t="str">
        <f>IFERROR(__xludf.DUMMYFUNCTION("TEXTJOIN(CHAR(10), TRUE,FILTER('Research Papers'!$C:$C,'Research Papers'!$A:$A=C459))"),"Wenying He, Feiyu Wang, Guangquan Xu, Yude Bai and Fei Guo")</f>
        <v>Wenying He, Feiyu Wang, Guangquan Xu, Yude Bai and Fei Guo</v>
      </c>
      <c r="F459" s="209" t="str">
        <f>IFERROR(__xludf.DUMMYFUNCTION("TEXTJOIN(CHAR(10), TRUE,FILTER ('Sheridan Main'!E:E,'Sheridan Main'!B:B=C459))"),"hwying1234@hebut.edu.cn")</f>
        <v>hwying1234@hebut.edu.cn</v>
      </c>
      <c r="G459" s="210" t="str">
        <f>IFERROR(__xludf.DUMMYFUNCTION("CONCATENATE(""https://dl.acm.org/doi/"",INDEX(FILTER('Sheridan Main'!A:A,'Sheridan Main'!B:B=C459),1))"),"https://dl.acm.org/doi/10.1145/3774904.3792564")</f>
        <v>https://dl.acm.org/doi/10.1145/3774904.3792564</v>
      </c>
      <c r="H459" s="189" t="s">
        <v>179</v>
      </c>
      <c r="I459" s="209"/>
      <c r="J459" s="209"/>
      <c r="K459" s="147"/>
      <c r="L459" s="147"/>
      <c r="M459" s="209"/>
      <c r="N459" s="209"/>
      <c r="O459" s="209"/>
      <c r="P459" s="209"/>
      <c r="Q459" s="209"/>
      <c r="R459" s="209"/>
      <c r="S459" s="209"/>
      <c r="T459" s="209"/>
      <c r="U459" s="209"/>
      <c r="V459" s="209"/>
      <c r="W459" s="209"/>
      <c r="X459" s="209"/>
      <c r="Y459" s="209"/>
      <c r="Z459" s="209"/>
      <c r="AA459" s="209"/>
      <c r="AB459" s="209"/>
      <c r="AC459" s="209"/>
      <c r="AD459" s="209"/>
      <c r="AE459" s="209"/>
    </row>
    <row r="460">
      <c r="A460" s="208" t="s">
        <v>2903</v>
      </c>
      <c r="B460" s="189" t="str">
        <f>IFERROR(__xludf.DUMMYFUNCTION("FILTER ('Research Papers'!D:D,'Research Papers'!A:A=C460)"),"FediScan: Collaborative Social Bot Detection in the Fediverse")</f>
        <v>FediScan: Collaborative Social Bot Detection in the Fediverse</v>
      </c>
      <c r="C460" s="189" t="s">
        <v>1696</v>
      </c>
      <c r="D460" s="209" t="str">
        <f t="shared" si="1"/>
        <v>FediScan: Collaborative Social Bot Detection in the Fediverse
Min Gao, Wen Wen, Haoran Du, Qiang Duan, Yu Xiao, Yupeng
Li, Xin Wang, Pan Hui and Yang Chen
</v>
      </c>
      <c r="E460" s="209" t="str">
        <f>IFERROR(__xludf.DUMMYFUNCTION("TEXTJOIN(CHAR(10), TRUE,FILTER('Research Papers'!$C:$C,'Research Papers'!$A:$A=C460))"),"Min Gao, Wen Wen, Haoran Du, Qiang Duan, Yu Xiao, Yupeng
Li, Xin Wang, Pan Hui and Yang Chen")</f>
        <v>Min Gao, Wen Wen, Haoran Du, Qiang Duan, Yu Xiao, Yupeng
Li, Xin Wang, Pan Hui and Yang Chen</v>
      </c>
      <c r="F460" s="209" t="str">
        <f>IFERROR(__xludf.DUMMYFUNCTION("TEXTJOIN(CHAR(10), TRUE,FILTER ('Sheridan Main'!E:E,'Sheridan Main'!B:B=C460))"),"chenyang@fudan.edu.cn")</f>
        <v>chenyang@fudan.edu.cn</v>
      </c>
      <c r="G460" s="210" t="str">
        <f>IFERROR(__xludf.DUMMYFUNCTION("CONCATENATE(""https://dl.acm.org/doi/"",INDEX(FILTER('Sheridan Main'!A:A,'Sheridan Main'!B:B=C460),1))"),"https://dl.acm.org/doi/10.1145/3774904.3792690")</f>
        <v>https://dl.acm.org/doi/10.1145/3774904.3792690</v>
      </c>
      <c r="H460" s="189" t="s">
        <v>179</v>
      </c>
      <c r="I460" s="209"/>
      <c r="J460" s="209"/>
      <c r="K460" s="147"/>
      <c r="L460" s="147"/>
      <c r="M460" s="209"/>
      <c r="N460" s="209"/>
      <c r="O460" s="209"/>
      <c r="P460" s="209"/>
      <c r="Q460" s="209"/>
      <c r="R460" s="209"/>
      <c r="S460" s="209"/>
      <c r="T460" s="209"/>
      <c r="U460" s="209"/>
      <c r="V460" s="209"/>
      <c r="W460" s="209"/>
      <c r="X460" s="209"/>
      <c r="Y460" s="209"/>
      <c r="Z460" s="209"/>
      <c r="AA460" s="209"/>
      <c r="AB460" s="209"/>
      <c r="AC460" s="209"/>
      <c r="AD460" s="209"/>
      <c r="AE460" s="209"/>
    </row>
    <row r="461">
      <c r="A461" s="208" t="s">
        <v>2903</v>
      </c>
      <c r="B461" s="189" t="str">
        <f>IFERROR(__xludf.DUMMYFUNCTION("FILTER ('Research Papers'!D:D,'Research Papers'!A:A=C461)"),"Beyond Single view Decoding: Dual-view Map Inference from Trajectories via Primal-Dual Graphs Co-generation")</f>
        <v>Beyond Single view Decoding: Dual-view Map Inference from Trajectories via Primal-Dual Graphs Co-generation</v>
      </c>
      <c r="C461" s="189" t="s">
        <v>508</v>
      </c>
      <c r="D461" s="209" t="str">
        <f t="shared" si="1"/>
        <v>Beyond Single view Decoding: Dual-view Map Inference from Trajectories via Primal-Dual Graphs Co-generation
Wenyu Wu, Jiafan Liu and Jiali Mao
</v>
      </c>
      <c r="E461" s="209" t="str">
        <f>IFERROR(__xludf.DUMMYFUNCTION("TEXTJOIN(CHAR(10), TRUE,FILTER('Research Papers'!$C:$C,'Research Papers'!$A:$A=C461))"),"Wenyu Wu, Jiafan Liu and Jiali Mao")</f>
        <v>Wenyu Wu, Jiafan Liu and Jiali Mao</v>
      </c>
      <c r="F461" s="209" t="str">
        <f>IFERROR(__xludf.DUMMYFUNCTION("TEXTJOIN(CHAR(10), TRUE,FILTER ('Sheridan Main'!E:E,'Sheridan Main'!B:B=C461))"),"jlmao@dase.ecnu.edu.cn")</f>
        <v>jlmao@dase.ecnu.edu.cn</v>
      </c>
      <c r="G461" s="210" t="str">
        <f>IFERROR(__xludf.DUMMYFUNCTION("CONCATENATE(""https://dl.acm.org/doi/"",INDEX(FILTER('Sheridan Main'!A:A,'Sheridan Main'!B:B=C461),1))"),"https://dl.acm.org/doi/10.1145/3774904.3792096")</f>
        <v>https://dl.acm.org/doi/10.1145/3774904.3792096</v>
      </c>
      <c r="H461" s="189" t="s">
        <v>205</v>
      </c>
      <c r="I461" s="209"/>
      <c r="J461" s="209"/>
      <c r="K461" s="147"/>
      <c r="L461" s="147"/>
      <c r="M461" s="209"/>
      <c r="N461" s="209"/>
      <c r="O461" s="209"/>
      <c r="P461" s="209"/>
      <c r="Q461" s="209"/>
      <c r="R461" s="209"/>
      <c r="S461" s="209"/>
      <c r="T461" s="209"/>
      <c r="U461" s="209"/>
      <c r="V461" s="209"/>
      <c r="W461" s="209"/>
      <c r="X461" s="209"/>
      <c r="Y461" s="209"/>
      <c r="Z461" s="209"/>
      <c r="AA461" s="209"/>
      <c r="AB461" s="209"/>
      <c r="AC461" s="209"/>
      <c r="AD461" s="209"/>
      <c r="AE461" s="209"/>
    </row>
    <row r="462">
      <c r="A462" s="208" t="s">
        <v>2903</v>
      </c>
      <c r="B462" s="189" t="str">
        <f>IFERROR(__xludf.DUMMYFUNCTION("FILTER ('Research Papers'!D:D,'Research Papers'!A:A=C462)"),"ST-LEGO: Large Language Models as Modular Architects for Traffic Prediction")</f>
        <v>ST-LEGO: Large Language Models as Modular Architects for Traffic Prediction</v>
      </c>
      <c r="C462" s="189" t="s">
        <v>580</v>
      </c>
      <c r="D462" s="209" t="str">
        <f t="shared" si="1"/>
        <v>ST-LEGO: Large Language Models as Modular Architects for Traffic Prediction
Shuhao Li, Weidong Yang, Yue Cui, Lipeng Ma, Yixuan Li,
Chaoteng Wu, Lu Qin and Fan Zhang
</v>
      </c>
      <c r="E462" s="209" t="str">
        <f>IFERROR(__xludf.DUMMYFUNCTION("TEXTJOIN(CHAR(10), TRUE,FILTER('Research Papers'!$C:$C,'Research Papers'!$A:$A=C462))"),"Shuhao Li, Weidong Yang, Yue Cui, Lipeng Ma, Yixuan Li,
Chaoteng Wu, Lu Qin and Fan Zhang")</f>
        <v>Shuhao Li, Weidong Yang, Yue Cui, Lipeng Ma, Yixuan Li,
Chaoteng Wu, Lu Qin and Fan Zhang</v>
      </c>
      <c r="F462" s="209" t="str">
        <f>IFERROR(__xludf.DUMMYFUNCTION("TEXTJOIN(CHAR(10), TRUE,FILTER ('Sheridan Main'!E:E,'Sheridan Main'!B:B=C462))"),"shli23@m.fudan.edu.cn")</f>
        <v>shli23@m.fudan.edu.cn</v>
      </c>
      <c r="G462" s="210" t="str">
        <f>IFERROR(__xludf.DUMMYFUNCTION("CONCATENATE(""https://dl.acm.org/doi/"",INDEX(FILTER('Sheridan Main'!A:A,'Sheridan Main'!B:B=C462),1))"),"https://dl.acm.org/doi/10.1145/3774904.3792132")</f>
        <v>https://dl.acm.org/doi/10.1145/3774904.3792132</v>
      </c>
      <c r="H462" s="189" t="s">
        <v>205</v>
      </c>
      <c r="I462" s="209"/>
      <c r="J462" s="209"/>
      <c r="K462" s="147"/>
      <c r="L462" s="147"/>
      <c r="M462" s="209"/>
      <c r="N462" s="209"/>
      <c r="O462" s="209"/>
      <c r="P462" s="209"/>
      <c r="Q462" s="209"/>
      <c r="R462" s="209"/>
      <c r="S462" s="209"/>
      <c r="T462" s="209"/>
      <c r="U462" s="209"/>
      <c r="V462" s="209"/>
      <c r="W462" s="209"/>
      <c r="X462" s="209"/>
      <c r="Y462" s="209"/>
      <c r="Z462" s="209"/>
      <c r="AA462" s="209"/>
      <c r="AB462" s="209"/>
      <c r="AC462" s="209"/>
      <c r="AD462" s="209"/>
      <c r="AE462" s="209"/>
    </row>
    <row r="463">
      <c r="A463" s="208" t="s">
        <v>2903</v>
      </c>
      <c r="B463" s="189" t="str">
        <f>IFERROR(__xludf.DUMMYFUNCTION("FILTER ('Research Papers'!D:D,'Research Papers'!A:A=C463)"),"HALO: Hierarchical Reinforcement Learning for Large-Scale Adaptive Traffic Signal Control")</f>
        <v>HALO: Hierarchical Reinforcement Learning for Large-Scale Adaptive Traffic Signal Control</v>
      </c>
      <c r="C463" s="189" t="s">
        <v>1020</v>
      </c>
      <c r="D463" s="209" t="str">
        <f t="shared" si="1"/>
        <v>HALO: Hierarchical Reinforcement Learning for Large-Scale Adaptive Traffic Signal Control
Yaqiao Zhu, Hongkai Wen, Geyong Min and Man Luo
</v>
      </c>
      <c r="E463" s="209" t="str">
        <f>IFERROR(__xludf.DUMMYFUNCTION("TEXTJOIN(CHAR(10), TRUE,FILTER('Research Papers'!$C:$C,'Research Papers'!$A:$A=C463))"),"Yaqiao Zhu, Hongkai Wen, Geyong Min and Man Luo")</f>
        <v>Yaqiao Zhu, Hongkai Wen, Geyong Min and Man Luo</v>
      </c>
      <c r="F463" s="209" t="str">
        <f>IFERROR(__xludf.DUMMYFUNCTION("TEXTJOIN(CHAR(10), TRUE,FILTER ('Sheridan Main'!E:E,'Sheridan Main'!B:B=C463))"),"m.luo@exeter.ac.uk")</f>
        <v>m.luo@exeter.ac.uk</v>
      </c>
      <c r="G463" s="210" t="str">
        <f>IFERROR(__xludf.DUMMYFUNCTION("CONCATENATE(""https://dl.acm.org/doi/"",INDEX(FILTER('Sheridan Main'!A:A,'Sheridan Main'!B:B=C463),1))"),"https://dl.acm.org/doi/10.1145/3774904.3792352")</f>
        <v>https://dl.acm.org/doi/10.1145/3774904.3792352</v>
      </c>
      <c r="H463" s="189" t="s">
        <v>205</v>
      </c>
      <c r="I463" s="209"/>
      <c r="J463" s="209"/>
      <c r="K463" s="147"/>
      <c r="L463" s="147"/>
      <c r="M463" s="209"/>
      <c r="N463" s="209"/>
      <c r="O463" s="209"/>
      <c r="P463" s="209"/>
      <c r="Q463" s="209"/>
      <c r="R463" s="209"/>
      <c r="S463" s="209"/>
      <c r="T463" s="209"/>
      <c r="U463" s="209"/>
      <c r="V463" s="209"/>
      <c r="W463" s="209"/>
      <c r="X463" s="209"/>
      <c r="Y463" s="209"/>
      <c r="Z463" s="209"/>
      <c r="AA463" s="209"/>
      <c r="AB463" s="209"/>
      <c r="AC463" s="209"/>
      <c r="AD463" s="209"/>
      <c r="AE463" s="209"/>
    </row>
    <row r="464">
      <c r="A464" s="208" t="s">
        <v>2903</v>
      </c>
      <c r="B464" s="189" t="str">
        <f>IFERROR(__xludf.DUMMYFUNCTION("FILTER ('Research Papers'!D:D,'Research Papers'!A:A=C464)"),"AgentSense: LLMs Empower Generalizable and Explainable Web-Based Participatory Urban Sensing")</f>
        <v>AgentSense: LLMs Empower Generalizable and Explainable Web-Based Participatory Urban Sensing</v>
      </c>
      <c r="C464" s="189" t="s">
        <v>1128</v>
      </c>
      <c r="D464" s="209" t="str">
        <f t="shared" si="1"/>
        <v>AgentSense: LLMs Empower Generalizable and Explainable Web-Based Participatory Urban Sensing
Xusen Guo, Mingxing Peng, Xixuan Hao, Xingchen Zou,
Qiongyan Wang, Sijie Ruan and Yuxuan Liang
</v>
      </c>
      <c r="E464" s="209" t="str">
        <f>IFERROR(__xludf.DUMMYFUNCTION("TEXTJOIN(CHAR(10), TRUE,FILTER('Research Papers'!$C:$C,'Research Papers'!$A:$A=C464))"),"Xusen Guo, Mingxing Peng, Xixuan Hao, Xingchen Zou,
Qiongyan Wang, Sijie Ruan and Yuxuan Liang")</f>
        <v>Xusen Guo, Mingxing Peng, Xixuan Hao, Xingchen Zou,
Qiongyan Wang, Sijie Ruan and Yuxuan Liang</v>
      </c>
      <c r="F464" s="209" t="str">
        <f>IFERROR(__xludf.DUMMYFUNCTION("TEXTJOIN(CHAR(10), TRUE,FILTER ('Sheridan Main'!E:E,'Sheridan Main'!B:B=C464))"),"yuxliang@outlook.com")</f>
        <v>yuxliang@outlook.com</v>
      </c>
      <c r="G464" s="210" t="str">
        <f>IFERROR(__xludf.DUMMYFUNCTION("CONCATENATE(""https://dl.acm.org/doi/"",INDEX(FILTER('Sheridan Main'!A:A,'Sheridan Main'!B:B=C464),1))"),"https://dl.acm.org/doi/10.1145/3774904.3792406")</f>
        <v>https://dl.acm.org/doi/10.1145/3774904.3792406</v>
      </c>
      <c r="H464" s="189" t="s">
        <v>205</v>
      </c>
      <c r="I464" s="209"/>
      <c r="J464" s="209"/>
      <c r="K464" s="147"/>
      <c r="L464" s="147"/>
      <c r="M464" s="209"/>
      <c r="N464" s="209"/>
      <c r="O464" s="209"/>
      <c r="P464" s="209"/>
      <c r="Q464" s="209"/>
      <c r="R464" s="209"/>
      <c r="S464" s="209"/>
      <c r="T464" s="209"/>
      <c r="U464" s="209"/>
      <c r="V464" s="209"/>
      <c r="W464" s="209"/>
      <c r="X464" s="209"/>
      <c r="Y464" s="209"/>
      <c r="Z464" s="209"/>
      <c r="AA464" s="209"/>
      <c r="AB464" s="209"/>
      <c r="AC464" s="209"/>
      <c r="AD464" s="209"/>
      <c r="AE464" s="209"/>
    </row>
    <row r="465">
      <c r="A465" s="208" t="s">
        <v>2903</v>
      </c>
      <c r="B465" s="189" t="str">
        <f>IFERROR(__xludf.DUMMYFUNCTION("FILTER ('Research Papers'!D:D,'Research Papers'!A:A=C465)"),"TRACE: Trajectory Recovery with State Propagation Diffusion for Urban Mobility")</f>
        <v>TRACE: Trajectory Recovery with State Propagation Diffusion for Urban Mobility</v>
      </c>
      <c r="C465" s="189" t="s">
        <v>1238</v>
      </c>
      <c r="D465" s="209" t="str">
        <f t="shared" si="1"/>
        <v>TRACE: Trajectory Recovery with State Propagation Diffusion for Urban Mobility
Jinming Wang, Hai Wang, Hongkai Wen, Geyong Min and Man Luo
</v>
      </c>
      <c r="E465" s="209" t="str">
        <f>IFERROR(__xludf.DUMMYFUNCTION("TEXTJOIN(CHAR(10), TRUE,FILTER('Research Papers'!$C:$C,'Research Papers'!$A:$A=C465))"),"Jinming Wang, Hai Wang, Hongkai Wen, Geyong Min and Man Luo")</f>
        <v>Jinming Wang, Hai Wang, Hongkai Wen, Geyong Min and Man Luo</v>
      </c>
      <c r="F465" s="209" t="str">
        <f>IFERROR(__xludf.DUMMYFUNCTION("TEXTJOIN(CHAR(10), TRUE,FILTER ('Sheridan Main'!E:E,'Sheridan Main'!B:B=C465))"),"m.luo@exeter.ac.uk")</f>
        <v>m.luo@exeter.ac.uk</v>
      </c>
      <c r="G465" s="210" t="str">
        <f>IFERROR(__xludf.DUMMYFUNCTION("CONCATENATE(""https://dl.acm.org/doi/"",INDEX(FILTER('Sheridan Main'!A:A,'Sheridan Main'!B:B=C465),1))"),"https://dl.acm.org/doi/10.1145/3774904.3792461")</f>
        <v>https://dl.acm.org/doi/10.1145/3774904.3792461</v>
      </c>
      <c r="H465" s="189" t="s">
        <v>205</v>
      </c>
      <c r="I465" s="209"/>
      <c r="J465" s="209"/>
      <c r="K465" s="147"/>
      <c r="L465" s="147"/>
      <c r="M465" s="209"/>
      <c r="N465" s="209"/>
      <c r="O465" s="209"/>
      <c r="P465" s="209"/>
      <c r="Q465" s="209"/>
      <c r="R465" s="209"/>
      <c r="S465" s="209"/>
      <c r="T465" s="209"/>
      <c r="U465" s="209"/>
      <c r="V465" s="209"/>
      <c r="W465" s="209"/>
      <c r="X465" s="209"/>
      <c r="Y465" s="209"/>
      <c r="Z465" s="209"/>
      <c r="AA465" s="209"/>
      <c r="AB465" s="209"/>
      <c r="AC465" s="209"/>
      <c r="AD465" s="209"/>
      <c r="AE465" s="209"/>
    </row>
    <row r="466">
      <c r="A466" s="208" t="s">
        <v>2903</v>
      </c>
      <c r="B466" s="189" t="str">
        <f>IFERROR(__xludf.DUMMYFUNCTION("FILTER ('Research Papers'!D:D,'Research Papers'!A:A=C466)"),"Smaller but Better: ​​Plasticity-Preserving Continual Learning for Embedded AI​")</f>
        <v>Smaller but Better: ​​Plasticity-Preserving Continual Learning for Embedded AI​</v>
      </c>
      <c r="C466" s="189" t="s">
        <v>462</v>
      </c>
      <c r="D466" s="209" t="str">
        <f t="shared" si="1"/>
        <v>Smaller but Better: ​​Plasticity-Preserving Continual Learning for Embedded AI​
Chenxin Mao, Haibo Liu, Zhenzhe Zheng, Fan Wu and Guihai
Chen
</v>
      </c>
      <c r="E466" s="209" t="str">
        <f>IFERROR(__xludf.DUMMYFUNCTION("TEXTJOIN(CHAR(10), TRUE,FILTER('Research Papers'!$C:$C,'Research Papers'!$A:$A=C466))"),"Chenxin Mao, Haibo Liu, Zhenzhe Zheng, Fan Wu and Guihai
Chen")</f>
        <v>Chenxin Mao, Haibo Liu, Zhenzhe Zheng, Fan Wu and Guihai
Chen</v>
      </c>
      <c r="F466" s="209" t="str">
        <f>IFERROR(__xludf.DUMMYFUNCTION("TEXTJOIN(CHAR(10), TRUE,FILTER ('Sheridan Main'!E:E,'Sheridan Main'!B:B=C466))"),"zhengzhenzhe@sjtu.edu.cn")</f>
        <v>zhengzhenzhe@sjtu.edu.cn</v>
      </c>
      <c r="G466" s="210" t="str">
        <f>IFERROR(__xludf.DUMMYFUNCTION("CONCATENATE(""https://dl.acm.org/doi/"",INDEX(FILTER('Sheridan Main'!A:A,'Sheridan Main'!B:B=C466),1))"),"https://dl.acm.org/doi/10.1145/3774904.3792073")</f>
        <v>https://dl.acm.org/doi/10.1145/3774904.3792073</v>
      </c>
      <c r="H466" s="189" t="s">
        <v>2854</v>
      </c>
      <c r="I466" s="189" t="s">
        <v>2904</v>
      </c>
      <c r="J466" s="209"/>
      <c r="K466" s="205" t="s">
        <v>2930</v>
      </c>
      <c r="L466" s="174">
        <f>COUNTIF(H:H,H466)</f>
        <v>36</v>
      </c>
      <c r="M466" s="209"/>
      <c r="N466" s="209"/>
      <c r="O466" s="209"/>
      <c r="P466" s="209"/>
      <c r="Q466" s="209"/>
      <c r="R466" s="209"/>
      <c r="S466" s="209"/>
      <c r="T466" s="209"/>
      <c r="U466" s="209"/>
      <c r="V466" s="209"/>
      <c r="W466" s="209"/>
      <c r="X466" s="209"/>
      <c r="Y466" s="209"/>
      <c r="Z466" s="209"/>
      <c r="AA466" s="209"/>
      <c r="AB466" s="209"/>
      <c r="AC466" s="209"/>
      <c r="AD466" s="209"/>
      <c r="AE466" s="209"/>
    </row>
    <row r="467">
      <c r="A467" s="208" t="s">
        <v>2903</v>
      </c>
      <c r="B467" s="189" t="str">
        <f>IFERROR(__xludf.DUMMYFUNCTION("FILTER ('Research Papers'!D:D,'Research Papers'!A:A=C467)"),"Macro-Micro Collaborative Learning for Logical Data Center Microservice Indicators Forecasting")</f>
        <v>Macro-Micro Collaborative Learning for Logical Data Center Microservice Indicators Forecasting</v>
      </c>
      <c r="C467" s="189" t="s">
        <v>566</v>
      </c>
      <c r="D467" s="209" t="str">
        <f t="shared" si="1"/>
        <v>Macro-Micro Collaborative Learning for Logical Data Center Microservice Indicators Forecasting
Mohan Gao, Zhemeng Yu, Yang Luo, Lintao Ma, Yinbo Sun,
Yuchen Fang and Xiaofeng Gao
</v>
      </c>
      <c r="E467" s="209" t="str">
        <f>IFERROR(__xludf.DUMMYFUNCTION("TEXTJOIN(CHAR(10), TRUE,FILTER('Research Papers'!$C:$C,'Research Papers'!$A:$A=C467))"),"Mohan Gao, Zhemeng Yu, Yang Luo, Lintao Ma, Yinbo Sun,
Yuchen Fang and Xiaofeng Gao")</f>
        <v>Mohan Gao, Zhemeng Yu, Yang Luo, Lintao Ma, Yinbo Sun,
Yuchen Fang and Xiaofeng Gao</v>
      </c>
      <c r="F467" s="209" t="str">
        <f>IFERROR(__xludf.DUMMYFUNCTION("TEXTJOIN(CHAR(10), TRUE,FILTER ('Sheridan Main'!E:E,'Sheridan Main'!B:B=C467))"),"gao-xf@cs.sjtu.edu.cn")</f>
        <v>gao-xf@cs.sjtu.edu.cn</v>
      </c>
      <c r="G467" s="210" t="str">
        <f>IFERROR(__xludf.DUMMYFUNCTION("CONCATENATE(""https://dl.acm.org/doi/"",INDEX(FILTER('Sheridan Main'!A:A,'Sheridan Main'!B:B=C467),1))"),"https://dl.acm.org/doi/10.1145/3774904.3792125")</f>
        <v>https://dl.acm.org/doi/10.1145/3774904.3792125</v>
      </c>
      <c r="H467" s="189" t="s">
        <v>2854</v>
      </c>
      <c r="I467" s="189" t="s">
        <v>2904</v>
      </c>
      <c r="J467" s="209"/>
      <c r="K467" s="147"/>
      <c r="L467" s="147"/>
      <c r="M467" s="209"/>
      <c r="N467" s="209"/>
      <c r="O467" s="209"/>
      <c r="P467" s="209"/>
      <c r="Q467" s="209"/>
      <c r="R467" s="209"/>
      <c r="S467" s="209"/>
      <c r="T467" s="209"/>
      <c r="U467" s="209"/>
      <c r="V467" s="209"/>
      <c r="W467" s="209"/>
      <c r="X467" s="209"/>
      <c r="Y467" s="209"/>
      <c r="Z467" s="209"/>
      <c r="AA467" s="209"/>
      <c r="AB467" s="209"/>
      <c r="AC467" s="209"/>
      <c r="AD467" s="209"/>
      <c r="AE467" s="209"/>
    </row>
    <row r="468">
      <c r="A468" s="208" t="s">
        <v>2903</v>
      </c>
      <c r="B468" s="189" t="str">
        <f>IFERROR(__xludf.DUMMYFUNCTION("FILTER ('Research Papers'!D:D,'Research Papers'!A:A=C468)"),"Task-Aware Cloud-End Offloading for Vision-Language Model Serving via Dynamic Modality-Specific Adapter Scheduling")</f>
        <v>Task-Aware Cloud-End Offloading for Vision-Language Model Serving via Dynamic Modality-Specific Adapter Scheduling</v>
      </c>
      <c r="C468" s="189" t="s">
        <v>570</v>
      </c>
      <c r="D468" s="209" t="str">
        <f t="shared" si="1"/>
        <v>Task-Aware Cloud-End Offloading for Vision-Language Model Serving via Dynamic Modality-Specific Adapter Scheduling
Zian Wang, Ziyi Wang, Jie Xing, Yaya Wei, Ziyan Zhong and
Lanshan Zhang
</v>
      </c>
      <c r="E468" s="209" t="str">
        <f>IFERROR(__xludf.DUMMYFUNCTION("TEXTJOIN(CHAR(10), TRUE,FILTER('Research Papers'!$C:$C,'Research Papers'!$A:$A=C468))"),"Zian Wang, Ziyi Wang, Jie Xing, Yaya Wei, Ziyan Zhong and
Lanshan Zhang")</f>
        <v>Zian Wang, Ziyi Wang, Jie Xing, Yaya Wei, Ziyan Zhong and
Lanshan Zhang</v>
      </c>
      <c r="F468" s="209" t="str">
        <f>IFERROR(__xludf.DUMMYFUNCTION("TEXTJOIN(CHAR(10), TRUE,FILTER ('Sheridan Main'!E:E,'Sheridan Main'!B:B=C468))"),"zls326@sina.com")</f>
        <v>zls326@sina.com</v>
      </c>
      <c r="G468" s="210" t="str">
        <f>IFERROR(__xludf.DUMMYFUNCTION("CONCATENATE(""https://dl.acm.org/doi/"",INDEX(FILTER('Sheridan Main'!A:A,'Sheridan Main'!B:B=C468),1))"),"https://dl.acm.org/doi/10.1145/3774904.3792127")</f>
        <v>https://dl.acm.org/doi/10.1145/3774904.3792127</v>
      </c>
      <c r="H468" s="189" t="s">
        <v>2854</v>
      </c>
      <c r="I468" s="189" t="s">
        <v>2904</v>
      </c>
      <c r="J468" s="209"/>
      <c r="K468" s="147"/>
      <c r="L468" s="147"/>
      <c r="M468" s="209"/>
      <c r="N468" s="209"/>
      <c r="O468" s="209"/>
      <c r="P468" s="209"/>
      <c r="Q468" s="209"/>
      <c r="R468" s="209"/>
      <c r="S468" s="209"/>
      <c r="T468" s="209"/>
      <c r="U468" s="209"/>
      <c r="V468" s="209"/>
      <c r="W468" s="209"/>
      <c r="X468" s="209"/>
      <c r="Y468" s="209"/>
      <c r="Z468" s="209"/>
      <c r="AA468" s="209"/>
      <c r="AB468" s="209"/>
      <c r="AC468" s="209"/>
      <c r="AD468" s="209"/>
      <c r="AE468" s="209"/>
    </row>
    <row r="469">
      <c r="A469" s="208" t="s">
        <v>2903</v>
      </c>
      <c r="B469" s="189" t="str">
        <f>IFERROR(__xludf.DUMMYFUNCTION("FILTER ('Research Papers'!D:D,'Research Papers'!A:A=C469)"),"SkyCL: Swift Continuous Learning with Kinship-Awareness for Multi-Drone Video Analytics under Drastic Drift")</f>
        <v>SkyCL: Swift Continuous Learning with Kinship-Awareness for Multi-Drone Video Analytics under Drastic Drift</v>
      </c>
      <c r="C469" s="189" t="s">
        <v>578</v>
      </c>
      <c r="D469" s="209" t="str">
        <f t="shared" si="1"/>
        <v>SkyCL: Swift Continuous Learning with Kinship-Awareness for Multi-Drone Video Analytics under Drastic Drift
Yuanzheng Tan, Qing Li, Jiaqi Cui, Jun Peng, Gareth Tyson,
Zhenhui Yuan, Tingting Yang and Yong Jiang
</v>
      </c>
      <c r="E469" s="209" t="str">
        <f>IFERROR(__xludf.DUMMYFUNCTION("TEXTJOIN(CHAR(10), TRUE,FILTER('Research Papers'!$C:$C,'Research Papers'!$A:$A=C469))"),"Yuanzheng Tan, Qing Li, Jiaqi Cui, Jun Peng, Gareth Tyson,
Zhenhui Yuan, Tingting Yang and Yong Jiang")</f>
        <v>Yuanzheng Tan, Qing Li, Jiaqi Cui, Jun Peng, Gareth Tyson,
Zhenhui Yuan, Tingting Yang and Yong Jiang</v>
      </c>
      <c r="F469" s="209" t="str">
        <f>IFERROR(__xludf.DUMMYFUNCTION("TEXTJOIN(CHAR(10), TRUE,FILTER ('Sheridan Main'!E:E,'Sheridan Main'!B:B=C469))"),"liq@pcl.ac.cn")</f>
        <v>liq@pcl.ac.cn</v>
      </c>
      <c r="G469" s="210" t="str">
        <f>IFERROR(__xludf.DUMMYFUNCTION("CONCATENATE(""https://dl.acm.org/doi/"",INDEX(FILTER('Sheridan Main'!A:A,'Sheridan Main'!B:B=C469),1))"),"https://dl.acm.org/doi/10.1145/3774904.3792131")</f>
        <v>https://dl.acm.org/doi/10.1145/3774904.3792131</v>
      </c>
      <c r="H469" s="189" t="s">
        <v>2854</v>
      </c>
      <c r="I469" s="189" t="s">
        <v>2904</v>
      </c>
      <c r="J469" s="209"/>
      <c r="K469" s="147"/>
      <c r="L469" s="147"/>
      <c r="M469" s="209"/>
      <c r="N469" s="209"/>
      <c r="O469" s="209"/>
      <c r="P469" s="209"/>
      <c r="Q469" s="209"/>
      <c r="R469" s="209"/>
      <c r="S469" s="209"/>
      <c r="T469" s="209"/>
      <c r="U469" s="209"/>
      <c r="V469" s="209"/>
      <c r="W469" s="209"/>
      <c r="X469" s="209"/>
      <c r="Y469" s="209"/>
      <c r="Z469" s="209"/>
      <c r="AA469" s="209"/>
      <c r="AB469" s="209"/>
      <c r="AC469" s="209"/>
      <c r="AD469" s="209"/>
      <c r="AE469" s="209"/>
    </row>
    <row r="470">
      <c r="A470" s="208" t="s">
        <v>2903</v>
      </c>
      <c r="B470" s="189" t="str">
        <f>IFERROR(__xludf.DUMMYFUNCTION("FILTER ('Research Papers'!D:D,'Research Papers'!A:A=C470)"),"Meteor: High-Performance Control Message Delivery for Large-Scale Clouds")</f>
        <v>Meteor: High-Performance Control Message Delivery for Large-Scale Clouds</v>
      </c>
      <c r="C470" s="189" t="s">
        <v>586</v>
      </c>
      <c r="D470" s="209" t="str">
        <f t="shared" si="1"/>
        <v>Meteor: High-Performance Control Message Delivery for Large-Scale Clouds
Gongming Zhao, Baoqing Wang, Min Chen, Hongli Xu, Jiawei
Liu, Xuwei Yang, Liguang Xie, Yongqiang Yang and Ying Xiong
</v>
      </c>
      <c r="E470" s="209" t="str">
        <f>IFERROR(__xludf.DUMMYFUNCTION("TEXTJOIN(CHAR(10), TRUE,FILTER('Research Papers'!$C:$C,'Research Papers'!$A:$A=C470))"),"Gongming Zhao, Baoqing Wang, Min Chen, Hongli Xu, Jiawei
Liu, Xuwei Yang, Liguang Xie, Yongqiang Yang and Ying Xiong")</f>
        <v>Gongming Zhao, Baoqing Wang, Min Chen, Hongli Xu, Jiawei
Liu, Xuwei Yang, Liguang Xie, Yongqiang Yang and Ying Xiong</v>
      </c>
      <c r="F470" s="209" t="str">
        <f>IFERROR(__xludf.DUMMYFUNCTION("TEXTJOIN(CHAR(10), TRUE,FILTER ('Sheridan Main'!E:E,'Sheridan Main'!B:B=C470))"),"xuhongli@ustc.edu.cn")</f>
        <v>xuhongli@ustc.edu.cn</v>
      </c>
      <c r="G470" s="210" t="str">
        <f>IFERROR(__xludf.DUMMYFUNCTION("CONCATENATE(""https://dl.acm.org/doi/"",INDEX(FILTER('Sheridan Main'!A:A,'Sheridan Main'!B:B=C470),1))"),"https://dl.acm.org/doi/10.1145/3774904.3792135")</f>
        <v>https://dl.acm.org/doi/10.1145/3774904.3792135</v>
      </c>
      <c r="H470" s="189" t="s">
        <v>2854</v>
      </c>
      <c r="I470" s="189" t="s">
        <v>2904</v>
      </c>
      <c r="J470" s="209"/>
      <c r="K470" s="147"/>
      <c r="L470" s="147"/>
      <c r="M470" s="209"/>
      <c r="N470" s="209"/>
      <c r="O470" s="209"/>
      <c r="P470" s="209"/>
      <c r="Q470" s="209"/>
      <c r="R470" s="209"/>
      <c r="S470" s="209"/>
      <c r="T470" s="209"/>
      <c r="U470" s="209"/>
      <c r="V470" s="209"/>
      <c r="W470" s="209"/>
      <c r="X470" s="209"/>
      <c r="Y470" s="209"/>
      <c r="Z470" s="209"/>
      <c r="AA470" s="209"/>
      <c r="AB470" s="209"/>
      <c r="AC470" s="209"/>
      <c r="AD470" s="209"/>
      <c r="AE470" s="209"/>
    </row>
    <row r="471">
      <c r="A471" s="208" t="s">
        <v>2903</v>
      </c>
      <c r="B471" s="189" t="str">
        <f>IFERROR(__xludf.DUMMYFUNCTION("FILTER ('Research Papers'!D:D,'Research Papers'!A:A=C471)"),"MASI: Memory-Adaptive Inference Framework for Spiking Neural Networks on Edge Devices")</f>
        <v>MASI: Memory-Adaptive Inference Framework for Spiking Neural Networks on Edge Devices</v>
      </c>
      <c r="C471" s="189" t="s">
        <v>588</v>
      </c>
      <c r="D471" s="209" t="str">
        <f t="shared" si="1"/>
        <v>MASI: Memory-Adaptive Inference Framework for Spiking Neural Networks on Edge Devices
Di Yu, Helin Zheng, Changze Lv, Xin Du, Linshan Jiang,
Xiang Liu, Gang Pan and Shuiguang Deng
</v>
      </c>
      <c r="E471" s="209" t="str">
        <f>IFERROR(__xludf.DUMMYFUNCTION("TEXTJOIN(CHAR(10), TRUE,FILTER('Research Papers'!$C:$C,'Research Papers'!$A:$A=C471))"),"Di Yu, Helin Zheng, Changze Lv, Xin Du, Linshan Jiang,
Xiang Liu, Gang Pan and Shuiguang Deng")</f>
        <v>Di Yu, Helin Zheng, Changze Lv, Xin Du, Linshan Jiang,
Xiang Liu, Gang Pan and Shuiguang Deng</v>
      </c>
      <c r="F471" s="209" t="str">
        <f>IFERROR(__xludf.DUMMYFUNCTION("TEXTJOIN(CHAR(10), TRUE,FILTER ('Sheridan Main'!E:E,'Sheridan Main'!B:B=C471))"),"xindu@zju.edu.cn")</f>
        <v>xindu@zju.edu.cn</v>
      </c>
      <c r="G471" s="210" t="str">
        <f>IFERROR(__xludf.DUMMYFUNCTION("CONCATENATE(""https://dl.acm.org/doi/"",INDEX(FILTER('Sheridan Main'!A:A,'Sheridan Main'!B:B=C471),1))"),"https://dl.acm.org/doi/10.1145/3774904.3792136")</f>
        <v>https://dl.acm.org/doi/10.1145/3774904.3792136</v>
      </c>
      <c r="H471" s="189" t="s">
        <v>2854</v>
      </c>
      <c r="I471" s="189" t="s">
        <v>2904</v>
      </c>
      <c r="J471" s="209"/>
      <c r="K471" s="147"/>
      <c r="L471" s="147"/>
      <c r="M471" s="209"/>
      <c r="N471" s="209"/>
      <c r="O471" s="209"/>
      <c r="P471" s="209"/>
      <c r="Q471" s="209"/>
      <c r="R471" s="209"/>
      <c r="S471" s="209"/>
      <c r="T471" s="209"/>
      <c r="U471" s="209"/>
      <c r="V471" s="209"/>
      <c r="W471" s="209"/>
      <c r="X471" s="209"/>
      <c r="Y471" s="209"/>
      <c r="Z471" s="209"/>
      <c r="AA471" s="209"/>
      <c r="AB471" s="209"/>
      <c r="AC471" s="209"/>
      <c r="AD471" s="209"/>
      <c r="AE471" s="209"/>
    </row>
    <row r="472">
      <c r="A472" s="208" t="s">
        <v>2903</v>
      </c>
      <c r="B472" s="189" t="str">
        <f>IFERROR(__xludf.DUMMYFUNCTION("FILTER ('Research Papers'!D:D,'Research Papers'!A:A=C472)"),"FedRGL: Federated Riemannian Graph Learning in Mixed-Curvature Spaces with Ricci-Gated Convolution")</f>
        <v>FedRGL: Federated Riemannian Graph Learning in Mixed-Curvature Spaces with Ricci-Gated Convolution</v>
      </c>
      <c r="C472" s="189" t="s">
        <v>600</v>
      </c>
      <c r="D472" s="209" t="str">
        <f t="shared" si="1"/>
        <v>FedRGL: Federated Riemannian Graph Learning in Mixed-Curvature Spaces with Ricci-Gated Convolution
Haizhou Du, Haolin Wu, Zijie Zhu and Zicheng Shi
</v>
      </c>
      <c r="E472" s="209" t="str">
        <f>IFERROR(__xludf.DUMMYFUNCTION("TEXTJOIN(CHAR(10), TRUE,FILTER('Research Papers'!$C:$C,'Research Papers'!$A:$A=C472))"),"Haizhou Du, Haolin Wu, Zijie Zhu and Zicheng Shi")</f>
        <v>Haizhou Du, Haolin Wu, Zijie Zhu and Zicheng Shi</v>
      </c>
      <c r="F472" s="209" t="str">
        <f>IFERROR(__xludf.DUMMYFUNCTION("TEXTJOIN(CHAR(10), TRUE,FILTER ('Sheridan Main'!E:E,'Sheridan Main'!B:B=C472))"),"duhaizhou@shiep.edu.cn")</f>
        <v>duhaizhou@shiep.edu.cn</v>
      </c>
      <c r="G472" s="210" t="str">
        <f>IFERROR(__xludf.DUMMYFUNCTION("CONCATENATE(""https://dl.acm.org/doi/"",INDEX(FILTER('Sheridan Main'!A:A,'Sheridan Main'!B:B=C472),1))"),"https://dl.acm.org/doi/10.1145/3774904.3792142")</f>
        <v>https://dl.acm.org/doi/10.1145/3774904.3792142</v>
      </c>
      <c r="H472" s="189" t="s">
        <v>2854</v>
      </c>
      <c r="I472" s="189" t="s">
        <v>2904</v>
      </c>
      <c r="J472" s="209"/>
      <c r="K472" s="147"/>
      <c r="L472" s="147"/>
      <c r="M472" s="209"/>
      <c r="N472" s="209"/>
      <c r="O472" s="209"/>
      <c r="P472" s="209"/>
      <c r="Q472" s="209"/>
      <c r="R472" s="209"/>
      <c r="S472" s="209"/>
      <c r="T472" s="209"/>
      <c r="U472" s="209"/>
      <c r="V472" s="209"/>
      <c r="W472" s="209"/>
      <c r="X472" s="209"/>
      <c r="Y472" s="209"/>
      <c r="Z472" s="209"/>
      <c r="AA472" s="209"/>
      <c r="AB472" s="209"/>
      <c r="AC472" s="209"/>
      <c r="AD472" s="209"/>
      <c r="AE472" s="209"/>
    </row>
    <row r="473">
      <c r="A473" s="208" t="s">
        <v>2903</v>
      </c>
      <c r="B473" s="189" t="str">
        <f>IFERROR(__xludf.DUMMYFUNCTION("FILTER ('Research Papers'!D:D,'Research Papers'!A:A=C473)"),"MoE-LC: General-Purpose Lossless Compression for Multi-modal Data via Entropy-Aware Multi-Experts")</f>
        <v>MoE-LC: General-Purpose Lossless Compression for Multi-modal Data via Entropy-Aware Multi-Experts</v>
      </c>
      <c r="C473" s="189" t="s">
        <v>616</v>
      </c>
      <c r="D473" s="209" t="str">
        <f t="shared" si="1"/>
        <v>MoE-LC: General-Purpose Lossless Compression for Multi-modal Data via Entropy-Aware Multi-Experts
Zeyi Lu, Xiaoxiao Ma, Yujun Huang, Minxiao Chen, Bin Chen
and Shu-Tao Xia
</v>
      </c>
      <c r="E473" s="209" t="str">
        <f>IFERROR(__xludf.DUMMYFUNCTION("TEXTJOIN(CHAR(10), TRUE,FILTER('Research Papers'!$C:$C,'Research Papers'!$A:$A=C473))"),"Zeyi Lu, Xiaoxiao Ma, Yujun Huang, Minxiao Chen, Bin Chen
and Shu-Tao Xia")</f>
        <v>Zeyi Lu, Xiaoxiao Ma, Yujun Huang, Minxiao Chen, Bin Chen
and Shu-Tao Xia</v>
      </c>
      <c r="F473" s="209" t="str">
        <f>IFERROR(__xludf.DUMMYFUNCTION("TEXTJOIN(CHAR(10), TRUE,FILTER ('Sheridan Main'!E:E,'Sheridan Main'!B:B=C473))"),"luzy23@mails.tsinghua.edu.cn")</f>
        <v>luzy23@mails.tsinghua.edu.cn</v>
      </c>
      <c r="G473" s="210" t="str">
        <f>IFERROR(__xludf.DUMMYFUNCTION("CONCATENATE(""https://dl.acm.org/doi/"",INDEX(FILTER('Sheridan Main'!A:A,'Sheridan Main'!B:B=C473),1))"),"https://dl.acm.org/doi/10.1145/3774904.3792150")</f>
        <v>https://dl.acm.org/doi/10.1145/3774904.3792150</v>
      </c>
      <c r="H473" s="189" t="s">
        <v>2854</v>
      </c>
      <c r="I473" s="189" t="s">
        <v>2904</v>
      </c>
      <c r="J473" s="209"/>
      <c r="K473" s="147"/>
      <c r="L473" s="147"/>
      <c r="M473" s="209"/>
      <c r="N473" s="209"/>
      <c r="O473" s="209"/>
      <c r="P473" s="209"/>
      <c r="Q473" s="209"/>
      <c r="R473" s="209"/>
      <c r="S473" s="209"/>
      <c r="T473" s="209"/>
      <c r="U473" s="209"/>
      <c r="V473" s="209"/>
      <c r="W473" s="209"/>
      <c r="X473" s="209"/>
      <c r="Y473" s="209"/>
      <c r="Z473" s="209"/>
      <c r="AA473" s="209"/>
      <c r="AB473" s="209"/>
      <c r="AC473" s="209"/>
      <c r="AD473" s="209"/>
      <c r="AE473" s="209"/>
    </row>
    <row r="474">
      <c r="A474" s="208" t="s">
        <v>2903</v>
      </c>
      <c r="B474" s="189" t="str">
        <f>IFERROR(__xludf.DUMMYFUNCTION("FILTER ('Research Papers'!D:D,'Research Papers'!A:A=C474)"),"TraceLLM: Evaluating and Exploring Large Language Models on Trace Analysis in Microservice-based Web Applications")</f>
        <v>TraceLLM: Evaluating and Exploring Large Language Models on Trace Analysis in Microservice-based Web Applications</v>
      </c>
      <c r="C474" s="189" t="s">
        <v>644</v>
      </c>
      <c r="D474" s="209" t="str">
        <f t="shared" si="1"/>
        <v>TraceLLM: Evaluating and Exploring Large Language Models on Trace Analysis in Microservice-based Web Applications
Tong Zhou, Xin Peng, Jie Zhang, Chaofeng Sha, Chenxi Zhang,
Zicheng Yuan and Senyu Xie
</v>
      </c>
      <c r="E474" s="209" t="str">
        <f>IFERROR(__xludf.DUMMYFUNCTION("TEXTJOIN(CHAR(10), TRUE,FILTER('Research Papers'!$C:$C,'Research Papers'!$A:$A=C474))"),"Tong Zhou, Xin Peng, Jie Zhang, Chaofeng Sha, Chenxi Zhang,
Zicheng Yuan and Senyu Xie")</f>
        <v>Tong Zhou, Xin Peng, Jie Zhang, Chaofeng Sha, Chenxi Zhang,
Zicheng Yuan and Senyu Xie</v>
      </c>
      <c r="F474" s="209" t="str">
        <f>IFERROR(__xludf.DUMMYFUNCTION("TEXTJOIN(CHAR(10), TRUE,FILTER ('Sheridan Main'!E:E,'Sheridan Main'!B:B=C474))"),"cxzhang20@fudan.edu.cn")</f>
        <v>cxzhang20@fudan.edu.cn</v>
      </c>
      <c r="G474" s="210" t="str">
        <f>IFERROR(__xludf.DUMMYFUNCTION("CONCATENATE(""https://dl.acm.org/doi/"",INDEX(FILTER('Sheridan Main'!A:A,'Sheridan Main'!B:B=C474),1))"),"https://dl.acm.org/doi/10.1145/3774904.3792164")</f>
        <v>https://dl.acm.org/doi/10.1145/3774904.3792164</v>
      </c>
      <c r="H474" s="189" t="s">
        <v>2854</v>
      </c>
      <c r="I474" s="189" t="s">
        <v>120</v>
      </c>
      <c r="J474" s="209"/>
      <c r="K474" s="147"/>
      <c r="L474" s="147"/>
      <c r="M474" s="209"/>
      <c r="N474" s="209"/>
      <c r="O474" s="209"/>
      <c r="P474" s="209"/>
      <c r="Q474" s="209"/>
      <c r="R474" s="209"/>
      <c r="S474" s="209"/>
      <c r="T474" s="209"/>
      <c r="U474" s="209"/>
      <c r="V474" s="209"/>
      <c r="W474" s="209"/>
      <c r="X474" s="209"/>
      <c r="Y474" s="209"/>
      <c r="Z474" s="209"/>
      <c r="AA474" s="209"/>
      <c r="AB474" s="209"/>
      <c r="AC474" s="209"/>
      <c r="AD474" s="209"/>
      <c r="AE474" s="209"/>
    </row>
    <row r="475">
      <c r="A475" s="208" t="s">
        <v>2903</v>
      </c>
      <c r="B475" s="189" t="str">
        <f>IFERROR(__xludf.DUMMYFUNCTION("FILTER ('Research Papers'!D:D,'Research Papers'!A:A=C475)"),"Broken Promise: Differential Analysis of Functional Discrepancies Between WebAssembly and Native Binaries")</f>
        <v>Broken Promise: Differential Analysis of Functional Discrepancies Between WebAssembly and Native Binaries</v>
      </c>
      <c r="C475" s="189" t="s">
        <v>702</v>
      </c>
      <c r="D475" s="209" t="str">
        <f t="shared" si="1"/>
        <v>Broken Promise: Differential Analysis of Functional Discrepancies Between WebAssembly and Native Binaries
Xiao Wu, Alan Romano, Liyan Huang, Qiwen Yan, Cai Fu and
Weihang Wang
</v>
      </c>
      <c r="E475" s="209" t="str">
        <f>IFERROR(__xludf.DUMMYFUNCTION("TEXTJOIN(CHAR(10), TRUE,FILTER('Research Papers'!$C:$C,'Research Papers'!$A:$A=C475))"),"Xiao Wu, Alan Romano, Liyan Huang, Qiwen Yan, Cai Fu and
Weihang Wang")</f>
        <v>Xiao Wu, Alan Romano, Liyan Huang, Qiwen Yan, Cai Fu and
Weihang Wang</v>
      </c>
      <c r="F475" s="209" t="str">
        <f>IFERROR(__xludf.DUMMYFUNCTION("TEXTJOIN(CHAR(10), TRUE,FILTER ('Sheridan Main'!E:E,'Sheridan Main'!B:B=C475))"),"weihangw@usc.edu")</f>
        <v>weihangw@usc.edu</v>
      </c>
      <c r="G475" s="210" t="str">
        <f>IFERROR(__xludf.DUMMYFUNCTION("CONCATENATE(""https://dl.acm.org/doi/"",INDEX(FILTER('Sheridan Main'!A:A,'Sheridan Main'!B:B=C475),1))"),"https://dl.acm.org/doi/10.1145/3774904.3792193")</f>
        <v>https://dl.acm.org/doi/10.1145/3774904.3792193</v>
      </c>
      <c r="H475" s="189" t="s">
        <v>2854</v>
      </c>
      <c r="I475" s="189" t="s">
        <v>120</v>
      </c>
      <c r="J475" s="209"/>
      <c r="K475" s="147"/>
      <c r="L475" s="147"/>
      <c r="M475" s="209"/>
      <c r="N475" s="209"/>
      <c r="O475" s="209"/>
      <c r="P475" s="209"/>
      <c r="Q475" s="209"/>
      <c r="R475" s="209"/>
      <c r="S475" s="209"/>
      <c r="T475" s="209"/>
      <c r="U475" s="209"/>
      <c r="V475" s="209"/>
      <c r="W475" s="209"/>
      <c r="X475" s="209"/>
      <c r="Y475" s="209"/>
      <c r="Z475" s="209"/>
      <c r="AA475" s="209"/>
      <c r="AB475" s="209"/>
      <c r="AC475" s="209"/>
      <c r="AD475" s="209"/>
      <c r="AE475" s="209"/>
    </row>
    <row r="476">
      <c r="A476" s="208" t="s">
        <v>2903</v>
      </c>
      <c r="B476" s="189" t="str">
        <f>IFERROR(__xludf.DUMMYFUNCTION("FILTER ('Research Papers'!D:D,'Research Papers'!A:A=C476)"),"Self-Speculative Decoding for On-device MoE Acceleration")</f>
        <v>Self-Speculative Decoding for On-device MoE Acceleration</v>
      </c>
      <c r="C476" s="189" t="s">
        <v>752</v>
      </c>
      <c r="D476" s="209" t="str">
        <f t="shared" si="1"/>
        <v>Self-Speculative Decoding for On-device MoE Acceleration
Peirong Zheng, Wenchao Xu and Haozhao Wang
</v>
      </c>
      <c r="E476" s="209" t="str">
        <f>IFERROR(__xludf.DUMMYFUNCTION("TEXTJOIN(CHAR(10), TRUE,FILTER('Research Papers'!$C:$C,'Research Papers'!$A:$A=C476))"),"Peirong Zheng, Wenchao Xu and Haozhao Wang")</f>
        <v>Peirong Zheng, Wenchao Xu and Haozhao Wang</v>
      </c>
      <c r="F476" s="209" t="str">
        <f>IFERROR(__xludf.DUMMYFUNCTION("TEXTJOIN(CHAR(10), TRUE,FILTER ('Sheridan Main'!E:E,'Sheridan Main'!B:B=C476))"),"wenchaoxu@ust.hk")</f>
        <v>wenchaoxu@ust.hk</v>
      </c>
      <c r="G476" s="210" t="str">
        <f>IFERROR(__xludf.DUMMYFUNCTION("CONCATENATE(""https://dl.acm.org/doi/"",INDEX(FILTER('Sheridan Main'!A:A,'Sheridan Main'!B:B=C476),1))"),"https://dl.acm.org/doi/10.1145/3774904.3792218")</f>
        <v>https://dl.acm.org/doi/10.1145/3774904.3792218</v>
      </c>
      <c r="H476" s="189" t="s">
        <v>2854</v>
      </c>
      <c r="I476" s="189" t="s">
        <v>120</v>
      </c>
      <c r="J476" s="209"/>
      <c r="K476" s="147"/>
      <c r="L476" s="147"/>
      <c r="M476" s="209"/>
      <c r="N476" s="209"/>
      <c r="O476" s="209"/>
      <c r="P476" s="209"/>
      <c r="Q476" s="209"/>
      <c r="R476" s="209"/>
      <c r="S476" s="209"/>
      <c r="T476" s="209"/>
      <c r="U476" s="209"/>
      <c r="V476" s="209"/>
      <c r="W476" s="209"/>
      <c r="X476" s="209"/>
      <c r="Y476" s="209"/>
      <c r="Z476" s="209"/>
      <c r="AA476" s="209"/>
      <c r="AB476" s="209"/>
      <c r="AC476" s="209"/>
      <c r="AD476" s="209"/>
      <c r="AE476" s="209"/>
    </row>
    <row r="477">
      <c r="A477" s="208" t="s">
        <v>2903</v>
      </c>
      <c r="B477" s="189" t="str">
        <f>IFERROR(__xludf.DUMMYFUNCTION("FILTER ('Research Papers'!D:D,'Research Papers'!A:A=C477)"),"HeteroSim: Towards High-Fidelity Heterogeneous LLM Training Simulation on GPUs")</f>
        <v>HeteroSim: Towards High-Fidelity Heterogeneous LLM Training Simulation on GPUs</v>
      </c>
      <c r="C477" s="189" t="s">
        <v>824</v>
      </c>
      <c r="D477" s="209" t="str">
        <f t="shared" si="1"/>
        <v>HeteroSim: Towards High-Fidelity Heterogeneous LLM Training Simulation on GPUs
Xiaofei Yue, Fangming Zhao, Fulun Ye, Jiongchi Yu, Zhaoxuan
Li, Tingting Li, Ziming Zhao and Jianwei Yin
</v>
      </c>
      <c r="E477" s="209" t="str">
        <f>IFERROR(__xludf.DUMMYFUNCTION("TEXTJOIN(CHAR(10), TRUE,FILTER('Research Papers'!$C:$C,'Research Papers'!$A:$A=C477))"),"Xiaofei Yue, Fangming Zhao, Fulun Ye, Jiongchi Yu, Zhaoxuan
Li, Tingting Li, Ziming Zhao and Jianwei Yin")</f>
        <v>Xiaofei Yue, Fangming Zhao, Fulun Ye, Jiongchi Yu, Zhaoxuan
Li, Tingting Li, Ziming Zhao and Jianwei Yin</v>
      </c>
      <c r="F477" s="209" t="str">
        <f>IFERROR(__xludf.DUMMYFUNCTION("TEXTJOIN(CHAR(10), TRUE,FILTER ('Sheridan Main'!E:E,'Sheridan Main'!B:B=C477))"),"lizhaoxuan@iie.ac.cn")</f>
        <v>lizhaoxuan@iie.ac.cn</v>
      </c>
      <c r="G477" s="210" t="str">
        <f>IFERROR(__xludf.DUMMYFUNCTION("CONCATENATE(""https://dl.acm.org/doi/"",INDEX(FILTER('Sheridan Main'!A:A,'Sheridan Main'!B:B=C477),1))"),"https://dl.acm.org/doi/10.1145/3774904.3792254")</f>
        <v>https://dl.acm.org/doi/10.1145/3774904.3792254</v>
      </c>
      <c r="H477" s="189" t="s">
        <v>2854</v>
      </c>
      <c r="I477" s="189" t="s">
        <v>120</v>
      </c>
      <c r="J477" s="209"/>
      <c r="K477" s="147"/>
      <c r="L477" s="147"/>
      <c r="M477" s="209"/>
      <c r="N477" s="209"/>
      <c r="O477" s="209"/>
      <c r="P477" s="209"/>
      <c r="Q477" s="209"/>
      <c r="R477" s="209"/>
      <c r="S477" s="209"/>
      <c r="T477" s="209"/>
      <c r="U477" s="209"/>
      <c r="V477" s="209"/>
      <c r="W477" s="209"/>
      <c r="X477" s="209"/>
      <c r="Y477" s="209"/>
      <c r="Z477" s="209"/>
      <c r="AA477" s="209"/>
      <c r="AB477" s="209"/>
      <c r="AC477" s="209"/>
      <c r="AD477" s="209"/>
      <c r="AE477" s="209"/>
    </row>
    <row r="478">
      <c r="A478" s="208" t="s">
        <v>2903</v>
      </c>
      <c r="B478" s="189" t="str">
        <f>IFERROR(__xludf.DUMMYFUNCTION("FILTER ('Research Papers'!D:D,'Research Papers'!A:A=C478)"),"Curiosity Driven Knowledge Retrieval for Mobile Agents")</f>
        <v>Curiosity Driven Knowledge Retrieval for Mobile Agents</v>
      </c>
      <c r="C478" s="189" t="s">
        <v>830</v>
      </c>
      <c r="D478" s="209" t="str">
        <f t="shared" si="1"/>
        <v>Curiosity Driven Knowledge Retrieval for Mobile Agents
Sijia Li, Xiaoyu Tan, Shahir Ali, Niels Schmidt, Gengchen
Ma and Xihe Qiu
</v>
      </c>
      <c r="E478" s="209" t="str">
        <f>IFERROR(__xludf.DUMMYFUNCTION("TEXTJOIN(CHAR(10), TRUE,FILTER('Research Papers'!$C:$C,'Research Papers'!$A:$A=C478))"),"Sijia Li, Xiaoyu Tan, Shahir Ali, Niels Schmidt, Gengchen
Ma and Xihe Qiu")</f>
        <v>Sijia Li, Xiaoyu Tan, Shahir Ali, Niels Schmidt, Gengchen
Ma and Xihe Qiu</v>
      </c>
      <c r="F478" s="209" t="str">
        <f>IFERROR(__xludf.DUMMYFUNCTION("TEXTJOIN(CHAR(10), TRUE,FILTER ('Sheridan Main'!E:E,'Sheridan Main'!B:B=C478))"),"qiuxihe1993@gmail.com")</f>
        <v>qiuxihe1993@gmail.com</v>
      </c>
      <c r="G478" s="210" t="str">
        <f>IFERROR(__xludf.DUMMYFUNCTION("CONCATENATE(""https://dl.acm.org/doi/"",INDEX(FILTER('Sheridan Main'!A:A,'Sheridan Main'!B:B=C478),1))"),"https://dl.acm.org/doi/10.1145/3774904.3792257")</f>
        <v>https://dl.acm.org/doi/10.1145/3774904.3792257</v>
      </c>
      <c r="H478" s="189" t="s">
        <v>2854</v>
      </c>
      <c r="I478" s="189" t="s">
        <v>120</v>
      </c>
      <c r="J478" s="209"/>
      <c r="K478" s="147"/>
      <c r="L478" s="147"/>
      <c r="M478" s="209"/>
      <c r="N478" s="209"/>
      <c r="O478" s="209"/>
      <c r="P478" s="209"/>
      <c r="Q478" s="209"/>
      <c r="R478" s="209"/>
      <c r="S478" s="209"/>
      <c r="T478" s="209"/>
      <c r="U478" s="209"/>
      <c r="V478" s="209"/>
      <c r="W478" s="209"/>
      <c r="X478" s="209"/>
      <c r="Y478" s="209"/>
      <c r="Z478" s="209"/>
      <c r="AA478" s="209"/>
      <c r="AB478" s="209"/>
      <c r="AC478" s="209"/>
      <c r="AD478" s="209"/>
      <c r="AE478" s="209"/>
    </row>
    <row r="479">
      <c r="A479" s="208" t="s">
        <v>2931</v>
      </c>
      <c r="B479" s="189" t="str">
        <f>IFERROR(__xludf.DUMMYFUNCTION("FILTER ('Research Papers'!D:D,'Research Papers'!A:A=C479)"),"Prototype Augmentation-based Edge-end Heterogeneous Collaborative Learning")</f>
        <v>Prototype Augmentation-based Edge-end Heterogeneous Collaborative Learning</v>
      </c>
      <c r="C479" s="189" t="s">
        <v>878</v>
      </c>
      <c r="D479" s="209" t="str">
        <f t="shared" si="1"/>
        <v>Prototype Augmentation-based Edge-end Heterogeneous Collaborative Learning
Enze Yu, Penghuan Cheng, Haipeng Dai, Haihan Zhang, Sujin
Hou, Meng Li, Zhenzhe Zheng, Qiang He and Guihai Chen
</v>
      </c>
      <c r="E479" s="209" t="str">
        <f>IFERROR(__xludf.DUMMYFUNCTION("TEXTJOIN(CHAR(10), TRUE,FILTER('Research Papers'!$C:$C,'Research Papers'!$A:$A=C479))"),"Enze Yu, Penghuan Cheng, Haipeng Dai, Haihan Zhang, Sujin
Hou, Meng Li, Zhenzhe Zheng, Qiang He and Guihai Chen")</f>
        <v>Enze Yu, Penghuan Cheng, Haipeng Dai, Haihan Zhang, Sujin
Hou, Meng Li, Zhenzhe Zheng, Qiang He and Guihai Chen</v>
      </c>
      <c r="F479" s="209" t="str">
        <f>IFERROR(__xludf.DUMMYFUNCTION("TEXTJOIN(CHAR(10), TRUE,FILTER ('Sheridan Main'!E:E,'Sheridan Main'!B:B=C479))"),"haipengdai@nju.edu.cn")</f>
        <v>haipengdai@nju.edu.cn</v>
      </c>
      <c r="G479" s="210" t="str">
        <f>IFERROR(__xludf.DUMMYFUNCTION("CONCATENATE(""https://dl.acm.org/doi/"",INDEX(FILTER('Sheridan Main'!A:A,'Sheridan Main'!B:B=C479),1))"),"https://dl.acm.org/doi/10.1145/3774904.3792281")</f>
        <v>https://dl.acm.org/doi/10.1145/3774904.3792281</v>
      </c>
      <c r="H479" s="189" t="s">
        <v>2854</v>
      </c>
      <c r="I479" s="189" t="s">
        <v>120</v>
      </c>
      <c r="J479" s="209"/>
      <c r="K479" s="147"/>
      <c r="L479" s="147"/>
      <c r="M479" s="209"/>
      <c r="N479" s="209"/>
      <c r="O479" s="209"/>
      <c r="P479" s="209"/>
      <c r="Q479" s="209"/>
      <c r="R479" s="209"/>
      <c r="S479" s="209"/>
      <c r="T479" s="209"/>
      <c r="U479" s="209"/>
      <c r="V479" s="209"/>
      <c r="W479" s="209"/>
      <c r="X479" s="209"/>
      <c r="Y479" s="209"/>
      <c r="Z479" s="209"/>
      <c r="AA479" s="209"/>
      <c r="AB479" s="209"/>
      <c r="AC479" s="209"/>
      <c r="AD479" s="209"/>
      <c r="AE479" s="209"/>
    </row>
    <row r="480">
      <c r="A480" s="208" t="s">
        <v>2903</v>
      </c>
      <c r="B480" s="189" t="str">
        <f>IFERROR(__xludf.DUMMYFUNCTION("FILTER ('Research Papers'!D:D,'Research Papers'!A:A=C480)"),"Octopus: Vehicle-to-Road Collaborative Perception for Autonomous Driving with Closed-Loop Fusion")</f>
        <v>Octopus: Vehicle-to-Road Collaborative Perception for Autonomous Driving with Closed-Loop Fusion</v>
      </c>
      <c r="C480" s="189" t="s">
        <v>950</v>
      </c>
      <c r="D480" s="209" t="str">
        <f t="shared" si="1"/>
        <v>Octopus: Vehicle-to-Road Collaborative Perception for Autonomous Driving with Closed-Loop Fusion
Ruikun Luo, Jiadong Zhao, Peize Su, Jieming Yang, Jing
Yang, Yuan Gao, Minhui Xue and Xiaoyu Xia
</v>
      </c>
      <c r="E480" s="209" t="str">
        <f>IFERROR(__xludf.DUMMYFUNCTION("TEXTJOIN(CHAR(10), TRUE,FILTER('Research Papers'!$C:$C,'Research Papers'!$A:$A=C480))"),"Ruikun Luo, Jiadong Zhao, Peize Su, Jieming Yang, Jing
Yang, Yuan Gao, Minhui Xue and Xiaoyu Xia")</f>
        <v>Ruikun Luo, Jiadong Zhao, Peize Su, Jieming Yang, Jing
Yang, Yuan Gao, Minhui Xue and Xiaoyu Xia</v>
      </c>
      <c r="F480" s="209" t="str">
        <f>IFERROR(__xludf.DUMMYFUNCTION("TEXTJOIN(CHAR(10), TRUE,FILTER ('Sheridan Main'!E:E,'Sheridan Main'!B:B=C480))"),"xiaoyu.xia@rmit.edu.au")</f>
        <v>xiaoyu.xia@rmit.edu.au</v>
      </c>
      <c r="G480" s="210" t="str">
        <f>IFERROR(__xludf.DUMMYFUNCTION("CONCATENATE(""https://dl.acm.org/doi/"",INDEX(FILTER('Sheridan Main'!A:A,'Sheridan Main'!B:B=C480),1))"),"https://dl.acm.org/doi/10.1145/3774904.3792317")</f>
        <v>https://dl.acm.org/doi/10.1145/3774904.3792317</v>
      </c>
      <c r="H480" s="189" t="s">
        <v>2854</v>
      </c>
      <c r="I480" s="189" t="s">
        <v>120</v>
      </c>
      <c r="J480" s="209"/>
      <c r="K480" s="147"/>
      <c r="L480" s="147"/>
      <c r="M480" s="209"/>
      <c r="N480" s="209"/>
      <c r="O480" s="209"/>
      <c r="P480" s="209"/>
      <c r="Q480" s="209"/>
      <c r="R480" s="209"/>
      <c r="S480" s="209"/>
      <c r="T480" s="209"/>
      <c r="U480" s="209"/>
      <c r="V480" s="209"/>
      <c r="W480" s="209"/>
      <c r="X480" s="209"/>
      <c r="Y480" s="209"/>
      <c r="Z480" s="209"/>
      <c r="AA480" s="209"/>
      <c r="AB480" s="209"/>
      <c r="AC480" s="209"/>
      <c r="AD480" s="209"/>
      <c r="AE480" s="209"/>
    </row>
    <row r="481">
      <c r="A481" s="208" t="s">
        <v>2903</v>
      </c>
      <c r="B481" s="189" t="str">
        <f>IFERROR(__xludf.DUMMYFUNCTION("FILTER ('Research Papers'!D:D,'Research Papers'!A:A=C481)"),"ViTs: Teaching Machines to See Time Series Anomalies Like Human Experts")</f>
        <v>ViTs: Teaching Machines to See Time Series Anomalies Like Human Experts</v>
      </c>
      <c r="C481" s="189" t="s">
        <v>962</v>
      </c>
      <c r="D481" s="209" t="str">
        <f t="shared" si="1"/>
        <v>ViTs: Teaching Machines to See Time Series Anomalies Like Human Experts
Zexin Wang, Changhua Pei, Yang Liu, Hengyue Jiang, Quan
Zhou, Haotian Si, Hang Cui, Jianhui Li, Gaogang Xie,
Jingjing Li and Dan Pei
</v>
      </c>
      <c r="E481" s="209" t="str">
        <f>IFERROR(__xludf.DUMMYFUNCTION("TEXTJOIN(CHAR(10), TRUE,FILTER('Research Papers'!$C:$C,'Research Papers'!$A:$A=C481))"),"Zexin Wang, Changhua Pei, Yang Liu, Hengyue Jiang, Quan
Zhou, Haotian Si, Hang Cui, Jianhui Li, Gaogang Xie,
Jingjing Li and Dan Pei")</f>
        <v>Zexin Wang, Changhua Pei, Yang Liu, Hengyue Jiang, Quan
Zhou, Haotian Si, Hang Cui, Jianhui Li, Gaogang Xie,
Jingjing Li and Dan Pei</v>
      </c>
      <c r="F481" s="209" t="str">
        <f>IFERROR(__xludf.DUMMYFUNCTION("TEXTJOIN(CHAR(10), TRUE,FILTER ('Sheridan Main'!E:E,'Sheridan Main'!B:B=C481))"),"chpei@cnic.cn")</f>
        <v>chpei@cnic.cn</v>
      </c>
      <c r="G481" s="210" t="str">
        <f>IFERROR(__xludf.DUMMYFUNCTION("CONCATENATE(""https://dl.acm.org/doi/"",INDEX(FILTER('Sheridan Main'!A:A,'Sheridan Main'!B:B=C481),1))"),"https://dl.acm.org/doi/10.1145/3774904.3792323")</f>
        <v>https://dl.acm.org/doi/10.1145/3774904.3792323</v>
      </c>
      <c r="H481" s="189" t="s">
        <v>2854</v>
      </c>
      <c r="I481" s="189" t="s">
        <v>2905</v>
      </c>
      <c r="J481" s="209"/>
      <c r="K481" s="147"/>
      <c r="L481" s="147"/>
      <c r="M481" s="209"/>
      <c r="N481" s="209"/>
      <c r="O481" s="209"/>
      <c r="P481" s="209"/>
      <c r="Q481" s="209"/>
      <c r="R481" s="209"/>
      <c r="S481" s="209"/>
      <c r="T481" s="209"/>
      <c r="U481" s="209"/>
      <c r="V481" s="209"/>
      <c r="W481" s="209"/>
      <c r="X481" s="209"/>
      <c r="Y481" s="209"/>
      <c r="Z481" s="209"/>
      <c r="AA481" s="209"/>
      <c r="AB481" s="209"/>
      <c r="AC481" s="209"/>
      <c r="AD481" s="209"/>
      <c r="AE481" s="209"/>
    </row>
    <row r="482">
      <c r="A482" s="208" t="s">
        <v>2903</v>
      </c>
      <c r="B482" s="189" t="str">
        <f>IFERROR(__xludf.DUMMYFUNCTION("FILTER ('Research Papers'!D:D,'Research Papers'!A:A=C482)"),"FSDI: Frequency-Shaped Diffusion For Time-Series Imputation")</f>
        <v>FSDI: Frequency-Shaped Diffusion For Time-Series Imputation</v>
      </c>
      <c r="C482" s="189" t="s">
        <v>976</v>
      </c>
      <c r="D482" s="209" t="str">
        <f t="shared" si="1"/>
        <v>FSDI: Frequency-Shaped Diffusion For Time-Series Imputation
Wangmeng Shen, Hongfan Gao, Qingsong Zhong, Dingli Xu and
Jilin Hu
</v>
      </c>
      <c r="E482" s="209" t="str">
        <f>IFERROR(__xludf.DUMMYFUNCTION("TEXTJOIN(CHAR(10), TRUE,FILTER('Research Papers'!$C:$C,'Research Papers'!$A:$A=C482))"),"Wangmeng Shen, Hongfan Gao, Qingsong Zhong, Dingli Xu and
Jilin Hu")</f>
        <v>Wangmeng Shen, Hongfan Gao, Qingsong Zhong, Dingli Xu and
Jilin Hu</v>
      </c>
      <c r="F482" s="209" t="str">
        <f>IFERROR(__xludf.DUMMYFUNCTION("TEXTJOIN(CHAR(10), TRUE,FILTER ('Sheridan Main'!E:E,'Sheridan Main'!B:B=C482))"),"jlhu@dase.ecnu.edu.cn")</f>
        <v>jlhu@dase.ecnu.edu.cn</v>
      </c>
      <c r="G482" s="210" t="str">
        <f>IFERROR(__xludf.DUMMYFUNCTION("CONCATENATE(""https://dl.acm.org/doi/"",INDEX(FILTER('Sheridan Main'!A:A,'Sheridan Main'!B:B=C482),1))"),"https://dl.acm.org/doi/10.1145/3774904.3792330")</f>
        <v>https://dl.acm.org/doi/10.1145/3774904.3792330</v>
      </c>
      <c r="H482" s="189" t="s">
        <v>2854</v>
      </c>
      <c r="I482" s="189" t="s">
        <v>2905</v>
      </c>
      <c r="J482" s="209"/>
      <c r="K482" s="147"/>
      <c r="L482" s="147"/>
      <c r="M482" s="209"/>
      <c r="N482" s="209"/>
      <c r="O482" s="209"/>
      <c r="P482" s="209"/>
      <c r="Q482" s="209"/>
      <c r="R482" s="209"/>
      <c r="S482" s="209"/>
      <c r="T482" s="209"/>
      <c r="U482" s="209"/>
      <c r="V482" s="209"/>
      <c r="W482" s="209"/>
      <c r="X482" s="209"/>
      <c r="Y482" s="209"/>
      <c r="Z482" s="209"/>
      <c r="AA482" s="209"/>
      <c r="AB482" s="209"/>
      <c r="AC482" s="209"/>
      <c r="AD482" s="209"/>
      <c r="AE482" s="209"/>
    </row>
    <row r="483">
      <c r="A483" s="208" t="s">
        <v>2903</v>
      </c>
      <c r="B483" s="189" t="str">
        <f>IFERROR(__xludf.DUMMYFUNCTION("FILTER ('Research Papers'!D:D,'Research Papers'!A:A=C483)"),"Automated Model Selection for Multivariate Time Series Forecasting")</f>
        <v>Automated Model Selection for Multivariate Time Series Forecasting</v>
      </c>
      <c r="C483" s="189" t="s">
        <v>980</v>
      </c>
      <c r="D483" s="209" t="str">
        <f t="shared" si="1"/>
        <v>Automated Model Selection for Multivariate Time Series Forecasting
Xiaoxuan Fan, Jiaqi Sun, Xianjun Deng, Qiankun Zhang, Wei
Xiang, Shenghao Liu and Lingzhi Yi
</v>
      </c>
      <c r="E483" s="209" t="str">
        <f>IFERROR(__xludf.DUMMYFUNCTION("TEXTJOIN(CHAR(10), TRUE,FILTER('Research Papers'!$C:$C,'Research Papers'!$A:$A=C483))"),"Xiaoxuan Fan, Jiaqi Sun, Xianjun Deng, Qiankun Zhang, Wei
Xiang, Shenghao Liu and Lingzhi Yi")</f>
        <v>Xiaoxuan Fan, Jiaqi Sun, Xianjun Deng, Qiankun Zhang, Wei
Xiang, Shenghao Liu and Lingzhi Yi</v>
      </c>
      <c r="F483" s="209" t="str">
        <f>IFERROR(__xludf.DUMMYFUNCTION("TEXTJOIN(CHAR(10), TRUE,FILTER ('Sheridan Main'!E:E,'Sheridan Main'!B:B=C483))"),"dengxj615@hust.edu.cn")</f>
        <v>dengxj615@hust.edu.cn</v>
      </c>
      <c r="G483" s="210" t="str">
        <f>IFERROR(__xludf.DUMMYFUNCTION("CONCATENATE(""https://dl.acm.org/doi/"",INDEX(FILTER('Sheridan Main'!A:A,'Sheridan Main'!B:B=C483),1))"),"https://dl.acm.org/doi/10.1145/3774904.3792332")</f>
        <v>https://dl.acm.org/doi/10.1145/3774904.3792332</v>
      </c>
      <c r="H483" s="189" t="s">
        <v>2854</v>
      </c>
      <c r="I483" s="189" t="s">
        <v>2905</v>
      </c>
      <c r="J483" s="209"/>
      <c r="K483" s="147"/>
      <c r="L483" s="147"/>
      <c r="M483" s="209"/>
      <c r="N483" s="209"/>
      <c r="O483" s="209"/>
      <c r="P483" s="209"/>
      <c r="Q483" s="209"/>
      <c r="R483" s="209"/>
      <c r="S483" s="209"/>
      <c r="T483" s="209"/>
      <c r="U483" s="209"/>
      <c r="V483" s="209"/>
      <c r="W483" s="209"/>
      <c r="X483" s="209"/>
      <c r="Y483" s="209"/>
      <c r="Z483" s="209"/>
      <c r="AA483" s="209"/>
      <c r="AB483" s="209"/>
      <c r="AC483" s="209"/>
      <c r="AD483" s="209"/>
      <c r="AE483" s="209"/>
    </row>
    <row r="484">
      <c r="A484" s="208" t="s">
        <v>2903</v>
      </c>
      <c r="B484" s="189" t="str">
        <f>IFERROR(__xludf.DUMMYFUNCTION("FILTER ('Research Papers'!D:D,'Research Papers'!A:A=C484)"),"Energy-Efficient and Dequantization-Free Quantization of LLMs: A Spiking Neural Network Approach to Salient Value Mitigation")</f>
        <v>Energy-Efficient and Dequantization-Free Quantization of LLMs: A Spiking Neural Network Approach to Salient Value Mitigation</v>
      </c>
      <c r="C484" s="189" t="s">
        <v>990</v>
      </c>
      <c r="D484" s="209" t="str">
        <f t="shared" si="1"/>
        <v>Energy-Efficient and Dequantization-Free Quantization of LLMs: A Spiking Neural Network Approach to Salient Value Mitigation
Chenyu Wang, Zhanglu Yan, Zhi Zhou, Xu Chen and Weng-Fai
Wong
</v>
      </c>
      <c r="E484" s="209" t="str">
        <f>IFERROR(__xludf.DUMMYFUNCTION("TEXTJOIN(CHAR(10), TRUE,FILTER('Research Papers'!$C:$C,'Research Papers'!$A:$A=C484))"),"Chenyu Wang, Zhanglu Yan, Zhi Zhou, Xu Chen and Weng-Fai
Wong")</f>
        <v>Chenyu Wang, Zhanglu Yan, Zhi Zhou, Xu Chen and Weng-Fai
Wong</v>
      </c>
      <c r="F484" s="209" t="str">
        <f>IFERROR(__xludf.DUMMYFUNCTION("TEXTJOIN(CHAR(10), TRUE,FILTER ('Sheridan Main'!E:E,'Sheridan Main'!B:B=C484))"),"wangchy236@mail2.sysu.edu.cn")</f>
        <v>wangchy236@mail2.sysu.edu.cn</v>
      </c>
      <c r="G484" s="210" t="str">
        <f>IFERROR(__xludf.DUMMYFUNCTION("CONCATENATE(""https://dl.acm.org/doi/"",INDEX(FILTER('Sheridan Main'!A:A,'Sheridan Main'!B:B=C484),1))"),"https://dl.acm.org/doi/10.1145/3774904.3792337")</f>
        <v>https://dl.acm.org/doi/10.1145/3774904.3792337</v>
      </c>
      <c r="H484" s="189" t="s">
        <v>2854</v>
      </c>
      <c r="I484" s="189" t="s">
        <v>2905</v>
      </c>
      <c r="J484" s="209"/>
      <c r="K484" s="147"/>
      <c r="L484" s="147"/>
      <c r="M484" s="209"/>
      <c r="N484" s="209"/>
      <c r="O484" s="209"/>
      <c r="P484" s="209"/>
      <c r="Q484" s="209"/>
      <c r="R484" s="209"/>
      <c r="S484" s="209"/>
      <c r="T484" s="209"/>
      <c r="U484" s="209"/>
      <c r="V484" s="209"/>
      <c r="W484" s="209"/>
      <c r="X484" s="209"/>
      <c r="Y484" s="209"/>
      <c r="Z484" s="209"/>
      <c r="AA484" s="209"/>
      <c r="AB484" s="209"/>
      <c r="AC484" s="209"/>
      <c r="AD484" s="209"/>
      <c r="AE484" s="209"/>
    </row>
    <row r="485">
      <c r="A485" s="213" t="s">
        <v>2903</v>
      </c>
      <c r="B485" s="214" t="str">
        <f>IFERROR(__xludf.DUMMYFUNCTION("FILTER ('Research Papers'!D:D,'Research Papers'!A:A=C485)"),"RAFed: Responsive Augmentation and Approximate Update Method for Federated Learning with Non-IID Data")</f>
        <v>RAFed: Responsive Augmentation and Approximate Update Method for Federated Learning with Non-IID Data</v>
      </c>
      <c r="C485" s="214" t="s">
        <v>1002</v>
      </c>
      <c r="D485" s="215" t="str">
        <f t="shared" si="1"/>
        <v>RAFed: Responsive Augmentation and Approximate Update Method for Federated Learning with Non-IID Data
Yicheng Di and Zhanjie Zhang
</v>
      </c>
      <c r="E485" s="215" t="str">
        <f>IFERROR(__xludf.DUMMYFUNCTION("TEXTJOIN(CHAR(10), TRUE,FILTER('Research Papers'!$C:$C,'Research Papers'!$A:$A=C485))"),"Yicheng Di and Zhanjie Zhang")</f>
        <v>Yicheng Di and Zhanjie Zhang</v>
      </c>
      <c r="F485" s="214" t="s">
        <v>2933</v>
      </c>
      <c r="G485" s="216" t="str">
        <f>IFERROR(__xludf.DUMMYFUNCTION("CONCATENATE(""https://dl.acm.org/doi/"",INDEX(FILTER('Sheridan Main'!A:A,'Sheridan Main'!B:B=C485),1))"),"https://dl.acm.org/doi/10.1145/3774904.3792343")</f>
        <v>https://dl.acm.org/doi/10.1145/3774904.3792343</v>
      </c>
      <c r="H485" s="214" t="s">
        <v>2933</v>
      </c>
      <c r="I485" s="214" t="s">
        <v>2933</v>
      </c>
      <c r="J485" s="215"/>
      <c r="K485" s="217"/>
      <c r="L485" s="217"/>
      <c r="M485" s="215"/>
      <c r="N485" s="215"/>
      <c r="O485" s="215"/>
      <c r="P485" s="215"/>
      <c r="Q485" s="215"/>
      <c r="R485" s="215"/>
      <c r="S485" s="215"/>
      <c r="T485" s="215"/>
      <c r="U485" s="215"/>
      <c r="V485" s="215"/>
      <c r="W485" s="215"/>
      <c r="X485" s="215"/>
      <c r="Y485" s="215"/>
      <c r="Z485" s="215"/>
      <c r="AA485" s="215"/>
      <c r="AB485" s="215"/>
      <c r="AC485" s="215"/>
      <c r="AD485" s="215"/>
      <c r="AE485" s="215"/>
    </row>
    <row r="486">
      <c r="A486" s="208" t="s">
        <v>2903</v>
      </c>
      <c r="B486" s="189" t="str">
        <f>IFERROR(__xludf.DUMMYFUNCTION("FILTER ('Research Papers'!D:D,'Research Papers'!A:A=C486)"),"Enhancing Federated Class-Incremental Learning via Spatial-Temporal Statistics Aggregation")</f>
        <v>Enhancing Federated Class-Incremental Learning via Spatial-Temporal Statistics Aggregation</v>
      </c>
      <c r="C486" s="189" t="s">
        <v>1016</v>
      </c>
      <c r="D486" s="209" t="str">
        <f t="shared" si="1"/>
        <v>Enhancing Federated Class-Incremental Learning via Spatial-Temporal Statistics Aggregation
Zenghao Guan, Guojun Zhu, Yucan Zhou, Wu Liu, Weiping Wang,
Jiebo Luo and Xiaoyan Gu
</v>
      </c>
      <c r="E486" s="209" t="str">
        <f>IFERROR(__xludf.DUMMYFUNCTION("TEXTJOIN(CHAR(10), TRUE,FILTER('Research Papers'!$C:$C,'Research Papers'!$A:$A=C486))"),"Zenghao Guan, Guojun Zhu, Yucan Zhou, Wu Liu, Weiping Wang,
Jiebo Luo and Xiaoyan Gu")</f>
        <v>Zenghao Guan, Guojun Zhu, Yucan Zhou, Wu Liu, Weiping Wang,
Jiebo Luo and Xiaoyan Gu</v>
      </c>
      <c r="F486" s="209" t="str">
        <f>IFERROR(__xludf.DUMMYFUNCTION("TEXTJOIN(CHAR(10), TRUE,FILTER ('Sheridan Main'!E:E,'Sheridan Main'!B:B=C486))"),"guxiaoyan@iie.ac.cn")</f>
        <v>guxiaoyan@iie.ac.cn</v>
      </c>
      <c r="G486" s="210" t="str">
        <f>IFERROR(__xludf.DUMMYFUNCTION("CONCATENATE(""https://dl.acm.org/doi/"",INDEX(FILTER('Sheridan Main'!A:A,'Sheridan Main'!B:B=C486),1))"),"https://dl.acm.org/doi/10.1145/3774904.3792350")</f>
        <v>https://dl.acm.org/doi/10.1145/3774904.3792350</v>
      </c>
      <c r="H486" s="189" t="s">
        <v>2854</v>
      </c>
      <c r="I486" s="189" t="s">
        <v>2905</v>
      </c>
      <c r="J486" s="209"/>
      <c r="K486" s="147"/>
      <c r="L486" s="147"/>
      <c r="M486" s="209"/>
      <c r="N486" s="209"/>
      <c r="O486" s="209"/>
      <c r="P486" s="209"/>
      <c r="Q486" s="209"/>
      <c r="R486" s="209"/>
      <c r="S486" s="209"/>
      <c r="T486" s="209"/>
      <c r="U486" s="209"/>
      <c r="V486" s="209"/>
      <c r="W486" s="209"/>
      <c r="X486" s="209"/>
      <c r="Y486" s="209"/>
      <c r="Z486" s="209"/>
      <c r="AA486" s="209"/>
      <c r="AB486" s="209"/>
      <c r="AC486" s="209"/>
      <c r="AD486" s="209"/>
      <c r="AE486" s="209"/>
    </row>
    <row r="487">
      <c r="A487" s="208" t="s">
        <v>2903</v>
      </c>
      <c r="B487" s="189" t="str">
        <f>IFERROR(__xludf.DUMMYFUNCTION("FILTER ('Research Papers'!D:D,'Research Papers'!A:A=C487)"),"Starlink in the Wild: Multi-Perspective Measurements via DNS")</f>
        <v>Starlink in the Wild: Multi-Perspective Measurements via DNS</v>
      </c>
      <c r="C487" s="189" t="s">
        <v>1048</v>
      </c>
      <c r="D487" s="209" t="str">
        <f t="shared" si="1"/>
        <v>Starlink in the Wild: Multi-Perspective Measurements via DNS
Ruoxuan Xia, Bingyu Li, Zhenyu Chen, Pengyu Yuan, Yunjia
Wang, Xiaofeng Zheng and Jingqiang Lin
</v>
      </c>
      <c r="E487" s="209" t="str">
        <f>IFERROR(__xludf.DUMMYFUNCTION("TEXTJOIN(CHAR(10), TRUE,FILTER('Research Papers'!$C:$C,'Research Papers'!$A:$A=C487))"),"Ruoxuan Xia, Bingyu Li, Zhenyu Chen, Pengyu Yuan, Yunjia
Wang, Xiaofeng Zheng and Jingqiang Lin")</f>
        <v>Ruoxuan Xia, Bingyu Li, Zhenyu Chen, Pengyu Yuan, Yunjia
Wang, Xiaofeng Zheng and Jingqiang Lin</v>
      </c>
      <c r="F487" s="209" t="str">
        <f>IFERROR(__xludf.DUMMYFUNCTION("TEXTJOIN(CHAR(10), TRUE,FILTER ('Sheridan Main'!E:E,'Sheridan Main'!B:B=C487))"),"libingyu@buaa.edu.cn")</f>
        <v>libingyu@buaa.edu.cn</v>
      </c>
      <c r="G487" s="210" t="str">
        <f>IFERROR(__xludf.DUMMYFUNCTION("CONCATENATE(""https://dl.acm.org/doi/"",INDEX(FILTER('Sheridan Main'!A:A,'Sheridan Main'!B:B=C487),1))"),"https://dl.acm.org/doi/10.1145/3774904.3792366")</f>
        <v>https://dl.acm.org/doi/10.1145/3774904.3792366</v>
      </c>
      <c r="H487" s="189" t="s">
        <v>2854</v>
      </c>
      <c r="I487" s="189" t="s">
        <v>2905</v>
      </c>
      <c r="J487" s="209"/>
      <c r="K487" s="147"/>
      <c r="L487" s="147"/>
      <c r="M487" s="209"/>
      <c r="N487" s="209"/>
      <c r="O487" s="209"/>
      <c r="P487" s="209"/>
      <c r="Q487" s="209"/>
      <c r="R487" s="209"/>
      <c r="S487" s="209"/>
      <c r="T487" s="209"/>
      <c r="U487" s="209"/>
      <c r="V487" s="209"/>
      <c r="W487" s="209"/>
      <c r="X487" s="209"/>
      <c r="Y487" s="209"/>
      <c r="Z487" s="209"/>
      <c r="AA487" s="209"/>
      <c r="AB487" s="209"/>
      <c r="AC487" s="209"/>
      <c r="AD487" s="209"/>
      <c r="AE487" s="209"/>
    </row>
    <row r="488">
      <c r="A488" s="208" t="s">
        <v>2903</v>
      </c>
      <c r="B488" s="189" t="str">
        <f>IFERROR(__xludf.DUMMYFUNCTION("FILTER ('Research Papers'!D:D,'Research Papers'!A:A=C488)"),"Can Multimodal LLMs Perform Time Series Anomaly Detection?")</f>
        <v>Can Multimodal LLMs Perform Time Series Anomaly Detection?</v>
      </c>
      <c r="C488" s="189" t="s">
        <v>1068</v>
      </c>
      <c r="D488" s="209" t="str">
        <f t="shared" si="1"/>
        <v>Can Multimodal LLMs Perform Time Series Anomaly Detection?
Xiongxiao Xu, Haoran Wang, Yueqing Liang, Philip S. Yu, Yue
Zhao and Kai Shu
</v>
      </c>
      <c r="E488" s="209" t="str">
        <f>IFERROR(__xludf.DUMMYFUNCTION("TEXTJOIN(CHAR(10), TRUE,FILTER('Research Papers'!$C:$C,'Research Papers'!$A:$A=C488))"),"Xiongxiao Xu, Haoran Wang, Yueqing Liang, Philip S. Yu, Yue
Zhao and Kai Shu")</f>
        <v>Xiongxiao Xu, Haoran Wang, Yueqing Liang, Philip S. Yu, Yue
Zhao and Kai Shu</v>
      </c>
      <c r="F488" s="209" t="str">
        <f>IFERROR(__xludf.DUMMYFUNCTION("TEXTJOIN(CHAR(10), TRUE,FILTER ('Sheridan Main'!E:E,'Sheridan Main'!B:B=C488))"),"kai.shu@emory.edu")</f>
        <v>kai.shu@emory.edu</v>
      </c>
      <c r="G488" s="210" t="str">
        <f>IFERROR(__xludf.DUMMYFUNCTION("CONCATENATE(""https://dl.acm.org/doi/"",INDEX(FILTER('Sheridan Main'!A:A,'Sheridan Main'!B:B=C488),1))"),"https://dl.acm.org/doi/10.1145/3774904.3792376")</f>
        <v>https://dl.acm.org/doi/10.1145/3774904.3792376</v>
      </c>
      <c r="H488" s="189" t="s">
        <v>2854</v>
      </c>
      <c r="I488" s="189" t="s">
        <v>2906</v>
      </c>
      <c r="J488" s="209"/>
      <c r="K488" s="147"/>
      <c r="L488" s="147"/>
      <c r="M488" s="209"/>
      <c r="N488" s="209"/>
      <c r="O488" s="209"/>
      <c r="P488" s="209"/>
      <c r="Q488" s="209"/>
      <c r="R488" s="209"/>
      <c r="S488" s="209"/>
      <c r="T488" s="209"/>
      <c r="U488" s="209"/>
      <c r="V488" s="209"/>
      <c r="W488" s="209"/>
      <c r="X488" s="209"/>
      <c r="Y488" s="209"/>
      <c r="Z488" s="209"/>
      <c r="AA488" s="209"/>
      <c r="AB488" s="209"/>
      <c r="AC488" s="209"/>
      <c r="AD488" s="209"/>
      <c r="AE488" s="209"/>
    </row>
    <row r="489">
      <c r="A489" s="208" t="s">
        <v>2903</v>
      </c>
      <c r="B489" s="189" t="str">
        <f>IFERROR(__xludf.DUMMYFUNCTION("FILTER ('Research Papers'!D:D,'Research Papers'!A:A=C489)"),"MF^3: Multimodal Federated Learning with Dual-Path Mamba-Transformer for Metro Flow Prediction")</f>
        <v>MF^3: Multimodal Federated Learning with Dual-Path Mamba-Transformer for Metro Flow Prediction</v>
      </c>
      <c r="C489" s="189" t="s">
        <v>1146</v>
      </c>
      <c r="D489" s="209" t="str">
        <f t="shared" si="1"/>
        <v>MF^3: Multimodal Federated Learning with Dual-Path Mamba-Transformer for Metro Flow Prediction
Bingjie Wang, Chao Zhang, Wentao Li and Deyu Li
</v>
      </c>
      <c r="E489" s="209" t="str">
        <f>IFERROR(__xludf.DUMMYFUNCTION("TEXTJOIN(CHAR(10), TRUE,FILTER('Research Papers'!$C:$C,'Research Papers'!$A:$A=C489))"),"Bingjie Wang, Chao Zhang, Wentao Li and Deyu Li")</f>
        <v>Bingjie Wang, Chao Zhang, Wentao Li and Deyu Li</v>
      </c>
      <c r="F489" s="209" t="str">
        <f>IFERROR(__xludf.DUMMYFUNCTION("TEXTJOIN(CHAR(10), TRUE,FILTER ('Sheridan Main'!E:E,'Sheridan Main'!B:B=C489))"),"czhang@sxu.edu.cn")</f>
        <v>czhang@sxu.edu.cn</v>
      </c>
      <c r="G489" s="210" t="str">
        <f>IFERROR(__xludf.DUMMYFUNCTION("CONCATENATE(""https://dl.acm.org/doi/"",INDEX(FILTER('Sheridan Main'!A:A,'Sheridan Main'!B:B=C489),1))"),"https://dl.acm.org/doi/10.1145/3774904.3792415")</f>
        <v>https://dl.acm.org/doi/10.1145/3774904.3792415</v>
      </c>
      <c r="H489" s="189" t="s">
        <v>2854</v>
      </c>
      <c r="I489" s="189" t="s">
        <v>2906</v>
      </c>
      <c r="J489" s="209"/>
      <c r="K489" s="147"/>
      <c r="L489" s="147"/>
      <c r="M489" s="209"/>
      <c r="N489" s="209"/>
      <c r="O489" s="209"/>
      <c r="P489" s="209"/>
      <c r="Q489" s="209"/>
      <c r="R489" s="209"/>
      <c r="S489" s="209"/>
      <c r="T489" s="209"/>
      <c r="U489" s="209"/>
      <c r="V489" s="209"/>
      <c r="W489" s="209"/>
      <c r="X489" s="209"/>
      <c r="Y489" s="209"/>
      <c r="Z489" s="209"/>
      <c r="AA489" s="209"/>
      <c r="AB489" s="209"/>
      <c r="AC489" s="209"/>
      <c r="AD489" s="209"/>
      <c r="AE489" s="209"/>
    </row>
    <row r="490">
      <c r="A490" s="208" t="s">
        <v>2903</v>
      </c>
      <c r="B490" s="189" t="str">
        <f>IFERROR(__xludf.DUMMYFUNCTION("FILTER ('Research Papers'!D:D,'Research Papers'!A:A=C490)"),"An LLM-Powered Cooperative Framework for Large-Scale Multi-Vehicle Navigation")</f>
        <v>An LLM-Powered Cooperative Framework for Large-Scale Multi-Vehicle Navigation</v>
      </c>
      <c r="C490" s="189" t="s">
        <v>1152</v>
      </c>
      <c r="D490" s="209" t="str">
        <f t="shared" si="1"/>
        <v>An LLM-Powered Cooperative Framework for Large-Scale Multi-Vehicle Navigation
Yuping Zhou, Siqi Lai, Jindong Han and Hao Liu
</v>
      </c>
      <c r="E490" s="209" t="str">
        <f>IFERROR(__xludf.DUMMYFUNCTION("TEXTJOIN(CHAR(10), TRUE,FILTER('Research Papers'!$C:$C,'Research Papers'!$A:$A=C490))"),"Yuping Zhou, Siqi Lai, Jindong Han and Hao Liu")</f>
        <v>Yuping Zhou, Siqi Lai, Jindong Han and Hao Liu</v>
      </c>
      <c r="F490" s="209" t="str">
        <f>IFERROR(__xludf.DUMMYFUNCTION("TEXTJOIN(CHAR(10), TRUE,FILTER ('Sheridan Main'!E:E,'Sheridan Main'!B:B=C490))"),"liuh@ust.hk")</f>
        <v>liuh@ust.hk</v>
      </c>
      <c r="G490" s="210" t="str">
        <f>IFERROR(__xludf.DUMMYFUNCTION("CONCATENATE(""https://dl.acm.org/doi/"",INDEX(FILTER('Sheridan Main'!A:A,'Sheridan Main'!B:B=C490),1))"),"https://dl.acm.org/doi/10.1145/3774904.3792418")</f>
        <v>https://dl.acm.org/doi/10.1145/3774904.3792418</v>
      </c>
      <c r="H490" s="189" t="s">
        <v>2854</v>
      </c>
      <c r="I490" s="189" t="s">
        <v>2906</v>
      </c>
      <c r="J490" s="209"/>
      <c r="K490" s="147"/>
      <c r="L490" s="147"/>
      <c r="M490" s="209"/>
      <c r="N490" s="209"/>
      <c r="O490" s="209"/>
      <c r="P490" s="209"/>
      <c r="Q490" s="209"/>
      <c r="R490" s="209"/>
      <c r="S490" s="209"/>
      <c r="T490" s="209"/>
      <c r="U490" s="209"/>
      <c r="V490" s="209"/>
      <c r="W490" s="209"/>
      <c r="X490" s="209"/>
      <c r="Y490" s="209"/>
      <c r="Z490" s="209"/>
      <c r="AA490" s="209"/>
      <c r="AB490" s="209"/>
      <c r="AC490" s="209"/>
      <c r="AD490" s="209"/>
      <c r="AE490" s="209"/>
    </row>
    <row r="491">
      <c r="A491" s="208" t="s">
        <v>2903</v>
      </c>
      <c r="B491" s="189" t="str">
        <f>IFERROR(__xludf.DUMMYFUNCTION("FILTER ('Research Papers'!D:D,'Research Papers'!A:A=C491)"),"Alzo: Auto-Tuning with Reinforcement Learning for DAG-based Blockchains")</f>
        <v>Alzo: Auto-Tuning with Reinforcement Learning for DAG-based Blockchains</v>
      </c>
      <c r="C491" s="189" t="s">
        <v>1212</v>
      </c>
      <c r="D491" s="209" t="str">
        <f t="shared" si="1"/>
        <v>Alzo: Auto-Tuning with Reinforcement Learning for DAG-based Blockchains
Qiuyu Ding, Rongkai Zhang, Qinnan Zhang, Zhen Xiao, Jieyi
Long, Mingchao Wan, Sen Liu and Jin Dong
</v>
      </c>
      <c r="E491" s="209" t="str">
        <f>IFERROR(__xludf.DUMMYFUNCTION("TEXTJOIN(CHAR(10), TRUE,FILTER('Research Papers'!$C:$C,'Research Papers'!$A:$A=C491))"),"Qiuyu Ding, Rongkai Zhang, Qinnan Zhang, Zhen Xiao, Jieyi
Long, Mingchao Wan, Sen Liu and Jin Dong")</f>
        <v>Qiuyu Ding, Rongkai Zhang, Qinnan Zhang, Zhen Xiao, Jieyi
Long, Mingchao Wan, Sen Liu and Jin Dong</v>
      </c>
      <c r="F491" s="209" t="str">
        <f>IFERROR(__xludf.DUMMYFUNCTION("TEXTJOIN(CHAR(10), TRUE,FILTER ('Sheridan Main'!E:E,'Sheridan Main'!B:B=C491))"),"xiaozhen@pku.edu.cn")</f>
        <v>xiaozhen@pku.edu.cn</v>
      </c>
      <c r="G491" s="210" t="str">
        <f>IFERROR(__xludf.DUMMYFUNCTION("CONCATENATE(""https://dl.acm.org/doi/"",INDEX(FILTER('Sheridan Main'!A:A,'Sheridan Main'!B:B=C491),1))"),"https://dl.acm.org/doi/10.1145/3774904.3792448")</f>
        <v>https://dl.acm.org/doi/10.1145/3774904.3792448</v>
      </c>
      <c r="H491" s="189" t="s">
        <v>2854</v>
      </c>
      <c r="I491" s="189" t="s">
        <v>2906</v>
      </c>
      <c r="J491" s="209"/>
      <c r="K491" s="147"/>
      <c r="L491" s="147"/>
      <c r="M491" s="209"/>
      <c r="N491" s="209"/>
      <c r="O491" s="209"/>
      <c r="P491" s="209"/>
      <c r="Q491" s="209"/>
      <c r="R491" s="209"/>
      <c r="S491" s="209"/>
      <c r="T491" s="209"/>
      <c r="U491" s="209"/>
      <c r="V491" s="209"/>
      <c r="W491" s="209"/>
      <c r="X491" s="209"/>
      <c r="Y491" s="209"/>
      <c r="Z491" s="209"/>
      <c r="AA491" s="209"/>
      <c r="AB491" s="209"/>
      <c r="AC491" s="209"/>
      <c r="AD491" s="209"/>
      <c r="AE491" s="209"/>
    </row>
    <row r="492">
      <c r="A492" s="208" t="s">
        <v>2903</v>
      </c>
      <c r="B492" s="189" t="str">
        <f>IFERROR(__xludf.DUMMYFUNCTION("FILTER ('Research Papers'!D:D,'Research Papers'!A:A=C492)"),"Concordia: Enabling Low-Conflict Distributed Transaction Scheduling in Sharding Blockchain via Cooperative Perception")</f>
        <v>Concordia: Enabling Low-Conflict Distributed Transaction Scheduling in Sharding Blockchain via Cooperative Perception</v>
      </c>
      <c r="C492" s="189" t="s">
        <v>1254</v>
      </c>
      <c r="D492" s="209" t="str">
        <f t="shared" si="1"/>
        <v>Concordia: Enabling Low-Conflict Distributed Transaction Scheduling in Sharding Blockchain via Cooperative Perception
Yanxiu Liu, Linpeng Jia, Xiaohu Yang, Zhongcheng Li and Yi
Sun
</v>
      </c>
      <c r="E492" s="209" t="str">
        <f>IFERROR(__xludf.DUMMYFUNCTION("TEXTJOIN(CHAR(10), TRUE,FILTER('Research Papers'!$C:$C,'Research Papers'!$A:$A=C492))"),"Yanxiu Liu, Linpeng Jia, Xiaohu Yang, Zhongcheng Li and Yi
Sun")</f>
        <v>Yanxiu Liu, Linpeng Jia, Xiaohu Yang, Zhongcheng Li and Yi
Sun</v>
      </c>
      <c r="F492" s="209" t="str">
        <f>IFERROR(__xludf.DUMMYFUNCTION("TEXTJOIN(CHAR(10), TRUE,FILTER ('Sheridan Main'!E:E,'Sheridan Main'!B:B=C492))"),"sunyi@ict.ac.cn")</f>
        <v>sunyi@ict.ac.cn</v>
      </c>
      <c r="G492" s="210" t="str">
        <f>IFERROR(__xludf.DUMMYFUNCTION("CONCATENATE(""https://dl.acm.org/doi/"",INDEX(FILTER('Sheridan Main'!A:A,'Sheridan Main'!B:B=C492),1))"),"https://dl.acm.org/doi/10.1145/3774904.3792469")</f>
        <v>https://dl.acm.org/doi/10.1145/3774904.3792469</v>
      </c>
      <c r="H492" s="189" t="s">
        <v>2854</v>
      </c>
      <c r="I492" s="189" t="s">
        <v>2906</v>
      </c>
      <c r="J492" s="209"/>
      <c r="K492" s="147"/>
      <c r="L492" s="147"/>
      <c r="M492" s="209"/>
      <c r="N492" s="209"/>
      <c r="O492" s="209"/>
      <c r="P492" s="209"/>
      <c r="Q492" s="209"/>
      <c r="R492" s="209"/>
      <c r="S492" s="209"/>
      <c r="T492" s="209"/>
      <c r="U492" s="209"/>
      <c r="V492" s="209"/>
      <c r="W492" s="209"/>
      <c r="X492" s="209"/>
      <c r="Y492" s="209"/>
      <c r="Z492" s="209"/>
      <c r="AA492" s="209"/>
      <c r="AB492" s="209"/>
      <c r="AC492" s="209"/>
      <c r="AD492" s="209"/>
      <c r="AE492" s="209"/>
    </row>
    <row r="493">
      <c r="A493" s="208" t="s">
        <v>2903</v>
      </c>
      <c r="B493" s="189" t="str">
        <f>IFERROR(__xludf.DUMMYFUNCTION("FILTER ('Research Papers'!D:D,'Research Papers'!A:A=C493)"),"SecureSplit: Mitigating Backdoor Attacks in Split Learning")</f>
        <v>SecureSplit: Mitigating Backdoor Attacks in Split Learning</v>
      </c>
      <c r="C493" s="189" t="s">
        <v>1284</v>
      </c>
      <c r="D493" s="209" t="str">
        <f t="shared" si="1"/>
        <v>SecureSplit: Mitigating Backdoor Attacks in Split Learning
Zhihao Dou, Dongfei Cui, Weida Wang, Anjun Gao, Yueyang
Quan, Mengyao Ma, Viet Vo, Guangdong Bai, Zhuqing Liu and
Minghong Fang
</v>
      </c>
      <c r="E493" s="209" t="str">
        <f>IFERROR(__xludf.DUMMYFUNCTION("TEXTJOIN(CHAR(10), TRUE,FILTER('Research Papers'!$C:$C,'Research Papers'!$A:$A=C493))"),"Zhihao Dou, Dongfei Cui, Weida Wang, Anjun Gao, Yueyang
Quan, Mengyao Ma, Viet Vo, Guangdong Bai, Zhuqing Liu and
Minghong Fang")</f>
        <v>Zhihao Dou, Dongfei Cui, Weida Wang, Anjun Gao, Yueyang
Quan, Mengyao Ma, Viet Vo, Guangdong Bai, Zhuqing Liu and
Minghong Fang</v>
      </c>
      <c r="F493" s="209" t="str">
        <f>IFERROR(__xludf.DUMMYFUNCTION("TEXTJOIN(CHAR(10), TRUE,FILTER ('Sheridan Main'!E:E,'Sheridan Main'!B:B=C493))"),"minghong.fang@louisville.edu")</f>
        <v>minghong.fang@louisville.edu</v>
      </c>
      <c r="G493" s="210" t="str">
        <f>IFERROR(__xludf.DUMMYFUNCTION("CONCATENATE(""https://dl.acm.org/doi/"",INDEX(FILTER('Sheridan Main'!A:A,'Sheridan Main'!B:B=C493),1))"),"https://dl.acm.org/doi/10.1145/3774904.3792484")</f>
        <v>https://dl.acm.org/doi/10.1145/3774904.3792484</v>
      </c>
      <c r="H493" s="189" t="s">
        <v>2854</v>
      </c>
      <c r="I493" s="189" t="s">
        <v>2906</v>
      </c>
      <c r="J493" s="209"/>
      <c r="K493" s="147"/>
      <c r="L493" s="147"/>
      <c r="M493" s="209"/>
      <c r="N493" s="209"/>
      <c r="O493" s="209"/>
      <c r="P493" s="209"/>
      <c r="Q493" s="209"/>
      <c r="R493" s="209"/>
      <c r="S493" s="209"/>
      <c r="T493" s="209"/>
      <c r="U493" s="209"/>
      <c r="V493" s="209"/>
      <c r="W493" s="209"/>
      <c r="X493" s="209"/>
      <c r="Y493" s="209"/>
      <c r="Z493" s="209"/>
      <c r="AA493" s="209"/>
      <c r="AB493" s="209"/>
      <c r="AC493" s="209"/>
      <c r="AD493" s="209"/>
      <c r="AE493" s="209"/>
    </row>
    <row r="494">
      <c r="A494" s="208" t="s">
        <v>2903</v>
      </c>
      <c r="B494" s="189" t="str">
        <f>IFERROR(__xludf.DUMMYFUNCTION("FILTER ('Research Papers'!D:D,'Research Papers'!A:A=C494)"),"Predictability-Aware Compression and Decompression Framework for Multichannel Time Series Data with Latent Seasonality")</f>
        <v>Predictability-Aware Compression and Decompression Framework for Multichannel Time Series Data with Latent Seasonality</v>
      </c>
      <c r="C494" s="189" t="s">
        <v>1292</v>
      </c>
      <c r="D494" s="209" t="str">
        <f t="shared" si="1"/>
        <v>Predictability-Aware Compression and Decompression Framework for Multichannel Time Series Data with Latent Seasonality
Ziqi Liu, Pei Zeng and Yi Ding
</v>
      </c>
      <c r="E494" s="209" t="str">
        <f>IFERROR(__xludf.DUMMYFUNCTION("TEXTJOIN(CHAR(10), TRUE,FILTER('Research Papers'!$C:$C,'Research Papers'!$A:$A=C494))"),"Ziqi Liu, Pei Zeng and Yi Ding")</f>
        <v>Ziqi Liu, Pei Zeng and Yi Ding</v>
      </c>
      <c r="F494" s="209" t="str">
        <f>IFERROR(__xludf.DUMMYFUNCTION("TEXTJOIN(CHAR(10), TRUE,FILTER ('Sheridan Main'!E:E,'Sheridan Main'!B:B=C494))"),"ziqi.liu@utdallas.edu")</f>
        <v>ziqi.liu@utdallas.edu</v>
      </c>
      <c r="G494" s="210" t="str">
        <f>IFERROR(__xludf.DUMMYFUNCTION("CONCATENATE(""https://dl.acm.org/doi/"",INDEX(FILTER('Sheridan Main'!A:A,'Sheridan Main'!B:B=C494),1))"),"https://dl.acm.org/doi/10.1145/3774904.3792488")</f>
        <v>https://dl.acm.org/doi/10.1145/3774904.3792488</v>
      </c>
      <c r="H494" s="189" t="s">
        <v>2854</v>
      </c>
      <c r="I494" s="189" t="s">
        <v>2906</v>
      </c>
      <c r="J494" s="209"/>
      <c r="K494" s="147"/>
      <c r="L494" s="147"/>
      <c r="M494" s="209"/>
      <c r="N494" s="209"/>
      <c r="O494" s="209"/>
      <c r="P494" s="209"/>
      <c r="Q494" s="209"/>
      <c r="R494" s="209"/>
      <c r="S494" s="209"/>
      <c r="T494" s="209"/>
      <c r="U494" s="209"/>
      <c r="V494" s="209"/>
      <c r="W494" s="209"/>
      <c r="X494" s="209"/>
      <c r="Y494" s="209"/>
      <c r="Z494" s="209"/>
      <c r="AA494" s="209"/>
      <c r="AB494" s="209"/>
      <c r="AC494" s="209"/>
      <c r="AD494" s="209"/>
      <c r="AE494" s="209"/>
    </row>
    <row r="495">
      <c r="A495" s="208" t="s">
        <v>2903</v>
      </c>
      <c r="B495" s="189" t="str">
        <f>IFERROR(__xludf.DUMMYFUNCTION("FILTER ('Research Papers'!D:D,'Research Papers'!A:A=C495)"),"Fate: Fast Edge Inference of Mixture-of-Experts Models via Cross-Layer Gate")</f>
        <v>Fate: Fast Edge Inference of Mixture-of-Experts Models via Cross-Layer Gate</v>
      </c>
      <c r="C495" s="189" t="s">
        <v>1370</v>
      </c>
      <c r="D495" s="209" t="str">
        <f t="shared" si="1"/>
        <v>Fate: Fast Edge Inference of Mixture-of-Experts Models via Cross-Layer Gate
Zhiyuan Fang, Xingfan Yu, Yuegui Huang, Zicong Hong, Yufeng
Lyu, Wuhui Chen, Yue Yu and Fan Yu
</v>
      </c>
      <c r="E495" s="209" t="str">
        <f>IFERROR(__xludf.DUMMYFUNCTION("TEXTJOIN(CHAR(10), TRUE,FILTER('Research Papers'!$C:$C,'Research Papers'!$A:$A=C495))"),"Zhiyuan Fang, Xingfan Yu, Yuegui Huang, Zicong Hong, Yufeng
Lyu, Wuhui Chen, Yue Yu and Fan Yu")</f>
        <v>Zhiyuan Fang, Xingfan Yu, Yuegui Huang, Zicong Hong, Yufeng
Lyu, Wuhui Chen, Yue Yu and Fan Yu</v>
      </c>
      <c r="F495" s="209" t="str">
        <f>IFERROR(__xludf.DUMMYFUNCTION("TEXTJOIN(CHAR(10), TRUE,FILTER ('Sheridan Main'!E:E,'Sheridan Main'!B:B=C495))"),"ziconghong@gmail.com")</f>
        <v>ziconghong@gmail.com</v>
      </c>
      <c r="G495" s="210" t="str">
        <f>IFERROR(__xludf.DUMMYFUNCTION("CONCATENATE(""https://dl.acm.org/doi/"",INDEX(FILTER('Sheridan Main'!A:A,'Sheridan Main'!B:B=C495),1))"),"https://dl.acm.org/doi/10.1145/3774904.3792527")</f>
        <v>https://dl.acm.org/doi/10.1145/3774904.3792527</v>
      </c>
      <c r="H495" s="189" t="s">
        <v>2854</v>
      </c>
      <c r="I495" s="189" t="s">
        <v>194</v>
      </c>
      <c r="J495" s="209"/>
      <c r="K495" s="147"/>
      <c r="L495" s="147"/>
      <c r="M495" s="209"/>
      <c r="N495" s="209"/>
      <c r="O495" s="209"/>
      <c r="P495" s="209"/>
      <c r="Q495" s="209"/>
      <c r="R495" s="209"/>
      <c r="S495" s="209"/>
      <c r="T495" s="209"/>
      <c r="U495" s="209"/>
      <c r="V495" s="209"/>
      <c r="W495" s="209"/>
      <c r="X495" s="209"/>
      <c r="Y495" s="209"/>
      <c r="Z495" s="209"/>
      <c r="AA495" s="209"/>
      <c r="AB495" s="209"/>
      <c r="AC495" s="209"/>
      <c r="AD495" s="209"/>
      <c r="AE495" s="209"/>
    </row>
    <row r="496">
      <c r="A496" s="208" t="s">
        <v>2903</v>
      </c>
      <c r="B496" s="189" t="str">
        <f>IFERROR(__xludf.DUMMYFUNCTION("FILTER ('Research Papers'!D:D,'Research Papers'!A:A=C496)"),"BIND: Enabling Continuous Transaction Processing During Account Migration in Sharded Blockchains")</f>
        <v>BIND: Enabling Continuous Transaction Processing During Account Migration in Sharded Blockchains</v>
      </c>
      <c r="C496" s="189" t="s">
        <v>1376</v>
      </c>
      <c r="D496" s="209" t="str">
        <f t="shared" si="1"/>
        <v>BIND: Enabling Continuous Transaction Processing During Account Migration in Sharded Blockchains
Jiahao Qi, Dian Ding, Jie Li, Jiannong Cao, Yi-Chao Chen,
Guangtao Xue and Shengyun Liu
</v>
      </c>
      <c r="E496" s="209" t="str">
        <f>IFERROR(__xludf.DUMMYFUNCTION("TEXTJOIN(CHAR(10), TRUE,FILTER('Research Papers'!$C:$C,'Research Papers'!$A:$A=C496))"),"Jiahao Qi, Dian Ding, Jie Li, Jiannong Cao, Yi-Chao Chen,
Guangtao Xue and Shengyun Liu")</f>
        <v>Jiahao Qi, Dian Ding, Jie Li, Jiannong Cao, Yi-Chao Chen,
Guangtao Xue and Shengyun Liu</v>
      </c>
      <c r="F496" s="209" t="str">
        <f>IFERROR(__xludf.DUMMYFUNCTION("TEXTJOIN(CHAR(10), TRUE,FILTER ('Sheridan Main'!E:E,'Sheridan Main'!B:B=C496))"),"dingdian94@sjtu.edu.cn")</f>
        <v>dingdian94@sjtu.edu.cn</v>
      </c>
      <c r="G496" s="210" t="str">
        <f>IFERROR(__xludf.DUMMYFUNCTION("CONCATENATE(""https://dl.acm.org/doi/"",INDEX(FILTER('Sheridan Main'!A:A,'Sheridan Main'!B:B=C496),1))"),"https://dl.acm.org/doi/10.1145/3774904.3792530")</f>
        <v>https://dl.acm.org/doi/10.1145/3774904.3792530</v>
      </c>
      <c r="H496" s="189" t="s">
        <v>2854</v>
      </c>
      <c r="I496" s="189" t="s">
        <v>194</v>
      </c>
      <c r="J496" s="209"/>
      <c r="K496" s="147"/>
      <c r="L496" s="147"/>
      <c r="M496" s="209"/>
      <c r="N496" s="209"/>
      <c r="O496" s="209"/>
      <c r="P496" s="209"/>
      <c r="Q496" s="209"/>
      <c r="R496" s="209"/>
      <c r="S496" s="209"/>
      <c r="T496" s="209"/>
      <c r="U496" s="209"/>
      <c r="V496" s="209"/>
      <c r="W496" s="209"/>
      <c r="X496" s="209"/>
      <c r="Y496" s="209"/>
      <c r="Z496" s="209"/>
      <c r="AA496" s="209"/>
      <c r="AB496" s="209"/>
      <c r="AC496" s="209"/>
      <c r="AD496" s="209"/>
      <c r="AE496" s="209"/>
    </row>
    <row r="497">
      <c r="A497" s="208" t="s">
        <v>2903</v>
      </c>
      <c r="B497" s="189" t="str">
        <f>IFERROR(__xludf.DUMMYFUNCTION("FILTER ('Research Papers'!D:D,'Research Papers'!A:A=C497)"),"Adaptive Model and Strategy Routing for Cost-Efficient LLM Services")</f>
        <v>Adaptive Model and Strategy Routing for Cost-Efficient LLM Services</v>
      </c>
      <c r="C497" s="189" t="s">
        <v>1428</v>
      </c>
      <c r="D497" s="209" t="str">
        <f t="shared" si="1"/>
        <v>Adaptive Model and Strategy Routing for Cost-Efficient LLM Services
Zhihong Pan, Kai Zhang, Yuze Zhao and Yupeng Han
</v>
      </c>
      <c r="E497" s="209" t="str">
        <f>IFERROR(__xludf.DUMMYFUNCTION("TEXTJOIN(CHAR(10), TRUE,FILTER('Research Papers'!$C:$C,'Research Papers'!$A:$A=C497))"),"Zhihong Pan, Kai Zhang, Yuze Zhao and Yupeng Han")</f>
        <v>Zhihong Pan, Kai Zhang, Yuze Zhao and Yupeng Han</v>
      </c>
      <c r="F497" s="209" t="str">
        <f>IFERROR(__xludf.DUMMYFUNCTION("TEXTJOIN(CHAR(10), TRUE,FILTER ('Sheridan Main'!E:E,'Sheridan Main'!B:B=C497))"),"kkzhang08@ustc.edu.cn")</f>
        <v>kkzhang08@ustc.edu.cn</v>
      </c>
      <c r="G497" s="210" t="str">
        <f>IFERROR(__xludf.DUMMYFUNCTION("CONCATENATE(""https://dl.acm.org/doi/"",INDEX(FILTER('Sheridan Main'!A:A,'Sheridan Main'!B:B=C497),1))"),"https://dl.acm.org/doi/10.1145/3774904.3792556")</f>
        <v>https://dl.acm.org/doi/10.1145/3774904.3792556</v>
      </c>
      <c r="H497" s="189" t="s">
        <v>2854</v>
      </c>
      <c r="I497" s="189" t="s">
        <v>194</v>
      </c>
      <c r="J497" s="209"/>
      <c r="K497" s="147"/>
      <c r="L497" s="147"/>
      <c r="M497" s="209"/>
      <c r="N497" s="209"/>
      <c r="O497" s="209"/>
      <c r="P497" s="209"/>
      <c r="Q497" s="209"/>
      <c r="R497" s="209"/>
      <c r="S497" s="209"/>
      <c r="T497" s="209"/>
      <c r="U497" s="209"/>
      <c r="V497" s="209"/>
      <c r="W497" s="209"/>
      <c r="X497" s="209"/>
      <c r="Y497" s="209"/>
      <c r="Z497" s="209"/>
      <c r="AA497" s="209"/>
      <c r="AB497" s="209"/>
      <c r="AC497" s="209"/>
      <c r="AD497" s="209"/>
      <c r="AE497" s="209"/>
    </row>
    <row r="498">
      <c r="A498" s="208" t="s">
        <v>2903</v>
      </c>
      <c r="B498" s="189" t="str">
        <f>IFERROR(__xludf.DUMMYFUNCTION("FILTER ('Research Papers'!D:D,'Research Papers'!A:A=C498)"),"MetaKube: An Experience-Aware LLM Framework for Kubernetes Failure Diagnosis")</f>
        <v>MetaKube: An Experience-Aware LLM Framework for Kubernetes Failure Diagnosis</v>
      </c>
      <c r="C498" s="189" t="s">
        <v>1578</v>
      </c>
      <c r="D498" s="209" t="str">
        <f t="shared" si="1"/>
        <v>MetaKube: An Experience-Aware LLM Framework for Kubernetes Failure Diagnosis
Wei Sun, Ting Wang, Xinran Tian, Wanshun Lan, Xuhan Feng,
Haoyue Li and Fangxin Wang
</v>
      </c>
      <c r="E498" s="209" t="str">
        <f>IFERROR(__xludf.DUMMYFUNCTION("TEXTJOIN(CHAR(10), TRUE,FILTER('Research Papers'!$C:$C,'Research Papers'!$A:$A=C498))"),"Wei Sun, Ting Wang, Xinran Tian, Wanshun Lan, Xuhan Feng,
Haoyue Li and Fangxin Wang")</f>
        <v>Wei Sun, Ting Wang, Xinran Tian, Wanshun Lan, Xuhan Feng,
Haoyue Li and Fangxin Wang</v>
      </c>
      <c r="F498" s="209" t="str">
        <f>IFERROR(__xludf.DUMMYFUNCTION("TEXTJOIN(CHAR(10), TRUE,FILTER ('Sheridan Main'!E:E,'Sheridan Main'!B:B=C498))"),"wangfangxin@cuhk.edu.cn")</f>
        <v>wangfangxin@cuhk.edu.cn</v>
      </c>
      <c r="G498" s="210" t="str">
        <f>IFERROR(__xludf.DUMMYFUNCTION("CONCATENATE(""https://dl.acm.org/doi/"",INDEX(FILTER('Sheridan Main'!A:A,'Sheridan Main'!B:B=C498),1))"),"https://dl.acm.org/doi/10.1145/3774904.3792631")</f>
        <v>https://dl.acm.org/doi/10.1145/3774904.3792631</v>
      </c>
      <c r="H498" s="189" t="s">
        <v>2854</v>
      </c>
      <c r="I498" s="189" t="s">
        <v>194</v>
      </c>
      <c r="J498" s="209"/>
      <c r="K498" s="147"/>
      <c r="L498" s="147"/>
      <c r="M498" s="209"/>
      <c r="N498" s="209"/>
      <c r="O498" s="209"/>
      <c r="P498" s="209"/>
      <c r="Q498" s="209"/>
      <c r="R498" s="209"/>
      <c r="S498" s="209"/>
      <c r="T498" s="209"/>
      <c r="U498" s="209"/>
      <c r="V498" s="209"/>
      <c r="W498" s="209"/>
      <c r="X498" s="209"/>
      <c r="Y498" s="209"/>
      <c r="Z498" s="209"/>
      <c r="AA498" s="209"/>
      <c r="AB498" s="209"/>
      <c r="AC498" s="209"/>
      <c r="AD498" s="209"/>
      <c r="AE498" s="209"/>
    </row>
    <row r="499">
      <c r="A499" s="208" t="s">
        <v>2903</v>
      </c>
      <c r="B499" s="189" t="str">
        <f>IFERROR(__xludf.DUMMYFUNCTION("FILTER ('Research Papers'!D:D,'Research Papers'!A:A=C499)"),"Amortized Predictability-aware Training Framework for Time Series Forecasting and Classification")</f>
        <v>Amortized Predictability-aware Training Framework for Time Series Forecasting and Classification</v>
      </c>
      <c r="C499" s="189" t="s">
        <v>1590</v>
      </c>
      <c r="D499" s="209" t="str">
        <f t="shared" si="1"/>
        <v>Amortized Predictability-aware Training Framework for Time Series Forecasting and Classification
Xu Zhang, Peng Wang, Yichen Li and Wei Wang
</v>
      </c>
      <c r="E499" s="209" t="str">
        <f>IFERROR(__xludf.DUMMYFUNCTION("TEXTJOIN(CHAR(10), TRUE,FILTER('Research Papers'!$C:$C,'Research Papers'!$A:$A=C499))"),"Xu Zhang, Peng Wang, Yichen Li and Wei Wang")</f>
        <v>Xu Zhang, Peng Wang, Yichen Li and Wei Wang</v>
      </c>
      <c r="F499" s="209" t="str">
        <f>IFERROR(__xludf.DUMMYFUNCTION("TEXTJOIN(CHAR(10), TRUE,FILTER ('Sheridan Main'!E:E,'Sheridan Main'!B:B=C499))"),"pengwang5@fudan.edu.cn")</f>
        <v>pengwang5@fudan.edu.cn</v>
      </c>
      <c r="G499" s="210" t="str">
        <f>IFERROR(__xludf.DUMMYFUNCTION("CONCATENATE(""https://dl.acm.org/doi/"",INDEX(FILTER('Sheridan Main'!A:A,'Sheridan Main'!B:B=C499),1))"),"https://dl.acm.org/doi/10.1145/3774904.3792637")</f>
        <v>https://dl.acm.org/doi/10.1145/3774904.3792637</v>
      </c>
      <c r="H499" s="189" t="s">
        <v>2854</v>
      </c>
      <c r="I499" s="189" t="s">
        <v>194</v>
      </c>
      <c r="J499" s="209"/>
      <c r="K499" s="147"/>
      <c r="L499" s="147"/>
      <c r="M499" s="209"/>
      <c r="N499" s="209"/>
      <c r="O499" s="209"/>
      <c r="P499" s="209"/>
      <c r="Q499" s="209"/>
      <c r="R499" s="209"/>
      <c r="S499" s="209"/>
      <c r="T499" s="209"/>
      <c r="U499" s="209"/>
      <c r="V499" s="209"/>
      <c r="W499" s="209"/>
      <c r="X499" s="209"/>
      <c r="Y499" s="209"/>
      <c r="Z499" s="209"/>
      <c r="AA499" s="209"/>
      <c r="AB499" s="209"/>
      <c r="AC499" s="209"/>
      <c r="AD499" s="209"/>
      <c r="AE499" s="209"/>
    </row>
    <row r="500">
      <c r="A500" s="208" t="s">
        <v>2903</v>
      </c>
      <c r="B500" s="189" t="str">
        <f>IFERROR(__xludf.DUMMYFUNCTION("FILTER ('Research Papers'!D:D,'Research Papers'!A:A=C500)"),"FovRL: Joint Foveation and Quality Control for Immersive VR Streaming Using Reinforcement Learning")</f>
        <v>FovRL: Joint Foveation and Quality Control for Immersive VR Streaming Using Reinforcement Learning</v>
      </c>
      <c r="C500" s="189" t="s">
        <v>1602</v>
      </c>
      <c r="D500" s="209" t="str">
        <f t="shared" si="1"/>
        <v>FovRL: Joint Foveation and Quality Control for Immersive VR Streaming Using Reinforcement Learning
Yuk Hang Tsui, Ze Wu, Ahmad Alhilal, Matti Siekkinen and
Pan Hui
</v>
      </c>
      <c r="E500" s="209" t="str">
        <f>IFERROR(__xludf.DUMMYFUNCTION("TEXTJOIN(CHAR(10), TRUE,FILTER('Research Papers'!$C:$C,'Research Papers'!$A:$A=C500))"),"Yuk Hang Tsui, Ze Wu, Ahmad Alhilal, Matti Siekkinen and
Pan Hui")</f>
        <v>Yuk Hang Tsui, Ze Wu, Ahmad Alhilal, Matti Siekkinen and
Pan Hui</v>
      </c>
      <c r="F500" s="209" t="str">
        <f>IFERROR(__xludf.DUMMYFUNCTION("TEXTJOIN(CHAR(10), TRUE,FILTER ('Sheridan Main'!E:E,'Sheridan Main'!B:B=C500))"),"yhtsui@connect.ust.hk")</f>
        <v>yhtsui@connect.ust.hk</v>
      </c>
      <c r="G500" s="210" t="str">
        <f>IFERROR(__xludf.DUMMYFUNCTION("CONCATENATE(""https://dl.acm.org/doi/"",INDEX(FILTER('Sheridan Main'!A:A,'Sheridan Main'!B:B=C500),1))"),"https://dl.acm.org/doi/10.1145/3774904.3792643")</f>
        <v>https://dl.acm.org/doi/10.1145/3774904.3792643</v>
      </c>
      <c r="H500" s="189" t="s">
        <v>2854</v>
      </c>
      <c r="I500" s="189" t="s">
        <v>194</v>
      </c>
      <c r="J500" s="209"/>
      <c r="K500" s="147"/>
      <c r="L500" s="147"/>
      <c r="M500" s="209"/>
      <c r="N500" s="209"/>
      <c r="O500" s="209"/>
      <c r="P500" s="209"/>
      <c r="Q500" s="209"/>
      <c r="R500" s="209"/>
      <c r="S500" s="209"/>
      <c r="T500" s="209"/>
      <c r="U500" s="209"/>
      <c r="V500" s="209"/>
      <c r="W500" s="209"/>
      <c r="X500" s="209"/>
      <c r="Y500" s="209"/>
      <c r="Z500" s="209"/>
      <c r="AA500" s="209"/>
      <c r="AB500" s="209"/>
      <c r="AC500" s="209"/>
      <c r="AD500" s="209"/>
      <c r="AE500" s="209"/>
    </row>
    <row r="501">
      <c r="A501" s="208" t="s">
        <v>2903</v>
      </c>
      <c r="B501" s="189" t="str">
        <f>IFERROR(__xludf.DUMMYFUNCTION("FILTER ('Research Papers'!D:D,'Research Papers'!A:A=C501)"),"SuperEar: Eavesdropping on Mobile Voice Calls via Stealthy Acoustic Metamaterials")</f>
        <v>SuperEar: Eavesdropping on Mobile Voice Calls via Stealthy Acoustic Metamaterials</v>
      </c>
      <c r="C501" s="189" t="s">
        <v>1608</v>
      </c>
      <c r="D501" s="209" t="str">
        <f t="shared" si="1"/>
        <v>SuperEar: Eavesdropping on Mobile Voice Calls via Stealthy Acoustic Metamaterials
Zhiyuan Ning, Zhanyong Tang, Juan He, Weizhi Meng, Yuntian
Chen, Jie Zhang and Zheng Wang
</v>
      </c>
      <c r="E501" s="209" t="str">
        <f>IFERROR(__xludf.DUMMYFUNCTION("TEXTJOIN(CHAR(10), TRUE,FILTER('Research Papers'!$C:$C,'Research Papers'!$A:$A=C501))"),"Zhiyuan Ning, Zhanyong Tang, Juan He, Weizhi Meng, Yuntian
Chen, Jie Zhang and Zheng Wang")</f>
        <v>Zhiyuan Ning, Zhanyong Tang, Juan He, Weizhi Meng, Yuntian
Chen, Jie Zhang and Zheng Wang</v>
      </c>
      <c r="F501" s="209" t="str">
        <f>IFERROR(__xludf.DUMMYFUNCTION("TEXTJOIN(CHAR(10), TRUE,FILTER ('Sheridan Main'!E:E,'Sheridan Main'!B:B=C501))"),"zytang@nwu.edu.cn")</f>
        <v>zytang@nwu.edu.cn</v>
      </c>
      <c r="G501" s="210" t="str">
        <f>IFERROR(__xludf.DUMMYFUNCTION("CONCATENATE(""https://dl.acm.org/doi/"",INDEX(FILTER('Sheridan Main'!A:A,'Sheridan Main'!B:B=C501),1))"),"https://dl.acm.org/doi/10.1145/3774904.3792646")</f>
        <v>https://dl.acm.org/doi/10.1145/3774904.3792646</v>
      </c>
      <c r="H501" s="189" t="s">
        <v>2854</v>
      </c>
      <c r="I501" s="189" t="s">
        <v>194</v>
      </c>
      <c r="J501" s="209"/>
      <c r="K501" s="147"/>
      <c r="L501" s="147"/>
      <c r="M501" s="209"/>
      <c r="N501" s="209"/>
      <c r="O501" s="209"/>
      <c r="P501" s="209"/>
      <c r="Q501" s="209"/>
      <c r="R501" s="209"/>
      <c r="S501" s="209"/>
      <c r="T501" s="209"/>
      <c r="U501" s="209"/>
      <c r="V501" s="209"/>
      <c r="W501" s="209"/>
      <c r="X501" s="209"/>
      <c r="Y501" s="209"/>
      <c r="Z501" s="209"/>
      <c r="AA501" s="209"/>
      <c r="AB501" s="209"/>
      <c r="AC501" s="209"/>
      <c r="AD501" s="209"/>
      <c r="AE501" s="209"/>
    </row>
    <row r="502">
      <c r="A502" s="208" t="s">
        <v>2903</v>
      </c>
      <c r="B502" s="189" t="str">
        <f>IFERROR(__xludf.DUMMYFUNCTION("FILTER ('Research Papers'!D:D,'Research Papers'!A:A=C502)"),"FedMHO: Heterogeneous One-Shot Federated Learning Towards Resource-Constrained Clients")</f>
        <v>FedMHO: Heterogeneous One-Shot Federated Learning Towards Resource-Constrained Clients</v>
      </c>
      <c r="C502" s="189" t="s">
        <v>1802</v>
      </c>
      <c r="D502" s="209" t="str">
        <f t="shared" si="1"/>
        <v>FedMHO: Heterogeneous One-Shot Federated Learning Towards Resource-Constrained Clients
Dezhong Yao, Tongtong Liu, Yuexin Shi and Zhiqiang Xu
</v>
      </c>
      <c r="E502" s="209" t="str">
        <f>IFERROR(__xludf.DUMMYFUNCTION("TEXTJOIN(CHAR(10), TRUE,FILTER('Research Papers'!$C:$C,'Research Papers'!$A:$A=C502))"),"Dezhong Yao, Tongtong Liu, Yuexin Shi and Zhiqiang Xu")</f>
        <v>Dezhong Yao, Tongtong Liu, Yuexin Shi and Zhiqiang Xu</v>
      </c>
      <c r="F502" s="209" t="str">
        <f>IFERROR(__xludf.DUMMYFUNCTION("TEXTJOIN(CHAR(10), TRUE,FILTER ('Sheridan Main'!E:E,'Sheridan Main'!B:B=C502))"),"dyao@hust.edu.cn")</f>
        <v>dyao@hust.edu.cn</v>
      </c>
      <c r="G502" s="210" t="str">
        <f>IFERROR(__xludf.DUMMYFUNCTION("CONCATENATE(""https://dl.acm.org/doi/"",INDEX(FILTER('Sheridan Main'!A:A,'Sheridan Main'!B:B=C502),1))"),"https://dl.acm.org/doi/10.1145/3774904.3792743")</f>
        <v>https://dl.acm.org/doi/10.1145/3774904.3792743</v>
      </c>
      <c r="H502" s="189" t="s">
        <v>2854</v>
      </c>
      <c r="I502" s="189" t="s">
        <v>194</v>
      </c>
      <c r="J502" s="209"/>
      <c r="K502" s="147"/>
      <c r="L502" s="147"/>
      <c r="M502" s="209"/>
      <c r="N502" s="209"/>
      <c r="O502" s="209"/>
      <c r="P502" s="209"/>
      <c r="Q502" s="209"/>
      <c r="R502" s="209"/>
      <c r="S502" s="209"/>
      <c r="T502" s="209"/>
      <c r="U502" s="209"/>
      <c r="V502" s="209"/>
      <c r="W502" s="209"/>
      <c r="X502" s="209"/>
      <c r="Y502" s="209"/>
      <c r="Z502" s="209"/>
      <c r="AA502" s="209"/>
      <c r="AB502" s="209"/>
      <c r="AC502" s="209"/>
      <c r="AD502" s="209"/>
      <c r="AE502" s="209"/>
    </row>
    <row r="503">
      <c r="A503" s="208" t="s">
        <v>2907</v>
      </c>
      <c r="B503" s="189" t="str">
        <f>IFERROR(__xludf.DUMMYFUNCTION("FILTER ('Research Papers'!D:D,'Research Papers'!A:A=C503)"),"ThinkRec: Thinking-based recommendation via LLM")</f>
        <v>ThinkRec: Thinking-based recommendation via LLM</v>
      </c>
      <c r="C503" s="189" t="s">
        <v>456</v>
      </c>
      <c r="D503" s="209" t="str">
        <f t="shared" si="1"/>
        <v>ThinkRec: Thinking-based recommendation via LLM
Qihang Yu, Kairui Fu, Zheqi Lv, Shengyu Zhang, Xinhui Wu,
Chen Lin, Feng Wei, Bo Zheng and Fei Wu
</v>
      </c>
      <c r="E503" s="209" t="str">
        <f>IFERROR(__xludf.DUMMYFUNCTION("TEXTJOIN(CHAR(10), TRUE,FILTER('Research Papers'!$C:$C,'Research Papers'!$A:$A=C503))"),"Qihang Yu, Kairui Fu, Zheqi Lv, Shengyu Zhang, Xinhui Wu,
Chen Lin, Feng Wei, Bo Zheng and Fei Wu")</f>
        <v>Qihang Yu, Kairui Fu, Zheqi Lv, Shengyu Zhang, Xinhui Wu,
Chen Lin, Feng Wei, Bo Zheng and Fei Wu</v>
      </c>
      <c r="F503" s="209" t="str">
        <f>IFERROR(__xludf.DUMMYFUNCTION("TEXTJOIN(CHAR(10), TRUE,FILTER ('Sheridan Main'!E:E,'Sheridan Main'!B:B=C503))"),"yuqihang@zju.edu.cn")</f>
        <v>yuqihang@zju.edu.cn</v>
      </c>
      <c r="G503" s="210" t="str">
        <f>IFERROR(__xludf.DUMMYFUNCTION("CONCATENATE(""https://dl.acm.org/doi/"",INDEX(FILTER('Sheridan Main'!A:A,'Sheridan Main'!B:B=C503),1))"),"https://dl.acm.org/doi/10.1145/3774904.3792070")</f>
        <v>https://dl.acm.org/doi/10.1145/3774904.3792070</v>
      </c>
      <c r="H503" s="189" t="s">
        <v>83</v>
      </c>
      <c r="I503" s="209"/>
      <c r="J503" s="209"/>
      <c r="K503" s="147"/>
      <c r="L503" s="147"/>
      <c r="M503" s="209"/>
      <c r="N503" s="209"/>
      <c r="O503" s="209"/>
      <c r="P503" s="209"/>
      <c r="Q503" s="209"/>
      <c r="R503" s="209"/>
      <c r="S503" s="209"/>
      <c r="T503" s="209"/>
      <c r="U503" s="209"/>
      <c r="V503" s="209"/>
      <c r="W503" s="209"/>
      <c r="X503" s="209"/>
      <c r="Y503" s="209"/>
      <c r="Z503" s="209"/>
      <c r="AA503" s="209"/>
      <c r="AB503" s="209"/>
      <c r="AC503" s="209"/>
      <c r="AD503" s="209"/>
      <c r="AE503" s="209"/>
    </row>
    <row r="504">
      <c r="A504" s="208" t="s">
        <v>2907</v>
      </c>
      <c r="B504" s="189" t="str">
        <f>IFERROR(__xludf.DUMMYFUNCTION("FILTER ('Research Papers'!D:D,'Research Papers'!A:A=C504)"),"Iterative Semantic Reasoning from Individual to Group Interests for Generative Recommendation with LLMs")</f>
        <v>Iterative Semantic Reasoning from Individual to Group Interests for Generative Recommendation with LLMs</v>
      </c>
      <c r="C504" s="189" t="s">
        <v>562</v>
      </c>
      <c r="D504" s="209" t="str">
        <f t="shared" si="1"/>
        <v>Iterative Semantic Reasoning from Individual to Group Interests for Generative Recommendation with LLMs
Xiaofei Zhu, Jinfei Chen, Feiyang Yuan and Yang Zhou
</v>
      </c>
      <c r="E504" s="209" t="str">
        <f>IFERROR(__xludf.DUMMYFUNCTION("TEXTJOIN(CHAR(10), TRUE,FILTER('Research Papers'!$C:$C,'Research Papers'!$A:$A=C504))"),"Xiaofei Zhu, Jinfei Chen, Feiyang Yuan and Yang Zhou")</f>
        <v>Xiaofei Zhu, Jinfei Chen, Feiyang Yuan and Yang Zhou</v>
      </c>
      <c r="F504" s="209" t="str">
        <f>IFERROR(__xludf.DUMMYFUNCTION("TEXTJOIN(CHAR(10), TRUE,FILTER ('Sheridan Main'!E:E,'Sheridan Main'!B:B=C504))"),"zhouzhouyang520@126.com")</f>
        <v>zhouzhouyang520@126.com</v>
      </c>
      <c r="G504" s="210" t="str">
        <f>IFERROR(__xludf.DUMMYFUNCTION("CONCATENATE(""https://dl.acm.org/doi/"",INDEX(FILTER('Sheridan Main'!A:A,'Sheridan Main'!B:B=C504),1))"),"https://dl.acm.org/doi/10.1145/3774904.3792123")</f>
        <v>https://dl.acm.org/doi/10.1145/3774904.3792123</v>
      </c>
      <c r="H504" s="189" t="s">
        <v>83</v>
      </c>
      <c r="I504" s="209"/>
      <c r="J504" s="209"/>
      <c r="K504" s="147"/>
      <c r="L504" s="147"/>
      <c r="M504" s="209"/>
      <c r="N504" s="209"/>
      <c r="O504" s="209"/>
      <c r="P504" s="209"/>
      <c r="Q504" s="209"/>
      <c r="R504" s="209"/>
      <c r="S504" s="209"/>
      <c r="T504" s="209"/>
      <c r="U504" s="209"/>
      <c r="V504" s="209"/>
      <c r="W504" s="209"/>
      <c r="X504" s="209"/>
      <c r="Y504" s="209"/>
      <c r="Z504" s="209"/>
      <c r="AA504" s="209"/>
      <c r="AB504" s="209"/>
      <c r="AC504" s="209"/>
      <c r="AD504" s="209"/>
      <c r="AE504" s="209"/>
    </row>
    <row r="505">
      <c r="A505" s="208" t="s">
        <v>2907</v>
      </c>
      <c r="B505" s="189" t="str">
        <f>IFERROR(__xludf.DUMMYFUNCTION("FILTER ('Research Papers'!D:D,'Research Papers'!A:A=C505)"),"Reinforcement Learning-Constrained Segmented User Modeling with Large Language Models for Recommendation")</f>
        <v>Reinforcement Learning-Constrained Segmented User Modeling with Large Language Models for Recommendation</v>
      </c>
      <c r="C505" s="189" t="s">
        <v>576</v>
      </c>
      <c r="D505" s="209" t="str">
        <f t="shared" si="1"/>
        <v>Reinforcement Learning-Constrained Segmented User Modeling with Large Language Models for Recommendation
Yu Xia, Qing Tan, He Chen, Jingyu Chen and Qian Dong
</v>
      </c>
      <c r="E505" s="209" t="str">
        <f>IFERROR(__xludf.DUMMYFUNCTION("TEXTJOIN(CHAR(10), TRUE,FILTER('Research Papers'!$C:$C,'Research Papers'!$A:$A=C505))"),"Yu Xia, Qing Tan, He Chen, Jingyu Chen and Qian Dong")</f>
        <v>Yu Xia, Qing Tan, He Chen, Jingyu Chen and Qian Dong</v>
      </c>
      <c r="F505" s="209" t="str">
        <f>IFERROR(__xludf.DUMMYFUNCTION("TEXTJOIN(CHAR(10), TRUE,FILTER ('Sheridan Main'!E:E,'Sheridan Main'!B:B=C505))"),"dongqian@iscas.ac.cn")</f>
        <v>dongqian@iscas.ac.cn</v>
      </c>
      <c r="G505" s="210" t="str">
        <f>IFERROR(__xludf.DUMMYFUNCTION("CONCATENATE(""https://dl.acm.org/doi/"",INDEX(FILTER('Sheridan Main'!A:A,'Sheridan Main'!B:B=C505),1))"),"https://dl.acm.org/doi/10.1145/3774904.3792130")</f>
        <v>https://dl.acm.org/doi/10.1145/3774904.3792130</v>
      </c>
      <c r="H505" s="189" t="s">
        <v>83</v>
      </c>
      <c r="I505" s="209"/>
      <c r="J505" s="209"/>
      <c r="K505" s="147"/>
      <c r="L505" s="147"/>
      <c r="M505" s="209"/>
      <c r="N505" s="209"/>
      <c r="O505" s="209"/>
      <c r="P505" s="209"/>
      <c r="Q505" s="209"/>
      <c r="R505" s="209"/>
      <c r="S505" s="209"/>
      <c r="T505" s="209"/>
      <c r="U505" s="209"/>
      <c r="V505" s="209"/>
      <c r="W505" s="209"/>
      <c r="X505" s="209"/>
      <c r="Y505" s="209"/>
      <c r="Z505" s="209"/>
      <c r="AA505" s="209"/>
      <c r="AB505" s="209"/>
      <c r="AC505" s="209"/>
      <c r="AD505" s="209"/>
      <c r="AE505" s="209"/>
    </row>
    <row r="506">
      <c r="A506" s="208" t="s">
        <v>2907</v>
      </c>
      <c r="B506" s="189" t="str">
        <f>IFERROR(__xludf.DUMMYFUNCTION("FILTER ('Research Papers'!D:D,'Research Papers'!A:A=C506)"),"Multi-Task Multi-Behavior Sequential Recommendation")</f>
        <v>Multi-Task Multi-Behavior Sequential Recommendation</v>
      </c>
      <c r="C506" s="189" t="s">
        <v>690</v>
      </c>
      <c r="D506" s="209" t="str">
        <f t="shared" si="1"/>
        <v>Multi-Task Multi-Behavior Sequential Recommendation
Weihao Du, Ziran Deng, Weike Pan and Zhong Ming
</v>
      </c>
      <c r="E506" s="209" t="str">
        <f>IFERROR(__xludf.DUMMYFUNCTION("TEXTJOIN(CHAR(10), TRUE,FILTER('Research Papers'!$C:$C,'Research Papers'!$A:$A=C506))"),"Weihao Du, Ziran Deng, Weike Pan and Zhong Ming")</f>
        <v>Weihao Du, Ziran Deng, Weike Pan and Zhong Ming</v>
      </c>
      <c r="F506" s="209" t="str">
        <f>IFERROR(__xludf.DUMMYFUNCTION("TEXTJOIN(CHAR(10), TRUE,FILTER ('Sheridan Main'!E:E,'Sheridan Main'!B:B=C506))"),"panweike@szu.edu.cn")</f>
        <v>panweike@szu.edu.cn</v>
      </c>
      <c r="G506" s="210" t="str">
        <f>IFERROR(__xludf.DUMMYFUNCTION("CONCATENATE(""https://dl.acm.org/doi/"",INDEX(FILTER('Sheridan Main'!A:A,'Sheridan Main'!B:B=C506),1))"),"https://dl.acm.org/doi/10.1145/3774904.3792187")</f>
        <v>https://dl.acm.org/doi/10.1145/3774904.3792187</v>
      </c>
      <c r="H506" s="189" t="s">
        <v>83</v>
      </c>
      <c r="I506" s="209"/>
      <c r="J506" s="209"/>
      <c r="K506" s="147"/>
      <c r="L506" s="147"/>
      <c r="M506" s="209"/>
      <c r="N506" s="209"/>
      <c r="O506" s="209"/>
      <c r="P506" s="209"/>
      <c r="Q506" s="209"/>
      <c r="R506" s="209"/>
      <c r="S506" s="209"/>
      <c r="T506" s="209"/>
      <c r="U506" s="209"/>
      <c r="V506" s="209"/>
      <c r="W506" s="209"/>
      <c r="X506" s="209"/>
      <c r="Y506" s="209"/>
      <c r="Z506" s="209"/>
      <c r="AA506" s="209"/>
      <c r="AB506" s="209"/>
      <c r="AC506" s="209"/>
      <c r="AD506" s="209"/>
      <c r="AE506" s="209"/>
    </row>
    <row r="507">
      <c r="A507" s="208" t="s">
        <v>2907</v>
      </c>
      <c r="B507" s="189" t="str">
        <f>IFERROR(__xludf.DUMMYFUNCTION("FILTER ('Research Papers'!D:D,'Research Papers'!A:A=C507)"),"RMBRec: Robust Multi-Behavior Recommendation towards Target Behaviors")</f>
        <v>RMBRec: Robust Multi-Behavior Recommendation towards Target Behaviors</v>
      </c>
      <c r="C507" s="189" t="s">
        <v>1550</v>
      </c>
      <c r="D507" s="209" t="str">
        <f t="shared" si="1"/>
        <v>RMBRec: Robust Multi-Behavior Recommendation towards Target Behaviors
Miaomiao Cai, Zhijie Zhang, Junfeng Fang, Zhiyong Cheng,
Xiang Wang and Meng Wang
</v>
      </c>
      <c r="E507" s="209" t="str">
        <f>IFERROR(__xludf.DUMMYFUNCTION("TEXTJOIN(CHAR(10), TRUE,FILTER('Research Papers'!$C:$C,'Research Papers'!$A:$A=C507))"),"Miaomiao Cai, Zhijie Zhang, Junfeng Fang, Zhiyong Cheng,
Xiang Wang and Meng Wang")</f>
        <v>Miaomiao Cai, Zhijie Zhang, Junfeng Fang, Zhiyong Cheng,
Xiang Wang and Meng Wang</v>
      </c>
      <c r="F507" s="209" t="str">
        <f>IFERROR(__xludf.DUMMYFUNCTION("TEXTJOIN(CHAR(10), TRUE,FILTER ('Sheridan Main'!E:E,'Sheridan Main'!B:B=C507))"),"cmm.hfut@gmail.com")</f>
        <v>cmm.hfut@gmail.com</v>
      </c>
      <c r="G507" s="210" t="str">
        <f>IFERROR(__xludf.DUMMYFUNCTION("CONCATENATE(""https://dl.acm.org/doi/"",INDEX(FILTER('Sheridan Main'!A:A,'Sheridan Main'!B:B=C507),1))"),"https://dl.acm.org/doi/10.1145/3774904.3792617")</f>
        <v>https://dl.acm.org/doi/10.1145/3774904.3792617</v>
      </c>
      <c r="H507" s="189" t="s">
        <v>83</v>
      </c>
      <c r="I507" s="209"/>
      <c r="J507" s="209"/>
      <c r="K507" s="147"/>
      <c r="L507" s="147"/>
      <c r="M507" s="209"/>
      <c r="N507" s="209"/>
      <c r="O507" s="209"/>
      <c r="P507" s="209"/>
      <c r="Q507" s="209"/>
      <c r="R507" s="209"/>
      <c r="S507" s="209"/>
      <c r="T507" s="209"/>
      <c r="U507" s="209"/>
      <c r="V507" s="209"/>
      <c r="W507" s="209"/>
      <c r="X507" s="209"/>
      <c r="Y507" s="209"/>
      <c r="Z507" s="209"/>
      <c r="AA507" s="209"/>
      <c r="AB507" s="209"/>
      <c r="AC507" s="209"/>
      <c r="AD507" s="209"/>
      <c r="AE507" s="209"/>
    </row>
    <row r="508">
      <c r="A508" s="208" t="s">
        <v>2907</v>
      </c>
      <c r="B508" s="189" t="str">
        <f>IFERROR(__xludf.DUMMYFUNCTION("FILTER ('Research Papers'!D:D,'Research Papers'!A:A=C508)"),"Pathways of Thoughts: Multi-Directional Thinking for Long-form Personalized Question Answering")</f>
        <v>Pathways of Thoughts: Multi-Directional Thinking for Long-form Personalized Question Answering</v>
      </c>
      <c r="C508" s="189" t="s">
        <v>606</v>
      </c>
      <c r="D508" s="209" t="str">
        <f t="shared" si="1"/>
        <v>Pathways of Thoughts: Multi-Directional Thinking for Long-form Personalized Question Answering
Alireza Salemi, Cheng Li, Mingyang Zhang, Qiaozhu Mei,
Zhuowan Li, Spurthi Amba Hombaiah, Weize Kong, Tao Chen,
Hamed Zamani and Michael Bendersky
</v>
      </c>
      <c r="E508" s="209" t="str">
        <f>IFERROR(__xludf.DUMMYFUNCTION("TEXTJOIN(CHAR(10), TRUE,FILTER('Research Papers'!$C:$C,'Research Papers'!$A:$A=C508))"),"Alireza Salemi, Cheng Li, Mingyang Zhang, Qiaozhu Mei,
Zhuowan Li, Spurthi Amba Hombaiah, Weize Kong, Tao Chen,
Hamed Zamani and Michael Bendersky")</f>
        <v>Alireza Salemi, Cheng Li, Mingyang Zhang, Qiaozhu Mei,
Zhuowan Li, Spurthi Amba Hombaiah, Weize Kong, Tao Chen,
Hamed Zamani and Michael Bendersky</v>
      </c>
      <c r="F508" s="209" t="str">
        <f>IFERROR(__xludf.DUMMYFUNCTION("TEXTJOIN(CHAR(10), TRUE,FILTER ('Sheridan Main'!E:E,'Sheridan Main'!B:B=C508))"),"asalemi@cs.umass.edu")</f>
        <v>asalemi@cs.umass.edu</v>
      </c>
      <c r="G508" s="210" t="str">
        <f>IFERROR(__xludf.DUMMYFUNCTION("CONCATENATE(""https://dl.acm.org/doi/"",INDEX(FILTER('Sheridan Main'!A:A,'Sheridan Main'!B:B=C508),1))"),"https://dl.acm.org/doi/10.1145/3774904.3792145")</f>
        <v>https://dl.acm.org/doi/10.1145/3774904.3792145</v>
      </c>
      <c r="H508" s="189" t="s">
        <v>209</v>
      </c>
      <c r="I508" s="209"/>
      <c r="J508" s="209"/>
      <c r="K508" s="147"/>
      <c r="L508" s="147"/>
      <c r="M508" s="209"/>
      <c r="N508" s="209"/>
      <c r="O508" s="209"/>
      <c r="P508" s="209"/>
      <c r="Q508" s="209"/>
      <c r="R508" s="209"/>
      <c r="S508" s="209"/>
      <c r="T508" s="209"/>
      <c r="U508" s="209"/>
      <c r="V508" s="209"/>
      <c r="W508" s="209"/>
      <c r="X508" s="209"/>
      <c r="Y508" s="209"/>
      <c r="Z508" s="209"/>
      <c r="AA508" s="209"/>
      <c r="AB508" s="209"/>
      <c r="AC508" s="209"/>
      <c r="AD508" s="209"/>
      <c r="AE508" s="209"/>
    </row>
    <row r="509">
      <c r="A509" s="208" t="s">
        <v>2907</v>
      </c>
      <c r="B509" s="189" t="str">
        <f>IFERROR(__xludf.DUMMYFUNCTION("FILTER ('Research Papers'!D:D,'Research Papers'!A:A=C509)"),"HyMiRec: A Hybrid Multi-interest Learning Framework for LLM-based Sequential Recommendation")</f>
        <v>HyMiRec: A Hybrid Multi-interest Learning Framework for LLM-based Sequential Recommendation</v>
      </c>
      <c r="C509" s="189" t="s">
        <v>750</v>
      </c>
      <c r="D509" s="209" t="str">
        <f t="shared" si="1"/>
        <v>HyMiRec: A Hybrid Multi-interest Learning Framework for LLM-based Sequential Recommendation
Jingyi Zhou, Cheng Chen, Kai Zuo, Manjie Xu, Zhendong Fu,
Yibo Chen, Xu Tang and Yao Hu
</v>
      </c>
      <c r="E509" s="209" t="str">
        <f>IFERROR(__xludf.DUMMYFUNCTION("TEXTJOIN(CHAR(10), TRUE,FILTER('Research Papers'!$C:$C,'Research Papers'!$A:$A=C509))"),"Jingyi Zhou, Cheng Chen, Kai Zuo, Manjie Xu, Zhendong Fu,
Yibo Chen, Xu Tang and Yao Hu")</f>
        <v>Jingyi Zhou, Cheng Chen, Kai Zuo, Manjie Xu, Zhendong Fu,
Yibo Chen, Xu Tang and Yao Hu</v>
      </c>
      <c r="F509" s="209" t="str">
        <f>IFERROR(__xludf.DUMMYFUNCTION("TEXTJOIN(CHAR(10), TRUE,FILTER ('Sheridan Main'!E:E,'Sheridan Main'!B:B=C509))"),"zhoujingyi19@fudan.edu.cn")</f>
        <v>zhoujingyi19@fudan.edu.cn</v>
      </c>
      <c r="G509" s="210" t="str">
        <f>IFERROR(__xludf.DUMMYFUNCTION("CONCATENATE(""https://dl.acm.org/doi/"",INDEX(FILTER('Sheridan Main'!A:A,'Sheridan Main'!B:B=C509),1))"),"https://dl.acm.org/doi/10.1145/3774904.3792217")</f>
        <v>https://dl.acm.org/doi/10.1145/3774904.3792217</v>
      </c>
      <c r="H509" s="189" t="s">
        <v>209</v>
      </c>
      <c r="I509" s="209"/>
      <c r="J509" s="209"/>
      <c r="K509" s="147"/>
      <c r="L509" s="147"/>
      <c r="M509" s="209"/>
      <c r="N509" s="209"/>
      <c r="O509" s="209"/>
      <c r="P509" s="209"/>
      <c r="Q509" s="209"/>
      <c r="R509" s="209"/>
      <c r="S509" s="209"/>
      <c r="T509" s="209"/>
      <c r="U509" s="209"/>
      <c r="V509" s="209"/>
      <c r="W509" s="209"/>
      <c r="X509" s="209"/>
      <c r="Y509" s="209"/>
      <c r="Z509" s="209"/>
      <c r="AA509" s="209"/>
      <c r="AB509" s="209"/>
      <c r="AC509" s="209"/>
      <c r="AD509" s="209"/>
      <c r="AE509" s="209"/>
    </row>
    <row r="510">
      <c r="A510" s="208" t="s">
        <v>2907</v>
      </c>
      <c r="B510" s="189" t="str">
        <f>IFERROR(__xludf.DUMMYFUNCTION("FILTER ('Research Papers'!D:D,'Research Papers'!A:A=C510)"),"Dynamic Routing-Based Adaptive Multi-LLM Collaboration: A Unified Recommendation Framework with Decision Knowledge Complementation")</f>
        <v>Dynamic Routing-Based Adaptive Multi-LLM Collaboration: A Unified Recommendation Framework with Decision Knowledge Complementation</v>
      </c>
      <c r="C510" s="189" t="s">
        <v>838</v>
      </c>
      <c r="D510" s="209" t="str">
        <f t="shared" si="1"/>
        <v>Dynamic Routing-Based Adaptive Multi-LLM Collaboration: A Unified Recommendation Framework with Decision Knowledge Complementation
Jiale Huang, Yingyuan Xiao, Likang Wu, Xu Cheng, Wengguang
Zheng, Qingbo Hao, Ming He and Hongke Zhao
</v>
      </c>
      <c r="E510" s="209" t="str">
        <f>IFERROR(__xludf.DUMMYFUNCTION("TEXTJOIN(CHAR(10), TRUE,FILTER('Research Papers'!$C:$C,'Research Papers'!$A:$A=C510))"),"Jiale Huang, Yingyuan Xiao, Likang Wu, Xu Cheng, Wengguang
Zheng, Qingbo Hao, Ming He and Hongke Zhao")</f>
        <v>Jiale Huang, Yingyuan Xiao, Likang Wu, Xu Cheng, Wengguang
Zheng, Qingbo Hao, Ming He and Hongke Zhao</v>
      </c>
      <c r="F510" s="209" t="str">
        <f>IFERROR(__xludf.DUMMYFUNCTION("TEXTJOIN(CHAR(10), TRUE,FILTER ('Sheridan Main'!E:E,'Sheridan Main'!B:B=C510))"),"yyxiao@tjut.edu.cn")</f>
        <v>yyxiao@tjut.edu.cn</v>
      </c>
      <c r="G510" s="210" t="str">
        <f>IFERROR(__xludf.DUMMYFUNCTION("CONCATENATE(""https://dl.acm.org/doi/"",INDEX(FILTER('Sheridan Main'!A:A,'Sheridan Main'!B:B=C510),1))"),"https://dl.acm.org/doi/10.1145/3774904.3792261")</f>
        <v>https://dl.acm.org/doi/10.1145/3774904.3792261</v>
      </c>
      <c r="H510" s="189" t="s">
        <v>209</v>
      </c>
      <c r="I510" s="209"/>
      <c r="J510" s="209"/>
      <c r="K510" s="147"/>
      <c r="L510" s="147"/>
      <c r="M510" s="209"/>
      <c r="N510" s="209"/>
      <c r="O510" s="209"/>
      <c r="P510" s="209"/>
      <c r="Q510" s="209"/>
      <c r="R510" s="209"/>
      <c r="S510" s="209"/>
      <c r="T510" s="209"/>
      <c r="U510" s="209"/>
      <c r="V510" s="209"/>
      <c r="W510" s="209"/>
      <c r="X510" s="209"/>
      <c r="Y510" s="209"/>
      <c r="Z510" s="209"/>
      <c r="AA510" s="209"/>
      <c r="AB510" s="209"/>
      <c r="AC510" s="209"/>
      <c r="AD510" s="209"/>
      <c r="AE510" s="209"/>
    </row>
    <row r="511">
      <c r="A511" s="208" t="s">
        <v>2907</v>
      </c>
      <c r="B511" s="189" t="str">
        <f>IFERROR(__xludf.DUMMYFUNCTION("FILTER ('Research Papers'!D:D,'Research Papers'!A:A=C511)"),"AgentDR: Dynamic Recommendation with Implicit Item-Item Relations via LLM-based Agents")</f>
        <v>AgentDR: Dynamic Recommendation with Implicit Item-Item Relations via LLM-based Agents</v>
      </c>
      <c r="C511" s="189" t="s">
        <v>924</v>
      </c>
      <c r="D511" s="209" t="str">
        <f t="shared" si="1"/>
        <v>AgentDR: Dynamic Recommendation with Implicit Item-Item Relations via LLM-based Agents
Mingdai Yang, Nurendra Choudhary, Jiangshu Du, Edward W.
Huang, Philip Yu, Karthik Subbian and Danai Koutra
</v>
      </c>
      <c r="E511" s="209" t="str">
        <f>IFERROR(__xludf.DUMMYFUNCTION("TEXTJOIN(CHAR(10), TRUE,FILTER('Research Papers'!$C:$C,'Research Papers'!$A:$A=C511))"),"Mingdai Yang, Nurendra Choudhary, Jiangshu Du, Edward W.
Huang, Philip Yu, Karthik Subbian and Danai Koutra")</f>
        <v>Mingdai Yang, Nurendra Choudhary, Jiangshu Du, Edward W.
Huang, Philip Yu, Karthik Subbian and Danai Koutra</v>
      </c>
      <c r="F511" s="209" t="str">
        <f>IFERROR(__xludf.DUMMYFUNCTION("TEXTJOIN(CHAR(10), TRUE,FILTER ('Sheridan Main'!E:E,'Sheridan Main'!B:B=C511))"),"myang72@uic.edu")</f>
        <v>myang72@uic.edu</v>
      </c>
      <c r="G511" s="210" t="str">
        <f>IFERROR(__xludf.DUMMYFUNCTION("CONCATENATE(""https://dl.acm.org/doi/"",INDEX(FILTER('Sheridan Main'!A:A,'Sheridan Main'!B:B=C511),1))"),"https://dl.acm.org/doi/10.1145/3774904.3792304")</f>
        <v>https://dl.acm.org/doi/10.1145/3774904.3792304</v>
      </c>
      <c r="H511" s="189" t="s">
        <v>209</v>
      </c>
      <c r="I511" s="209"/>
      <c r="J511" s="209"/>
      <c r="K511" s="147"/>
      <c r="L511" s="147"/>
      <c r="M511" s="209"/>
      <c r="N511" s="209"/>
      <c r="O511" s="209"/>
      <c r="P511" s="209"/>
      <c r="Q511" s="209"/>
      <c r="R511" s="209"/>
      <c r="S511" s="209"/>
      <c r="T511" s="209"/>
      <c r="U511" s="209"/>
      <c r="V511" s="209"/>
      <c r="W511" s="209"/>
      <c r="X511" s="209"/>
      <c r="Y511" s="209"/>
      <c r="Z511" s="209"/>
      <c r="AA511" s="209"/>
      <c r="AB511" s="209"/>
      <c r="AC511" s="209"/>
      <c r="AD511" s="209"/>
      <c r="AE511" s="209"/>
    </row>
    <row r="512">
      <c r="A512" s="208" t="s">
        <v>2907</v>
      </c>
      <c r="B512" s="189" t="str">
        <f>IFERROR(__xludf.DUMMYFUNCTION("FILTER ('Research Papers'!D:D,'Research Papers'!A:A=C512)"),"Does LLM Focus on the Right Words? Mitigating Context Bias in LLM-based Recommenders")</f>
        <v>Does LLM Focus on the Right Words? Mitigating Context Bias in LLM-based Recommenders</v>
      </c>
      <c r="C512" s="189" t="s">
        <v>1530</v>
      </c>
      <c r="D512" s="209" t="str">
        <f t="shared" si="1"/>
        <v>Does LLM Focus on the Right Words? Mitigating Context Bias in LLM-based Recommenders
Bohao Wang, Jiawei Chen, Feng Liu, Changwang Zhang, Jun
Wang, Canghong Jin, Chun Chen and Can Wang
</v>
      </c>
      <c r="E512" s="209" t="str">
        <f>IFERROR(__xludf.DUMMYFUNCTION("TEXTJOIN(CHAR(10), TRUE,FILTER('Research Papers'!$C:$C,'Research Papers'!$A:$A=C512))"),"Bohao Wang, Jiawei Chen, Feng Liu, Changwang Zhang, Jun
Wang, Canghong Jin, Chun Chen and Can Wang")</f>
        <v>Bohao Wang, Jiawei Chen, Feng Liu, Changwang Zhang, Jun
Wang, Canghong Jin, Chun Chen and Can Wang</v>
      </c>
      <c r="F512" s="209" t="str">
        <f>IFERROR(__xludf.DUMMYFUNCTION("TEXTJOIN(CHAR(10), TRUE,FILTER ('Sheridan Main'!E:E,'Sheridan Main'!B:B=C512))"),"sleepyhunt@zju.edu.cn")</f>
        <v>sleepyhunt@zju.edu.cn</v>
      </c>
      <c r="G512" s="210" t="str">
        <f>IFERROR(__xludf.DUMMYFUNCTION("CONCATENATE(""https://dl.acm.org/doi/"",INDEX(FILTER('Sheridan Main'!A:A,'Sheridan Main'!B:B=C512),1))"),"https://dl.acm.org/doi/10.1145/3774904.3792607")</f>
        <v>https://dl.acm.org/doi/10.1145/3774904.3792607</v>
      </c>
      <c r="H512" s="189" t="s">
        <v>209</v>
      </c>
      <c r="I512" s="209"/>
      <c r="J512" s="209"/>
      <c r="K512" s="147"/>
      <c r="L512" s="147"/>
      <c r="M512" s="209"/>
      <c r="N512" s="209"/>
      <c r="O512" s="209"/>
      <c r="P512" s="209"/>
      <c r="Q512" s="209"/>
      <c r="R512" s="209"/>
      <c r="S512" s="209"/>
      <c r="T512" s="209"/>
      <c r="U512" s="209"/>
      <c r="V512" s="209"/>
      <c r="W512" s="209"/>
      <c r="X512" s="209"/>
      <c r="Y512" s="209"/>
      <c r="Z512" s="209"/>
      <c r="AA512" s="209"/>
      <c r="AB512" s="209"/>
      <c r="AC512" s="209"/>
      <c r="AD512" s="209"/>
      <c r="AE512" s="209"/>
    </row>
    <row r="513">
      <c r="A513" s="208" t="s">
        <v>2907</v>
      </c>
      <c r="B513" s="189" t="str">
        <f>IFERROR(__xludf.DUMMYFUNCTION("FILTER ('Research Papers'!D:D,'Research Papers'!A:A=C513)"),"Generative Data Transformation: From Mixed to Unified Data")</f>
        <v>Generative Data Transformation: From Mixed to Unified Data</v>
      </c>
      <c r="C513" s="189" t="s">
        <v>564</v>
      </c>
      <c r="D513" s="209" t="str">
        <f t="shared" si="1"/>
        <v>Generative Data Transformation: From Mixed to Unified Data
Jiaqing Zhang, Mingjia Yin, Hao Wang, Yuxin Tian, Yuyang
Ye, Yawen Li, Wei Guo, Yong Liu and Enhong Chen
</v>
      </c>
      <c r="E513" s="209" t="str">
        <f>IFERROR(__xludf.DUMMYFUNCTION("TEXTJOIN(CHAR(10), TRUE,FILTER('Research Papers'!$C:$C,'Research Papers'!$A:$A=C513))"),"Jiaqing Zhang, Mingjia Yin, Hao Wang, Yuxin Tian, Yuyang
Ye, Yawen Li, Wei Guo, Yong Liu and Enhong Chen")</f>
        <v>Jiaqing Zhang, Mingjia Yin, Hao Wang, Yuxin Tian, Yuyang
Ye, Yawen Li, Wei Guo, Yong Liu and Enhong Chen</v>
      </c>
      <c r="F513" s="209" t="str">
        <f>IFERROR(__xludf.DUMMYFUNCTION("TEXTJOIN(CHAR(10), TRUE,FILTER ('Sheridan Main'!E:E,'Sheridan Main'!B:B=C513))"),"jiaqing.zhang@mail.ustc.edu.cn")</f>
        <v>jiaqing.zhang@mail.ustc.edu.cn</v>
      </c>
      <c r="G513" s="210" t="str">
        <f>IFERROR(__xludf.DUMMYFUNCTION("CONCATENATE(""https://dl.acm.org/doi/"",INDEX(FILTER('Sheridan Main'!A:A,'Sheridan Main'!B:B=C513),1))"),"https://dl.acm.org/doi/10.1145/3774904.3792124")</f>
        <v>https://dl.acm.org/doi/10.1145/3774904.3792124</v>
      </c>
      <c r="H513" s="189" t="s">
        <v>106</v>
      </c>
      <c r="I513" s="209"/>
      <c r="J513" s="209"/>
      <c r="K513" s="147"/>
      <c r="L513" s="147"/>
      <c r="M513" s="209"/>
      <c r="N513" s="209"/>
      <c r="O513" s="209"/>
      <c r="P513" s="209"/>
      <c r="Q513" s="209"/>
      <c r="R513" s="209"/>
      <c r="S513" s="209"/>
      <c r="T513" s="209"/>
      <c r="U513" s="209"/>
      <c r="V513" s="209"/>
      <c r="W513" s="209"/>
      <c r="X513" s="209"/>
      <c r="Y513" s="209"/>
      <c r="Z513" s="209"/>
      <c r="AA513" s="209"/>
      <c r="AB513" s="209"/>
      <c r="AC513" s="209"/>
      <c r="AD513" s="209"/>
      <c r="AE513" s="209"/>
    </row>
    <row r="515">
      <c r="A515" s="208" t="s">
        <v>2907</v>
      </c>
      <c r="B515" s="189" t="str">
        <f>IFERROR(__xludf.DUMMYFUNCTION("FILTER ('Research Papers'!D:D,'Research Papers'!A:A=C515)"),"WeaveRec: An LLM-Based Cross-Domain Sequential Recommendation Framework with Model Merging")</f>
        <v>WeaveRec: An LLM-Based Cross-Domain Sequential Recommendation Framework with Model Merging</v>
      </c>
      <c r="C515" s="189" t="s">
        <v>1046</v>
      </c>
      <c r="D515" s="209" t="str">
        <f t="shared" ref="D515:D645" si="2">concatenate(B515,char(10),E515,char(10))</f>
        <v>WeaveRec: An LLM-Based Cross-Domain Sequential Recommendation Framework with Model Merging
Min Hou, Xin Liu, Le Wu, Chenyi He, Hao Liu, Zhi Li, Xin Li
and Si Wei
</v>
      </c>
      <c r="E515" s="209" t="str">
        <f>IFERROR(__xludf.DUMMYFUNCTION("TEXTJOIN(CHAR(10), TRUE,FILTER('Research Papers'!$C:$C,'Research Papers'!$A:$A=C515))"),"Min Hou, Xin Liu, Le Wu, Chenyi He, Hao Liu, Zhi Li, Xin Li
and Si Wei")</f>
        <v>Min Hou, Xin Liu, Le Wu, Chenyi He, Hao Liu, Zhi Li, Xin Li
and Si Wei</v>
      </c>
      <c r="F515" s="209" t="str">
        <f>IFERROR(__xludf.DUMMYFUNCTION("TEXTJOIN(CHAR(10), TRUE,FILTER ('Sheridan Main'!E:E,'Sheridan Main'!B:B=C515))"),"lewu.ustc@gmail.com")</f>
        <v>lewu.ustc@gmail.com</v>
      </c>
      <c r="G515" s="210" t="str">
        <f>IFERROR(__xludf.DUMMYFUNCTION("CONCATENATE(""https://dl.acm.org/doi/"",INDEX(FILTER('Sheridan Main'!A:A,'Sheridan Main'!B:B=C515),1))"),"https://dl.acm.org/doi/10.1145/3774904.3792365")</f>
        <v>https://dl.acm.org/doi/10.1145/3774904.3792365</v>
      </c>
      <c r="H515" s="189" t="s">
        <v>106</v>
      </c>
      <c r="I515" s="209"/>
      <c r="J515" s="209"/>
      <c r="K515" s="147"/>
      <c r="L515" s="147"/>
      <c r="M515" s="209"/>
      <c r="N515" s="209"/>
      <c r="O515" s="209"/>
      <c r="P515" s="209"/>
      <c r="Q515" s="209"/>
      <c r="R515" s="209"/>
      <c r="S515" s="209"/>
      <c r="T515" s="209"/>
      <c r="U515" s="209"/>
      <c r="V515" s="209"/>
      <c r="W515" s="209"/>
      <c r="X515" s="209"/>
      <c r="Y515" s="209"/>
      <c r="Z515" s="209"/>
      <c r="AA515" s="209"/>
      <c r="AB515" s="209"/>
      <c r="AC515" s="209"/>
      <c r="AD515" s="209"/>
      <c r="AE515" s="209"/>
    </row>
    <row r="516">
      <c r="A516" s="208" t="s">
        <v>2907</v>
      </c>
      <c r="B516" s="189" t="str">
        <f>IFERROR(__xludf.DUMMYFUNCTION("FILTER ('Research Papers'!D:D,'Research Papers'!A:A=C516)"),"SemaCDR: LLM-Powered Transferable Semantics for Cross-Domain Sequential Recommendation")</f>
        <v>SemaCDR: LLM-Powered Transferable Semantics for Cross-Domain Sequential Recommendation</v>
      </c>
      <c r="C516" s="189" t="s">
        <v>1618</v>
      </c>
      <c r="D516" s="209" t="str">
        <f t="shared" si="2"/>
        <v>SemaCDR: LLM-Powered Transferable Semantics for Cross-Domain Sequential Recommendation
Chunxu Zhang, Shanqiang Huang, Zijian Zhang, Jiahong Liu,
Linsong Yu, Ruiqi Wan, Bo Yang and Irwin King
</v>
      </c>
      <c r="E516" s="209" t="str">
        <f>IFERROR(__xludf.DUMMYFUNCTION("TEXTJOIN(CHAR(10), TRUE,FILTER('Research Papers'!$C:$C,'Research Papers'!$A:$A=C516))"),"Chunxu Zhang, Shanqiang Huang, Zijian Zhang, Jiahong Liu,
Linsong Yu, Ruiqi Wan, Bo Yang and Irwin King")</f>
        <v>Chunxu Zhang, Shanqiang Huang, Zijian Zhang, Jiahong Liu,
Linsong Yu, Ruiqi Wan, Bo Yang and Irwin King</v>
      </c>
      <c r="F516" s="209" t="str">
        <f>IFERROR(__xludf.DUMMYFUNCTION("TEXTJOIN(CHAR(10), TRUE,FILTER ('Sheridan Main'!E:E,'Sheridan Main'!B:B=C516))"),"zhangzj2114@mails.jlu.edu.cn")</f>
        <v>zhangzj2114@mails.jlu.edu.cn</v>
      </c>
      <c r="G516" s="210" t="str">
        <f>IFERROR(__xludf.DUMMYFUNCTION("CONCATENATE(""https://dl.acm.org/doi/"",INDEX(FILTER('Sheridan Main'!A:A,'Sheridan Main'!B:B=C516),1))"),"https://dl.acm.org/doi/10.1145/3774904.3792651")</f>
        <v>https://dl.acm.org/doi/10.1145/3774904.3792651</v>
      </c>
      <c r="H516" s="189" t="s">
        <v>106</v>
      </c>
      <c r="I516" s="209"/>
      <c r="J516" s="209"/>
      <c r="K516" s="147"/>
      <c r="L516" s="147"/>
      <c r="M516" s="209"/>
      <c r="N516" s="209"/>
      <c r="O516" s="209"/>
      <c r="P516" s="209"/>
      <c r="Q516" s="209"/>
      <c r="R516" s="209"/>
      <c r="S516" s="209"/>
      <c r="T516" s="209"/>
      <c r="U516" s="209"/>
      <c r="V516" s="209"/>
      <c r="W516" s="209"/>
      <c r="X516" s="209"/>
      <c r="Y516" s="209"/>
      <c r="Z516" s="209"/>
      <c r="AA516" s="209"/>
      <c r="AB516" s="209"/>
      <c r="AC516" s="209"/>
      <c r="AD516" s="209"/>
      <c r="AE516" s="209"/>
    </row>
    <row r="517">
      <c r="A517" s="208" t="s">
        <v>2907</v>
      </c>
      <c r="B517" s="189" t="str">
        <f>IFERROR(__xludf.DUMMYFUNCTION("FILTER ('Research Papers'!D:D,'Research Papers'!A:A=C517)"),"The Double-Edged Sword of Knowledge Transfer: Diagnosing and Curing Fairness Pathologies in Cross-Domain Recommendation")</f>
        <v>The Double-Edged Sword of Knowledge Transfer: Diagnosing and Curing Fairness Pathologies in Cross-Domain Recommendation</v>
      </c>
      <c r="C517" s="189" t="s">
        <v>1722</v>
      </c>
      <c r="D517" s="209" t="str">
        <f t="shared" si="2"/>
        <v>The Double-Edged Sword of Knowledge Transfer: Diagnosing and Curing Fairness Pathologies in Cross-Domain Recommendation
Yuhan Zhao, Weixin Chen, Li Chen and Weike Pan
</v>
      </c>
      <c r="E517" s="209" t="str">
        <f>IFERROR(__xludf.DUMMYFUNCTION("TEXTJOIN(CHAR(10), TRUE,FILTER('Research Papers'!$C:$C,'Research Papers'!$A:$A=C517))"),"Yuhan Zhao, Weixin Chen, Li Chen and Weike Pan")</f>
        <v>Yuhan Zhao, Weixin Chen, Li Chen and Weike Pan</v>
      </c>
      <c r="F517" s="209" t="str">
        <f>IFERROR(__xludf.DUMMYFUNCTION("TEXTJOIN(CHAR(10), TRUE,FILTER ('Sheridan Main'!E:E,'Sheridan Main'!B:B=C517))"),"csyhzhao@comp.hkbu.edu.hk")</f>
        <v>csyhzhao@comp.hkbu.edu.hk</v>
      </c>
      <c r="G517" s="210" t="str">
        <f>IFERROR(__xludf.DUMMYFUNCTION("CONCATENATE(""https://dl.acm.org/doi/"",INDEX(FILTER('Sheridan Main'!A:A,'Sheridan Main'!B:B=C517),1))"),"https://dl.acm.org/doi/10.1145/3774904.3792703")</f>
        <v>https://dl.acm.org/doi/10.1145/3774904.3792703</v>
      </c>
      <c r="H517" s="189" t="s">
        <v>106</v>
      </c>
      <c r="I517" s="209"/>
      <c r="J517" s="209"/>
      <c r="K517" s="147"/>
      <c r="L517" s="147"/>
      <c r="M517" s="209"/>
      <c r="N517" s="209"/>
      <c r="O517" s="209"/>
      <c r="P517" s="209"/>
      <c r="Q517" s="209"/>
      <c r="R517" s="209"/>
      <c r="S517" s="209"/>
      <c r="T517" s="209"/>
      <c r="U517" s="209"/>
      <c r="V517" s="209"/>
      <c r="W517" s="209"/>
      <c r="X517" s="209"/>
      <c r="Y517" s="209"/>
      <c r="Z517" s="209"/>
      <c r="AA517" s="209"/>
      <c r="AB517" s="209"/>
      <c r="AC517" s="209"/>
      <c r="AD517" s="209"/>
      <c r="AE517" s="209"/>
    </row>
    <row r="518">
      <c r="A518" s="208" t="s">
        <v>2907</v>
      </c>
      <c r="B518" s="189" t="str">
        <f>IFERROR(__xludf.DUMMYFUNCTION("FILTER ('Research Papers'!D:D,'Research Papers'!A:A=C518)"),"Gaussian Mixture Flow Matching with Domain Alignment for Multi-Domain Sequential Recommendation")</f>
        <v>Gaussian Mixture Flow Matching with Domain Alignment for Multi-Domain Sequential Recommendation</v>
      </c>
      <c r="C518" s="189" t="s">
        <v>874</v>
      </c>
      <c r="D518" s="209" t="str">
        <f t="shared" si="2"/>
        <v>Gaussian Mixture Flow Matching with Domain Alignment for Multi-Domain Sequential Recommendation
Xiaoxin Ye, Chengkai Huang, Hongtao Huang and Lina Yao
</v>
      </c>
      <c r="E518" s="209" t="str">
        <f>IFERROR(__xludf.DUMMYFUNCTION("TEXTJOIN(CHAR(10), TRUE,FILTER('Research Papers'!$C:$C,'Research Papers'!$A:$A=C518))"),"Xiaoxin Ye, Chengkai Huang, Hongtao Huang and Lina Yao")</f>
        <v>Xiaoxin Ye, Chengkai Huang, Hongtao Huang and Lina Yao</v>
      </c>
      <c r="F518" s="209" t="str">
        <f>IFERROR(__xludf.DUMMYFUNCTION("TEXTJOIN(CHAR(10), TRUE,FILTER ('Sheridan Main'!E:E,'Sheridan Main'!B:B=C518))"),"xiaoxin.ye@unsw.edu.au")</f>
        <v>xiaoxin.ye@unsw.edu.au</v>
      </c>
      <c r="G518" s="210" t="str">
        <f>IFERROR(__xludf.DUMMYFUNCTION("CONCATENATE(""https://dl.acm.org/doi/"",INDEX(FILTER('Sheridan Main'!A:A,'Sheridan Main'!B:B=C518),1))"),"https://dl.acm.org/doi/10.1145/3774904.3792279")</f>
        <v>https://dl.acm.org/doi/10.1145/3774904.3792279</v>
      </c>
      <c r="H518" s="189" t="s">
        <v>106</v>
      </c>
      <c r="I518" s="209"/>
      <c r="J518" s="209"/>
      <c r="K518" s="147"/>
      <c r="L518" s="147"/>
      <c r="M518" s="209"/>
      <c r="N518" s="209"/>
      <c r="O518" s="209"/>
      <c r="P518" s="209"/>
      <c r="Q518" s="209"/>
      <c r="R518" s="209"/>
      <c r="S518" s="209"/>
      <c r="T518" s="209"/>
      <c r="U518" s="209"/>
      <c r="V518" s="209"/>
      <c r="W518" s="209"/>
      <c r="X518" s="209"/>
      <c r="Y518" s="209"/>
      <c r="Z518" s="209"/>
      <c r="AA518" s="209"/>
      <c r="AB518" s="209"/>
      <c r="AC518" s="209"/>
      <c r="AD518" s="209"/>
      <c r="AE518" s="209"/>
    </row>
    <row r="519">
      <c r="A519" s="208" t="s">
        <v>2907</v>
      </c>
      <c r="B519" s="189" t="str">
        <f>IFERROR(__xludf.DUMMYFUNCTION("FILTER ('Research Papers'!D:D,'Research Papers'!A:A=C519)"),"Adaptive Graph Reweighting for Collaborative Filtering")</f>
        <v>Adaptive Graph Reweighting for Collaborative Filtering</v>
      </c>
      <c r="C519" s="189" t="s">
        <v>478</v>
      </c>
      <c r="D519" s="209" t="str">
        <f t="shared" si="2"/>
        <v>Adaptive Graph Reweighting for Collaborative Filtering
Yijun Sheng, Ximing Chen, Pui Ieng Lei, Yanyan Liu and
Zhiguo Gong
</v>
      </c>
      <c r="E519" s="209" t="str">
        <f>IFERROR(__xludf.DUMMYFUNCTION("TEXTJOIN(CHAR(10), TRUE,FILTER('Research Papers'!$C:$C,'Research Papers'!$A:$A=C519))"),"Yijun Sheng, Ximing Chen, Pui Ieng Lei, Yanyan Liu and
Zhiguo Gong")</f>
        <v>Yijun Sheng, Ximing Chen, Pui Ieng Lei, Yanyan Liu and
Zhiguo Gong</v>
      </c>
      <c r="F519" s="209" t="str">
        <f>IFERROR(__xludf.DUMMYFUNCTION("TEXTJOIN(CHAR(10), TRUE,FILTER ('Sheridan Main'!E:E,'Sheridan Main'!B:B=C519))"),"yc17419@um.edu.mo")</f>
        <v>yc17419@um.edu.mo</v>
      </c>
      <c r="G519" s="210" t="str">
        <f>IFERROR(__xludf.DUMMYFUNCTION("CONCATENATE(""https://dl.acm.org/doi/"",INDEX(FILTER('Sheridan Main'!A:A,'Sheridan Main'!B:B=C519),1))"),"https://dl.acm.org/doi/10.1145/3774904.3792081")</f>
        <v>https://dl.acm.org/doi/10.1145/3774904.3792081</v>
      </c>
      <c r="H519" s="189" t="s">
        <v>140</v>
      </c>
      <c r="I519" s="209"/>
      <c r="J519" s="209"/>
      <c r="K519" s="147"/>
      <c r="L519" s="147"/>
      <c r="M519" s="209"/>
      <c r="N519" s="209"/>
      <c r="O519" s="209"/>
      <c r="P519" s="209"/>
      <c r="Q519" s="209"/>
      <c r="R519" s="209"/>
      <c r="S519" s="209"/>
      <c r="T519" s="209"/>
      <c r="U519" s="209"/>
      <c r="V519" s="209"/>
      <c r="W519" s="209"/>
      <c r="X519" s="209"/>
      <c r="Y519" s="209"/>
      <c r="Z519" s="209"/>
      <c r="AA519" s="209"/>
      <c r="AB519" s="209"/>
      <c r="AC519" s="209"/>
      <c r="AD519" s="209"/>
      <c r="AE519" s="209"/>
    </row>
    <row r="520">
      <c r="A520" s="208" t="s">
        <v>2907</v>
      </c>
      <c r="B520" s="189" t="str">
        <f>IFERROR(__xludf.DUMMYFUNCTION("FILTER ('Research Papers'!D:D,'Research Papers'!A:A=C520)"),"IACLR: Intention Alignment via Contrastive Learning for Bipartite Graph Recommendation")</f>
        <v>IACLR: Intention Alignment via Contrastive Learning for Bipartite Graph Recommendation</v>
      </c>
      <c r="C520" s="189" t="s">
        <v>636</v>
      </c>
      <c r="D520" s="209" t="str">
        <f t="shared" si="2"/>
        <v>IACLR: Intention Alignment via Contrastive Learning for Bipartite Graph Recommendation
Huiying Hu, Tuo Wang, Yixiao Zhou and Xiaoqing Lyu
</v>
      </c>
      <c r="E520" s="209" t="str">
        <f>IFERROR(__xludf.DUMMYFUNCTION("TEXTJOIN(CHAR(10), TRUE,FILTER('Research Papers'!$C:$C,'Research Papers'!$A:$A=C520))"),"Huiying Hu, Tuo Wang, Yixiao Zhou and Xiaoqing Lyu")</f>
        <v>Huiying Hu, Tuo Wang, Yixiao Zhou and Xiaoqing Lyu</v>
      </c>
      <c r="F520" s="209" t="str">
        <f>IFERROR(__xludf.DUMMYFUNCTION("TEXTJOIN(CHAR(10), TRUE,FILTER ('Sheridan Main'!E:E,'Sheridan Main'!B:B=C520))"),"lvxiaoqing@pku.edu.cn")</f>
        <v>lvxiaoqing@pku.edu.cn</v>
      </c>
      <c r="G520" s="210" t="str">
        <f>IFERROR(__xludf.DUMMYFUNCTION("CONCATENATE(""https://dl.acm.org/doi/"",INDEX(FILTER('Sheridan Main'!A:A,'Sheridan Main'!B:B=C520),1))"),"https://dl.acm.org/doi/10.1145/3774904.3792160")</f>
        <v>https://dl.acm.org/doi/10.1145/3774904.3792160</v>
      </c>
      <c r="H520" s="189" t="s">
        <v>140</v>
      </c>
      <c r="I520" s="209"/>
      <c r="J520" s="209"/>
      <c r="K520" s="147"/>
      <c r="L520" s="147"/>
      <c r="M520" s="209"/>
      <c r="N520" s="209"/>
      <c r="O520" s="209"/>
      <c r="P520" s="209"/>
      <c r="Q520" s="209"/>
      <c r="R520" s="209"/>
      <c r="S520" s="209"/>
      <c r="T520" s="209"/>
      <c r="U520" s="209"/>
      <c r="V520" s="209"/>
      <c r="W520" s="209"/>
      <c r="X520" s="209"/>
      <c r="Y520" s="209"/>
      <c r="Z520" s="209"/>
      <c r="AA520" s="209"/>
      <c r="AB520" s="209"/>
      <c r="AC520" s="209"/>
      <c r="AD520" s="209"/>
      <c r="AE520" s="209"/>
    </row>
    <row r="521">
      <c r="A521" s="208" t="s">
        <v>2907</v>
      </c>
      <c r="B521" s="189" t="str">
        <f>IFERROR(__xludf.DUMMYFUNCTION("FILTER ('Research Papers'!D:D,'Research Papers'!A:A=C521)"),"PULSE: Socially-Aware User Representation Modeling Toward Parameter-Efficient Graph Collaborative Filtering")</f>
        <v>PULSE: Socially-Aware User Representation Modeling Toward Parameter-Efficient Graph Collaborative Filtering</v>
      </c>
      <c r="C521" s="189" t="s">
        <v>772</v>
      </c>
      <c r="D521" s="209" t="str">
        <f t="shared" si="2"/>
        <v>PULSE: Socially-Aware User Representation Modeling Toward Parameter-Efficient Graph Collaborative Filtering
Doyun Choi, Cheonwoo Lee, Biniyam Aschalew Tolera, Taewook
Ham, Chanyoung Park and Jaemin Yoo
</v>
      </c>
      <c r="E521" s="209" t="str">
        <f>IFERROR(__xludf.DUMMYFUNCTION("TEXTJOIN(CHAR(10), TRUE,FILTER('Research Papers'!$C:$C,'Research Papers'!$A:$A=C521))"),"Doyun Choi, Cheonwoo Lee, Biniyam Aschalew Tolera, Taewook
Ham, Chanyoung Park and Jaemin Yoo")</f>
        <v>Doyun Choi, Cheonwoo Lee, Biniyam Aschalew Tolera, Taewook
Ham, Chanyoung Park and Jaemin Yoo</v>
      </c>
      <c r="F521" s="209" t="str">
        <f>IFERROR(__xludf.DUMMYFUNCTION("TEXTJOIN(CHAR(10), TRUE,FILTER ('Sheridan Main'!E:E,'Sheridan Main'!B:B=C521))"),"jaemin@kaist.ac.kr")</f>
        <v>jaemin@kaist.ac.kr</v>
      </c>
      <c r="G521" s="210" t="str">
        <f>IFERROR(__xludf.DUMMYFUNCTION("CONCATENATE(""https://dl.acm.org/doi/"",INDEX(FILTER('Sheridan Main'!A:A,'Sheridan Main'!B:B=C521),1))"),"https://dl.acm.org/doi/10.1145/3774904.3792228")</f>
        <v>https://dl.acm.org/doi/10.1145/3774904.3792228</v>
      </c>
      <c r="H521" s="189" t="s">
        <v>140</v>
      </c>
      <c r="I521" s="209"/>
      <c r="J521" s="209"/>
      <c r="K521" s="147"/>
      <c r="L521" s="147"/>
      <c r="M521" s="209"/>
      <c r="N521" s="209"/>
      <c r="O521" s="209"/>
      <c r="P521" s="209"/>
      <c r="Q521" s="209"/>
      <c r="R521" s="209"/>
      <c r="S521" s="209"/>
      <c r="T521" s="209"/>
      <c r="U521" s="209"/>
      <c r="V521" s="209"/>
      <c r="W521" s="209"/>
      <c r="X521" s="209"/>
      <c r="Y521" s="209"/>
      <c r="Z521" s="209"/>
      <c r="AA521" s="209"/>
      <c r="AB521" s="209"/>
      <c r="AC521" s="209"/>
      <c r="AD521" s="209"/>
      <c r="AE521" s="209"/>
    </row>
    <row r="522">
      <c r="A522" s="208" t="s">
        <v>2907</v>
      </c>
      <c r="B522" s="189" t="str">
        <f>IFERROR(__xludf.DUMMYFUNCTION("FILTER ('Research Papers'!D:D,'Research Papers'!A:A=C522)"),"Line Graphs Are Here! Unlock a Simple Solution for Data Sparsity and Class Imbalance in Recommender System")</f>
        <v>Line Graphs Are Here! Unlock a Simple Solution for Data Sparsity and Class Imbalance in Recommender System</v>
      </c>
      <c r="C522" s="189" t="s">
        <v>900</v>
      </c>
      <c r="D522" s="209" t="str">
        <f t="shared" si="2"/>
        <v>Line Graphs Are Here! Unlock a Simple Solution for Data Sparsity and Class Imbalance in Recommender System
Junming Zhou, Hao Zhong, Shupeng Li, Zhengyang Wu, Yong
Tang and Ronghua Lin
</v>
      </c>
      <c r="E522" s="209" t="str">
        <f>IFERROR(__xludf.DUMMYFUNCTION("TEXTJOIN(CHAR(10), TRUE,FILTER('Research Papers'!$C:$C,'Research Papers'!$A:$A=C522))"),"Junming Zhou, Hao Zhong, Shupeng Li, Zhengyang Wu, Yong
Tang and Ronghua Lin")</f>
        <v>Junming Zhou, Hao Zhong, Shupeng Li, Zhengyang Wu, Yong
Tang and Ronghua Lin</v>
      </c>
      <c r="F522" s="209" t="str">
        <f>IFERROR(__xludf.DUMMYFUNCTION("TEXTJOIN(CHAR(10), TRUE,FILTER ('Sheridan Main'!E:E,'Sheridan Main'!B:B=C522))"),"rhlin@m.scnu.edu.cn")</f>
        <v>rhlin@m.scnu.edu.cn</v>
      </c>
      <c r="G522" s="210" t="str">
        <f>IFERROR(__xludf.DUMMYFUNCTION("CONCATENATE(""https://dl.acm.org/doi/"",INDEX(FILTER('Sheridan Main'!A:A,'Sheridan Main'!B:B=C522),1))"),"https://dl.acm.org/doi/10.1145/3774904.3792292")</f>
        <v>https://dl.acm.org/doi/10.1145/3774904.3792292</v>
      </c>
      <c r="H522" s="189" t="s">
        <v>140</v>
      </c>
      <c r="I522" s="209"/>
      <c r="J522" s="209"/>
      <c r="K522" s="147"/>
      <c r="L522" s="147"/>
      <c r="M522" s="209"/>
      <c r="N522" s="209"/>
      <c r="O522" s="209"/>
      <c r="P522" s="209"/>
      <c r="Q522" s="209"/>
      <c r="R522" s="209"/>
      <c r="S522" s="209"/>
      <c r="T522" s="209"/>
      <c r="U522" s="209"/>
      <c r="V522" s="209"/>
      <c r="W522" s="209"/>
      <c r="X522" s="209"/>
      <c r="Y522" s="209"/>
      <c r="Z522" s="209"/>
      <c r="AA522" s="209"/>
      <c r="AB522" s="209"/>
      <c r="AC522" s="209"/>
      <c r="AD522" s="209"/>
      <c r="AE522" s="209"/>
    </row>
    <row r="523">
      <c r="A523" s="208" t="s">
        <v>2907</v>
      </c>
      <c r="B523" s="189" t="str">
        <f>IFERROR(__xludf.DUMMYFUNCTION("FILTER ('Research Papers'!D:D,'Research Papers'!A:A=C523)"),"Multi-modal Bipartite Graph Structure Learning with Information Bottleneck for Micro-video Recommendation")</f>
        <v>Multi-modal Bipartite Graph Structure Learning with Information Bottleneck for Micro-video Recommendation</v>
      </c>
      <c r="C523" s="189" t="s">
        <v>1732</v>
      </c>
      <c r="D523" s="209" t="str">
        <f t="shared" si="2"/>
        <v>Multi-modal Bipartite Graph Structure Learning with Information Bottleneck for Micro-video Recommendation
Ying He, Desheng Cai, Shengsheng Qian, Quan Fang, Yinwei
Wei and Changsheng Xu
</v>
      </c>
      <c r="E523" s="209" t="str">
        <f>IFERROR(__xludf.DUMMYFUNCTION("TEXTJOIN(CHAR(10), TRUE,FILTER('Research Papers'!$C:$C,'Research Papers'!$A:$A=C523))"),"Ying He, Desheng Cai, Shengsheng Qian, Quan Fang, Yinwei
Wei and Changsheng Xu")</f>
        <v>Ying He, Desheng Cai, Shengsheng Qian, Quan Fang, Yinwei
Wei and Changsheng Xu</v>
      </c>
      <c r="F523" s="209" t="str">
        <f>IFERROR(__xludf.DUMMYFUNCTION("TEXTJOIN(CHAR(10), TRUE,FILTER ('Sheridan Main'!E:E,'Sheridan Main'!B:B=C523))"),"caidsml@gmail.com")</f>
        <v>caidsml@gmail.com</v>
      </c>
      <c r="G523" s="210" t="str">
        <f>IFERROR(__xludf.DUMMYFUNCTION("CONCATENATE(""https://dl.acm.org/doi/"",INDEX(FILTER('Sheridan Main'!A:A,'Sheridan Main'!B:B=C523),1))"),"https://dl.acm.org/doi/10.1145/3774904.3792708")</f>
        <v>https://dl.acm.org/doi/10.1145/3774904.3792708</v>
      </c>
      <c r="H523" s="189" t="s">
        <v>140</v>
      </c>
      <c r="I523" s="209"/>
      <c r="J523" s="209"/>
      <c r="K523" s="147"/>
      <c r="L523" s="147"/>
      <c r="M523" s="209"/>
      <c r="N523" s="209"/>
      <c r="O523" s="209"/>
      <c r="P523" s="209"/>
      <c r="Q523" s="209"/>
      <c r="R523" s="209"/>
      <c r="S523" s="209"/>
      <c r="T523" s="209"/>
      <c r="U523" s="209"/>
      <c r="V523" s="209"/>
      <c r="W523" s="209"/>
      <c r="X523" s="209"/>
      <c r="Y523" s="209"/>
      <c r="Z523" s="209"/>
      <c r="AA523" s="209"/>
      <c r="AB523" s="209"/>
      <c r="AC523" s="209"/>
      <c r="AD523" s="209"/>
      <c r="AE523" s="209"/>
    </row>
    <row r="524">
      <c r="A524" s="208" t="s">
        <v>2907</v>
      </c>
      <c r="B524" s="189" t="str">
        <f>IFERROR(__xludf.DUMMYFUNCTION("FILTER ('Research Papers'!D:D,'Research Papers'!A:A=C524)"),"Lifelong Sequential Recommendation with Adaptive Subsequence Compression and Contextual Fusion")</f>
        <v>Lifelong Sequential Recommendation with Adaptive Subsequence Compression and Contextual Fusion</v>
      </c>
      <c r="C524" s="189" t="s">
        <v>668</v>
      </c>
      <c r="D524" s="209" t="str">
        <f t="shared" si="2"/>
        <v>Lifelong Sequential Recommendation with Adaptive Subsequence Compression and Contextual Fusion
Fei Li, Xiaoming Liu, Jiayi Luo, Guibing Guo, Jianzhe Zhao
and Xingwei Wang
</v>
      </c>
      <c r="E524" s="209" t="str">
        <f>IFERROR(__xludf.DUMMYFUNCTION("TEXTJOIN(CHAR(10), TRUE,FILTER('Research Papers'!$C:$C,'Research Papers'!$A:$A=C524))"),"Fei Li, Xiaoming Liu, Jiayi Luo, Guibing Guo, Jianzhe Zhao
and Xingwei Wang")</f>
        <v>Fei Li, Xiaoming Liu, Jiayi Luo, Guibing Guo, Jianzhe Zhao
and Xingwei Wang</v>
      </c>
      <c r="F524" s="209" t="str">
        <f>IFERROR(__xludf.DUMMYFUNCTION("TEXTJOIN(CHAR(10), TRUE,FILTER ('Sheridan Main'!E:E,'Sheridan Main'!B:B=C524))"),"neulifei@stumail.neu.edu.cn")</f>
        <v>neulifei@stumail.neu.edu.cn</v>
      </c>
      <c r="G524" s="210" t="str">
        <f>IFERROR(__xludf.DUMMYFUNCTION("CONCATENATE(""https://dl.acm.org/doi/"",INDEX(FILTER('Sheridan Main'!A:A,'Sheridan Main'!B:B=C524),1))"),"https://dl.acm.org/doi/10.1145/3774904.3792176")</f>
        <v>https://dl.acm.org/doi/10.1145/3774904.3792176</v>
      </c>
      <c r="H524" s="189" t="s">
        <v>162</v>
      </c>
      <c r="I524" s="209"/>
      <c r="J524" s="209"/>
      <c r="K524" s="147"/>
      <c r="L524" s="147"/>
      <c r="M524" s="209"/>
      <c r="N524" s="209"/>
      <c r="O524" s="209"/>
      <c r="P524" s="209"/>
      <c r="Q524" s="209"/>
      <c r="R524" s="209"/>
      <c r="S524" s="209"/>
      <c r="T524" s="209"/>
      <c r="U524" s="209"/>
      <c r="V524" s="209"/>
      <c r="W524" s="209"/>
      <c r="X524" s="209"/>
      <c r="Y524" s="209"/>
      <c r="Z524" s="209"/>
      <c r="AA524" s="209"/>
      <c r="AB524" s="209"/>
      <c r="AC524" s="209"/>
      <c r="AD524" s="209"/>
      <c r="AE524" s="209"/>
    </row>
    <row r="525">
      <c r="A525" s="208" t="s">
        <v>2907</v>
      </c>
      <c r="B525" s="189" t="str">
        <f>IFERROR(__xludf.DUMMYFUNCTION("FILTER ('Research Papers'!D:D,'Research Papers'!A:A=C525)"),"Temporal-Series-Aware Adaptive Positional Encoding for Transformer-based Sequential Recommendation")</f>
        <v>Temporal-Series-Aware Adaptive Positional Encoding for Transformer-based Sequential Recommendation</v>
      </c>
      <c r="C525" s="189" t="s">
        <v>982</v>
      </c>
      <c r="D525" s="209" t="str">
        <f t="shared" si="2"/>
        <v>Temporal-Series-Aware Adaptive Positional Encoding for Transformer-based Sequential Recommendation
Rongbo Qi, Yaqi Zhang, Chunyao Song and Tingjian Ge
</v>
      </c>
      <c r="E525" s="209" t="str">
        <f>IFERROR(__xludf.DUMMYFUNCTION("TEXTJOIN(CHAR(10), TRUE,FILTER('Research Papers'!$C:$C,'Research Papers'!$A:$A=C525))"),"Rongbo Qi, Yaqi Zhang, Chunyao Song and Tingjian Ge")</f>
        <v>Rongbo Qi, Yaqi Zhang, Chunyao Song and Tingjian Ge</v>
      </c>
      <c r="F525" s="209" t="str">
        <f>IFERROR(__xludf.DUMMYFUNCTION("TEXTJOIN(CHAR(10), TRUE,FILTER ('Sheridan Main'!E:E,'Sheridan Main'!B:B=C525))"),"chunyao.song@nankai.edu.cn")</f>
        <v>chunyao.song@nankai.edu.cn</v>
      </c>
      <c r="G525" s="210" t="str">
        <f>IFERROR(__xludf.DUMMYFUNCTION("CONCATENATE(""https://dl.acm.org/doi/"",INDEX(FILTER('Sheridan Main'!A:A,'Sheridan Main'!B:B=C525),1))"),"https://dl.acm.org/doi/10.1145/3774904.3792333")</f>
        <v>https://dl.acm.org/doi/10.1145/3774904.3792333</v>
      </c>
      <c r="H525" s="189" t="s">
        <v>162</v>
      </c>
      <c r="I525" s="209"/>
      <c r="J525" s="209"/>
      <c r="K525" s="147"/>
      <c r="L525" s="147"/>
      <c r="M525" s="209"/>
      <c r="N525" s="209"/>
      <c r="O525" s="209"/>
      <c r="P525" s="209"/>
      <c r="Q525" s="209"/>
      <c r="R525" s="209"/>
      <c r="S525" s="209"/>
      <c r="T525" s="209"/>
      <c r="U525" s="209"/>
      <c r="V525" s="209"/>
      <c r="W525" s="209"/>
      <c r="X525" s="209"/>
      <c r="Y525" s="209"/>
      <c r="Z525" s="209"/>
      <c r="AA525" s="209"/>
      <c r="AB525" s="209"/>
      <c r="AC525" s="209"/>
      <c r="AD525" s="209"/>
      <c r="AE525" s="209"/>
    </row>
    <row r="526">
      <c r="A526" s="208" t="s">
        <v>2907</v>
      </c>
      <c r="B526" s="189" t="str">
        <f>IFERROR(__xludf.DUMMYFUNCTION("FILTER ('Research Papers'!D:D,'Research Papers'!A:A=C526)"),"BlossomRec: Block-level Fused Sparse Attention Mechanism for Sequential Recommendations")</f>
        <v>BlossomRec: Block-level Fused Sparse Attention Mechanism for Sequential Recommendations</v>
      </c>
      <c r="C526" s="189" t="s">
        <v>1132</v>
      </c>
      <c r="D526" s="209" t="str">
        <f t="shared" si="2"/>
        <v>BlossomRec: Block-level Fused Sparse Attention Mechanism for Sequential Recommendations
Mengyang Ma, Xiaopeng Li, Wanyu Wang, Zhaocheng Du,
Jingtong Gao, Pengyue Jia, Yuyang Ye, Yiqi Wang, Yunpeng
Weng, Weihong Luo, Xiao Han and Xiangyu Zhao
</v>
      </c>
      <c r="E526" s="209" t="str">
        <f>IFERROR(__xludf.DUMMYFUNCTION("TEXTJOIN(CHAR(10), TRUE,FILTER('Research Papers'!$C:$C,'Research Papers'!$A:$A=C526))"),"Mengyang Ma, Xiaopeng Li, Wanyu Wang, Zhaocheng Du,
Jingtong Gao, Pengyue Jia, Yuyang Ye, Yiqi Wang, Yunpeng
Weng, Weihong Luo, Xiao Han and Xiangyu Zhao")</f>
        <v>Mengyang Ma, Xiaopeng Li, Wanyu Wang, Zhaocheng Du,
Jingtong Gao, Pengyue Jia, Yuyang Ye, Yiqi Wang, Yunpeng
Weng, Weihong Luo, Xiao Han and Xiangyu Zhao</v>
      </c>
      <c r="F526" s="209" t="str">
        <f>IFERROR(__xludf.DUMMYFUNCTION("TEXTJOIN(CHAR(10), TRUE,FILTER ('Sheridan Main'!E:E,'Sheridan Main'!B:B=C526))"),"xianzhao@cityu.edu.hk")</f>
        <v>xianzhao@cityu.edu.hk</v>
      </c>
      <c r="G526" s="210" t="str">
        <f>IFERROR(__xludf.DUMMYFUNCTION("CONCATENATE(""https://dl.acm.org/doi/"",INDEX(FILTER('Sheridan Main'!A:A,'Sheridan Main'!B:B=C526),1))"),"https://dl.acm.org/doi/10.1145/3774904.3792408")</f>
        <v>https://dl.acm.org/doi/10.1145/3774904.3792408</v>
      </c>
      <c r="H526" s="189" t="s">
        <v>162</v>
      </c>
      <c r="I526" s="209"/>
      <c r="J526" s="209"/>
      <c r="K526" s="147"/>
      <c r="L526" s="147"/>
      <c r="M526" s="209"/>
      <c r="N526" s="209"/>
      <c r="O526" s="209"/>
      <c r="P526" s="209"/>
      <c r="Q526" s="209"/>
      <c r="R526" s="209"/>
      <c r="S526" s="209"/>
      <c r="T526" s="209"/>
      <c r="U526" s="209"/>
      <c r="V526" s="209"/>
      <c r="W526" s="209"/>
      <c r="X526" s="209"/>
      <c r="Y526" s="209"/>
      <c r="Z526" s="209"/>
      <c r="AA526" s="209"/>
      <c r="AB526" s="209"/>
      <c r="AC526" s="209"/>
      <c r="AD526" s="209"/>
      <c r="AE526" s="209"/>
    </row>
    <row r="527">
      <c r="A527" s="208" t="s">
        <v>2907</v>
      </c>
      <c r="B527" s="189" t="str">
        <f>IFERROR(__xludf.DUMMYFUNCTION("FILTER ('Research Papers'!D:D,'Research Papers'!A:A=C527)"),"Mixture of Sequence: Theme-Aware Mixture-of-Experts for Long-Sequence Recommendation")</f>
        <v>Mixture of Sequence: Theme-Aware Mixture-of-Experts for Long-Sequence Recommendation</v>
      </c>
      <c r="C527" s="189" t="s">
        <v>1282</v>
      </c>
      <c r="D527" s="209" t="str">
        <f t="shared" si="2"/>
        <v>Mixture of Sequence: Theme-Aware Mixture-of-Experts for Long-Sequence Recommendation
Xiao Lin, Zhicheng Tang, Weilin Cong, Mengyue Hang, Kai
Wang, Yajuan Wang, Zhichen Zeng, Ting-Wei Li, Hyunsik Yoo,
Zhining Liu, Xuying Ning, Ruizhong Qiu, Wen-Yen Chen, Shuo
Chang, Rong Jin, Huayu Li and Hanghang Tong
</v>
      </c>
      <c r="E527" s="209" t="str">
        <f>IFERROR(__xludf.DUMMYFUNCTION("TEXTJOIN(CHAR(10), TRUE,FILTER('Research Papers'!$C:$C,'Research Papers'!$A:$A=C527))"),"Xiao Lin, Zhicheng Tang, Weilin Cong, Mengyue Hang, Kai
Wang, Yajuan Wang, Zhichen Zeng, Ting-Wei Li, Hyunsik Yoo,
Zhining Liu, Xuying Ning, Ruizhong Qiu, Wen-Yen Chen, Shuo
Chang, Rong Jin, Huayu Li and Hanghang Tong")</f>
        <v>Xiao Lin, Zhicheng Tang, Weilin Cong, Mengyue Hang, Kai
Wang, Yajuan Wang, Zhichen Zeng, Ting-Wei Li, Hyunsik Yoo,
Zhining Liu, Xuying Ning, Ruizhong Qiu, Wen-Yen Chen, Shuo
Chang, Rong Jin, Huayu Li and Hanghang Tong</v>
      </c>
      <c r="F527" s="209" t="str">
        <f>IFERROR(__xludf.DUMMYFUNCTION("TEXTJOIN(CHAR(10), TRUE,FILTER ('Sheridan Main'!E:E,'Sheridan Main'!B:B=C527))"),"xiaol13@illinois.edu")</f>
        <v>xiaol13@illinois.edu</v>
      </c>
      <c r="G527" s="210" t="str">
        <f>IFERROR(__xludf.DUMMYFUNCTION("CONCATENATE(""https://dl.acm.org/doi/"",INDEX(FILTER('Sheridan Main'!A:A,'Sheridan Main'!B:B=C527),1))"),"https://dl.acm.org/doi/10.1145/3774904.3792483")</f>
        <v>https://dl.acm.org/doi/10.1145/3774904.3792483</v>
      </c>
      <c r="H527" s="189" t="s">
        <v>162</v>
      </c>
      <c r="I527" s="209"/>
      <c r="J527" s="209"/>
      <c r="K527" s="147"/>
      <c r="L527" s="147"/>
      <c r="M527" s="209"/>
      <c r="N527" s="209"/>
      <c r="O527" s="209"/>
      <c r="P527" s="209"/>
      <c r="Q527" s="209"/>
      <c r="R527" s="209"/>
      <c r="S527" s="209"/>
      <c r="T527" s="209"/>
      <c r="U527" s="209"/>
      <c r="V527" s="209"/>
      <c r="W527" s="209"/>
      <c r="X527" s="209"/>
      <c r="Y527" s="209"/>
      <c r="Z527" s="209"/>
      <c r="AA527" s="209"/>
      <c r="AB527" s="209"/>
      <c r="AC527" s="209"/>
      <c r="AD527" s="209"/>
      <c r="AE527" s="209"/>
    </row>
    <row r="528">
      <c r="A528" s="208" t="s">
        <v>2907</v>
      </c>
      <c r="B528" s="189" t="str">
        <f>IFERROR(__xludf.DUMMYFUNCTION("FILTER ('Research Papers'!D:D,'Research Papers'!A:A=C528)"),"Hyena Operator for Fast Sequential Recommendation")</f>
        <v>Hyena Operator for Fast Sequential Recommendation</v>
      </c>
      <c r="C528" s="189" t="s">
        <v>1748</v>
      </c>
      <c r="D528" s="209" t="str">
        <f t="shared" si="2"/>
        <v>Hyena Operator for Fast Sequential Recommendation
Jiahao Liu, Lin Li, Zhiyuan Li, Kaixi Hu, Kaize Shi and
Jingling Yuan
</v>
      </c>
      <c r="E528" s="209" t="str">
        <f>IFERROR(__xludf.DUMMYFUNCTION("TEXTJOIN(CHAR(10), TRUE,FILTER('Research Papers'!$C:$C,'Research Papers'!$A:$A=C528))"),"Jiahao Liu, Lin Li, Zhiyuan Li, Kaixi Hu, Kaize Shi and
Jingling Yuan")</f>
        <v>Jiahao Liu, Lin Li, Zhiyuan Li, Kaixi Hu, Kaize Shi and
Jingling Yuan</v>
      </c>
      <c r="F528" s="209" t="str">
        <f>IFERROR(__xludf.DUMMYFUNCTION("TEXTJOIN(CHAR(10), TRUE,FILTER ('Sheridan Main'!E:E,'Sheridan Main'!B:B=C528))"),"cathylilin@whut.edu.cn")</f>
        <v>cathylilin@whut.edu.cn</v>
      </c>
      <c r="G528" s="210" t="str">
        <f>IFERROR(__xludf.DUMMYFUNCTION("CONCATENATE(""https://dl.acm.org/doi/"",INDEX(FILTER('Sheridan Main'!A:A,'Sheridan Main'!B:B=C528),1))"),"https://dl.acm.org/doi/10.1145/3774904.3792716")</f>
        <v>https://dl.acm.org/doi/10.1145/3774904.3792716</v>
      </c>
      <c r="H528" s="189" t="s">
        <v>162</v>
      </c>
      <c r="I528" s="209"/>
      <c r="J528" s="209"/>
      <c r="K528" s="147"/>
      <c r="L528" s="147"/>
      <c r="M528" s="209"/>
      <c r="N528" s="209"/>
      <c r="O528" s="209"/>
      <c r="P528" s="209"/>
      <c r="Q528" s="209"/>
      <c r="R528" s="209"/>
      <c r="S528" s="209"/>
      <c r="T528" s="209"/>
      <c r="U528" s="209"/>
      <c r="V528" s="209"/>
      <c r="W528" s="209"/>
      <c r="X528" s="209"/>
      <c r="Y528" s="209"/>
      <c r="Z528" s="209"/>
      <c r="AA528" s="209"/>
      <c r="AB528" s="209"/>
      <c r="AC528" s="209"/>
      <c r="AD528" s="209"/>
      <c r="AE528" s="209"/>
    </row>
    <row r="529">
      <c r="A529" s="208" t="s">
        <v>2907</v>
      </c>
      <c r="B529" s="189" t="str">
        <f>IFERROR(__xludf.DUMMYFUNCTION("FILTER ('Research Papers'!D:D,'Research Papers'!A:A=C529)"),"ES-MemEval: Benchmarking Conversational Agents on Personalized Long-Term Emotional Support")</f>
        <v>ES-MemEval: Benchmarking Conversational Agents on Personalized Long-Term Emotional Support</v>
      </c>
      <c r="C529" s="189" t="s">
        <v>602</v>
      </c>
      <c r="D529" s="209" t="str">
        <f t="shared" si="2"/>
        <v>ES-MemEval: Benchmarking Conversational Agents on Personalized Long-Term Emotional Support
Tiantian Chen, Jiaqi Lu, Ying Shen and Lin Zhang
</v>
      </c>
      <c r="E529" s="209" t="str">
        <f>IFERROR(__xludf.DUMMYFUNCTION("TEXTJOIN(CHAR(10), TRUE,FILTER('Research Papers'!$C:$C,'Research Papers'!$A:$A=C529))"),"Tiantian Chen, Jiaqi Lu, Ying Shen and Lin Zhang")</f>
        <v>Tiantian Chen, Jiaqi Lu, Ying Shen and Lin Zhang</v>
      </c>
      <c r="F529" s="209" t="str">
        <f>IFERROR(__xludf.DUMMYFUNCTION("TEXTJOIN(CHAR(10), TRUE,FILTER ('Sheridan Main'!E:E,'Sheridan Main'!B:B=C529))"),"2111287@tongji.edu.cn")</f>
        <v>2111287@tongji.edu.cn</v>
      </c>
      <c r="G529" s="210" t="str">
        <f>IFERROR(__xludf.DUMMYFUNCTION("CONCATENATE(""https://dl.acm.org/doi/"",INDEX(FILTER('Sheridan Main'!A:A,'Sheridan Main'!B:B=C529),1))"),"https://dl.acm.org/doi/10.1145/3774904.3792143")</f>
        <v>https://dl.acm.org/doi/10.1145/3774904.3792143</v>
      </c>
      <c r="H529" s="189" t="s">
        <v>182</v>
      </c>
      <c r="I529" s="209"/>
      <c r="J529" s="209"/>
      <c r="K529" s="147"/>
      <c r="L529" s="147"/>
      <c r="M529" s="209"/>
      <c r="N529" s="209"/>
      <c r="O529" s="209"/>
      <c r="P529" s="209"/>
      <c r="Q529" s="209"/>
      <c r="R529" s="209"/>
      <c r="S529" s="209"/>
      <c r="T529" s="209"/>
      <c r="U529" s="209"/>
      <c r="V529" s="209"/>
      <c r="W529" s="209"/>
      <c r="X529" s="209"/>
      <c r="Y529" s="209"/>
      <c r="Z529" s="209"/>
      <c r="AA529" s="209"/>
      <c r="AB529" s="209"/>
      <c r="AC529" s="209"/>
      <c r="AD529" s="209"/>
      <c r="AE529" s="209"/>
    </row>
    <row r="530">
      <c r="A530" s="208" t="s">
        <v>2907</v>
      </c>
      <c r="B530" s="189" t="str">
        <f>IFERROR(__xludf.DUMMYFUNCTION("FILTER ('Research Papers'!D:D,'Research Papers'!A:A=C530)"),"Learning Evolving Preferences: A Federated Continual Framework for User-Centric Recommendation")</f>
        <v>Learning Evolving Preferences: A Federated Continual Framework for User-Centric Recommendation</v>
      </c>
      <c r="C530" s="189" t="s">
        <v>1466</v>
      </c>
      <c r="D530" s="209" t="str">
        <f t="shared" si="2"/>
        <v>Learning Evolving Preferences: A Federated Continual Framework for User-Centric Recommendation
Chunxu Zhang, Zhiheng Xue, Guodong Long, Weipeng Zhang and
Bo Yang
</v>
      </c>
      <c r="E530" s="209" t="str">
        <f>IFERROR(__xludf.DUMMYFUNCTION("TEXTJOIN(CHAR(10), TRUE,FILTER('Research Papers'!$C:$C,'Research Papers'!$A:$A=C530))"),"Chunxu Zhang, Zhiheng Xue, Guodong Long, Weipeng Zhang and
Bo Yang")</f>
        <v>Chunxu Zhang, Zhiheng Xue, Guodong Long, Weipeng Zhang and
Bo Yang</v>
      </c>
      <c r="F530" s="209" t="str">
        <f>IFERROR(__xludf.DUMMYFUNCTION("TEXTJOIN(CHAR(10), TRUE,FILTER ('Sheridan Main'!E:E,'Sheridan Main'!B:B=C530))"),"ybo@jlu.edu.cn")</f>
        <v>ybo@jlu.edu.cn</v>
      </c>
      <c r="G530" s="210" t="str">
        <f>IFERROR(__xludf.DUMMYFUNCTION("CONCATENATE(""https://dl.acm.org/doi/"",INDEX(FILTER('Sheridan Main'!A:A,'Sheridan Main'!B:B=C530),1))"),"https://dl.acm.org/doi/10.1145/3774904.3792575")</f>
        <v>https://dl.acm.org/doi/10.1145/3774904.3792575</v>
      </c>
      <c r="H530" s="189" t="s">
        <v>182</v>
      </c>
      <c r="I530" s="209"/>
      <c r="J530" s="209"/>
      <c r="K530" s="147"/>
      <c r="L530" s="147"/>
      <c r="M530" s="209"/>
      <c r="N530" s="209"/>
      <c r="O530" s="209"/>
      <c r="P530" s="209"/>
      <c r="Q530" s="209"/>
      <c r="R530" s="209"/>
      <c r="S530" s="209"/>
      <c r="T530" s="209"/>
      <c r="U530" s="209"/>
      <c r="V530" s="209"/>
      <c r="W530" s="209"/>
      <c r="X530" s="209"/>
      <c r="Y530" s="209"/>
      <c r="Z530" s="209"/>
      <c r="AA530" s="209"/>
      <c r="AB530" s="209"/>
      <c r="AC530" s="209"/>
      <c r="AD530" s="209"/>
      <c r="AE530" s="209"/>
    </row>
    <row r="531">
      <c r="A531" s="208" t="s">
        <v>2907</v>
      </c>
      <c r="B531" s="189" t="str">
        <f>IFERROR(__xludf.DUMMYFUNCTION("FILTER ('Research Papers'!D:D,'Research Papers'!A:A=C531)"),"Prototype-Aligned Federated Soft-Prompts for Continual Web Personalization")</f>
        <v>Prototype-Aligned Federated Soft-Prompts for Continual Web Personalization</v>
      </c>
      <c r="C531" s="189" t="s">
        <v>1568</v>
      </c>
      <c r="D531" s="209" t="str">
        <f t="shared" si="2"/>
        <v>Prototype-Aligned Federated Soft-Prompts for Continual Web Personalization
Canran Xiao and Liwei Hou
</v>
      </c>
      <c r="E531" s="209" t="str">
        <f>IFERROR(__xludf.DUMMYFUNCTION("TEXTJOIN(CHAR(10), TRUE,FILTER('Research Papers'!$C:$C,'Research Papers'!$A:$A=C531))"),"Canran Xiao and Liwei Hou")</f>
        <v>Canran Xiao and Liwei Hou</v>
      </c>
      <c r="F531" s="209" t="str">
        <f>IFERROR(__xludf.DUMMYFUNCTION("TEXTJOIN(CHAR(10), TRUE,FILTER ('Sheridan Main'!E:E,'Sheridan Main'!B:B=C531))"),"xiaocr3@mail.sysu.edu.cn")</f>
        <v>xiaocr3@mail.sysu.edu.cn</v>
      </c>
      <c r="G531" s="210" t="str">
        <f>IFERROR(__xludf.DUMMYFUNCTION("CONCATENATE(""https://dl.acm.org/doi/"",INDEX(FILTER('Sheridan Main'!A:A,'Sheridan Main'!B:B=C531),1))"),"https://dl.acm.org/doi/10.1145/3774904.3792626")</f>
        <v>https://dl.acm.org/doi/10.1145/3774904.3792626</v>
      </c>
      <c r="H531" s="189" t="s">
        <v>182</v>
      </c>
      <c r="I531" s="209"/>
      <c r="J531" s="209"/>
      <c r="K531" s="147"/>
      <c r="L531" s="147"/>
      <c r="M531" s="209"/>
      <c r="N531" s="209"/>
      <c r="O531" s="209"/>
      <c r="P531" s="209"/>
      <c r="Q531" s="209"/>
      <c r="R531" s="209"/>
      <c r="S531" s="209"/>
      <c r="T531" s="209"/>
      <c r="U531" s="209"/>
      <c r="V531" s="209"/>
      <c r="W531" s="209"/>
      <c r="X531" s="209"/>
      <c r="Y531" s="209"/>
      <c r="Z531" s="209"/>
      <c r="AA531" s="209"/>
      <c r="AB531" s="209"/>
      <c r="AC531" s="209"/>
      <c r="AD531" s="209"/>
      <c r="AE531" s="209"/>
    </row>
    <row r="532">
      <c r="A532" s="208" t="s">
        <v>2907</v>
      </c>
      <c r="B532" s="189" t="str">
        <f>IFERROR(__xludf.DUMMYFUNCTION("FILTER ('Research Papers'!D:D,'Research Papers'!A:A=C532)"),"Modeling Stage-wise Evolution of User Interests for News Recommendation")</f>
        <v>Modeling Stage-wise Evolution of User Interests for News Recommendation</v>
      </c>
      <c r="C532" s="189" t="s">
        <v>1572</v>
      </c>
      <c r="D532" s="209" t="str">
        <f t="shared" si="2"/>
        <v>Modeling Stage-wise Evolution of User Interests for News Recommendation
Zhiyong Cheng, Yike Jin, Zhijie Zhang, Huilin Chen,
Zhangling Duan and Meng Wang
</v>
      </c>
      <c r="E532" s="209" t="str">
        <f>IFERROR(__xludf.DUMMYFUNCTION("TEXTJOIN(CHAR(10), TRUE,FILTER('Research Papers'!$C:$C,'Research Papers'!$A:$A=C532))"),"Zhiyong Cheng, Yike Jin, Zhijie Zhang, Huilin Chen,
Zhangling Duan and Meng Wang")</f>
        <v>Zhiyong Cheng, Yike Jin, Zhijie Zhang, Huilin Chen,
Zhangling Duan and Meng Wang</v>
      </c>
      <c r="F532" s="209" t="str">
        <f>IFERROR(__xludf.DUMMYFUNCTION("TEXTJOIN(CHAR(10), TRUE,FILTER ('Sheridan Main'!E:E,'Sheridan Main'!B:B=C532))"),"jyk06801@gmail.com")</f>
        <v>jyk06801@gmail.com</v>
      </c>
      <c r="G532" s="210" t="str">
        <f>IFERROR(__xludf.DUMMYFUNCTION("CONCATENATE(""https://dl.acm.org/doi/"",INDEX(FILTER('Sheridan Main'!A:A,'Sheridan Main'!B:B=C532),1))"),"https://dl.acm.org/doi/10.1145/3774904.3792628")</f>
        <v>https://dl.acm.org/doi/10.1145/3774904.3792628</v>
      </c>
      <c r="H532" s="189" t="s">
        <v>182</v>
      </c>
      <c r="I532" s="209"/>
      <c r="J532" s="209"/>
      <c r="K532" s="147"/>
      <c r="L532" s="147"/>
      <c r="M532" s="209"/>
      <c r="N532" s="209"/>
      <c r="O532" s="209"/>
      <c r="P532" s="209"/>
      <c r="Q532" s="209"/>
      <c r="R532" s="209"/>
      <c r="S532" s="209"/>
      <c r="T532" s="209"/>
      <c r="U532" s="209"/>
      <c r="V532" s="209"/>
      <c r="W532" s="209"/>
      <c r="X532" s="209"/>
      <c r="Y532" s="209"/>
      <c r="Z532" s="209"/>
      <c r="AA532" s="209"/>
      <c r="AB532" s="209"/>
      <c r="AC532" s="209"/>
      <c r="AD532" s="209"/>
      <c r="AE532" s="209"/>
    </row>
    <row r="533">
      <c r="A533" s="208" t="s">
        <v>2907</v>
      </c>
      <c r="B533" s="189" t="str">
        <f>IFERROR(__xludf.DUMMYFUNCTION("FILTER ('Research Papers'!D:D,'Research Papers'!A:A=C533)"),"MemWeaver: A Hierarchical Memory from Textual Interactive Behaviors for Personalized Generation")</f>
        <v>MemWeaver: A Hierarchical Memory from Textual Interactive Behaviors for Personalized Generation</v>
      </c>
      <c r="C533" s="189" t="s">
        <v>1780</v>
      </c>
      <c r="D533" s="209" t="str">
        <f t="shared" si="2"/>
        <v>MemWeaver: A Hierarchical Memory from Textual Interactive Behaviors for Personalized Generation
Shuo Yu, Mingyue Cheng, Daoyu Wang, Qi Liu, Zirui Liu, Ze
Guo and Xiaoyu Tao
</v>
      </c>
      <c r="E533" s="209" t="str">
        <f>IFERROR(__xludf.DUMMYFUNCTION("TEXTJOIN(CHAR(10), TRUE,FILTER('Research Papers'!$C:$C,'Research Papers'!$A:$A=C533))"),"Shuo Yu, Mingyue Cheng, Daoyu Wang, Qi Liu, Zirui Liu, Ze
Guo and Xiaoyu Tao")</f>
        <v>Shuo Yu, Mingyue Cheng, Daoyu Wang, Qi Liu, Zirui Liu, Ze
Guo and Xiaoyu Tao</v>
      </c>
      <c r="F533" s="209" t="str">
        <f>IFERROR(__xludf.DUMMYFUNCTION("TEXTJOIN(CHAR(10), TRUE,FILTER ('Sheridan Main'!E:E,'Sheridan Main'!B:B=C533))"),"mycheng@ustc.edu.cn")</f>
        <v>mycheng@ustc.edu.cn</v>
      </c>
      <c r="G533" s="210" t="str">
        <f>IFERROR(__xludf.DUMMYFUNCTION("CONCATENATE(""https://dl.acm.org/doi/"",INDEX(FILTER('Sheridan Main'!A:A,'Sheridan Main'!B:B=C533),1))"),"https://dl.acm.org/doi/10.1145/3774904.3792732")</f>
        <v>https://dl.acm.org/doi/10.1145/3774904.3792732</v>
      </c>
      <c r="H533" s="189" t="s">
        <v>182</v>
      </c>
      <c r="I533" s="209"/>
      <c r="J533" s="209"/>
      <c r="K533" s="147"/>
      <c r="L533" s="147"/>
      <c r="M533" s="209"/>
      <c r="N533" s="209"/>
      <c r="O533" s="209"/>
      <c r="P533" s="209"/>
      <c r="Q533" s="209"/>
      <c r="R533" s="209"/>
      <c r="S533" s="209"/>
      <c r="T533" s="209"/>
      <c r="U533" s="209"/>
      <c r="V533" s="209"/>
      <c r="W533" s="209"/>
      <c r="X533" s="209"/>
      <c r="Y533" s="209"/>
      <c r="Z533" s="209"/>
      <c r="AA533" s="209"/>
      <c r="AB533" s="209"/>
      <c r="AC533" s="209"/>
      <c r="AD533" s="209"/>
      <c r="AE533" s="209"/>
    </row>
    <row r="534">
      <c r="A534" s="208" t="s">
        <v>2907</v>
      </c>
      <c r="B534" s="189" t="str">
        <f>IFERROR(__xludf.DUMMYFUNCTION("FILTER ('Research Papers'!D:D,'Research Papers'!A:A=C534)"),"SEAR: LLM-Powered Sequential Recommendation via Fusion of Collaborative, Semantic, and Rating Information")</f>
        <v>SEAR: LLM-Powered Sequential Recommendation via Fusion of Collaborative, Semantic, and Rating Information</v>
      </c>
      <c r="C534" s="189" t="s">
        <v>500</v>
      </c>
      <c r="D534" s="209" t="str">
        <f t="shared" si="2"/>
        <v>SEAR: LLM-Powered Sequential Recommendation via Fusion of Collaborative, Semantic, and Rating Information
Wei Guan, Jian Cao, Qiqi Cai, Jianqi Gao, Jinyu Cai and
See-Kiong Ng
</v>
      </c>
      <c r="E534" s="209" t="str">
        <f>IFERROR(__xludf.DUMMYFUNCTION("TEXTJOIN(CHAR(10), TRUE,FILTER('Research Papers'!$C:$C,'Research Papers'!$A:$A=C534))"),"Wei Guan, Jian Cao, Qiqi Cai, Jianqi Gao, Jinyu Cai and
See-Kiong Ng")</f>
        <v>Wei Guan, Jian Cao, Qiqi Cai, Jianqi Gao, Jinyu Cai and
See-Kiong Ng</v>
      </c>
      <c r="F534" s="209" t="str">
        <f>IFERROR(__xludf.DUMMYFUNCTION("TEXTJOIN(CHAR(10), TRUE,FILTER ('Sheridan Main'!E:E,'Sheridan Main'!B:B=C534))"),"cao-jian@sjtu.edu.cn")</f>
        <v>cao-jian@sjtu.edu.cn</v>
      </c>
      <c r="G534" s="210" t="str">
        <f>IFERROR(__xludf.DUMMYFUNCTION("CONCATENATE(""https://dl.acm.org/doi/"",INDEX(FILTER('Sheridan Main'!A:A,'Sheridan Main'!B:B=C534),1))"),"https://dl.acm.org/doi/10.1145/3774904.3792092")</f>
        <v>https://dl.acm.org/doi/10.1145/3774904.3792092</v>
      </c>
      <c r="H534" s="189" t="s">
        <v>208</v>
      </c>
      <c r="I534" s="209"/>
      <c r="J534" s="209"/>
      <c r="K534" s="147"/>
      <c r="L534" s="147"/>
      <c r="M534" s="209"/>
      <c r="N534" s="209"/>
      <c r="O534" s="209"/>
      <c r="P534" s="209"/>
      <c r="Q534" s="209"/>
      <c r="R534" s="209"/>
      <c r="S534" s="209"/>
      <c r="T534" s="209"/>
      <c r="U534" s="209"/>
      <c r="V534" s="209"/>
      <c r="W534" s="209"/>
      <c r="X534" s="209"/>
      <c r="Y534" s="209"/>
      <c r="Z534" s="209"/>
      <c r="AA534" s="209"/>
      <c r="AB534" s="209"/>
      <c r="AC534" s="209"/>
      <c r="AD534" s="209"/>
      <c r="AE534" s="209"/>
    </row>
    <row r="535">
      <c r="A535" s="208" t="s">
        <v>2907</v>
      </c>
      <c r="B535" s="189" t="str">
        <f>IFERROR(__xludf.DUMMYFUNCTION("FILTER ('Research Papers'!D:D,'Research Papers'!A:A=C535)"),"Retracing and Restoring: Chronological Context Preservation for Effective Dynamic Recommendation")</f>
        <v>Retracing and Restoring: Chronological Context Preservation for Effective Dynamic Recommendation</v>
      </c>
      <c r="C535" s="189" t="s">
        <v>1130</v>
      </c>
      <c r="D535" s="209" t="str">
        <f t="shared" si="2"/>
        <v>Retracing and Restoring: Chronological Context Preservation for Effective Dynamic Recommendation
Min-Jeong Kim, Jiwon Son, Yeon-Chang Lee and Sang-Wook Kim
</v>
      </c>
      <c r="E535" s="209" t="str">
        <f>IFERROR(__xludf.DUMMYFUNCTION("TEXTJOIN(CHAR(10), TRUE,FILTER('Research Papers'!$C:$C,'Research Papers'!$A:$A=C535))"),"Min-Jeong Kim, Jiwon Son, Yeon-Chang Lee and Sang-Wook Kim")</f>
        <v>Min-Jeong Kim, Jiwon Son, Yeon-Chang Lee and Sang-Wook Kim</v>
      </c>
      <c r="F535" s="209" t="str">
        <f>IFERROR(__xludf.DUMMYFUNCTION("TEXTJOIN(CHAR(10), TRUE,FILTER ('Sheridan Main'!E:E,'Sheridan Main'!B:B=C535))"),"wook@hanyang.ac.kr")</f>
        <v>wook@hanyang.ac.kr</v>
      </c>
      <c r="G535" s="210" t="str">
        <f>IFERROR(__xludf.DUMMYFUNCTION("CONCATENATE(""https://dl.acm.org/doi/"",INDEX(FILTER('Sheridan Main'!A:A,'Sheridan Main'!B:B=C535),1))"),"https://dl.acm.org/doi/10.1145/3774904.3792407")</f>
        <v>https://dl.acm.org/doi/10.1145/3774904.3792407</v>
      </c>
      <c r="H535" s="189" t="s">
        <v>208</v>
      </c>
      <c r="I535" s="209"/>
      <c r="J535" s="209"/>
      <c r="K535" s="147"/>
      <c r="L535" s="147"/>
      <c r="M535" s="209"/>
      <c r="N535" s="209"/>
      <c r="O535" s="209"/>
      <c r="P535" s="209"/>
      <c r="Q535" s="209"/>
      <c r="R535" s="209"/>
      <c r="S535" s="209"/>
      <c r="T535" s="209"/>
      <c r="U535" s="209"/>
      <c r="V535" s="209"/>
      <c r="W535" s="209"/>
      <c r="X535" s="209"/>
      <c r="Y535" s="209"/>
      <c r="Z535" s="209"/>
      <c r="AA535" s="209"/>
      <c r="AB535" s="209"/>
      <c r="AC535" s="209"/>
      <c r="AD535" s="209"/>
      <c r="AE535" s="209"/>
    </row>
    <row r="536">
      <c r="A536" s="208" t="s">
        <v>2907</v>
      </c>
      <c r="B536" s="189" t="str">
        <f>IFERROR(__xludf.DUMMYFUNCTION("FILTER ('Research Papers'!D:D,'Research Papers'!A:A=C536)"),"FCRLLM: Aligning LLM with Collaborative Filtering for Long-tailed Sequential Recommendation")</f>
        <v>FCRLLM: Aligning LLM with Collaborative Filtering for Long-tailed Sequential Recommendation</v>
      </c>
      <c r="C536" s="189" t="s">
        <v>1446</v>
      </c>
      <c r="D536" s="209" t="str">
        <f t="shared" si="2"/>
        <v>FCRLLM: Aligning LLM with Collaborative Filtering for Long-tailed Sequential Recommendation
Byungmoon Heo, Namjun Lee, Seonah Kim and Jaekwang Kim
</v>
      </c>
      <c r="E536" s="209" t="str">
        <f>IFERROR(__xludf.DUMMYFUNCTION("TEXTJOIN(CHAR(10), TRUE,FILTER('Research Papers'!$C:$C,'Research Papers'!$A:$A=C536))"),"Byungmoon Heo, Namjun Lee, Seonah Kim and Jaekwang Kim")</f>
        <v>Byungmoon Heo, Namjun Lee, Seonah Kim and Jaekwang Kim</v>
      </c>
      <c r="F536" s="209" t="str">
        <f>IFERROR(__xludf.DUMMYFUNCTION("TEXTJOIN(CHAR(10), TRUE,FILTER ('Sheridan Main'!E:E,'Sheridan Main'!B:B=C536))"),"linux@skku.edu")</f>
        <v>linux@skku.edu</v>
      </c>
      <c r="G536" s="210" t="str">
        <f>IFERROR(__xludf.DUMMYFUNCTION("CONCATENATE(""https://dl.acm.org/doi/"",INDEX(FILTER('Sheridan Main'!A:A,'Sheridan Main'!B:B=C536),1))"),"https://dl.acm.org/doi/10.1145/3774904.3792565")</f>
        <v>https://dl.acm.org/doi/10.1145/3774904.3792565</v>
      </c>
      <c r="H536" s="189" t="s">
        <v>208</v>
      </c>
      <c r="I536" s="209"/>
      <c r="J536" s="209"/>
      <c r="K536" s="147"/>
      <c r="L536" s="147"/>
      <c r="M536" s="209"/>
      <c r="N536" s="209"/>
      <c r="O536" s="209"/>
      <c r="P536" s="209"/>
      <c r="Q536" s="209"/>
      <c r="R536" s="209"/>
      <c r="S536" s="209"/>
      <c r="T536" s="209"/>
      <c r="U536" s="209"/>
      <c r="V536" s="209"/>
      <c r="W536" s="209"/>
      <c r="X536" s="209"/>
      <c r="Y536" s="209"/>
      <c r="Z536" s="209"/>
      <c r="AA536" s="209"/>
      <c r="AB536" s="209"/>
      <c r="AC536" s="209"/>
      <c r="AD536" s="209"/>
      <c r="AE536" s="209"/>
    </row>
    <row r="537">
      <c r="A537" s="208" t="s">
        <v>2907</v>
      </c>
      <c r="B537" s="189" t="str">
        <f>IFERROR(__xludf.DUMMYFUNCTION("FILTER ('Research Papers'!D:D,'Research Papers'!A:A=C537)"),"Generative Archetype-Grounded Item Representations for Sequential Recommendation")</f>
        <v>Generative Archetype-Grounded Item Representations for Sequential Recommendation</v>
      </c>
      <c r="C537" s="189" t="s">
        <v>1490</v>
      </c>
      <c r="D537" s="209" t="str">
        <f t="shared" si="2"/>
        <v>Generative Archetype-Grounded Item Representations for Sequential Recommendation
Yifan Li, Jiahong Liu, Xinni Zhang, Hao Chen, Yankai Chen,
Wenhao Yu, Jianting Chen and Irwin King
</v>
      </c>
      <c r="E537" s="209" t="str">
        <f>IFERROR(__xludf.DUMMYFUNCTION("TEXTJOIN(CHAR(10), TRUE,FILTER('Research Papers'!$C:$C,'Research Papers'!$A:$A=C537))"),"Yifan Li, Jiahong Liu, Xinni Zhang, Hao Chen, Yankai Chen,
Wenhao Yu, Jianting Chen and Irwin King")</f>
        <v>Yifan Li, Jiahong Liu, Xinni Zhang, Hao Chen, Yankai Chen,
Wenhao Yu, Jianting Chen and Irwin King</v>
      </c>
      <c r="F537" s="209" t="str">
        <f>IFERROR(__xludf.DUMMYFUNCTION("TEXTJOIN(CHAR(10), TRUE,FILTER ('Sheridan Main'!E:E,'Sheridan Main'!B:B=C537))"),"king@cse.cuhk.edu.hk")</f>
        <v>king@cse.cuhk.edu.hk</v>
      </c>
      <c r="G537" s="210" t="str">
        <f>IFERROR(__xludf.DUMMYFUNCTION("CONCATENATE(""https://dl.acm.org/doi/"",INDEX(FILTER('Sheridan Main'!A:A,'Sheridan Main'!B:B=C537),1))"),"https://dl.acm.org/doi/10.1145/3774904.3792587")</f>
        <v>https://dl.acm.org/doi/10.1145/3774904.3792587</v>
      </c>
      <c r="H537" s="189" t="s">
        <v>208</v>
      </c>
      <c r="I537" s="209"/>
      <c r="J537" s="209"/>
      <c r="K537" s="147"/>
      <c r="L537" s="147"/>
      <c r="M537" s="209"/>
      <c r="N537" s="209"/>
      <c r="O537" s="209"/>
      <c r="P537" s="209"/>
      <c r="Q537" s="209"/>
      <c r="R537" s="209"/>
      <c r="S537" s="209"/>
      <c r="T537" s="209"/>
      <c r="U537" s="209"/>
      <c r="V537" s="209"/>
      <c r="W537" s="209"/>
      <c r="X537" s="209"/>
      <c r="Y537" s="209"/>
      <c r="Z537" s="209"/>
      <c r="AA537" s="209"/>
      <c r="AB537" s="209"/>
      <c r="AC537" s="209"/>
      <c r="AD537" s="209"/>
      <c r="AE537" s="209"/>
    </row>
    <row r="538">
      <c r="A538" s="208" t="s">
        <v>2907</v>
      </c>
      <c r="B538" s="189" t="str">
        <f>IFERROR(__xludf.DUMMYFUNCTION("FILTER ('Research Papers'!D:D,'Research Papers'!A:A=C538)"),"Token-level Collaborative Alignment for LLM-based Generative Recommendation")</f>
        <v>Token-level Collaborative Alignment for LLM-based Generative Recommendation</v>
      </c>
      <c r="C538" s="189" t="s">
        <v>1770</v>
      </c>
      <c r="D538" s="209" t="str">
        <f t="shared" si="2"/>
        <v>Token-level Collaborative Alignment for LLM-based Generative Recommendation
Fake Lin, Binbin Hu, Zhi Zheng, Xi Zhu, Ziqi Liu, Zhiqiang
Zhang, Jun Zhou and Tong Xu
</v>
      </c>
      <c r="E538" s="209" t="str">
        <f>IFERROR(__xludf.DUMMYFUNCTION("TEXTJOIN(CHAR(10), TRUE,FILTER('Research Papers'!$C:$C,'Research Papers'!$A:$A=C538))"),"Fake Lin, Binbin Hu, Zhi Zheng, Xi Zhu, Ziqi Liu, Zhiqiang
Zhang, Jun Zhou and Tong Xu")</f>
        <v>Fake Lin, Binbin Hu, Zhi Zheng, Xi Zhu, Ziqi Liu, Zhiqiang
Zhang, Jun Zhou and Tong Xu</v>
      </c>
      <c r="F538" s="209" t="str">
        <f>IFERROR(__xludf.DUMMYFUNCTION("TEXTJOIN(CHAR(10), TRUE,FILTER ('Sheridan Main'!E:E,'Sheridan Main'!B:B=C538))"),"fklin@mail.ustc.edu.cn")</f>
        <v>fklin@mail.ustc.edu.cn</v>
      </c>
      <c r="G538" s="210" t="str">
        <f>IFERROR(__xludf.DUMMYFUNCTION("CONCATENATE(""https://dl.acm.org/doi/"",INDEX(FILTER('Sheridan Main'!A:A,'Sheridan Main'!B:B=C538),1))"),"https://dl.acm.org/doi/10.1145/3774904.3792727")</f>
        <v>https://dl.acm.org/doi/10.1145/3774904.3792727</v>
      </c>
      <c r="H538" s="189" t="s">
        <v>208</v>
      </c>
      <c r="I538" s="209"/>
      <c r="J538" s="209"/>
      <c r="K538" s="147"/>
      <c r="L538" s="147"/>
      <c r="M538" s="209"/>
      <c r="N538" s="209"/>
      <c r="O538" s="209"/>
      <c r="P538" s="209"/>
      <c r="Q538" s="209"/>
      <c r="R538" s="209"/>
      <c r="S538" s="209"/>
      <c r="T538" s="209"/>
      <c r="U538" s="209"/>
      <c r="V538" s="209"/>
      <c r="W538" s="209"/>
      <c r="X538" s="209"/>
      <c r="Y538" s="209"/>
      <c r="Z538" s="209"/>
      <c r="AA538" s="209"/>
      <c r="AB538" s="209"/>
      <c r="AC538" s="209"/>
      <c r="AD538" s="209"/>
      <c r="AE538" s="209"/>
    </row>
    <row r="539">
      <c r="A539" s="208" t="s">
        <v>2907</v>
      </c>
      <c r="B539" s="189" t="str">
        <f>IFERROR(__xludf.DUMMYFUNCTION("FILTER ('Research Papers'!D:D,'Research Papers'!A:A=C539)"),"DiffGRM: Diffusion-based Generative Recommendation Model")</f>
        <v>DiffGRM: Diffusion-based Generative Recommendation Model</v>
      </c>
      <c r="C539" s="189" t="s">
        <v>628</v>
      </c>
      <c r="D539" s="209" t="str">
        <f t="shared" si="2"/>
        <v>DiffGRM: Diffusion-based Generative Recommendation Model
Zhao Liu, Yichen Zhu, Yiqing Yang, Xiao Lv, Guoping Tang,
Rui Huang, Qiang Luo, Ruiming Tang and Guorui Zhou
</v>
      </c>
      <c r="E539" s="209" t="str">
        <f>IFERROR(__xludf.DUMMYFUNCTION("TEXTJOIN(CHAR(10), TRUE,FILTER('Research Papers'!$C:$C,'Research Papers'!$A:$A=C539))"),"Zhao Liu, Yichen Zhu, Yiqing Yang, Xiao Lv, Guoping Tang,
Rui Huang, Qiang Luo, Ruiming Tang and Guorui Zhou")</f>
        <v>Zhao Liu, Yichen Zhu, Yiqing Yang, Xiao Lv, Guoping Tang,
Rui Huang, Qiang Luo, Ruiming Tang and Guorui Zhou</v>
      </c>
      <c r="F539" s="209" t="str">
        <f>IFERROR(__xludf.DUMMYFUNCTION("TEXTJOIN(CHAR(10), TRUE,FILTER ('Sheridan Main'!E:E,'Sheridan Main'!B:B=C539))"),"liuzhao09@kuaishou.com")</f>
        <v>liuzhao09@kuaishou.com</v>
      </c>
      <c r="G539" s="210" t="str">
        <f>IFERROR(__xludf.DUMMYFUNCTION("CONCATENATE(""https://dl.acm.org/doi/"",INDEX(FILTER('Sheridan Main'!A:A,'Sheridan Main'!B:B=C539),1))"),"https://dl.acm.org/doi/10.1145/3774904.3792156")</f>
        <v>https://dl.acm.org/doi/10.1145/3774904.3792156</v>
      </c>
      <c r="H539" s="189" t="s">
        <v>107</v>
      </c>
      <c r="I539" s="209"/>
      <c r="J539" s="209"/>
      <c r="K539" s="147"/>
      <c r="L539" s="147"/>
      <c r="M539" s="209"/>
      <c r="N539" s="209"/>
      <c r="O539" s="209"/>
      <c r="P539" s="209"/>
      <c r="Q539" s="209"/>
      <c r="R539" s="209"/>
      <c r="S539" s="209"/>
      <c r="T539" s="209"/>
      <c r="U539" s="209"/>
      <c r="V539" s="209"/>
      <c r="W539" s="209"/>
      <c r="X539" s="209"/>
      <c r="Y539" s="209"/>
      <c r="Z539" s="209"/>
      <c r="AA539" s="209"/>
      <c r="AB539" s="209"/>
      <c r="AC539" s="209"/>
      <c r="AD539" s="209"/>
      <c r="AE539" s="209"/>
    </row>
    <row r="540">
      <c r="A540" s="208" t="s">
        <v>2907</v>
      </c>
      <c r="B540" s="189" t="str">
        <f>IFERROR(__xludf.DUMMYFUNCTION("FILTER ('Research Papers'!D:D,'Research Papers'!A:A=C540)"),"Modeling Endogenous Logic: Causal Neuro-Symbolic Reasoning Model for Explainable Multi-Behavior Recommendation")</f>
        <v>Modeling Endogenous Logic: Causal Neuro-Symbolic Reasoning Model for Explainable Multi-Behavior Recommendation</v>
      </c>
      <c r="C540" s="189" t="s">
        <v>1154</v>
      </c>
      <c r="D540" s="209" t="str">
        <f t="shared" si="2"/>
        <v>Modeling Endogenous Logic: Causal Neuro-Symbolic Reasoning Model for Explainable Multi-Behavior Recommendation
Yuzhe Chen, Jie Cao, Youquan Wang, Haicheng Tao, Darko
Vuković and Jia Wu
</v>
      </c>
      <c r="E540" s="209" t="str">
        <f>IFERROR(__xludf.DUMMYFUNCTION("TEXTJOIN(CHAR(10), TRUE,FILTER('Research Papers'!$C:$C,'Research Papers'!$A:$A=C540))"),"Yuzhe Chen, Jie Cao, Youquan Wang, Haicheng Tao, Darko
Vuković and Jia Wu")</f>
        <v>Yuzhe Chen, Jie Cao, Youquan Wang, Haicheng Tao, Darko
Vuković and Jia Wu</v>
      </c>
      <c r="F540" s="209" t="str">
        <f>IFERROR(__xludf.DUMMYFUNCTION("TEXTJOIN(CHAR(10), TRUE,FILTER ('Sheridan Main'!E:E,'Sheridan Main'!B:B=C540))"),"cao_jie@hfut.edu.cn")</f>
        <v>cao_jie@hfut.edu.cn</v>
      </c>
      <c r="G540" s="210" t="str">
        <f>IFERROR(__xludf.DUMMYFUNCTION("CONCATENATE(""https://dl.acm.org/doi/"",INDEX(FILTER('Sheridan Main'!A:A,'Sheridan Main'!B:B=C540),1))"),"https://dl.acm.org/doi/10.1145/3774904.3792419")</f>
        <v>https://dl.acm.org/doi/10.1145/3774904.3792419</v>
      </c>
      <c r="H540" s="189" t="s">
        <v>107</v>
      </c>
      <c r="I540" s="209"/>
      <c r="J540" s="209"/>
      <c r="K540" s="147"/>
      <c r="L540" s="147"/>
      <c r="M540" s="209"/>
      <c r="N540" s="209"/>
      <c r="O540" s="209"/>
      <c r="P540" s="209"/>
      <c r="Q540" s="209"/>
      <c r="R540" s="209"/>
      <c r="S540" s="209"/>
      <c r="T540" s="209"/>
      <c r="U540" s="209"/>
      <c r="V540" s="209"/>
      <c r="W540" s="209"/>
      <c r="X540" s="209"/>
      <c r="Y540" s="209"/>
      <c r="Z540" s="209"/>
      <c r="AA540" s="209"/>
      <c r="AB540" s="209"/>
      <c r="AC540" s="209"/>
      <c r="AD540" s="209"/>
      <c r="AE540" s="209"/>
    </row>
    <row r="541">
      <c r="A541" s="208" t="s">
        <v>2907</v>
      </c>
      <c r="B541" s="189" t="str">
        <f>IFERROR(__xludf.DUMMYFUNCTION("FILTER ('Research Papers'!D:D,'Research Papers'!A:A=C541)"),"MCLMR: A Model-Agnostic Causal Learning Framework for Multi-Behavior Recommendation")</f>
        <v>MCLMR: A Model-Agnostic Causal Learning Framework for Multi-Behavior Recommendation</v>
      </c>
      <c r="C541" s="189" t="s">
        <v>1306</v>
      </c>
      <c r="D541" s="209" t="str">
        <f t="shared" si="2"/>
        <v>MCLMR: A Model-Agnostic Causal Learning Framework for Multi-Behavior Recommendation
Ranxu Zhang, Junjie Meng, Ying Sun, Ziqi Xu, Bing Yin, Hao
Li, Yanyong Zhang and Chao Wang
</v>
      </c>
      <c r="E541" s="209" t="str">
        <f>IFERROR(__xludf.DUMMYFUNCTION("TEXTJOIN(CHAR(10), TRUE,FILTER('Research Papers'!$C:$C,'Research Papers'!$A:$A=C541))"),"Ranxu Zhang, Junjie Meng, Ying Sun, Ziqi Xu, Bing Yin, Hao
Li, Yanyong Zhang and Chao Wang")</f>
        <v>Ranxu Zhang, Junjie Meng, Ying Sun, Ziqi Xu, Bing Yin, Hao
Li, Yanyong Zhang and Chao Wang</v>
      </c>
      <c r="F541" s="209" t="str">
        <f>IFERROR(__xludf.DUMMYFUNCTION("TEXTJOIN(CHAR(10), TRUE,FILTER ('Sheridan Main'!E:E,'Sheridan Main'!B:B=C541))"),"wangchaoai@ustc.edu.cn")</f>
        <v>wangchaoai@ustc.edu.cn</v>
      </c>
      <c r="G541" s="210" t="str">
        <f>IFERROR(__xludf.DUMMYFUNCTION("CONCATENATE(""https://dl.acm.org/doi/"",INDEX(FILTER('Sheridan Main'!A:A,'Sheridan Main'!B:B=C541),1))"),"https://dl.acm.org/doi/10.1145/3774904.3792495")</f>
        <v>https://dl.acm.org/doi/10.1145/3774904.3792495</v>
      </c>
      <c r="H541" s="189" t="s">
        <v>107</v>
      </c>
      <c r="I541" s="209"/>
      <c r="J541" s="209"/>
      <c r="K541" s="147"/>
      <c r="L541" s="147"/>
      <c r="M541" s="209"/>
      <c r="N541" s="209"/>
      <c r="O541" s="209"/>
      <c r="P541" s="209"/>
      <c r="Q541" s="209"/>
      <c r="R541" s="209"/>
      <c r="S541" s="209"/>
      <c r="T541" s="209"/>
      <c r="U541" s="209"/>
      <c r="V541" s="209"/>
      <c r="W541" s="209"/>
      <c r="X541" s="209"/>
      <c r="Y541" s="209"/>
      <c r="Z541" s="209"/>
      <c r="AA541" s="209"/>
      <c r="AB541" s="209"/>
      <c r="AC541" s="209"/>
      <c r="AD541" s="209"/>
      <c r="AE541" s="209"/>
    </row>
    <row r="542">
      <c r="A542" s="208" t="s">
        <v>2907</v>
      </c>
      <c r="B542" s="189" t="str">
        <f>IFERROR(__xludf.DUMMYFUNCTION("FILTER ('Research Papers'!D:D,'Research Papers'!A:A=C542)"),"C-HyPOD: Causal Hyperbolic Learning with Prototype Orthogonal Disentanglement for Graph Out-of-Distribution Recommendation")</f>
        <v>C-HyPOD: Causal Hyperbolic Learning with Prototype Orthogonal Disentanglement for Graph Out-of-Distribution Recommendation</v>
      </c>
      <c r="C542" s="189" t="s">
        <v>1422</v>
      </c>
      <c r="D542" s="209" t="str">
        <f t="shared" si="2"/>
        <v>C-HyPOD: Causal Hyperbolic Learning with Prototype Orthogonal Disentanglement for Graph Out-of-Distribution Recommendation
Jiahao Liang, Yutian Xiao, Haoran Yang, Zhiwen Yu, Jia-Nan
Liu and Kaixiang Yang
</v>
      </c>
      <c r="E542" s="209" t="str">
        <f>IFERROR(__xludf.DUMMYFUNCTION("TEXTJOIN(CHAR(10), TRUE,FILTER('Research Papers'!$C:$C,'Research Papers'!$A:$A=C542))"),"Jiahao Liang, Yutian Xiao, Haoran Yang, Zhiwen Yu, Jia-Nan
Liu and Kaixiang Yang")</f>
        <v>Jiahao Liang, Yutian Xiao, Haoran Yang, Zhiwen Yu, Jia-Nan
Liu and Kaixiang Yang</v>
      </c>
      <c r="F542" s="209" t="str">
        <f>IFERROR(__xludf.DUMMYFUNCTION("TEXTJOIN(CHAR(10), TRUE,FILTER ('Sheridan Main'!E:E,'Sheridan Main'!B:B=C542))"),"csjiahliang6@mail.scut.edu.cn")</f>
        <v>csjiahliang6@mail.scut.edu.cn</v>
      </c>
      <c r="G542" s="210" t="str">
        <f>IFERROR(__xludf.DUMMYFUNCTION("CONCATENATE(""https://dl.acm.org/doi/"",INDEX(FILTER('Sheridan Main'!A:A,'Sheridan Main'!B:B=C542),1))"),"https://dl.acm.org/doi/10.1145/3774904.3792553")</f>
        <v>https://dl.acm.org/doi/10.1145/3774904.3792553</v>
      </c>
      <c r="H542" s="189" t="s">
        <v>107</v>
      </c>
      <c r="I542" s="209"/>
      <c r="J542" s="209"/>
      <c r="K542" s="147"/>
      <c r="L542" s="147"/>
      <c r="M542" s="209"/>
      <c r="N542" s="209"/>
      <c r="O542" s="209"/>
      <c r="P542" s="209"/>
      <c r="Q542" s="209"/>
      <c r="R542" s="209"/>
      <c r="S542" s="209"/>
      <c r="T542" s="209"/>
      <c r="U542" s="209"/>
      <c r="V542" s="209"/>
      <c r="W542" s="209"/>
      <c r="X542" s="209"/>
      <c r="Y542" s="209"/>
      <c r="Z542" s="209"/>
      <c r="AA542" s="209"/>
      <c r="AB542" s="209"/>
      <c r="AC542" s="209"/>
      <c r="AD542" s="209"/>
      <c r="AE542" s="209"/>
    </row>
    <row r="543">
      <c r="A543" s="208" t="s">
        <v>2907</v>
      </c>
      <c r="B543" s="189" t="str">
        <f>IFERROR(__xludf.DUMMYFUNCTION("FILTER ('Research Papers'!D:D,'Research Papers'!A:A=C543)"),"Causality Enhancement for Cross-Domain Recommendation")</f>
        <v>Causality Enhancement for Cross-Domain Recommendation</v>
      </c>
      <c r="C543" s="189" t="s">
        <v>1522</v>
      </c>
      <c r="D543" s="209" t="str">
        <f t="shared" si="2"/>
        <v>Causality Enhancement for Cross-Domain Recommendation
Zhibo Wu, Yunfan Wu, Yang Chang, Ping Yang and Yao Hu
</v>
      </c>
      <c r="E543" s="209" t="str">
        <f>IFERROR(__xludf.DUMMYFUNCTION("TEXTJOIN(CHAR(10), TRUE,FILTER('Research Papers'!$C:$C,'Research Papers'!$A:$A=C543))"),"Zhibo Wu, Yunfan Wu, Yang Chang, Ping Yang and Yao Hu")</f>
        <v>Zhibo Wu, Yunfan Wu, Yang Chang, Ping Yang and Yao Hu</v>
      </c>
      <c r="F543" s="209" t="str">
        <f>IFERROR(__xludf.DUMMYFUNCTION("TEXTJOIN(CHAR(10), TRUE,FILTER ('Sheridan Main'!E:E,'Sheridan Main'!B:B=C543))"),"zbwu1617@gmail.com")</f>
        <v>zbwu1617@gmail.com</v>
      </c>
      <c r="G543" s="210" t="str">
        <f>IFERROR(__xludf.DUMMYFUNCTION("CONCATENATE(""https://dl.acm.org/doi/"",INDEX(FILTER('Sheridan Main'!A:A,'Sheridan Main'!B:B=C543),1))"),"https://dl.acm.org/doi/10.1145/3774904.3792603")</f>
        <v>https://dl.acm.org/doi/10.1145/3774904.3792603</v>
      </c>
      <c r="H543" s="189" t="s">
        <v>107</v>
      </c>
      <c r="I543" s="209"/>
      <c r="J543" s="209"/>
      <c r="K543" s="147"/>
      <c r="L543" s="147"/>
      <c r="M543" s="209"/>
      <c r="N543" s="209"/>
      <c r="O543" s="209"/>
      <c r="P543" s="209"/>
      <c r="Q543" s="209"/>
      <c r="R543" s="209"/>
      <c r="S543" s="209"/>
      <c r="T543" s="209"/>
      <c r="U543" s="209"/>
      <c r="V543" s="209"/>
      <c r="W543" s="209"/>
      <c r="X543" s="209"/>
      <c r="Y543" s="209"/>
      <c r="Z543" s="209"/>
      <c r="AA543" s="209"/>
      <c r="AB543" s="209"/>
      <c r="AC543" s="209"/>
      <c r="AD543" s="209"/>
      <c r="AE543" s="209"/>
    </row>
    <row r="544">
      <c r="A544" s="208" t="s">
        <v>2907</v>
      </c>
      <c r="B544" s="189" t="str">
        <f>IFERROR(__xludf.DUMMYFUNCTION("FILTER ('Research Papers'!D:D,'Research Papers'!A:A=C544)"),"Guiding Generative Recommender Systems with Structured Human Priors via Multi-head Decoding")</f>
        <v>Guiding Generative Recommender Systems with Structured Human Priors via Multi-head Decoding</v>
      </c>
      <c r="C544" s="189" t="s">
        <v>516</v>
      </c>
      <c r="D544" s="209" t="str">
        <f t="shared" si="2"/>
        <v>Guiding Generative Recommender Systems with Structured Human Priors via Multi-head Decoding
Yunkai Zhang, Qiang Zhang, Diji Yang, Ryan Lin, Ruizhong
Qiu, Benyu Zhang, Hanchao Yu, Jason Liu, Yinglong Xia,
Zhuokai Zhao, Lizhu Zhang, Xiangjun Fan, Zhuoran Yu,
Abhishek Kumar and Zeyu Zheng
</v>
      </c>
      <c r="E544" s="209" t="str">
        <f>IFERROR(__xludf.DUMMYFUNCTION("TEXTJOIN(CHAR(10), TRUE,FILTER('Research Papers'!$C:$C,'Research Papers'!$A:$A=C544))"),"Yunkai Zhang, Qiang Zhang, Diji Yang, Ryan Lin, Ruizhong
Qiu, Benyu Zhang, Hanchao Yu, Jason Liu, Yinglong Xia,
Zhuokai Zhao, Lizhu Zhang, Xiangjun Fan, Zhuoran Yu,
Abhishek Kumar and Zeyu Zheng")</f>
        <v>Yunkai Zhang, Qiang Zhang, Diji Yang, Ryan Lin, Ruizhong
Qiu, Benyu Zhang, Hanchao Yu, Jason Liu, Yinglong Xia,
Zhuokai Zhao, Lizhu Zhang, Xiangjun Fan, Zhuoran Yu,
Abhishek Kumar and Zeyu Zheng</v>
      </c>
      <c r="F544" s="209" t="str">
        <f>IFERROR(__xludf.DUMMYFUNCTION("TEXTJOIN(CHAR(10), TRUE,FILTER ('Sheridan Main'!E:E,'Sheridan Main'!B:B=C544))"),"qiangzhang@meta.com")</f>
        <v>qiangzhang@meta.com</v>
      </c>
      <c r="G544" s="210" t="str">
        <f>IFERROR(__xludf.DUMMYFUNCTION("CONCATENATE(""https://dl.acm.org/doi/"",INDEX(FILTER('Sheridan Main'!A:A,'Sheridan Main'!B:B=C544),1))"),"https://dl.acm.org/doi/10.1145/3774904.3792100")</f>
        <v>https://dl.acm.org/doi/10.1145/3774904.3792100</v>
      </c>
      <c r="H544" s="189" t="s">
        <v>163</v>
      </c>
      <c r="I544" s="209"/>
      <c r="J544" s="209"/>
      <c r="K544" s="147"/>
      <c r="L544" s="147"/>
      <c r="M544" s="209"/>
      <c r="N544" s="209"/>
      <c r="O544" s="209"/>
      <c r="P544" s="209"/>
      <c r="Q544" s="209"/>
      <c r="R544" s="209"/>
      <c r="S544" s="209"/>
      <c r="T544" s="209"/>
      <c r="U544" s="209"/>
      <c r="V544" s="209"/>
      <c r="W544" s="209"/>
      <c r="X544" s="209"/>
      <c r="Y544" s="209"/>
      <c r="Z544" s="209"/>
      <c r="AA544" s="209"/>
      <c r="AB544" s="209"/>
      <c r="AC544" s="209"/>
      <c r="AD544" s="209"/>
      <c r="AE544" s="209"/>
    </row>
    <row r="545">
      <c r="A545" s="208" t="s">
        <v>2907</v>
      </c>
      <c r="B545" s="189" t="str">
        <f>IFERROR(__xludf.DUMMYFUNCTION("FILTER ('Research Papers'!D:D,'Research Papers'!A:A=C545)"),"Bridging Explicit and Implicit Intent: Unified Interest Generative Method for Joint Search-Recommendation Modeling")</f>
        <v>Bridging Explicit and Implicit Intent: Unified Interest Generative Method for Joint Search-Recommendation Modeling</v>
      </c>
      <c r="C545" s="189" t="s">
        <v>822</v>
      </c>
      <c r="D545" s="209" t="str">
        <f t="shared" si="2"/>
        <v>Bridging Explicit and Implicit Intent: Unified Interest Generative Method for Joint Search-Recommendation Modeling
Dongliang Liao, Chenxing Wang and Yawen Zeng
</v>
      </c>
      <c r="E545" s="209" t="str">
        <f>IFERROR(__xludf.DUMMYFUNCTION("TEXTJOIN(CHAR(10), TRUE,FILTER('Research Papers'!$C:$C,'Research Papers'!$A:$A=C545))"),"Dongliang Liao, Chenxing Wang and Yawen Zeng")</f>
        <v>Dongliang Liao, Chenxing Wang and Yawen Zeng</v>
      </c>
      <c r="F545" s="209" t="str">
        <f>IFERROR(__xludf.DUMMYFUNCTION("TEXTJOIN(CHAR(10), TRUE,FILTER ('Sheridan Main'!E:E,'Sheridan Main'!B:B=C545))"),"liaodl@scut.edu.cn")</f>
        <v>liaodl@scut.edu.cn</v>
      </c>
      <c r="G545" s="210" t="str">
        <f>IFERROR(__xludf.DUMMYFUNCTION("CONCATENATE(""https://dl.acm.org/doi/"",INDEX(FILTER('Sheridan Main'!A:A,'Sheridan Main'!B:B=C545),1))"),"https://dl.acm.org/doi/10.1145/3774904.3792253")</f>
        <v>https://dl.acm.org/doi/10.1145/3774904.3792253</v>
      </c>
      <c r="H545" s="189" t="s">
        <v>163</v>
      </c>
      <c r="I545" s="209"/>
      <c r="J545" s="209"/>
      <c r="K545" s="147"/>
      <c r="L545" s="147"/>
      <c r="M545" s="209"/>
      <c r="N545" s="209"/>
      <c r="O545" s="209"/>
      <c r="P545" s="209"/>
      <c r="Q545" s="209"/>
      <c r="R545" s="209"/>
      <c r="S545" s="209"/>
      <c r="T545" s="209"/>
      <c r="U545" s="209"/>
      <c r="V545" s="209"/>
      <c r="W545" s="209"/>
      <c r="X545" s="209"/>
      <c r="Y545" s="209"/>
      <c r="Z545" s="209"/>
      <c r="AA545" s="209"/>
      <c r="AB545" s="209"/>
      <c r="AC545" s="209"/>
      <c r="AD545" s="209"/>
      <c r="AE545" s="209"/>
    </row>
    <row r="546">
      <c r="A546" s="208" t="s">
        <v>2907</v>
      </c>
      <c r="B546" s="189" t="str">
        <f>IFERROR(__xludf.DUMMYFUNCTION("FILTER ('Research Papers'!D:D,'Research Papers'!A:A=C546)"),"Field Matters: A Lightweight LLM-enhanced Method for CTR Prediction")</f>
        <v>Field Matters: A Lightweight LLM-enhanced Method for CTR Prediction</v>
      </c>
      <c r="C546" s="189" t="s">
        <v>1090</v>
      </c>
      <c r="D546" s="209" t="str">
        <f t="shared" si="2"/>
        <v>Field Matters: A Lightweight LLM-enhanced Method for CTR Prediction
Yu Cui, Feng Liu, Jiawei Chen, Xingyu Lou, Changwang Zhang,
Jun Wang, Yuegang Sun, Xiaohu Yang and Can Wang
</v>
      </c>
      <c r="E546" s="209" t="str">
        <f>IFERROR(__xludf.DUMMYFUNCTION("TEXTJOIN(CHAR(10), TRUE,FILTER('Research Papers'!$C:$C,'Research Papers'!$A:$A=C546))"),"Yu Cui, Feng Liu, Jiawei Chen, Xingyu Lou, Changwang Zhang,
Jun Wang, Yuegang Sun, Xiaohu Yang and Can Wang")</f>
        <v>Yu Cui, Feng Liu, Jiawei Chen, Xingyu Lou, Changwang Zhang,
Jun Wang, Yuegang Sun, Xiaohu Yang and Can Wang</v>
      </c>
      <c r="F546" s="209" t="str">
        <f>IFERROR(__xludf.DUMMYFUNCTION("TEXTJOIN(CHAR(10), TRUE,FILTER ('Sheridan Main'!E:E,'Sheridan Main'!B:B=C546))"),"sleepyhunt@zju.edu.cn")</f>
        <v>sleepyhunt@zju.edu.cn</v>
      </c>
      <c r="G546" s="210" t="str">
        <f>IFERROR(__xludf.DUMMYFUNCTION("CONCATENATE(""https://dl.acm.org/doi/"",INDEX(FILTER('Sheridan Main'!A:A,'Sheridan Main'!B:B=C546),1))"),"https://dl.acm.org/doi/10.1145/3774904.3792387")</f>
        <v>https://dl.acm.org/doi/10.1145/3774904.3792387</v>
      </c>
      <c r="H546" s="189" t="s">
        <v>163</v>
      </c>
      <c r="I546" s="209"/>
      <c r="J546" s="209"/>
      <c r="K546" s="147"/>
      <c r="L546" s="147"/>
      <c r="M546" s="209"/>
      <c r="N546" s="209"/>
      <c r="O546" s="209"/>
      <c r="P546" s="209"/>
      <c r="Q546" s="209"/>
      <c r="R546" s="209"/>
      <c r="S546" s="209"/>
      <c r="T546" s="209"/>
      <c r="U546" s="209"/>
      <c r="V546" s="209"/>
      <c r="W546" s="209"/>
      <c r="X546" s="209"/>
      <c r="Y546" s="209"/>
      <c r="Z546" s="209"/>
      <c r="AA546" s="209"/>
      <c r="AB546" s="209"/>
      <c r="AC546" s="209"/>
      <c r="AD546" s="209"/>
      <c r="AE546" s="209"/>
    </row>
    <row r="547">
      <c r="A547" s="208" t="s">
        <v>2907</v>
      </c>
      <c r="B547" s="189" t="str">
        <f>IFERROR(__xludf.DUMMYFUNCTION("FILTER ('Research Papers'!D:D,'Research Papers'!A:A=C547)"),"Towards Context-aware Reasoning-enhanced Generative Searching in E-commerce")</f>
        <v>Towards Context-aware Reasoning-enhanced Generative Searching in E-commerce</v>
      </c>
      <c r="C547" s="189" t="s">
        <v>1440</v>
      </c>
      <c r="D547" s="209" t="str">
        <f t="shared" si="2"/>
        <v>Towards Context-aware Reasoning-enhanced Generative Searching in E-commerce
Zhiding Liu, Ben Chen, Mingyue Cheng, Enhong Chen, Li Li,
Chenyi Lei, Wenwu Ou, Han Li and Kun Gai
</v>
      </c>
      <c r="E547" s="209" t="str">
        <f>IFERROR(__xludf.DUMMYFUNCTION("TEXTJOIN(CHAR(10), TRUE,FILTER('Research Papers'!$C:$C,'Research Papers'!$A:$A=C547))"),"Zhiding Liu, Ben Chen, Mingyue Cheng, Enhong Chen, Li Li,
Chenyi Lei, Wenwu Ou, Han Li and Kun Gai")</f>
        <v>Zhiding Liu, Ben Chen, Mingyue Cheng, Enhong Chen, Li Li,
Chenyi Lei, Wenwu Ou, Han Li and Kun Gai</v>
      </c>
      <c r="F547" s="209" t="str">
        <f>IFERROR(__xludf.DUMMYFUNCTION("TEXTJOIN(CHAR(10), TRUE,FILTER ('Sheridan Main'!E:E,'Sheridan Main'!B:B=C547))"),"zhiding@mail.ustc.edu.cn")</f>
        <v>zhiding@mail.ustc.edu.cn</v>
      </c>
      <c r="G547" s="210" t="str">
        <f>IFERROR(__xludf.DUMMYFUNCTION("CONCATENATE(""https://dl.acm.org/doi/"",INDEX(FILTER('Sheridan Main'!A:A,'Sheridan Main'!B:B=C547),1))"),"https://dl.acm.org/doi/10.1145/3774904.3792562")</f>
        <v>https://dl.acm.org/doi/10.1145/3774904.3792562</v>
      </c>
      <c r="H547" s="189" t="s">
        <v>163</v>
      </c>
      <c r="I547" s="209"/>
      <c r="J547" s="209"/>
      <c r="K547" s="147"/>
      <c r="L547" s="147"/>
      <c r="M547" s="209"/>
      <c r="N547" s="209"/>
      <c r="O547" s="209"/>
      <c r="P547" s="209"/>
      <c r="Q547" s="209"/>
      <c r="R547" s="209"/>
      <c r="S547" s="209"/>
      <c r="T547" s="209"/>
      <c r="U547" s="209"/>
      <c r="V547" s="209"/>
      <c r="W547" s="209"/>
      <c r="X547" s="209"/>
      <c r="Y547" s="209"/>
      <c r="Z547" s="209"/>
      <c r="AA547" s="209"/>
      <c r="AB547" s="209"/>
      <c r="AC547" s="209"/>
      <c r="AD547" s="209"/>
      <c r="AE547" s="209"/>
    </row>
    <row r="548">
      <c r="A548" s="208" t="s">
        <v>2907</v>
      </c>
      <c r="B548" s="189" t="str">
        <f>IFERROR(__xludf.DUMMYFUNCTION("FILTER ('Research Papers'!D:D,'Research Papers'!A:A=C548)"),"GenCI: Generative Modeling of User Interest Shift via Cohort-based Intent Learning for CTR Prediction")</f>
        <v>GenCI: Generative Modeling of User Interest Shift via Cohort-based Intent Learning for CTR Prediction</v>
      </c>
      <c r="C548" s="189" t="s">
        <v>1540</v>
      </c>
      <c r="D548" s="209" t="str">
        <f t="shared" si="2"/>
        <v>GenCI: Generative Modeling of User Interest Shift via Cohort-based Intent Learning for CTR Prediction
Kesha Ou, Zhen Tian, Wayne Xin Zhao, Hongyu Lu and Ji-Rong
Wen
</v>
      </c>
      <c r="E548" s="209" t="str">
        <f>IFERROR(__xludf.DUMMYFUNCTION("TEXTJOIN(CHAR(10), TRUE,FILTER('Research Papers'!$C:$C,'Research Papers'!$A:$A=C548))"),"Kesha Ou, Zhen Tian, Wayne Xin Zhao, Hongyu Lu and Ji-Rong
Wen")</f>
        <v>Kesha Ou, Zhen Tian, Wayne Xin Zhao, Hongyu Lu and Ji-Rong
Wen</v>
      </c>
      <c r="F548" s="209" t="str">
        <f>IFERROR(__xludf.DUMMYFUNCTION("TEXTJOIN(CHAR(10), TRUE,FILTER ('Sheridan Main'!E:E,'Sheridan Main'!B:B=C548))"),"keishaou@gmail.com")</f>
        <v>keishaou@gmail.com</v>
      </c>
      <c r="G548" s="210" t="str">
        <f>IFERROR(__xludf.DUMMYFUNCTION("CONCATENATE(""https://dl.acm.org/doi/"",INDEX(FILTER('Sheridan Main'!A:A,'Sheridan Main'!B:B=C548),1))"),"https://dl.acm.org/doi/10.1145/3774904.3792612")</f>
        <v>https://dl.acm.org/doi/10.1145/3774904.3792612</v>
      </c>
      <c r="H548" s="189" t="s">
        <v>163</v>
      </c>
      <c r="I548" s="209"/>
      <c r="J548" s="209"/>
      <c r="K548" s="147"/>
      <c r="L548" s="147"/>
      <c r="M548" s="209"/>
      <c r="N548" s="209"/>
      <c r="O548" s="209"/>
      <c r="P548" s="209"/>
      <c r="Q548" s="209"/>
      <c r="R548" s="209"/>
      <c r="S548" s="209"/>
      <c r="T548" s="209"/>
      <c r="U548" s="209"/>
      <c r="V548" s="209"/>
      <c r="W548" s="209"/>
      <c r="X548" s="209"/>
      <c r="Y548" s="209"/>
      <c r="Z548" s="209"/>
      <c r="AA548" s="209"/>
      <c r="AB548" s="209"/>
      <c r="AC548" s="209"/>
      <c r="AD548" s="209"/>
      <c r="AE548" s="209"/>
    </row>
    <row r="549">
      <c r="A549" s="208" t="s">
        <v>2907</v>
      </c>
      <c r="B549" s="189" t="str">
        <f>IFERROR(__xludf.DUMMYFUNCTION("FILTER ('Research Papers'!D:D,'Research Papers'!A:A=C549)"),"Personalized Parameter-Efficient Fine-Tuning of Foundation Models for Multimodal Recommendation")</f>
        <v>Personalized Parameter-Efficient Fine-Tuning of Foundation Models for Multimodal Recommendation</v>
      </c>
      <c r="C549" s="189" t="s">
        <v>812</v>
      </c>
      <c r="D549" s="209" t="str">
        <f t="shared" si="2"/>
        <v>Personalized Parameter-Efficient Fine-Tuning of Foundation Models for Multimodal Recommendation
Sunwoo Kim, Hyunjin Hwang and Kijung Shin
</v>
      </c>
      <c r="E549" s="209" t="str">
        <f>IFERROR(__xludf.DUMMYFUNCTION("TEXTJOIN(CHAR(10), TRUE,FILTER('Research Papers'!$C:$C,'Research Papers'!$A:$A=C549))"),"Sunwoo Kim, Hyunjin Hwang and Kijung Shin")</f>
        <v>Sunwoo Kim, Hyunjin Hwang and Kijung Shin</v>
      </c>
      <c r="F549" s="209" t="str">
        <f>IFERROR(__xludf.DUMMYFUNCTION("TEXTJOIN(CHAR(10), TRUE,FILTER ('Sheridan Main'!E:E,'Sheridan Main'!B:B=C549))"),"kijungs@kaist.ac.kr")</f>
        <v>kijungs@kaist.ac.kr</v>
      </c>
      <c r="G549" s="210" t="str">
        <f>IFERROR(__xludf.DUMMYFUNCTION("CONCATENATE(""https://dl.acm.org/doi/"",INDEX(FILTER('Sheridan Main'!A:A,'Sheridan Main'!B:B=C549),1))"),"https://dl.acm.org/doi/10.1145/3774904.3792248")</f>
        <v>https://dl.acm.org/doi/10.1145/3774904.3792248</v>
      </c>
      <c r="H549" s="189" t="s">
        <v>183</v>
      </c>
      <c r="I549" s="209"/>
      <c r="J549" s="209"/>
      <c r="K549" s="147"/>
      <c r="L549" s="147"/>
      <c r="M549" s="209"/>
      <c r="N549" s="209"/>
      <c r="O549" s="209"/>
      <c r="P549" s="209"/>
      <c r="Q549" s="209"/>
      <c r="R549" s="209"/>
      <c r="S549" s="209"/>
      <c r="T549" s="209"/>
      <c r="U549" s="209"/>
      <c r="V549" s="209"/>
      <c r="W549" s="209"/>
      <c r="X549" s="209"/>
      <c r="Y549" s="209"/>
      <c r="Z549" s="209"/>
      <c r="AA549" s="209"/>
      <c r="AB549" s="209"/>
      <c r="AC549" s="209"/>
      <c r="AD549" s="209"/>
      <c r="AE549" s="209"/>
    </row>
    <row r="550">
      <c r="A550" s="208" t="s">
        <v>2907</v>
      </c>
      <c r="B550" s="189" t="str">
        <f>IFERROR(__xludf.DUMMYFUNCTION("FILTER ('Research Papers'!D:D,'Research Papers'!A:A=C550)"),"MCRec: Few-Shot Multimodal Cover Recommendation via User Interest Profiles")</f>
        <v>MCRec: Few-Shot Multimodal Cover Recommendation via User Interest Profiles</v>
      </c>
      <c r="C550" s="189" t="s">
        <v>984</v>
      </c>
      <c r="D550" s="209" t="str">
        <f t="shared" si="2"/>
        <v>MCRec: Few-Shot Multimodal Cover Recommendation via User Interest Profiles
Weixin Zheng, Chunyao Song and Tingjian Ge
</v>
      </c>
      <c r="E550" s="209" t="str">
        <f>IFERROR(__xludf.DUMMYFUNCTION("TEXTJOIN(CHAR(10), TRUE,FILTER('Research Papers'!$C:$C,'Research Papers'!$A:$A=C550))"),"Weixin Zheng, Chunyao Song and Tingjian Ge")</f>
        <v>Weixin Zheng, Chunyao Song and Tingjian Ge</v>
      </c>
      <c r="F550" s="209" t="str">
        <f>IFERROR(__xludf.DUMMYFUNCTION("TEXTJOIN(CHAR(10), TRUE,FILTER ('Sheridan Main'!E:E,'Sheridan Main'!B:B=C550))"),"chunyao.song@nankai.edu.cn")</f>
        <v>chunyao.song@nankai.edu.cn</v>
      </c>
      <c r="G550" s="210" t="str">
        <f>IFERROR(__xludf.DUMMYFUNCTION("CONCATENATE(""https://dl.acm.org/doi/"",INDEX(FILTER('Sheridan Main'!A:A,'Sheridan Main'!B:B=C550),1))"),"https://dl.acm.org/doi/10.1145/3774904.3792334")</f>
        <v>https://dl.acm.org/doi/10.1145/3774904.3792334</v>
      </c>
      <c r="H550" s="189" t="s">
        <v>183</v>
      </c>
      <c r="I550" s="209"/>
      <c r="J550" s="209"/>
      <c r="K550" s="147"/>
      <c r="L550" s="147"/>
      <c r="M550" s="209"/>
      <c r="N550" s="209"/>
      <c r="O550" s="209"/>
      <c r="P550" s="209"/>
      <c r="Q550" s="209"/>
      <c r="R550" s="209"/>
      <c r="S550" s="209"/>
      <c r="T550" s="209"/>
      <c r="U550" s="209"/>
      <c r="V550" s="209"/>
      <c r="W550" s="209"/>
      <c r="X550" s="209"/>
      <c r="Y550" s="209"/>
      <c r="Z550" s="209"/>
      <c r="AA550" s="209"/>
      <c r="AB550" s="209"/>
      <c r="AC550" s="209"/>
      <c r="AD550" s="209"/>
      <c r="AE550" s="209"/>
    </row>
    <row r="551">
      <c r="A551" s="208" t="s">
        <v>2907</v>
      </c>
      <c r="B551" s="189" t="str">
        <f>IFERROR(__xludf.DUMMYFUNCTION("FILTER ('Research Papers'!D:D,'Research Papers'!A:A=C551)"),"Drifting with Intent: Generative Interest Trajectories for Multimodal Web Recommendation")</f>
        <v>Drifting with Intent: Generative Interest Trajectories for Multimodal Web Recommendation</v>
      </c>
      <c r="C551" s="189" t="s">
        <v>1066</v>
      </c>
      <c r="D551" s="209" t="str">
        <f t="shared" si="2"/>
        <v>Drifting with Intent: Generative Interest Trajectories for Multimodal Web Recommendation
Weilin Zhou, Hao Zhang and Guangxin Wu
</v>
      </c>
      <c r="E551" s="209" t="str">
        <f>IFERROR(__xludf.DUMMYFUNCTION("TEXTJOIN(CHAR(10), TRUE,FILTER('Research Papers'!$C:$C,'Research Papers'!$A:$A=C551))"),"Weilin Zhou, Hao Zhang and Guangxin Wu")</f>
        <v>Weilin Zhou, Hao Zhang and Guangxin Wu</v>
      </c>
      <c r="F551" s="209" t="str">
        <f>IFERROR(__xludf.DUMMYFUNCTION("TEXTJOIN(CHAR(10), TRUE,FILTER ('Sheridan Main'!E:E,'Sheridan Main'!B:B=C551))"),"zhanghao233@mails.ucas.ac.cn")</f>
        <v>zhanghao233@mails.ucas.ac.cn</v>
      </c>
      <c r="G551" s="210" t="str">
        <f>IFERROR(__xludf.DUMMYFUNCTION("CONCATENATE(""https://dl.acm.org/doi/"",INDEX(FILTER('Sheridan Main'!A:A,'Sheridan Main'!B:B=C551),1))"),"https://dl.acm.org/doi/10.1145/3774904.3792375")</f>
        <v>https://dl.acm.org/doi/10.1145/3774904.3792375</v>
      </c>
      <c r="H551" s="189" t="s">
        <v>183</v>
      </c>
      <c r="I551" s="209"/>
      <c r="J551" s="209"/>
      <c r="K551" s="147"/>
      <c r="L551" s="147"/>
      <c r="M551" s="209"/>
      <c r="N551" s="209"/>
      <c r="O551" s="209"/>
      <c r="P551" s="209"/>
      <c r="Q551" s="209"/>
      <c r="R551" s="209"/>
      <c r="S551" s="209"/>
      <c r="T551" s="209"/>
      <c r="U551" s="209"/>
      <c r="V551" s="209"/>
      <c r="W551" s="209"/>
      <c r="X551" s="209"/>
      <c r="Y551" s="209"/>
      <c r="Z551" s="209"/>
      <c r="AA551" s="209"/>
      <c r="AB551" s="209"/>
      <c r="AC551" s="209"/>
      <c r="AD551" s="209"/>
      <c r="AE551" s="209"/>
    </row>
    <row r="552">
      <c r="A552" s="208" t="s">
        <v>2907</v>
      </c>
      <c r="B552" s="189" t="str">
        <f>IFERROR(__xludf.DUMMYFUNCTION("FILTER ('Research Papers'!D:D,'Research Papers'!A:A=C552)"),"TargetMR: Learning Modality Target for Multimodal Recommendation")</f>
        <v>TargetMR: Learning Modality Target for Multimodal Recommendation</v>
      </c>
      <c r="C552" s="189" t="s">
        <v>1248</v>
      </c>
      <c r="D552" s="209" t="str">
        <f t="shared" si="2"/>
        <v>TargetMR: Learning Modality Target for Multimodal Recommendation
Gu Tang, Jinghe Wang, Jiang Bo, Ze Zhao, Jianping Zhou,
Xiaoying Gan, Luoyi Fu, Xinbing Wang and Chenghu Zhou
</v>
      </c>
      <c r="E552" s="209" t="str">
        <f>IFERROR(__xludf.DUMMYFUNCTION("TEXTJOIN(CHAR(10), TRUE,FILTER('Research Papers'!$C:$C,'Research Papers'!$A:$A=C552))"),"Gu Tang, Jinghe Wang, Jiang Bo, Ze Zhao, Jianping Zhou,
Xiaoying Gan, Luoyi Fu, Xinbing Wang and Chenghu Zhou")</f>
        <v>Gu Tang, Jinghe Wang, Jiang Bo, Ze Zhao, Jianping Zhou,
Xiaoying Gan, Luoyi Fu, Xinbing Wang and Chenghu Zhou</v>
      </c>
      <c r="F552" s="209" t="str">
        <f>IFERROR(__xludf.DUMMYFUNCTION("TEXTJOIN(CHAR(10), TRUE,FILTER ('Sheridan Main'!E:E,'Sheridan Main'!B:B=C552))"),"ganxiaoying@sjtu.edu.cn")</f>
        <v>ganxiaoying@sjtu.edu.cn</v>
      </c>
      <c r="G552" s="210" t="str">
        <f>IFERROR(__xludf.DUMMYFUNCTION("CONCATENATE(""https://dl.acm.org/doi/"",INDEX(FILTER('Sheridan Main'!A:A,'Sheridan Main'!B:B=C552),1))"),"https://dl.acm.org/doi/10.1145/3774904.3792466")</f>
        <v>https://dl.acm.org/doi/10.1145/3774904.3792466</v>
      </c>
      <c r="H552" s="189" t="s">
        <v>183</v>
      </c>
      <c r="I552" s="209"/>
      <c r="J552" s="209"/>
      <c r="K552" s="147"/>
      <c r="L552" s="147"/>
      <c r="M552" s="209"/>
      <c r="N552" s="209"/>
      <c r="O552" s="209"/>
      <c r="P552" s="209"/>
      <c r="Q552" s="209"/>
      <c r="R552" s="209"/>
      <c r="S552" s="209"/>
      <c r="T552" s="209"/>
      <c r="U552" s="209"/>
      <c r="V552" s="209"/>
      <c r="W552" s="209"/>
      <c r="X552" s="209"/>
      <c r="Y552" s="209"/>
      <c r="Z552" s="209"/>
      <c r="AA552" s="209"/>
      <c r="AB552" s="209"/>
      <c r="AC552" s="209"/>
      <c r="AD552" s="209"/>
      <c r="AE552" s="209"/>
    </row>
    <row r="553">
      <c r="A553" s="208" t="s">
        <v>2907</v>
      </c>
      <c r="B553" s="189" t="str">
        <f>IFERROR(__xludf.DUMMYFUNCTION("FILTER ('Research Papers'!D:D,'Research Papers'!A:A=C553)"),"Multimodal-enhanced Federated Recommendation: A Group-wise Fusion Approach")</f>
        <v>Multimodal-enhanced Federated Recommendation: A Group-wise Fusion Approach</v>
      </c>
      <c r="C553" s="189" t="s">
        <v>1462</v>
      </c>
      <c r="D553" s="209" t="str">
        <f t="shared" si="2"/>
        <v>Multimodal-enhanced Federated Recommendation: A Group-wise Fusion Approach
Chunxu Zhang, Weipeng Zhang, Guodong Long, Zhiheng Xue,
Riting Xia and Bo Yang
</v>
      </c>
      <c r="E553" s="209" t="str">
        <f>IFERROR(__xludf.DUMMYFUNCTION("TEXTJOIN(CHAR(10), TRUE,FILTER('Research Papers'!$C:$C,'Research Papers'!$A:$A=C553))"),"Chunxu Zhang, Weipeng Zhang, Guodong Long, Zhiheng Xue,
Riting Xia and Bo Yang")</f>
        <v>Chunxu Zhang, Weipeng Zhang, Guodong Long, Zhiheng Xue,
Riting Xia and Bo Yang</v>
      </c>
      <c r="F553" s="209" t="str">
        <f>IFERROR(__xludf.DUMMYFUNCTION("TEXTJOIN(CHAR(10), TRUE,FILTER ('Sheridan Main'!E:E,'Sheridan Main'!B:B=C553))"),"ybo@jlu.edu.cn")</f>
        <v>ybo@jlu.edu.cn</v>
      </c>
      <c r="G553" s="210" t="str">
        <f>IFERROR(__xludf.DUMMYFUNCTION("CONCATENATE(""https://dl.acm.org/doi/"",INDEX(FILTER('Sheridan Main'!A:A,'Sheridan Main'!B:B=C553),1))"),"https://dl.acm.org/doi/10.1145/3774904.3792573")</f>
        <v>https://dl.acm.org/doi/10.1145/3774904.3792573</v>
      </c>
      <c r="H553" s="189" t="s">
        <v>183</v>
      </c>
      <c r="I553" s="209"/>
      <c r="J553" s="209"/>
      <c r="K553" s="147"/>
      <c r="L553" s="147"/>
      <c r="M553" s="209"/>
      <c r="N553" s="209"/>
      <c r="O553" s="209"/>
      <c r="P553" s="209"/>
      <c r="Q553" s="209"/>
      <c r="R553" s="209"/>
      <c r="S553" s="209"/>
      <c r="T553" s="209"/>
      <c r="U553" s="209"/>
      <c r="V553" s="209"/>
      <c r="W553" s="209"/>
      <c r="X553" s="209"/>
      <c r="Y553" s="209"/>
      <c r="Z553" s="209"/>
      <c r="AA553" s="209"/>
      <c r="AB553" s="209"/>
      <c r="AC553" s="209"/>
      <c r="AD553" s="209"/>
      <c r="AE553" s="209"/>
    </row>
    <row r="554">
      <c r="A554" s="208" t="s">
        <v>2907</v>
      </c>
      <c r="B554" s="189" t="str">
        <f>IFERROR(__xludf.DUMMYFUNCTION("FILTER ('Research Papers'!D:D,'Research Papers'!A:A=C554)"),"Quantum-enhanced Representation Learning and Matching Learning for Recommendation")</f>
        <v>Quantum-enhanced Representation Learning and Matching Learning for Recommendation</v>
      </c>
      <c r="C554" s="189" t="s">
        <v>488</v>
      </c>
      <c r="D554" s="209" t="str">
        <f t="shared" si="2"/>
        <v>Quantum-enhanced Representation Learning and Matching Learning for Recommendation
Anchen Li and Elena Casiraghi
</v>
      </c>
      <c r="E554" s="209" t="str">
        <f>IFERROR(__xludf.DUMMYFUNCTION("TEXTJOIN(CHAR(10), TRUE,FILTER('Research Papers'!$C:$C,'Research Papers'!$A:$A=C554))"),"Anchen Li and Elena Casiraghi")</f>
        <v>Anchen Li and Elena Casiraghi</v>
      </c>
      <c r="F554" s="209" t="str">
        <f>IFERROR(__xludf.DUMMYFUNCTION("TEXTJOIN(CHAR(10), TRUE,FILTER ('Sheridan Main'!E:E,'Sheridan Main'!B:B=C554))"),"anchen.li@aalto.fi")</f>
        <v>anchen.li@aalto.fi</v>
      </c>
      <c r="G554" s="210" t="str">
        <f>IFERROR(__xludf.DUMMYFUNCTION("CONCATENATE(""https://dl.acm.org/doi/"",INDEX(FILTER('Sheridan Main'!A:A,'Sheridan Main'!B:B=C554),1))"),"https://dl.acm.org/doi/10.1145/3774904.3792086")</f>
        <v>https://dl.acm.org/doi/10.1145/3774904.3792086</v>
      </c>
      <c r="H554" s="189" t="s">
        <v>2855</v>
      </c>
      <c r="I554" s="189" t="s">
        <v>2908</v>
      </c>
      <c r="J554" s="209"/>
      <c r="K554" s="205" t="s">
        <v>2930</v>
      </c>
      <c r="L554" s="174">
        <f>COUNTIF(H:H,H554)</f>
        <v>60</v>
      </c>
      <c r="M554" s="209"/>
      <c r="N554" s="209"/>
      <c r="O554" s="209"/>
      <c r="P554" s="209"/>
      <c r="Q554" s="209"/>
      <c r="R554" s="209"/>
      <c r="S554" s="209"/>
      <c r="T554" s="209"/>
      <c r="U554" s="209"/>
      <c r="V554" s="209"/>
      <c r="W554" s="209"/>
      <c r="X554" s="209"/>
      <c r="Y554" s="209"/>
      <c r="Z554" s="209"/>
      <c r="AA554" s="209"/>
      <c r="AB554" s="209"/>
      <c r="AC554" s="209"/>
      <c r="AD554" s="209"/>
      <c r="AE554" s="209"/>
    </row>
    <row r="555">
      <c r="A555" s="208" t="s">
        <v>2907</v>
      </c>
      <c r="B555" s="189" t="str">
        <f>IFERROR(__xludf.DUMMYFUNCTION("FILTER ('Research Papers'!D:D,'Research Papers'!A:A=C555)"),"From Entity Reliability to Clean Feedback: An Entity-Aware Denoising Framework Beyond Interaction-Level Signals")</f>
        <v>From Entity Reliability to Clean Feedback: An Entity-Aware Denoising Framework Beyond Interaction-Level Signals</v>
      </c>
      <c r="C555" s="189" t="s">
        <v>572</v>
      </c>
      <c r="D555" s="209" t="str">
        <f t="shared" si="2"/>
        <v>From Entity Reliability to Clean Feedback: An Entity-Aware Denoising Framework Beyond Interaction-Level Signals
Ze Liu, Xianquan Wang, Shuochen Liu, Jie Ma, Huibo Xu,
Yupeng Han, Kai Zhang and Jun Zhou
</v>
      </c>
      <c r="E555" s="209" t="str">
        <f>IFERROR(__xludf.DUMMYFUNCTION("TEXTJOIN(CHAR(10), TRUE,FILTER('Research Papers'!$C:$C,'Research Papers'!$A:$A=C555))"),"Ze Liu, Xianquan Wang, Shuochen Liu, Jie Ma, Huibo Xu,
Yupeng Han, Kai Zhang and Jun Zhou")</f>
        <v>Ze Liu, Xianquan Wang, Shuochen Liu, Jie Ma, Huibo Xu,
Yupeng Han, Kai Zhang and Jun Zhou</v>
      </c>
      <c r="F555" s="209" t="str">
        <f>IFERROR(__xludf.DUMMYFUNCTION("TEXTJOIN(CHAR(10), TRUE,FILTER ('Sheridan Main'!E:E,'Sheridan Main'!B:B=C555))"),"kkzhang08@ustc.edu.cn")</f>
        <v>kkzhang08@ustc.edu.cn</v>
      </c>
      <c r="G555" s="210" t="str">
        <f>IFERROR(__xludf.DUMMYFUNCTION("CONCATENATE(""https://dl.acm.org/doi/"",INDEX(FILTER('Sheridan Main'!A:A,'Sheridan Main'!B:B=C555),1))"),"https://dl.acm.org/doi/10.1145/3774904.3792128")</f>
        <v>https://dl.acm.org/doi/10.1145/3774904.3792128</v>
      </c>
      <c r="H555" s="189" t="s">
        <v>2855</v>
      </c>
      <c r="I555" s="189" t="s">
        <v>2908</v>
      </c>
      <c r="J555" s="209"/>
      <c r="K555" s="147"/>
      <c r="L555" s="147"/>
      <c r="M555" s="209"/>
      <c r="N555" s="209"/>
      <c r="O555" s="209"/>
      <c r="P555" s="209"/>
      <c r="Q555" s="209"/>
      <c r="R555" s="209"/>
      <c r="S555" s="209"/>
      <c r="T555" s="209"/>
      <c r="U555" s="209"/>
      <c r="V555" s="209"/>
      <c r="W555" s="209"/>
      <c r="X555" s="209"/>
      <c r="Y555" s="209"/>
      <c r="Z555" s="209"/>
      <c r="AA555" s="209"/>
      <c r="AB555" s="209"/>
      <c r="AC555" s="209"/>
      <c r="AD555" s="209"/>
      <c r="AE555" s="209"/>
    </row>
    <row r="556">
      <c r="A556" s="208" t="s">
        <v>2907</v>
      </c>
      <c r="B556" s="189" t="str">
        <f>IFERROR(__xludf.DUMMYFUNCTION("FILTER ('Research Papers'!D:D,'Research Papers'!A:A=C556)"),"Thorki: Decoupling General and Personalized Knowledge with Collaborative Fusion for Personalized Federated Learning")</f>
        <v>Thorki: Decoupling General and Personalized Knowledge with Collaborative Fusion for Personalized Federated Learning</v>
      </c>
      <c r="C556" s="189" t="s">
        <v>596</v>
      </c>
      <c r="D556" s="209" t="str">
        <f t="shared" si="2"/>
        <v>Thorki: Decoupling General and Personalized Knowledge with Collaborative Fusion for Personalized Federated Learning
Qiang He, Rui Chen, Yicheng Liu, Sheng Zhong, Haipeng Dai,
Feifei Chen, Hai Jin and Yun Yang
</v>
      </c>
      <c r="E556" s="209" t="str">
        <f>IFERROR(__xludf.DUMMYFUNCTION("TEXTJOIN(CHAR(10), TRUE,FILTER('Research Papers'!$C:$C,'Research Papers'!$A:$A=C556))"),"Qiang He, Rui Chen, Yicheng Liu, Sheng Zhong, Haipeng Dai,
Feifei Chen, Hai Jin and Yun Yang")</f>
        <v>Qiang He, Rui Chen, Yicheng Liu, Sheng Zhong, Haipeng Dai,
Feifei Chen, Hai Jin and Yun Yang</v>
      </c>
      <c r="F556" s="209" t="str">
        <f>IFERROR(__xludf.DUMMYFUNCTION("TEXTJOIN(CHAR(10), TRUE,FILTER ('Sheridan Main'!E:E,'Sheridan Main'!B:B=C556))"),"feifei.chen@deakin.edu.au")</f>
        <v>feifei.chen@deakin.edu.au</v>
      </c>
      <c r="G556" s="210" t="str">
        <f>IFERROR(__xludf.DUMMYFUNCTION("CONCATENATE(""https://dl.acm.org/doi/"",INDEX(FILTER('Sheridan Main'!A:A,'Sheridan Main'!B:B=C556),1))"),"https://dl.acm.org/doi/10.1145/3774904.3792140")</f>
        <v>https://dl.acm.org/doi/10.1145/3774904.3792140</v>
      </c>
      <c r="H556" s="189" t="s">
        <v>2855</v>
      </c>
      <c r="I556" s="189" t="s">
        <v>2908</v>
      </c>
      <c r="J556" s="209"/>
      <c r="K556" s="147"/>
      <c r="L556" s="147"/>
      <c r="M556" s="209"/>
      <c r="N556" s="209"/>
      <c r="O556" s="209"/>
      <c r="P556" s="209"/>
      <c r="Q556" s="209"/>
      <c r="R556" s="209"/>
      <c r="S556" s="209"/>
      <c r="T556" s="209"/>
      <c r="U556" s="209"/>
      <c r="V556" s="209"/>
      <c r="W556" s="209"/>
      <c r="X556" s="209"/>
      <c r="Y556" s="209"/>
      <c r="Z556" s="209"/>
      <c r="AA556" s="209"/>
      <c r="AB556" s="209"/>
      <c r="AC556" s="209"/>
      <c r="AD556" s="209"/>
      <c r="AE556" s="209"/>
    </row>
    <row r="557">
      <c r="A557" s="208" t="s">
        <v>2907</v>
      </c>
      <c r="B557" s="189" t="str">
        <f>IFERROR(__xludf.DUMMYFUNCTION("FILTER ('Research Papers'!D:D,'Research Papers'!A:A=C557)"),"Large Language Models-Enhanced Semantic Diffusion for User-Centric Recommendation")</f>
        <v>Large Language Models-Enhanced Semantic Diffusion for User-Centric Recommendation</v>
      </c>
      <c r="C557" s="189" t="s">
        <v>612</v>
      </c>
      <c r="D557" s="209" t="str">
        <f t="shared" si="2"/>
        <v>Large Language Models-Enhanced Semantic Diffusion for User-Centric Recommendation
Xian Mo, Yijun Hu and Jun Pang
</v>
      </c>
      <c r="E557" s="209" t="str">
        <f>IFERROR(__xludf.DUMMYFUNCTION("TEXTJOIN(CHAR(10), TRUE,FILTER('Research Papers'!$C:$C,'Research Papers'!$A:$A=C557))"),"Xian Mo, Yijun Hu and Jun Pang")</f>
        <v>Xian Mo, Yijun Hu and Jun Pang</v>
      </c>
      <c r="F557" s="209" t="str">
        <f>IFERROR(__xludf.DUMMYFUNCTION("TEXTJOIN(CHAR(10), TRUE,FILTER ('Sheridan Main'!E:E,'Sheridan Main'!B:B=C557))"),"mxian168@nxu.edu.cn")</f>
        <v>mxian168@nxu.edu.cn</v>
      </c>
      <c r="G557" s="210" t="str">
        <f>IFERROR(__xludf.DUMMYFUNCTION("CONCATENATE(""https://dl.acm.org/doi/"",INDEX(FILTER('Sheridan Main'!A:A,'Sheridan Main'!B:B=C557),1))"),"https://dl.acm.org/doi/10.1145/3774904.3792148")</f>
        <v>https://dl.acm.org/doi/10.1145/3774904.3792148</v>
      </c>
      <c r="H557" s="189" t="s">
        <v>2855</v>
      </c>
      <c r="I557" s="189" t="s">
        <v>2908</v>
      </c>
      <c r="J557" s="209"/>
      <c r="K557" s="147"/>
      <c r="L557" s="147"/>
      <c r="M557" s="209"/>
      <c r="N557" s="209"/>
      <c r="O557" s="209"/>
      <c r="P557" s="209"/>
      <c r="Q557" s="209"/>
      <c r="R557" s="209"/>
      <c r="S557" s="209"/>
      <c r="T557" s="209"/>
      <c r="U557" s="209"/>
      <c r="V557" s="209"/>
      <c r="W557" s="209"/>
      <c r="X557" s="209"/>
      <c r="Y557" s="209"/>
      <c r="Z557" s="209"/>
      <c r="AA557" s="209"/>
      <c r="AB557" s="209"/>
      <c r="AC557" s="209"/>
      <c r="AD557" s="209"/>
      <c r="AE557" s="209"/>
    </row>
    <row r="558">
      <c r="A558" s="208" t="s">
        <v>2907</v>
      </c>
      <c r="B558" s="189" t="str">
        <f>IFERROR(__xludf.DUMMYFUNCTION("FILTER ('Research Papers'!D:D,'Research Papers'!A:A=C558)"),"Not All Information Brings Benefits: Personalization-Driven Agent Debate for Conversational Recommendation")</f>
        <v>Not All Information Brings Benefits: Personalization-Driven Agent Debate for Conversational Recommendation</v>
      </c>
      <c r="C558" s="189" t="s">
        <v>620</v>
      </c>
      <c r="D558" s="209" t="str">
        <f t="shared" si="2"/>
        <v>Not All Information Brings Benefits: Personalization-Driven Agent Debate for Conversational Recommendation
Pengfei Zhang, Guojia An, Jin Huang, Yuhan Yang, Yang Yang
and Jie Zou
</v>
      </c>
      <c r="E558" s="209" t="str">
        <f>IFERROR(__xludf.DUMMYFUNCTION("TEXTJOIN(CHAR(10), TRUE,FILTER('Research Papers'!$C:$C,'Research Papers'!$A:$A=C558))"),"Pengfei Zhang, Guojia An, Jin Huang, Yuhan Yang, Yang Yang
and Jie Zou")</f>
        <v>Pengfei Zhang, Guojia An, Jin Huang, Yuhan Yang, Yang Yang
and Jie Zou</v>
      </c>
      <c r="F558" s="209" t="str">
        <f>IFERROR(__xludf.DUMMYFUNCTION("TEXTJOIN(CHAR(10), TRUE,FILTER ('Sheridan Main'!E:E,'Sheridan Main'!B:B=C558))"),"jie.zou@uestc.edu.cn")</f>
        <v>jie.zou@uestc.edu.cn</v>
      </c>
      <c r="G558" s="210" t="str">
        <f>IFERROR(__xludf.DUMMYFUNCTION("CONCATENATE(""https://dl.acm.org/doi/"",INDEX(FILTER('Sheridan Main'!A:A,'Sheridan Main'!B:B=C558),1))"),"https://dl.acm.org/doi/10.1145/3774904.3792152")</f>
        <v>https://dl.acm.org/doi/10.1145/3774904.3792152</v>
      </c>
      <c r="H558" s="189" t="s">
        <v>2855</v>
      </c>
      <c r="I558" s="189" t="s">
        <v>2908</v>
      </c>
      <c r="J558" s="209"/>
      <c r="K558" s="147"/>
      <c r="L558" s="147"/>
      <c r="M558" s="209"/>
      <c r="N558" s="209"/>
      <c r="O558" s="209"/>
      <c r="P558" s="209"/>
      <c r="Q558" s="209"/>
      <c r="R558" s="209"/>
      <c r="S558" s="209"/>
      <c r="T558" s="209"/>
      <c r="U558" s="209"/>
      <c r="V558" s="209"/>
      <c r="W558" s="209"/>
      <c r="X558" s="209"/>
      <c r="Y558" s="209"/>
      <c r="Z558" s="209"/>
      <c r="AA558" s="209"/>
      <c r="AB558" s="209"/>
      <c r="AC558" s="209"/>
      <c r="AD558" s="209"/>
      <c r="AE558" s="209"/>
    </row>
    <row r="559">
      <c r="A559" s="208" t="s">
        <v>2907</v>
      </c>
      <c r="B559" s="189" t="str">
        <f>IFERROR(__xludf.DUMMYFUNCTION("FILTER ('Research Papers'!D:D,'Research Papers'!A:A=C559)"),"FairFS: Addressing Deep Feature Selection Biases for Recommender System")</f>
        <v>FairFS: Addressing Deep Feature Selection Biases for Recommender System</v>
      </c>
      <c r="C559" s="189" t="s">
        <v>650</v>
      </c>
      <c r="D559" s="209" t="str">
        <f t="shared" si="2"/>
        <v>FairFS: Addressing Deep Feature Selection Biases for Recommender System
Xianquan Wang, Zhaocheng Du, Jieming Zhu, Qinglin Jia,
Zhenhua Dong and Kai Zhang
</v>
      </c>
      <c r="E559" s="209" t="str">
        <f>IFERROR(__xludf.DUMMYFUNCTION("TEXTJOIN(CHAR(10), TRUE,FILTER('Research Papers'!$C:$C,'Research Papers'!$A:$A=C559))"),"Xianquan Wang, Zhaocheng Du, Jieming Zhu, Qinglin Jia,
Zhenhua Dong and Kai Zhang")</f>
        <v>Xianquan Wang, Zhaocheng Du, Jieming Zhu, Qinglin Jia,
Zhenhua Dong and Kai Zhang</v>
      </c>
      <c r="F559" s="209" t="str">
        <f>IFERROR(__xludf.DUMMYFUNCTION("TEXTJOIN(CHAR(10), TRUE,FILTER ('Sheridan Main'!E:E,'Sheridan Main'!B:B=C559))"),"kkzhang08@ustc.edu.cn")</f>
        <v>kkzhang08@ustc.edu.cn</v>
      </c>
      <c r="G559" s="210" t="str">
        <f>IFERROR(__xludf.DUMMYFUNCTION("CONCATENATE(""https://dl.acm.org/doi/"",INDEX(FILTER('Sheridan Main'!A:A,'Sheridan Main'!B:B=C559),1))"),"https://dl.acm.org/doi/10.1145/3774904.3792167")</f>
        <v>https://dl.acm.org/doi/10.1145/3774904.3792167</v>
      </c>
      <c r="H559" s="189" t="s">
        <v>2855</v>
      </c>
      <c r="I559" s="189" t="s">
        <v>2908</v>
      </c>
      <c r="J559" s="209"/>
      <c r="K559" s="147"/>
      <c r="L559" s="147"/>
      <c r="M559" s="209"/>
      <c r="N559" s="209"/>
      <c r="O559" s="209"/>
      <c r="P559" s="209"/>
      <c r="Q559" s="209"/>
      <c r="R559" s="209"/>
      <c r="S559" s="209"/>
      <c r="T559" s="209"/>
      <c r="U559" s="209"/>
      <c r="V559" s="209"/>
      <c r="W559" s="209"/>
      <c r="X559" s="209"/>
      <c r="Y559" s="209"/>
      <c r="Z559" s="209"/>
      <c r="AA559" s="209"/>
      <c r="AB559" s="209"/>
      <c r="AC559" s="209"/>
      <c r="AD559" s="209"/>
      <c r="AE559" s="209"/>
    </row>
    <row r="560">
      <c r="A560" s="208" t="s">
        <v>2907</v>
      </c>
      <c r="B560" s="189" t="str">
        <f>IFERROR(__xludf.DUMMYFUNCTION("FILTER ('Research Papers'!D:D,'Research Papers'!A:A=C560)"),"Tail-Aware Data Augmentation for Long-Tail Sequential Recommendation")</f>
        <v>Tail-Aware Data Augmentation for Long-Tail Sequential Recommendation</v>
      </c>
      <c r="C560" s="189" t="s">
        <v>658</v>
      </c>
      <c r="D560" s="209" t="str">
        <f t="shared" si="2"/>
        <v>Tail-Aware Data Augmentation for Long-Tail Sequential Recommendation
Yizhou Dang, Zhifu Wei, Minhan Huang, Lianbo Ma, Jianzhe
Zhao, Guibing Guo and Xingwei Wang
</v>
      </c>
      <c r="E560" s="209" t="str">
        <f>IFERROR(__xludf.DUMMYFUNCTION("TEXTJOIN(CHAR(10), TRUE,FILTER('Research Papers'!$C:$C,'Research Papers'!$A:$A=C560))"),"Yizhou Dang, Zhifu Wei, Minhan Huang, Lianbo Ma, Jianzhe
Zhao, Guibing Guo and Xingwei Wang")</f>
        <v>Yizhou Dang, Zhifu Wei, Minhan Huang, Lianbo Ma, Jianzhe
Zhao, Guibing Guo and Xingwei Wang</v>
      </c>
      <c r="F560" s="209" t="str">
        <f>IFERROR(__xludf.DUMMYFUNCTION("TEXTJOIN(CHAR(10), TRUE,FILTER ('Sheridan Main'!E:E,'Sheridan Main'!B:B=C560))"),"dangyz@mails.neu.edu.cn")</f>
        <v>dangyz@mails.neu.edu.cn</v>
      </c>
      <c r="G560" s="210" t="str">
        <f>IFERROR(__xludf.DUMMYFUNCTION("CONCATENATE(""https://dl.acm.org/doi/"",INDEX(FILTER('Sheridan Main'!A:A,'Sheridan Main'!B:B=C560),1))"),"https://dl.acm.org/doi/10.1145/3774904.3792171")</f>
        <v>https://dl.acm.org/doi/10.1145/3774904.3792171</v>
      </c>
      <c r="H560" s="189" t="s">
        <v>2855</v>
      </c>
      <c r="I560" s="189" t="s">
        <v>2908</v>
      </c>
      <c r="J560" s="209"/>
      <c r="K560" s="147"/>
      <c r="L560" s="147"/>
      <c r="M560" s="209"/>
      <c r="N560" s="209"/>
      <c r="O560" s="209"/>
      <c r="P560" s="209"/>
      <c r="Q560" s="209"/>
      <c r="R560" s="209"/>
      <c r="S560" s="209"/>
      <c r="T560" s="209"/>
      <c r="U560" s="209"/>
      <c r="V560" s="209"/>
      <c r="W560" s="209"/>
      <c r="X560" s="209"/>
      <c r="Y560" s="209"/>
      <c r="Z560" s="209"/>
      <c r="AA560" s="209"/>
      <c r="AB560" s="209"/>
      <c r="AC560" s="209"/>
      <c r="AD560" s="209"/>
      <c r="AE560" s="209"/>
    </row>
    <row r="561">
      <c r="A561" s="208" t="s">
        <v>2907</v>
      </c>
      <c r="B561" s="189" t="str">
        <f>IFERROR(__xludf.DUMMYFUNCTION("FILTER ('Research Papers'!D:D,'Research Papers'!A:A=C561)"),"Off-Policy Learning with Limited Supply")</f>
        <v>Off-Policy Learning with Limited Supply</v>
      </c>
      <c r="C561" s="189" t="s">
        <v>678</v>
      </c>
      <c r="D561" s="209" t="str">
        <f t="shared" si="2"/>
        <v>Off-Policy Learning with Limited Supply
Koichi Tanaka, Ren Kishimoto, Bushun Kawagishi, Yusuke
Narita, Yasuo Yamamoto, Nobuyuki Shimizu and Yuta Saito
</v>
      </c>
      <c r="E561" s="209" t="str">
        <f>IFERROR(__xludf.DUMMYFUNCTION("TEXTJOIN(CHAR(10), TRUE,FILTER('Research Papers'!$C:$C,'Research Papers'!$A:$A=C561))"),"Koichi Tanaka, Ren Kishimoto, Bushun Kawagishi, Yusuke
Narita, Yasuo Yamamoto, Nobuyuki Shimizu and Yuta Saito")</f>
        <v>Koichi Tanaka, Ren Kishimoto, Bushun Kawagishi, Yusuke
Narita, Yasuo Yamamoto, Nobuyuki Shimizu and Yuta Saito</v>
      </c>
      <c r="F561" s="209" t="str">
        <f>IFERROR(__xludf.DUMMYFUNCTION("TEXTJOIN(CHAR(10), TRUE,FILTER ('Sheridan Main'!E:E,'Sheridan Main'!B:B=C561))"),"ys552@cornell.edu")</f>
        <v>ys552@cornell.edu</v>
      </c>
      <c r="G561" s="210" t="str">
        <f>IFERROR(__xludf.DUMMYFUNCTION("CONCATENATE(""https://dl.acm.org/doi/"",INDEX(FILTER('Sheridan Main'!A:A,'Sheridan Main'!B:B=C561),1))"),"https://dl.acm.org/doi/10.1145/3774904.3792181")</f>
        <v>https://dl.acm.org/doi/10.1145/3774904.3792181</v>
      </c>
      <c r="H561" s="189" t="s">
        <v>2855</v>
      </c>
      <c r="I561" s="189" t="s">
        <v>2908</v>
      </c>
      <c r="J561" s="209"/>
      <c r="K561" s="147"/>
      <c r="L561" s="147"/>
      <c r="M561" s="209"/>
      <c r="N561" s="209"/>
      <c r="O561" s="209"/>
      <c r="P561" s="209"/>
      <c r="Q561" s="209"/>
      <c r="R561" s="209"/>
      <c r="S561" s="209"/>
      <c r="T561" s="209"/>
      <c r="U561" s="209"/>
      <c r="V561" s="209"/>
      <c r="W561" s="209"/>
      <c r="X561" s="209"/>
      <c r="Y561" s="209"/>
      <c r="Z561" s="209"/>
      <c r="AA561" s="209"/>
      <c r="AB561" s="209"/>
      <c r="AC561" s="209"/>
      <c r="AD561" s="209"/>
      <c r="AE561" s="209"/>
    </row>
    <row r="562">
      <c r="A562" s="208" t="s">
        <v>2907</v>
      </c>
      <c r="B562" s="189" t="str">
        <f>IFERROR(__xludf.DUMMYFUNCTION("FILTER ('Research Papers'!D:D,'Research Papers'!A:A=C562)"),"S2CDR: Smoothing-Sharpening Process Model for Cross-Domain Recommendation")</f>
        <v>S2CDR: Smoothing-Sharpening Process Model for Cross-Domain Recommendation</v>
      </c>
      <c r="C562" s="189" t="s">
        <v>694</v>
      </c>
      <c r="D562" s="209" t="str">
        <f t="shared" si="2"/>
        <v>S2CDR: Smoothing-Sharpening Process Model for Cross-Domain Recommendation
Xiaodong Li, Juwei Yue, Xinghua Zhang, Jiawei Sheng,
Wenyuan Zhang, Taoyu Su, Zefeng Zhang and Tingwen Liu
</v>
      </c>
      <c r="E562" s="209" t="str">
        <f>IFERROR(__xludf.DUMMYFUNCTION("TEXTJOIN(CHAR(10), TRUE,FILTER('Research Papers'!$C:$C,'Research Papers'!$A:$A=C562))"),"Xiaodong Li, Juwei Yue, Xinghua Zhang, Jiawei Sheng,
Wenyuan Zhang, Taoyu Su, Zefeng Zhang and Tingwen Liu")</f>
        <v>Xiaodong Li, Juwei Yue, Xinghua Zhang, Jiawei Sheng,
Wenyuan Zhang, Taoyu Su, Zefeng Zhang and Tingwen Liu</v>
      </c>
      <c r="F562" s="209" t="str">
        <f>IFERROR(__xludf.DUMMYFUNCTION("TEXTJOIN(CHAR(10), TRUE,FILTER ('Sheridan Main'!E:E,'Sheridan Main'!B:B=C562))"),"lixiaodong@iie.ac.cn")</f>
        <v>lixiaodong@iie.ac.cn</v>
      </c>
      <c r="G562" s="210" t="str">
        <f>IFERROR(__xludf.DUMMYFUNCTION("CONCATENATE(""https://dl.acm.org/doi/"",INDEX(FILTER('Sheridan Main'!A:A,'Sheridan Main'!B:B=C562),1))"),"https://dl.acm.org/doi/10.1145/3774904.3792189")</f>
        <v>https://dl.acm.org/doi/10.1145/3774904.3792189</v>
      </c>
      <c r="H562" s="189" t="s">
        <v>2855</v>
      </c>
      <c r="I562" s="189" t="s">
        <v>2908</v>
      </c>
      <c r="J562" s="209"/>
      <c r="K562" s="147"/>
      <c r="L562" s="147"/>
      <c r="M562" s="209"/>
      <c r="N562" s="209"/>
      <c r="O562" s="209"/>
      <c r="P562" s="209"/>
      <c r="Q562" s="209"/>
      <c r="R562" s="209"/>
      <c r="S562" s="209"/>
      <c r="T562" s="209"/>
      <c r="U562" s="209"/>
      <c r="V562" s="209"/>
      <c r="W562" s="209"/>
      <c r="X562" s="209"/>
      <c r="Y562" s="209"/>
      <c r="Z562" s="209"/>
      <c r="AA562" s="209"/>
      <c r="AB562" s="209"/>
      <c r="AC562" s="209"/>
      <c r="AD562" s="209"/>
      <c r="AE562" s="209"/>
    </row>
    <row r="563">
      <c r="A563" s="208" t="s">
        <v>2907</v>
      </c>
      <c r="B563" s="189" t="str">
        <f>IFERROR(__xludf.DUMMYFUNCTION("FILTER ('Research Papers'!D:D,'Research Papers'!A:A=C563)"),"Multi-view Semantic Contrastive Alignment for Multimodal Recommendation")</f>
        <v>Multi-view Semantic Contrastive Alignment for Multimodal Recommendation</v>
      </c>
      <c r="C563" s="189" t="s">
        <v>700</v>
      </c>
      <c r="D563" s="209" t="str">
        <f t="shared" si="2"/>
        <v>Multi-view Semantic Contrastive Alignment for Multimodal Recommendation
Jiuqiang Li and Hongjun Wang
</v>
      </c>
      <c r="E563" s="209" t="str">
        <f>IFERROR(__xludf.DUMMYFUNCTION("TEXTJOIN(CHAR(10), TRUE,FILTER('Research Papers'!$C:$C,'Research Papers'!$A:$A=C563))"),"Jiuqiang Li and Hongjun Wang")</f>
        <v>Jiuqiang Li and Hongjun Wang</v>
      </c>
      <c r="F563" s="209" t="str">
        <f>IFERROR(__xludf.DUMMYFUNCTION("TEXTJOIN(CHAR(10), TRUE,FILTER ('Sheridan Main'!E:E,'Sheridan Main'!B:B=C563))"),"wanghongjun@swjtu.edu.cn")</f>
        <v>wanghongjun@swjtu.edu.cn</v>
      </c>
      <c r="G563" s="210" t="str">
        <f>IFERROR(__xludf.DUMMYFUNCTION("CONCATENATE(""https://dl.acm.org/doi/"",INDEX(FILTER('Sheridan Main'!A:A,'Sheridan Main'!B:B=C563),1))"),"https://dl.acm.org/doi/10.1145/3774904.3792192")</f>
        <v>https://dl.acm.org/doi/10.1145/3774904.3792192</v>
      </c>
      <c r="H563" s="189" t="s">
        <v>2855</v>
      </c>
      <c r="I563" s="189" t="s">
        <v>2908</v>
      </c>
      <c r="J563" s="209"/>
      <c r="K563" s="147"/>
      <c r="L563" s="147"/>
      <c r="M563" s="209"/>
      <c r="N563" s="209"/>
      <c r="O563" s="209"/>
      <c r="P563" s="209"/>
      <c r="Q563" s="209"/>
      <c r="R563" s="209"/>
      <c r="S563" s="209"/>
      <c r="T563" s="209"/>
      <c r="U563" s="209"/>
      <c r="V563" s="209"/>
      <c r="W563" s="209"/>
      <c r="X563" s="209"/>
      <c r="Y563" s="209"/>
      <c r="Z563" s="209"/>
      <c r="AA563" s="209"/>
      <c r="AB563" s="209"/>
      <c r="AC563" s="209"/>
      <c r="AD563" s="209"/>
      <c r="AE563" s="209"/>
    </row>
    <row r="564">
      <c r="A564" s="208" t="s">
        <v>2907</v>
      </c>
      <c r="B564" s="189" t="str">
        <f>IFERROR(__xludf.DUMMYFUNCTION("FILTER ('Research Papers'!D:D,'Research Papers'!A:A=C564)"),"pFedDKS: Detached Knowledge Sharing for Personalized Federated Learning")</f>
        <v>pFedDKS: Detached Knowledge Sharing for Personalized Federated Learning</v>
      </c>
      <c r="C564" s="189" t="s">
        <v>722</v>
      </c>
      <c r="D564" s="209" t="str">
        <f t="shared" si="2"/>
        <v>pFedDKS: Detached Knowledge Sharing for Personalized Federated Learning
Haozhao Wang, Wenchao Xu, Jingzhi Wang, Yunfeng Fan,
Xiaoquan Yi and Rui Zhang
</v>
      </c>
      <c r="E564" s="209" t="str">
        <f>IFERROR(__xludf.DUMMYFUNCTION("TEXTJOIN(CHAR(10), TRUE,FILTER('Research Papers'!$C:$C,'Research Papers'!$A:$A=C564))"),"Haozhao Wang, Wenchao Xu, Jingzhi Wang, Yunfeng Fan,
Xiaoquan Yi and Rui Zhang")</f>
        <v>Haozhao Wang, Wenchao Xu, Jingzhi Wang, Yunfeng Fan,
Xiaoquan Yi and Rui Zhang</v>
      </c>
      <c r="F564" s="209" t="str">
        <f>IFERROR(__xludf.DUMMYFUNCTION("TEXTJOIN(CHAR(10), TRUE,FILTER ('Sheridan Main'!E:E,'Sheridan Main'!B:B=C564))"),"wenchaoxu@ust.hk")</f>
        <v>wenchaoxu@ust.hk</v>
      </c>
      <c r="G564" s="210" t="str">
        <f>IFERROR(__xludf.DUMMYFUNCTION("CONCATENATE(""https://dl.acm.org/doi/"",INDEX(FILTER('Sheridan Main'!A:A,'Sheridan Main'!B:B=C564),1))"),"https://dl.acm.org/doi/10.1145/3774904.3792203")</f>
        <v>https://dl.acm.org/doi/10.1145/3774904.3792203</v>
      </c>
      <c r="H564" s="189" t="s">
        <v>2855</v>
      </c>
      <c r="I564" s="189" t="s">
        <v>2908</v>
      </c>
      <c r="J564" s="209"/>
      <c r="K564" s="147"/>
      <c r="L564" s="147"/>
      <c r="M564" s="209"/>
      <c r="N564" s="209"/>
      <c r="O564" s="209"/>
      <c r="P564" s="209"/>
      <c r="Q564" s="209"/>
      <c r="R564" s="209"/>
      <c r="S564" s="209"/>
      <c r="T564" s="209"/>
      <c r="U564" s="209"/>
      <c r="V564" s="209"/>
      <c r="W564" s="209"/>
      <c r="X564" s="209"/>
      <c r="Y564" s="209"/>
      <c r="Z564" s="209"/>
      <c r="AA564" s="209"/>
      <c r="AB564" s="209"/>
      <c r="AC564" s="209"/>
      <c r="AD564" s="209"/>
      <c r="AE564" s="209"/>
    </row>
    <row r="565">
      <c r="A565" s="208" t="s">
        <v>2907</v>
      </c>
      <c r="B565" s="189" t="str">
        <f>IFERROR(__xludf.DUMMYFUNCTION("FILTER ('Research Papers'!D:D,'Research Papers'!A:A=C565)"),"Adaptive Contrastive Learning in Sequential Recommendation based on Perturbation and Restoration Networks")</f>
        <v>Adaptive Contrastive Learning in Sequential Recommendation based on Perturbation and Restoration Networks</v>
      </c>
      <c r="C565" s="189" t="s">
        <v>730</v>
      </c>
      <c r="D565" s="209" t="str">
        <f t="shared" si="2"/>
        <v>Adaptive Contrastive Learning in Sequential Recommendation based on Perturbation and Restoration Networks
Yanbo Zhou, Bin Lü, Xu-Hua Yang, Xin-Li Xu and Boling Wang
</v>
      </c>
      <c r="E565" s="209" t="str">
        <f>IFERROR(__xludf.DUMMYFUNCTION("TEXTJOIN(CHAR(10), TRUE,FILTER('Research Papers'!$C:$C,'Research Papers'!$A:$A=C565))"),"Yanbo Zhou, Bin Lü, Xu-Hua Yang, Xin-Li Xu and Boling Wang")</f>
        <v>Yanbo Zhou, Bin Lü, Xu-Hua Yang, Xin-Li Xu and Boling Wang</v>
      </c>
      <c r="F565" s="209" t="str">
        <f>IFERROR(__xludf.DUMMYFUNCTION("TEXTJOIN(CHAR(10), TRUE,FILTER ('Sheridan Main'!E:E,'Sheridan Main'!B:B=C565))"),"xhyang@zjut.edu.cn")</f>
        <v>xhyang@zjut.edu.cn</v>
      </c>
      <c r="G565" s="210" t="str">
        <f>IFERROR(__xludf.DUMMYFUNCTION("CONCATENATE(""https://dl.acm.org/doi/"",INDEX(FILTER('Sheridan Main'!A:A,'Sheridan Main'!B:B=C565),1))"),"https://dl.acm.org/doi/10.1145/3774904.3792207")</f>
        <v>https://dl.acm.org/doi/10.1145/3774904.3792207</v>
      </c>
      <c r="H565" s="189" t="s">
        <v>2855</v>
      </c>
      <c r="I565" s="189" t="s">
        <v>2908</v>
      </c>
      <c r="J565" s="209"/>
      <c r="K565" s="147"/>
      <c r="L565" s="147"/>
      <c r="M565" s="209"/>
      <c r="N565" s="209"/>
      <c r="O565" s="209"/>
      <c r="P565" s="209"/>
      <c r="Q565" s="209"/>
      <c r="R565" s="209"/>
      <c r="S565" s="209"/>
      <c r="T565" s="209"/>
      <c r="U565" s="209"/>
      <c r="V565" s="209"/>
      <c r="W565" s="209"/>
      <c r="X565" s="209"/>
      <c r="Y565" s="209"/>
      <c r="Z565" s="209"/>
      <c r="AA565" s="209"/>
      <c r="AB565" s="209"/>
      <c r="AC565" s="209"/>
      <c r="AD565" s="209"/>
      <c r="AE565" s="209"/>
    </row>
    <row r="566">
      <c r="A566" s="208" t="s">
        <v>2907</v>
      </c>
      <c r="B566" s="189" t="str">
        <f>IFERROR(__xludf.DUMMYFUNCTION("FILTER ('Research Papers'!D:D,'Research Papers'!A:A=C566)"),"Optimizing Multi-Turn Interactive Recommendation Agents via Generative Intrinsic Motivation")</f>
        <v>Optimizing Multi-Turn Interactive Recommendation Agents via Generative Intrinsic Motivation</v>
      </c>
      <c r="C566" s="189" t="s">
        <v>734</v>
      </c>
      <c r="D566" s="209" t="str">
        <f t="shared" si="2"/>
        <v>Optimizing Multi-Turn Interactive Recommendation Agents via Generative Intrinsic Motivation
Xueyang Feng, Jiakai Tang, Xu Chen, Quanyu Dai and Zhenhua
Dong
</v>
      </c>
      <c r="E566" s="209" t="str">
        <f>IFERROR(__xludf.DUMMYFUNCTION("TEXTJOIN(CHAR(10), TRUE,FILTER('Research Papers'!$C:$C,'Research Papers'!$A:$A=C566))"),"Xueyang Feng, Jiakai Tang, Xu Chen, Quanyu Dai and Zhenhua
Dong")</f>
        <v>Xueyang Feng, Jiakai Tang, Xu Chen, Quanyu Dai and Zhenhua
Dong</v>
      </c>
      <c r="F566" s="209" t="str">
        <f>IFERROR(__xludf.DUMMYFUNCTION("TEXTJOIN(CHAR(10), TRUE,FILTER ('Sheridan Main'!E:E,'Sheridan Main'!B:B=C566))"),"daiquanyu@huawei.com")</f>
        <v>daiquanyu@huawei.com</v>
      </c>
      <c r="G566" s="210" t="str">
        <f>IFERROR(__xludf.DUMMYFUNCTION("CONCATENATE(""https://dl.acm.org/doi/"",INDEX(FILTER('Sheridan Main'!A:A,'Sheridan Main'!B:B=C566),1))"),"https://dl.acm.org/doi/10.1145/3774904.3792209")</f>
        <v>https://dl.acm.org/doi/10.1145/3774904.3792209</v>
      </c>
      <c r="H566" s="189" t="s">
        <v>2855</v>
      </c>
      <c r="I566" s="189" t="s">
        <v>121</v>
      </c>
      <c r="J566" s="209"/>
      <c r="K566" s="147"/>
      <c r="L566" s="147"/>
      <c r="M566" s="209"/>
      <c r="N566" s="209"/>
      <c r="O566" s="209"/>
      <c r="P566" s="209"/>
      <c r="Q566" s="209"/>
      <c r="R566" s="209"/>
      <c r="S566" s="209"/>
      <c r="T566" s="209"/>
      <c r="U566" s="209"/>
      <c r="V566" s="209"/>
      <c r="W566" s="209"/>
      <c r="X566" s="209"/>
      <c r="Y566" s="209"/>
      <c r="Z566" s="209"/>
      <c r="AA566" s="209"/>
      <c r="AB566" s="209"/>
      <c r="AC566" s="209"/>
      <c r="AD566" s="209"/>
      <c r="AE566" s="209"/>
    </row>
    <row r="567">
      <c r="A567" s="208" t="s">
        <v>2907</v>
      </c>
      <c r="B567" s="189" t="str">
        <f>IFERROR(__xludf.DUMMYFUNCTION("FILTER ('Research Papers'!D:D,'Research Papers'!A:A=C567)"),"Unveiling and Simulating Short-Video Addiction Behaviors via Economic Addiction Theory")</f>
        <v>Unveiling and Simulating Short-Video Addiction Behaviors via Economic Addiction Theory</v>
      </c>
      <c r="C567" s="189" t="s">
        <v>748</v>
      </c>
      <c r="D567" s="209" t="str">
        <f t="shared" si="2"/>
        <v>Unveiling and Simulating Short-Video Addiction Behaviors via Economic Addiction Theory
Chen Xu, Zhipeng Yi, Ruizi Wang, Wenjie Wang, Jun Xu and
Maarten de Rijke
</v>
      </c>
      <c r="E567" s="209" t="str">
        <f>IFERROR(__xludf.DUMMYFUNCTION("TEXTJOIN(CHAR(10), TRUE,FILTER('Research Papers'!$C:$C,'Research Papers'!$A:$A=C567))"),"Chen Xu, Zhipeng Yi, Ruizi Wang, Wenjie Wang, Jun Xu and
Maarten de Rijke")</f>
        <v>Chen Xu, Zhipeng Yi, Ruizi Wang, Wenjie Wang, Jun Xu and
Maarten de Rijke</v>
      </c>
      <c r="F567" s="209" t="str">
        <f>IFERROR(__xludf.DUMMYFUNCTION("TEXTJOIN(CHAR(10), TRUE,FILTER ('Sheridan Main'!E:E,'Sheridan Main'!B:B=C567))"),"m.derijke@uva.nl")</f>
        <v>m.derijke@uva.nl</v>
      </c>
      <c r="G567" s="210" t="str">
        <f>IFERROR(__xludf.DUMMYFUNCTION("CONCATENATE(""https://dl.acm.org/doi/"",INDEX(FILTER('Sheridan Main'!A:A,'Sheridan Main'!B:B=C567),1))"),"https://dl.acm.org/doi/10.1145/3774904.3792216")</f>
        <v>https://dl.acm.org/doi/10.1145/3774904.3792216</v>
      </c>
      <c r="H567" s="189" t="s">
        <v>2855</v>
      </c>
      <c r="I567" s="189" t="s">
        <v>121</v>
      </c>
      <c r="J567" s="209"/>
      <c r="K567" s="147"/>
      <c r="L567" s="147"/>
      <c r="M567" s="209"/>
      <c r="N567" s="209"/>
      <c r="O567" s="209"/>
      <c r="P567" s="209"/>
      <c r="Q567" s="209"/>
      <c r="R567" s="209"/>
      <c r="S567" s="209"/>
      <c r="T567" s="209"/>
      <c r="U567" s="209"/>
      <c r="V567" s="209"/>
      <c r="W567" s="209"/>
      <c r="X567" s="209"/>
      <c r="Y567" s="209"/>
      <c r="Z567" s="209"/>
      <c r="AA567" s="209"/>
      <c r="AB567" s="209"/>
      <c r="AC567" s="209"/>
      <c r="AD567" s="209"/>
      <c r="AE567" s="209"/>
    </row>
    <row r="568">
      <c r="A568" s="208" t="s">
        <v>2907</v>
      </c>
      <c r="B568" s="189" t="str">
        <f>IFERROR(__xludf.DUMMYFUNCTION("FILTER ('Research Papers'!D:D,'Research Papers'!A:A=C568)"),"PRISM: Personalized Recommendation via Information Synergy Module")</f>
        <v>PRISM: Personalized Recommendation via Information Synergy Module</v>
      </c>
      <c r="C568" s="189" t="s">
        <v>776</v>
      </c>
      <c r="D568" s="209" t="str">
        <f t="shared" si="2"/>
        <v>PRISM: Personalized Recommendation via Information Synergy Module
Yutong Li, Xinyi Zhang, Peijie Sun, Letian Sha and
Zhongxuan Han
</v>
      </c>
      <c r="E568" s="209" t="str">
        <f>IFERROR(__xludf.DUMMYFUNCTION("TEXTJOIN(CHAR(10), TRUE,FILTER('Research Papers'!$C:$C,'Research Papers'!$A:$A=C568))"),"Yutong Li, Xinyi Zhang, Peijie Sun, Letian Sha and
Zhongxuan Han")</f>
        <v>Yutong Li, Xinyi Zhang, Peijie Sun, Letian Sha and
Zhongxuan Han</v>
      </c>
      <c r="F568" s="209" t="str">
        <f>IFERROR(__xludf.DUMMYFUNCTION("TEXTJOIN(CHAR(10), TRUE,FILTER ('Sheridan Main'!E:E,'Sheridan Main'!B:B=C568))"),"sun.hfut@gmail.com")</f>
        <v>sun.hfut@gmail.com</v>
      </c>
      <c r="G568" s="210" t="str">
        <f>IFERROR(__xludf.DUMMYFUNCTION("CONCATENATE(""https://dl.acm.org/doi/"",INDEX(FILTER('Sheridan Main'!A:A,'Sheridan Main'!B:B=C568),1))"),"https://dl.acm.org/doi/10.1145/3774904.3792230")</f>
        <v>https://dl.acm.org/doi/10.1145/3774904.3792230</v>
      </c>
      <c r="H568" s="189" t="s">
        <v>2855</v>
      </c>
      <c r="I568" s="189" t="s">
        <v>121</v>
      </c>
      <c r="J568" s="209"/>
      <c r="K568" s="147"/>
      <c r="L568" s="147"/>
      <c r="M568" s="209"/>
      <c r="N568" s="209"/>
      <c r="O568" s="209"/>
      <c r="P568" s="209"/>
      <c r="Q568" s="209"/>
      <c r="R568" s="209"/>
      <c r="S568" s="209"/>
      <c r="T568" s="209"/>
      <c r="U568" s="209"/>
      <c r="V568" s="209"/>
      <c r="W568" s="209"/>
      <c r="X568" s="209"/>
      <c r="Y568" s="209"/>
      <c r="Z568" s="209"/>
      <c r="AA568" s="209"/>
      <c r="AB568" s="209"/>
      <c r="AC568" s="209"/>
      <c r="AD568" s="209"/>
      <c r="AE568" s="209"/>
    </row>
    <row r="569">
      <c r="A569" s="208" t="s">
        <v>2907</v>
      </c>
      <c r="B569" s="189" t="str">
        <f>IFERROR(__xludf.DUMMYFUNCTION("FILTER ('Research Papers'!D:D,'Research Papers'!A:A=C569)"),"Learning on Adaptive Manifolds for Graph Collaborative Filtering")</f>
        <v>Learning on Adaptive Manifolds for Graph Collaborative Filtering</v>
      </c>
      <c r="C569" s="189" t="s">
        <v>794</v>
      </c>
      <c r="D569" s="209" t="str">
        <f t="shared" si="2"/>
        <v>Learning on Adaptive Manifolds for Graph Collaborative Filtering
Guangzhi Qi, Guojun Liu and Qi Zhou
</v>
      </c>
      <c r="E569" s="209" t="str">
        <f>IFERROR(__xludf.DUMMYFUNCTION("TEXTJOIN(CHAR(10), TRUE,FILTER('Research Papers'!$C:$C,'Research Papers'!$A:$A=C569))"),"Guangzhi Qi, Guojun Liu and Qi Zhou")</f>
        <v>Guangzhi Qi, Guojun Liu and Qi Zhou</v>
      </c>
      <c r="F569" s="209" t="str">
        <f>IFERROR(__xludf.DUMMYFUNCTION("TEXTJOIN(CHAR(10), TRUE,FILTER ('Sheridan Main'!E:E,'Sheridan Main'!B:B=C569))"),"hitliu@hit.edu.cn")</f>
        <v>hitliu@hit.edu.cn</v>
      </c>
      <c r="G569" s="210" t="str">
        <f>IFERROR(__xludf.DUMMYFUNCTION("CONCATENATE(""https://dl.acm.org/doi/"",INDEX(FILTER('Sheridan Main'!A:A,'Sheridan Main'!B:B=C569),1))"),"https://dl.acm.org/doi/10.1145/3774904.3792239")</f>
        <v>https://dl.acm.org/doi/10.1145/3774904.3792239</v>
      </c>
      <c r="H569" s="189" t="s">
        <v>2855</v>
      </c>
      <c r="I569" s="189" t="s">
        <v>121</v>
      </c>
      <c r="J569" s="209"/>
      <c r="K569" s="147"/>
      <c r="L569" s="147"/>
      <c r="M569" s="209"/>
      <c r="N569" s="209"/>
      <c r="O569" s="209"/>
      <c r="P569" s="209"/>
      <c r="Q569" s="209"/>
      <c r="R569" s="209"/>
      <c r="S569" s="209"/>
      <c r="T569" s="209"/>
      <c r="U569" s="209"/>
      <c r="V569" s="209"/>
      <c r="W569" s="209"/>
      <c r="X569" s="209"/>
      <c r="Y569" s="209"/>
      <c r="Z569" s="209"/>
      <c r="AA569" s="209"/>
      <c r="AB569" s="209"/>
      <c r="AC569" s="209"/>
      <c r="AD569" s="209"/>
      <c r="AE569" s="209"/>
    </row>
    <row r="570">
      <c r="A570" s="208" t="s">
        <v>2907</v>
      </c>
      <c r="B570" s="189" t="str">
        <f>IFERROR(__xludf.DUMMYFUNCTION("FILTER ('Research Papers'!D:D,'Research Papers'!A:A=C570)"),"Room Matters: Dynamic Room-level Collaboration Information Modeling for Live Streaming Recommendation")</f>
        <v>Room Matters: Dynamic Room-level Collaboration Information Modeling for Live Streaming Recommendation</v>
      </c>
      <c r="C570" s="189" t="s">
        <v>798</v>
      </c>
      <c r="D570" s="209" t="str">
        <f t="shared" si="2"/>
        <v>Room Matters: Dynamic Room-level Collaboration Information Modeling for Live Streaming Recommendation
Ke Guo, Changle Qu, Xiao Zhang, Liqin Zhao, Shijun Wang,
Yanan Niu and Jun Xu
</v>
      </c>
      <c r="E570" s="209" t="str">
        <f>IFERROR(__xludf.DUMMYFUNCTION("TEXTJOIN(CHAR(10), TRUE,FILTER('Research Papers'!$C:$C,'Research Papers'!$A:$A=C570))"),"Ke Guo, Changle Qu, Xiao Zhang, Liqin Zhao, Shijun Wang,
Yanan Niu and Jun Xu")</f>
        <v>Ke Guo, Changle Qu, Xiao Zhang, Liqin Zhao, Shijun Wang,
Yanan Niu and Jun Xu</v>
      </c>
      <c r="F570" s="209" t="str">
        <f>IFERROR(__xludf.DUMMYFUNCTION("TEXTJOIN(CHAR(10), TRUE,FILTER ('Sheridan Main'!E:E,'Sheridan Main'!B:B=C570))"),"zhangx89@ruc.edu.cn")</f>
        <v>zhangx89@ruc.edu.cn</v>
      </c>
      <c r="G570" s="210" t="str">
        <f>IFERROR(__xludf.DUMMYFUNCTION("CONCATENATE(""https://dl.acm.org/doi/"",INDEX(FILTER('Sheridan Main'!A:A,'Sheridan Main'!B:B=C570),1))"),"https://dl.acm.org/doi/10.1145/3774904.3792241")</f>
        <v>https://dl.acm.org/doi/10.1145/3774904.3792241</v>
      </c>
      <c r="H570" s="189" t="s">
        <v>2855</v>
      </c>
      <c r="I570" s="189" t="s">
        <v>121</v>
      </c>
      <c r="J570" s="209"/>
      <c r="K570" s="147"/>
      <c r="L570" s="147"/>
      <c r="M570" s="209"/>
      <c r="N570" s="209"/>
      <c r="O570" s="209"/>
      <c r="P570" s="209"/>
      <c r="Q570" s="209"/>
      <c r="R570" s="209"/>
      <c r="S570" s="209"/>
      <c r="T570" s="209"/>
      <c r="U570" s="209"/>
      <c r="V570" s="209"/>
      <c r="W570" s="209"/>
      <c r="X570" s="209"/>
      <c r="Y570" s="209"/>
      <c r="Z570" s="209"/>
      <c r="AA570" s="209"/>
      <c r="AB570" s="209"/>
      <c r="AC570" s="209"/>
      <c r="AD570" s="209"/>
      <c r="AE570" s="209"/>
    </row>
    <row r="571">
      <c r="A571" s="208" t="s">
        <v>2907</v>
      </c>
      <c r="B571" s="189" t="str">
        <f>IFERROR(__xludf.DUMMYFUNCTION("FILTER ('Research Papers'!D:D,'Research Papers'!A:A=C571)"),"ONE-PASS: Single Forward Pass Decoding for Listwise Reranking")</f>
        <v>ONE-PASS: Single Forward Pass Decoding for Listwise Reranking</v>
      </c>
      <c r="C571" s="189" t="s">
        <v>802</v>
      </c>
      <c r="D571" s="209" t="str">
        <f t="shared" si="2"/>
        <v>ONE-PASS: Single Forward Pass Decoding for Listwise Reranking
Yingpeng Du, Zhu Sun, Tianjun Wei and Jie Zhang
</v>
      </c>
      <c r="E571" s="209" t="str">
        <f>IFERROR(__xludf.DUMMYFUNCTION("TEXTJOIN(CHAR(10), TRUE,FILTER('Research Papers'!$C:$C,'Research Papers'!$A:$A=C571))"),"Yingpeng Du, Zhu Sun, Tianjun Wei and Jie Zhang")</f>
        <v>Yingpeng Du, Zhu Sun, Tianjun Wei and Jie Zhang</v>
      </c>
      <c r="F571" s="209" t="str">
        <f>IFERROR(__xludf.DUMMYFUNCTION("TEXTJOIN(CHAR(10), TRUE,FILTER ('Sheridan Main'!E:E,'Sheridan Main'!B:B=C571))"),"yingpeng.du@ntu.edu.sg")</f>
        <v>yingpeng.du@ntu.edu.sg</v>
      </c>
      <c r="G571" s="210" t="str">
        <f>IFERROR(__xludf.DUMMYFUNCTION("CONCATENATE(""https://dl.acm.org/doi/"",INDEX(FILTER('Sheridan Main'!A:A,'Sheridan Main'!B:B=C571),1))"),"https://dl.acm.org/doi/10.1145/3774904.3792243")</f>
        <v>https://dl.acm.org/doi/10.1145/3774904.3792243</v>
      </c>
      <c r="H571" s="189" t="s">
        <v>2855</v>
      </c>
      <c r="I571" s="189" t="s">
        <v>121</v>
      </c>
      <c r="J571" s="209"/>
      <c r="K571" s="147"/>
      <c r="L571" s="147"/>
      <c r="M571" s="209"/>
      <c r="N571" s="209"/>
      <c r="O571" s="209"/>
      <c r="P571" s="209"/>
      <c r="Q571" s="209"/>
      <c r="R571" s="209"/>
      <c r="S571" s="209"/>
      <c r="T571" s="209"/>
      <c r="U571" s="209"/>
      <c r="V571" s="209"/>
      <c r="W571" s="209"/>
      <c r="X571" s="209"/>
      <c r="Y571" s="209"/>
      <c r="Z571" s="209"/>
      <c r="AA571" s="209"/>
      <c r="AB571" s="209"/>
      <c r="AC571" s="209"/>
      <c r="AD571" s="209"/>
      <c r="AE571" s="209"/>
    </row>
    <row r="572">
      <c r="A572" s="208" t="s">
        <v>2907</v>
      </c>
      <c r="B572" s="189" t="str">
        <f>IFERROR(__xludf.DUMMYFUNCTION("FILTER ('Research Papers'!D:D,'Research Papers'!A:A=C572)"),"Personalized Learning Path Planning through Goal-Driven Learner State Modeling")</f>
        <v>Personalized Learning Path Planning through Goal-Driven Learner State Modeling</v>
      </c>
      <c r="C572" s="189" t="s">
        <v>806</v>
      </c>
      <c r="D572" s="209" t="str">
        <f t="shared" si="2"/>
        <v>Personalized Learning Path Planning through Goal-Driven Learner State Modeling
Joy Jia Yin Lim, Ye He, Jifan Yu, Xin Cong, Daniel
Zhang-Li, Zhiyuan Liu, Huiqin Liu, Lei Hou, Juanzi Li and
Bin Xu
</v>
      </c>
      <c r="E572" s="209" t="str">
        <f>IFERROR(__xludf.DUMMYFUNCTION("TEXTJOIN(CHAR(10), TRUE,FILTER('Research Papers'!$C:$C,'Research Papers'!$A:$A=C572))"),"Joy Jia Yin Lim, Ye He, Jifan Yu, Xin Cong, Daniel
Zhang-Li, Zhiyuan Liu, Huiqin Liu, Lei Hou, Juanzi Li and
Bin Xu")</f>
        <v>Joy Jia Yin Lim, Ye He, Jifan Yu, Xin Cong, Daniel
Zhang-Li, Zhiyuan Liu, Huiqin Liu, Lei Hou, Juanzi Li and
Bin Xu</v>
      </c>
      <c r="F572" s="209" t="str">
        <f>IFERROR(__xludf.DUMMYFUNCTION("TEXTJOIN(CHAR(10), TRUE,FILTER ('Sheridan Main'!E:E,'Sheridan Main'!B:B=C572))"),"xubin@tsinghua.edu.cn")</f>
        <v>xubin@tsinghua.edu.cn</v>
      </c>
      <c r="G572" s="210" t="str">
        <f>IFERROR(__xludf.DUMMYFUNCTION("CONCATENATE(""https://dl.acm.org/doi/"",INDEX(FILTER('Sheridan Main'!A:A,'Sheridan Main'!B:B=C572),1))"),"https://dl.acm.org/doi/10.1145/3774904.3792245")</f>
        <v>https://dl.acm.org/doi/10.1145/3774904.3792245</v>
      </c>
      <c r="H572" s="189" t="s">
        <v>2855</v>
      </c>
      <c r="I572" s="189" t="s">
        <v>121</v>
      </c>
      <c r="J572" s="209"/>
      <c r="K572" s="147"/>
      <c r="L572" s="147"/>
      <c r="M572" s="209"/>
      <c r="N572" s="209"/>
      <c r="O572" s="209"/>
      <c r="P572" s="209"/>
      <c r="Q572" s="209"/>
      <c r="R572" s="209"/>
      <c r="S572" s="209"/>
      <c r="T572" s="209"/>
      <c r="U572" s="209"/>
      <c r="V572" s="209"/>
      <c r="W572" s="209"/>
      <c r="X572" s="209"/>
      <c r="Y572" s="209"/>
      <c r="Z572" s="209"/>
      <c r="AA572" s="209"/>
      <c r="AB572" s="209"/>
      <c r="AC572" s="209"/>
      <c r="AD572" s="209"/>
      <c r="AE572" s="209"/>
    </row>
    <row r="573">
      <c r="A573" s="208" t="s">
        <v>2907</v>
      </c>
      <c r="B573" s="189" t="str">
        <f>IFERROR(__xludf.DUMMYFUNCTION("FILTER ('Research Papers'!D:D,'Research Papers'!A:A=C573)"),"Bridging Time and Domains: A Time-aware Framework for Cross-Domain Sequential Recommendation")</f>
        <v>Bridging Time and Domains: A Time-aware Framework for Cross-Domain Sequential Recommendation</v>
      </c>
      <c r="C573" s="189" t="s">
        <v>814</v>
      </c>
      <c r="D573" s="209" t="str">
        <f t="shared" si="2"/>
        <v>Bridging Time and Domains: A Time-aware Framework for Cross-Domain Sequential Recommendation
Zemu Liu, Zhida Qin, Pengzhan Zhou, Tianyu Huang and Gangyi
Ding
</v>
      </c>
      <c r="E573" s="209" t="str">
        <f>IFERROR(__xludf.DUMMYFUNCTION("TEXTJOIN(CHAR(10), TRUE,FILTER('Research Papers'!$C:$C,'Research Papers'!$A:$A=C573))"),"Zemu Liu, Zhida Qin, Pengzhan Zhou, Tianyu Huang and Gangyi
Ding")</f>
        <v>Zemu Liu, Zhida Qin, Pengzhan Zhou, Tianyu Huang and Gangyi
Ding</v>
      </c>
      <c r="F573" s="209" t="str">
        <f>IFERROR(__xludf.DUMMYFUNCTION("TEXTJOIN(CHAR(10), TRUE,FILTER ('Sheridan Main'!E:E,'Sheridan Main'!B:B=C573))"),"zanderqin@bit.edu.cn")</f>
        <v>zanderqin@bit.edu.cn</v>
      </c>
      <c r="G573" s="210" t="str">
        <f>IFERROR(__xludf.DUMMYFUNCTION("CONCATENATE(""https://dl.acm.org/doi/"",INDEX(FILTER('Sheridan Main'!A:A,'Sheridan Main'!B:B=C573),1))"),"https://dl.acm.org/doi/10.1145/3774904.3792249")</f>
        <v>https://dl.acm.org/doi/10.1145/3774904.3792249</v>
      </c>
      <c r="H573" s="189" t="s">
        <v>2855</v>
      </c>
      <c r="I573" s="189" t="s">
        <v>121</v>
      </c>
      <c r="J573" s="209"/>
      <c r="K573" s="147"/>
      <c r="L573" s="147"/>
      <c r="M573" s="209"/>
      <c r="N573" s="209"/>
      <c r="O573" s="209"/>
      <c r="P573" s="209"/>
      <c r="Q573" s="209"/>
      <c r="R573" s="209"/>
      <c r="S573" s="209"/>
      <c r="T573" s="209"/>
      <c r="U573" s="209"/>
      <c r="V573" s="209"/>
      <c r="W573" s="209"/>
      <c r="X573" s="209"/>
      <c r="Y573" s="209"/>
      <c r="Z573" s="209"/>
      <c r="AA573" s="209"/>
      <c r="AB573" s="209"/>
      <c r="AC573" s="209"/>
      <c r="AD573" s="209"/>
      <c r="AE573" s="209"/>
    </row>
    <row r="574">
      <c r="A574" s="208" t="s">
        <v>2907</v>
      </c>
      <c r="B574" s="189" t="str">
        <f>IFERROR(__xludf.DUMMYFUNCTION("FILTER ('Research Papers'!D:D,'Research Papers'!A:A=C574)"),"CC-OR-Net: A Unified Framework for LTV Prediction through Structural Decoupling")</f>
        <v>CC-OR-Net: A Unified Framework for LTV Prediction through Structural Decoupling</v>
      </c>
      <c r="C574" s="189" t="s">
        <v>834</v>
      </c>
      <c r="D574" s="209" t="str">
        <f t="shared" si="2"/>
        <v>CC-OR-Net: A Unified Framework for LTV Prediction through Structural Decoupling
Mingyu Zhao, Haoran Bai, Yu Tian, Bing Zhu and Hengliang Luo
</v>
      </c>
      <c r="E574" s="209" t="str">
        <f>IFERROR(__xludf.DUMMYFUNCTION("TEXTJOIN(CHAR(10), TRUE,FILTER('Research Papers'!$C:$C,'Research Papers'!$A:$A=C574))"),"Mingyu Zhao, Haoran Bai, Yu Tian, Bing Zhu and Hengliang Luo")</f>
        <v>Mingyu Zhao, Haoran Bai, Yu Tian, Bing Zhu and Hengliang Luo</v>
      </c>
      <c r="F574" s="209" t="str">
        <f>IFERROR(__xludf.DUMMYFUNCTION("TEXTJOIN(CHAR(10), TRUE,FILTER ('Sheridan Main'!E:E,'Sheridan Main'!B:B=C574))"),"zhubing04@meituan.com")</f>
        <v>zhubing04@meituan.com</v>
      </c>
      <c r="G574" s="210" t="str">
        <f>IFERROR(__xludf.DUMMYFUNCTION("CONCATENATE(""https://dl.acm.org/doi/"",INDEX(FILTER('Sheridan Main'!A:A,'Sheridan Main'!B:B=C574),1))"),"https://dl.acm.org/doi/10.1145/3774904.3792259")</f>
        <v>https://dl.acm.org/doi/10.1145/3774904.3792259</v>
      </c>
      <c r="H574" s="189" t="s">
        <v>2855</v>
      </c>
      <c r="I574" s="189" t="s">
        <v>121</v>
      </c>
      <c r="J574" s="209"/>
      <c r="K574" s="147"/>
      <c r="L574" s="147"/>
      <c r="M574" s="209"/>
      <c r="N574" s="209"/>
      <c r="O574" s="209"/>
      <c r="P574" s="209"/>
      <c r="Q574" s="209"/>
      <c r="R574" s="209"/>
      <c r="S574" s="209"/>
      <c r="T574" s="209"/>
      <c r="U574" s="209"/>
      <c r="V574" s="209"/>
      <c r="W574" s="209"/>
      <c r="X574" s="209"/>
      <c r="Y574" s="209"/>
      <c r="Z574" s="209"/>
      <c r="AA574" s="209"/>
      <c r="AB574" s="209"/>
      <c r="AC574" s="209"/>
      <c r="AD574" s="209"/>
      <c r="AE574" s="209"/>
    </row>
    <row r="575">
      <c r="A575" s="208" t="s">
        <v>2907</v>
      </c>
      <c r="B575" s="189" t="str">
        <f>IFERROR(__xludf.DUMMYFUNCTION("FILTER ('Research Papers'!D:D,'Research Papers'!A:A=C575)"),"KE-FedRS: Tackling Data Sparsity in Federated Recommendation via Knowledge Enhancement")</f>
        <v>KE-FedRS: Tackling Data Sparsity in Federated Recommendation via Knowledge Enhancement</v>
      </c>
      <c r="C575" s="189" t="s">
        <v>850</v>
      </c>
      <c r="D575" s="209" t="str">
        <f t="shared" si="2"/>
        <v>KE-FedRS: Tackling Data Sparsity in Federated Recommendation via Knowledge Enhancement
Jiayu Bao, Hongjian Shi, Guanyu Zhang, Rui Zhou, Haozhao
Wang and Yuan Liu
</v>
      </c>
      <c r="E575" s="209" t="str">
        <f>IFERROR(__xludf.DUMMYFUNCTION("TEXTJOIN(CHAR(10), TRUE,FILTER('Research Papers'!$C:$C,'Research Papers'!$A:$A=C575))"),"Jiayu Bao, Hongjian Shi, Guanyu Zhang, Rui Zhou, Haozhao
Wang and Yuan Liu")</f>
        <v>Jiayu Bao, Hongjian Shi, Guanyu Zhang, Rui Zhou, Haozhao
Wang and Yuan Liu</v>
      </c>
      <c r="F575" s="209" t="str">
        <f>IFERROR(__xludf.DUMMYFUNCTION("TEXTJOIN(CHAR(10), TRUE,FILTER ('Sheridan Main'!E:E,'Sheridan Main'!B:B=C575))"),"hz_wang@hust.edu.cn")</f>
        <v>hz_wang@hust.edu.cn</v>
      </c>
      <c r="G575" s="210" t="str">
        <f>IFERROR(__xludf.DUMMYFUNCTION("CONCATENATE(""https://dl.acm.org/doi/"",INDEX(FILTER('Sheridan Main'!A:A,'Sheridan Main'!B:B=C575),1))"),"https://dl.acm.org/doi/10.1145/3774904.3792267")</f>
        <v>https://dl.acm.org/doi/10.1145/3774904.3792267</v>
      </c>
      <c r="H575" s="189" t="s">
        <v>2855</v>
      </c>
      <c r="I575" s="189" t="s">
        <v>121</v>
      </c>
      <c r="J575" s="209"/>
      <c r="K575" s="147"/>
      <c r="L575" s="147"/>
      <c r="M575" s="209"/>
      <c r="N575" s="209"/>
      <c r="O575" s="209"/>
      <c r="P575" s="209"/>
      <c r="Q575" s="209"/>
      <c r="R575" s="209"/>
      <c r="S575" s="209"/>
      <c r="T575" s="209"/>
      <c r="U575" s="209"/>
      <c r="V575" s="209"/>
      <c r="W575" s="209"/>
      <c r="X575" s="209"/>
      <c r="Y575" s="209"/>
      <c r="Z575" s="209"/>
      <c r="AA575" s="209"/>
      <c r="AB575" s="209"/>
      <c r="AC575" s="209"/>
      <c r="AD575" s="209"/>
      <c r="AE575" s="209"/>
    </row>
    <row r="576">
      <c r="A576" s="208" t="s">
        <v>2907</v>
      </c>
      <c r="B576" s="189" t="str">
        <f>IFERROR(__xludf.DUMMYFUNCTION("FILTER ('Research Papers'!D:D,'Research Papers'!A:A=C576)"),"Long Story Short: Auditing U.S. Political Polarization in Recommendations for Long- vs. Short-form Videos on YouTube")</f>
        <v>Long Story Short: Auditing U.S. Political Polarization in Recommendations for Long- vs. Short-form Videos on YouTube</v>
      </c>
      <c r="C576" s="189" t="s">
        <v>870</v>
      </c>
      <c r="D576" s="209" t="str">
        <f t="shared" si="2"/>
        <v>Long Story Short: Auditing U.S. Political Polarization in Recommendations for Long- vs. Short-form Videos on YouTube
Shaokang Jiang, Arshia Arya, Seoyoung Kweon, Ivan Liang,
Deepak Kumar and Kristen Vaccaro
</v>
      </c>
      <c r="E576" s="209" t="str">
        <f>IFERROR(__xludf.DUMMYFUNCTION("TEXTJOIN(CHAR(10), TRUE,FILTER('Research Papers'!$C:$C,'Research Papers'!$A:$A=C576))"),"Shaokang Jiang, Arshia Arya, Seoyoung Kweon, Ivan Liang,
Deepak Kumar and Kristen Vaccaro")</f>
        <v>Shaokang Jiang, Arshia Arya, Seoyoung Kweon, Ivan Liang,
Deepak Kumar and Kristen Vaccaro</v>
      </c>
      <c r="F576" s="209" t="str">
        <f>IFERROR(__xludf.DUMMYFUNCTION("TEXTJOIN(CHAR(10), TRUE,FILTER ('Sheridan Main'!E:E,'Sheridan Main'!B:B=C576))"),"shj002@ucsd.edu")</f>
        <v>shj002@ucsd.edu</v>
      </c>
      <c r="G576" s="210" t="str">
        <f>IFERROR(__xludf.DUMMYFUNCTION("CONCATENATE(""https://dl.acm.org/doi/"",INDEX(FILTER('Sheridan Main'!A:A,'Sheridan Main'!B:B=C576),1))"),"https://dl.acm.org/doi/10.1145/3774904.3792277")</f>
        <v>https://dl.acm.org/doi/10.1145/3774904.3792277</v>
      </c>
      <c r="H576" s="189" t="s">
        <v>2855</v>
      </c>
      <c r="I576" s="189" t="s">
        <v>121</v>
      </c>
      <c r="J576" s="209"/>
      <c r="K576" s="147"/>
      <c r="L576" s="147"/>
      <c r="M576" s="209"/>
      <c r="N576" s="209"/>
      <c r="O576" s="209"/>
      <c r="P576" s="209"/>
      <c r="Q576" s="209"/>
      <c r="R576" s="209"/>
      <c r="S576" s="209"/>
      <c r="T576" s="209"/>
      <c r="U576" s="209"/>
      <c r="V576" s="209"/>
      <c r="W576" s="209"/>
      <c r="X576" s="209"/>
      <c r="Y576" s="209"/>
      <c r="Z576" s="209"/>
      <c r="AA576" s="209"/>
      <c r="AB576" s="209"/>
      <c r="AC576" s="209"/>
      <c r="AD576" s="209"/>
      <c r="AE576" s="209"/>
    </row>
    <row r="577">
      <c r="A577" s="208" t="s">
        <v>2907</v>
      </c>
      <c r="B577" s="189" t="str">
        <f>IFERROR(__xludf.DUMMYFUNCTION("FILTER ('Research Papers'!D:D,'Research Papers'!A:A=C577)"),"From Prediction to Understanding: Leveraging Reasoning in Large Language Model-based Recommendations")</f>
        <v>From Prediction to Understanding: Leveraging Reasoning in Large Language Model-based Recommendations</v>
      </c>
      <c r="C577" s="189" t="s">
        <v>882</v>
      </c>
      <c r="D577" s="209" t="str">
        <f t="shared" si="2"/>
        <v>From Prediction to Understanding: Leveraging Reasoning in Large Language Model-based Recommendations
Zhi-Yuan Chen, Siyu Lu, Qiang Liu, Xingxing Wang and Yankai
Lin
</v>
      </c>
      <c r="E577" s="209" t="str">
        <f>IFERROR(__xludf.DUMMYFUNCTION("TEXTJOIN(CHAR(10), TRUE,FILTER('Research Papers'!$C:$C,'Research Papers'!$A:$A=C577))"),"Zhi-Yuan Chen, Siyu Lu, Qiang Liu, Xingxing Wang and Yankai
Lin")</f>
        <v>Zhi-Yuan Chen, Siyu Lu, Qiang Liu, Xingxing Wang and Yankai
Lin</v>
      </c>
      <c r="F577" s="209" t="str">
        <f>IFERROR(__xludf.DUMMYFUNCTION("TEXTJOIN(CHAR(10), TRUE,FILTER ('Sheridan Main'!E:E,'Sheridan Main'!B:B=C577))"),"yankailin@ruc.edu.cn")</f>
        <v>yankailin@ruc.edu.cn</v>
      </c>
      <c r="G577" s="210" t="str">
        <f>IFERROR(__xludf.DUMMYFUNCTION("CONCATENATE(""https://dl.acm.org/doi/"",INDEX(FILTER('Sheridan Main'!A:A,'Sheridan Main'!B:B=C577),1))"),"https://dl.acm.org/doi/10.1145/3774904.3792283")</f>
        <v>https://dl.acm.org/doi/10.1145/3774904.3792283</v>
      </c>
      <c r="H577" s="189" t="s">
        <v>2855</v>
      </c>
      <c r="I577" s="189" t="s">
        <v>2909</v>
      </c>
      <c r="J577" s="209"/>
      <c r="K577" s="147"/>
      <c r="L577" s="147"/>
      <c r="M577" s="209"/>
      <c r="N577" s="209"/>
      <c r="O577" s="209"/>
      <c r="P577" s="209"/>
      <c r="Q577" s="209"/>
      <c r="R577" s="209"/>
      <c r="S577" s="209"/>
      <c r="T577" s="209"/>
      <c r="U577" s="209"/>
      <c r="V577" s="209"/>
      <c r="W577" s="209"/>
      <c r="X577" s="209"/>
      <c r="Y577" s="209"/>
      <c r="Z577" s="209"/>
      <c r="AA577" s="209"/>
      <c r="AB577" s="209"/>
      <c r="AC577" s="209"/>
      <c r="AD577" s="209"/>
      <c r="AE577" s="209"/>
    </row>
    <row r="578">
      <c r="A578" s="208" t="s">
        <v>2907</v>
      </c>
      <c r="B578" s="189" t="str">
        <f>IFERROR(__xludf.DUMMYFUNCTION("FILTER ('Research Papers'!D:D,'Research Papers'!A:A=C578)"),"Generative Regression Based Watch Time Prediction for Short-Video Recommendation")</f>
        <v>Generative Regression Based Watch Time Prediction for Short-Video Recommendation</v>
      </c>
      <c r="C578" s="189" t="s">
        <v>896</v>
      </c>
      <c r="D578" s="209" t="str">
        <f t="shared" si="2"/>
        <v>Generative Regression Based Watch Time Prediction for Short-Video Recommendation
Hongxu Ma, Kai Tian, Tao Zhang, Xuefeng Zhang, Han Zhou,
Chenghou Jin, Chunjie Chen, Han Li, Jihong Guan and
Shuigeng Zhou
</v>
      </c>
      <c r="E578" s="209" t="str">
        <f>IFERROR(__xludf.DUMMYFUNCTION("TEXTJOIN(CHAR(10), TRUE,FILTER('Research Papers'!$C:$C,'Research Papers'!$A:$A=C578))"),"Hongxu Ma, Kai Tian, Tao Zhang, Xuefeng Zhang, Han Zhou,
Chenghou Jin, Chunjie Chen, Han Li, Jihong Guan and
Shuigeng Zhou")</f>
        <v>Hongxu Ma, Kai Tian, Tao Zhang, Xuefeng Zhang, Han Zhou,
Chenghou Jin, Chunjie Chen, Han Li, Jihong Guan and
Shuigeng Zhou</v>
      </c>
      <c r="F578" s="209" t="str">
        <f>IFERROR(__xludf.DUMMYFUNCTION("TEXTJOIN(CHAR(10), TRUE,FILTER ('Sheridan Main'!E:E,'Sheridan Main'!B:B=C578))"),"sgzhou@fudan.edu.cn")</f>
        <v>sgzhou@fudan.edu.cn</v>
      </c>
      <c r="G578" s="210" t="str">
        <f>IFERROR(__xludf.DUMMYFUNCTION("CONCATENATE(""https://dl.acm.org/doi/"",INDEX(FILTER('Sheridan Main'!A:A,'Sheridan Main'!B:B=C578),1))"),"https://dl.acm.org/doi/10.1145/3774904.3792290")</f>
        <v>https://dl.acm.org/doi/10.1145/3774904.3792290</v>
      </c>
      <c r="H578" s="189" t="s">
        <v>2855</v>
      </c>
      <c r="I578" s="189" t="s">
        <v>2909</v>
      </c>
      <c r="J578" s="209"/>
      <c r="K578" s="147"/>
      <c r="L578" s="147"/>
      <c r="M578" s="209"/>
      <c r="N578" s="209"/>
      <c r="O578" s="209"/>
      <c r="P578" s="209"/>
      <c r="Q578" s="209"/>
      <c r="R578" s="209"/>
      <c r="S578" s="209"/>
      <c r="T578" s="209"/>
      <c r="U578" s="209"/>
      <c r="V578" s="209"/>
      <c r="W578" s="209"/>
      <c r="X578" s="209"/>
      <c r="Y578" s="209"/>
      <c r="Z578" s="209"/>
      <c r="AA578" s="209"/>
      <c r="AB578" s="209"/>
      <c r="AC578" s="209"/>
      <c r="AD578" s="209"/>
      <c r="AE578" s="209"/>
    </row>
    <row r="579">
      <c r="A579" s="208" t="s">
        <v>2907</v>
      </c>
      <c r="B579" s="189" t="str">
        <f>IFERROR(__xludf.DUMMYFUNCTION("FILTER ('Research Papers'!D:D,'Research Papers'!A:A=C579)"),"FeDecider: An LLM-Based Framework for Federated Cross-Domain Recommendation")</f>
        <v>FeDecider: An LLM-Based Framework for Federated Cross-Domain Recommendation</v>
      </c>
      <c r="C579" s="189" t="s">
        <v>904</v>
      </c>
      <c r="D579" s="209" t="str">
        <f t="shared" si="2"/>
        <v>FeDecider: An LLM-Based Framework for Federated Cross-Domain Recommendation
Xinrui He, Ting-Wei Li, Tianxin Wei, Xuying Ning, Xinyu He,
Wenxuan Bao, Hanghang Tong and Jingrui He
</v>
      </c>
      <c r="E579" s="209" t="str">
        <f>IFERROR(__xludf.DUMMYFUNCTION("TEXTJOIN(CHAR(10), TRUE,FILTER('Research Papers'!$C:$C,'Research Papers'!$A:$A=C579))"),"Xinrui He, Ting-Wei Li, Tianxin Wei, Xuying Ning, Xinyu He,
Wenxuan Bao, Hanghang Tong and Jingrui He")</f>
        <v>Xinrui He, Ting-Wei Li, Tianxin Wei, Xuying Ning, Xinyu He,
Wenxuan Bao, Hanghang Tong and Jingrui He</v>
      </c>
      <c r="F579" s="209" t="str">
        <f>IFERROR(__xludf.DUMMYFUNCTION("TEXTJOIN(CHAR(10), TRUE,FILTER ('Sheridan Main'!E:E,'Sheridan Main'!B:B=C579))"),"xhe33@illinois.edu")</f>
        <v>xhe33@illinois.edu</v>
      </c>
      <c r="G579" s="210" t="str">
        <f>IFERROR(__xludf.DUMMYFUNCTION("CONCATENATE(""https://dl.acm.org/doi/"",INDEX(FILTER('Sheridan Main'!A:A,'Sheridan Main'!B:B=C579),1))"),"https://dl.acm.org/doi/10.1145/3774904.3792294")</f>
        <v>https://dl.acm.org/doi/10.1145/3774904.3792294</v>
      </c>
      <c r="H579" s="189" t="s">
        <v>2855</v>
      </c>
      <c r="I579" s="189" t="s">
        <v>2909</v>
      </c>
      <c r="J579" s="209"/>
      <c r="K579" s="147"/>
      <c r="L579" s="147"/>
      <c r="M579" s="209"/>
      <c r="N579" s="209"/>
      <c r="O579" s="209"/>
      <c r="P579" s="209"/>
      <c r="Q579" s="209"/>
      <c r="R579" s="209"/>
      <c r="S579" s="209"/>
      <c r="T579" s="209"/>
      <c r="U579" s="209"/>
      <c r="V579" s="209"/>
      <c r="W579" s="209"/>
      <c r="X579" s="209"/>
      <c r="Y579" s="209"/>
      <c r="Z579" s="209"/>
      <c r="AA579" s="209"/>
      <c r="AB579" s="209"/>
      <c r="AC579" s="209"/>
      <c r="AD579" s="209"/>
      <c r="AE579" s="209"/>
    </row>
    <row r="580">
      <c r="A580" s="208" t="s">
        <v>2907</v>
      </c>
      <c r="B580" s="189" t="str">
        <f>IFERROR(__xludf.DUMMYFUNCTION("FILTER ('Research Papers'!D:D,'Research Papers'!A:A=C580)"),"Joint Similar User Exploration and Informative Behavior Guidance for Multi-Modal New Item Recommendation")</f>
        <v>Joint Similar User Exploration and Informative Behavior Guidance for Multi-Modal New Item Recommendation</v>
      </c>
      <c r="C580" s="189" t="s">
        <v>920</v>
      </c>
      <c r="D580" s="209" t="str">
        <f t="shared" si="2"/>
        <v>Joint Similar User Exploration and Informative Behavior Guidance for Multi-Modal New Item Recommendation
Jianye Xie, Lianyong Qi, Weiming Liu, Anqi Wang, Xiaolong
Xu, Haolong Xiang, Xuyun Zhang, Wenwen Gong, Yang Zhang,
Amin Beheshti and Wanchun Dou
</v>
      </c>
      <c r="E580" s="209" t="str">
        <f>IFERROR(__xludf.DUMMYFUNCTION("TEXTJOIN(CHAR(10), TRUE,FILTER('Research Papers'!$C:$C,'Research Papers'!$A:$A=C580))"),"Jianye Xie, Lianyong Qi, Weiming Liu, Anqi Wang, Xiaolong
Xu, Haolong Xiang, Xuyun Zhang, Wenwen Gong, Yang Zhang,
Amin Beheshti and Wanchun Dou")</f>
        <v>Jianye Xie, Lianyong Qi, Weiming Liu, Anqi Wang, Xiaolong
Xu, Haolong Xiang, Xuyun Zhang, Wenwen Gong, Yang Zhang,
Amin Beheshti and Wanchun Dou</v>
      </c>
      <c r="F580" s="209" t="str">
        <f>IFERROR(__xludf.DUMMYFUNCTION("TEXTJOIN(CHAR(10), TRUE,FILTER ('Sheridan Main'!E:E,'Sheridan Main'!B:B=C580))"),"lianyongqi@upc.edu.cn")</f>
        <v>lianyongqi@upc.edu.cn</v>
      </c>
      <c r="G580" s="210" t="str">
        <f>IFERROR(__xludf.DUMMYFUNCTION("CONCATENATE(""https://dl.acm.org/doi/"",INDEX(FILTER('Sheridan Main'!A:A,'Sheridan Main'!B:B=C580),1))"),"https://dl.acm.org/doi/10.1145/3774904.3792302")</f>
        <v>https://dl.acm.org/doi/10.1145/3774904.3792302</v>
      </c>
      <c r="H580" s="189" t="s">
        <v>2855</v>
      </c>
      <c r="I580" s="189" t="s">
        <v>2909</v>
      </c>
      <c r="J580" s="209"/>
      <c r="K580" s="147"/>
      <c r="L580" s="147"/>
      <c r="M580" s="209"/>
      <c r="N580" s="209"/>
      <c r="O580" s="209"/>
      <c r="P580" s="209"/>
      <c r="Q580" s="209"/>
      <c r="R580" s="209"/>
      <c r="S580" s="209"/>
      <c r="T580" s="209"/>
      <c r="U580" s="209"/>
      <c r="V580" s="209"/>
      <c r="W580" s="209"/>
      <c r="X580" s="209"/>
      <c r="Y580" s="209"/>
      <c r="Z580" s="209"/>
      <c r="AA580" s="209"/>
      <c r="AB580" s="209"/>
      <c r="AC580" s="209"/>
      <c r="AD580" s="209"/>
      <c r="AE580" s="209"/>
    </row>
    <row r="581">
      <c r="A581" s="208" t="s">
        <v>2907</v>
      </c>
      <c r="B581" s="189" t="str">
        <f>IFERROR(__xludf.DUMMYFUNCTION("FILTER ('Research Papers'!D:D,'Research Papers'!A:A=C581)"),"ScotRec: Social Chain-of-Thought LLM Reasoning for Recommendation")</f>
        <v>ScotRec: Social Chain-of-Thought LLM Reasoning for Recommendation</v>
      </c>
      <c r="C581" s="189" t="s">
        <v>942</v>
      </c>
      <c r="D581" s="209" t="str">
        <f t="shared" si="2"/>
        <v>ScotRec: Social Chain-of-Thought LLM Reasoning for Recommendation
Kaibei Li, Jie Zou, Qika Lin, Weikang Guo, Qinyang He and
Yang Yang
</v>
      </c>
      <c r="E581" s="209" t="str">
        <f>IFERROR(__xludf.DUMMYFUNCTION("TEXTJOIN(CHAR(10), TRUE,FILTER('Research Papers'!$C:$C,'Research Papers'!$A:$A=C581))"),"Kaibei Li, Jie Zou, Qika Lin, Weikang Guo, Qinyang He and
Yang Yang")</f>
        <v>Kaibei Li, Jie Zou, Qika Lin, Weikang Guo, Qinyang He and
Yang Yang</v>
      </c>
      <c r="F581" s="209" t="str">
        <f>IFERROR(__xludf.DUMMYFUNCTION("TEXTJOIN(CHAR(10), TRUE,FILTER ('Sheridan Main'!E:E,'Sheridan Main'!B:B=C581))"),"jie.zou@uestc.edu.cn")</f>
        <v>jie.zou@uestc.edu.cn</v>
      </c>
      <c r="G581" s="210" t="str">
        <f>IFERROR(__xludf.DUMMYFUNCTION("CONCATENATE(""https://dl.acm.org/doi/"",INDEX(FILTER('Sheridan Main'!A:A,'Sheridan Main'!B:B=C581),1))"),"https://dl.acm.org/doi/10.1145/3774904.3792313")</f>
        <v>https://dl.acm.org/doi/10.1145/3774904.3792313</v>
      </c>
      <c r="H581" s="189" t="s">
        <v>2855</v>
      </c>
      <c r="I581" s="189" t="s">
        <v>2909</v>
      </c>
      <c r="J581" s="209"/>
      <c r="K581" s="147"/>
      <c r="L581" s="147"/>
      <c r="M581" s="209"/>
      <c r="N581" s="209"/>
      <c r="O581" s="209"/>
      <c r="P581" s="209"/>
      <c r="Q581" s="209"/>
      <c r="R581" s="209"/>
      <c r="S581" s="209"/>
      <c r="T581" s="209"/>
      <c r="U581" s="209"/>
      <c r="V581" s="209"/>
      <c r="W581" s="209"/>
      <c r="X581" s="209"/>
      <c r="Y581" s="209"/>
      <c r="Z581" s="209"/>
      <c r="AA581" s="209"/>
      <c r="AB581" s="209"/>
      <c r="AC581" s="209"/>
      <c r="AD581" s="209"/>
      <c r="AE581" s="209"/>
    </row>
    <row r="582">
      <c r="A582" s="208" t="s">
        <v>2907</v>
      </c>
      <c r="B582" s="189" t="str">
        <f>IFERROR(__xludf.DUMMYFUNCTION("FILTER ('Research Papers'!D:D,'Research Papers'!A:A=C582)"),"Modeling Cascaded Delay Feedback for Online Net Conversion Rate Prediction: Benchmark, Insights and Solutions")</f>
        <v>Modeling Cascaded Delay Feedback for Online Net Conversion Rate Prediction: Benchmark, Insights and Solutions</v>
      </c>
      <c r="C582" s="189" t="s">
        <v>970</v>
      </c>
      <c r="D582" s="209" t="str">
        <f t="shared" si="2"/>
        <v>Modeling Cascaded Delay Feedback for Online Net Conversion Rate Prediction: Benchmark, Insights and Solutions
Mingxuan Luo, Guipeng Xv, Sishuo Chen, Xinyu Li, Li Zhang,
Zhangming Chan, Xiang-Rong Sheng, Han Zhu, Jian Xu, Bo
Zheng and Chen Lin
</v>
      </c>
      <c r="E582" s="209" t="str">
        <f>IFERROR(__xludf.DUMMYFUNCTION("TEXTJOIN(CHAR(10), TRUE,FILTER('Research Papers'!$C:$C,'Research Papers'!$A:$A=C582))"),"Mingxuan Luo, Guipeng Xv, Sishuo Chen, Xinyu Li, Li Zhang,
Zhangming Chan, Xiang-Rong Sheng, Han Zhu, Jian Xu, Bo
Zheng and Chen Lin")</f>
        <v>Mingxuan Luo, Guipeng Xv, Sishuo Chen, Xinyu Li, Li Zhang,
Zhangming Chan, Xiang-Rong Sheng, Han Zhu, Jian Xu, Bo
Zheng and Chen Lin</v>
      </c>
      <c r="F582" s="209" t="str">
        <f>IFERROR(__xludf.DUMMYFUNCTION("TEXTJOIN(CHAR(10), TRUE,FILTER ('Sheridan Main'!E:E,'Sheridan Main'!B:B=C582))"),"chenlin@xmu.edu.cn")</f>
        <v>chenlin@xmu.edu.cn</v>
      </c>
      <c r="G582" s="210" t="str">
        <f>IFERROR(__xludf.DUMMYFUNCTION("CONCATENATE(""https://dl.acm.org/doi/"",INDEX(FILTER('Sheridan Main'!A:A,'Sheridan Main'!B:B=C582),1))"),"https://dl.acm.org/doi/10.1145/3774904.3792327")</f>
        <v>https://dl.acm.org/doi/10.1145/3774904.3792327</v>
      </c>
      <c r="H582" s="189" t="s">
        <v>2855</v>
      </c>
      <c r="I582" s="189" t="s">
        <v>2909</v>
      </c>
      <c r="J582" s="209"/>
      <c r="K582" s="147"/>
      <c r="L582" s="147"/>
      <c r="M582" s="209"/>
      <c r="N582" s="209"/>
      <c r="O582" s="209"/>
      <c r="P582" s="209"/>
      <c r="Q582" s="209"/>
      <c r="R582" s="209"/>
      <c r="S582" s="209"/>
      <c r="T582" s="209"/>
      <c r="U582" s="209"/>
      <c r="V582" s="209"/>
      <c r="W582" s="209"/>
      <c r="X582" s="209"/>
      <c r="Y582" s="209"/>
      <c r="Z582" s="209"/>
      <c r="AA582" s="209"/>
      <c r="AB582" s="209"/>
      <c r="AC582" s="209"/>
      <c r="AD582" s="209"/>
      <c r="AE582" s="209"/>
    </row>
    <row r="583">
      <c r="A583" s="208" t="s">
        <v>2907</v>
      </c>
      <c r="B583" s="189" t="str">
        <f>IFERROR(__xludf.DUMMYFUNCTION("FILTER ('Research Papers'!D:D,'Research Papers'!A:A=C583)"),"Diversity-Augmented Negative Sampling for Implicit Collaborative Filtering")</f>
        <v>Diversity-Augmented Negative Sampling for Implicit Collaborative Filtering</v>
      </c>
      <c r="C583" s="189" t="s">
        <v>1008</v>
      </c>
      <c r="D583" s="209" t="str">
        <f t="shared" si="2"/>
        <v>Diversity-Augmented Negative Sampling for Implicit Collaborative Filtering
Yueqing Xuan, Kacper Sokol, Mark Sanderson and Jeffrey Chan
</v>
      </c>
      <c r="E583" s="209" t="str">
        <f>IFERROR(__xludf.DUMMYFUNCTION("TEXTJOIN(CHAR(10), TRUE,FILTER('Research Papers'!$C:$C,'Research Papers'!$A:$A=C583))"),"Yueqing Xuan, Kacper Sokol, Mark Sanderson and Jeffrey Chan")</f>
        <v>Yueqing Xuan, Kacper Sokol, Mark Sanderson and Jeffrey Chan</v>
      </c>
      <c r="F583" s="209" t="str">
        <f>IFERROR(__xludf.DUMMYFUNCTION("TEXTJOIN(CHAR(10), TRUE,FILTER ('Sheridan Main'!E:E,'Sheridan Main'!B:B=C583))"),"yueqing.xuan@rmit.edu.au")</f>
        <v>yueqing.xuan@rmit.edu.au</v>
      </c>
      <c r="G583" s="210" t="str">
        <f>IFERROR(__xludf.DUMMYFUNCTION("CONCATENATE(""https://dl.acm.org/doi/"",INDEX(FILTER('Sheridan Main'!A:A,'Sheridan Main'!B:B=C583),1))"),"https://dl.acm.org/doi/10.1145/3774904.3792346")</f>
        <v>https://dl.acm.org/doi/10.1145/3774904.3792346</v>
      </c>
      <c r="H583" s="189" t="s">
        <v>2855</v>
      </c>
      <c r="I583" s="189" t="s">
        <v>2909</v>
      </c>
      <c r="J583" s="209"/>
      <c r="K583" s="147"/>
      <c r="L583" s="147"/>
      <c r="M583" s="209"/>
      <c r="N583" s="209"/>
      <c r="O583" s="209"/>
      <c r="P583" s="209"/>
      <c r="Q583" s="209"/>
      <c r="R583" s="209"/>
      <c r="S583" s="209"/>
      <c r="T583" s="209"/>
      <c r="U583" s="209"/>
      <c r="V583" s="209"/>
      <c r="W583" s="209"/>
      <c r="X583" s="209"/>
      <c r="Y583" s="209"/>
      <c r="Z583" s="209"/>
      <c r="AA583" s="209"/>
      <c r="AB583" s="209"/>
      <c r="AC583" s="209"/>
      <c r="AD583" s="209"/>
      <c r="AE583" s="209"/>
    </row>
    <row r="584">
      <c r="A584" s="208" t="s">
        <v>2907</v>
      </c>
      <c r="B584" s="189" t="str">
        <f>IFERROR(__xludf.DUMMYFUNCTION("FILTER ('Research Papers'!D:D,'Research Papers'!A:A=C584)"),"Delayed Feedback Modeling for Post-Click Gross Merchandise Volume Prediction: Benchmark, Insights and Approaches")</f>
        <v>Delayed Feedback Modeling for Post-Click Gross Merchandise Volume Prediction: Benchmark, Insights and Approaches</v>
      </c>
      <c r="C584" s="189" t="s">
        <v>1012</v>
      </c>
      <c r="D584" s="209" t="str">
        <f t="shared" si="2"/>
        <v>Delayed Feedback Modeling for Post-Click Gross Merchandise Volume Prediction: Benchmark, Insights and Approaches
Xinyu Li, Sishuo Chen, Guipeng Xv, Li Zhang, Mingxuan Luo,
Zhangming Chan, Xiang-Rong Sheng, Han Zhu, Jian Xu and Chen
Lin
</v>
      </c>
      <c r="E584" s="209" t="str">
        <f>IFERROR(__xludf.DUMMYFUNCTION("TEXTJOIN(CHAR(10), TRUE,FILTER('Research Papers'!$C:$C,'Research Papers'!$A:$A=C584))"),"Xinyu Li, Sishuo Chen, Guipeng Xv, Li Zhang, Mingxuan Luo,
Zhangming Chan, Xiang-Rong Sheng, Han Zhu, Jian Xu and Chen
Lin")</f>
        <v>Xinyu Li, Sishuo Chen, Guipeng Xv, Li Zhang, Mingxuan Luo,
Zhangming Chan, Xiang-Rong Sheng, Han Zhu, Jian Xu and Chen
Lin</v>
      </c>
      <c r="F584" s="209" t="str">
        <f>IFERROR(__xludf.DUMMYFUNCTION("TEXTJOIN(CHAR(10), TRUE,FILTER ('Sheridan Main'!E:E,'Sheridan Main'!B:B=C584))"),"chenlin@xmu.edu.cn")</f>
        <v>chenlin@xmu.edu.cn</v>
      </c>
      <c r="G584" s="210" t="str">
        <f>IFERROR(__xludf.DUMMYFUNCTION("CONCATENATE(""https://dl.acm.org/doi/"",INDEX(FILTER('Sheridan Main'!A:A,'Sheridan Main'!B:B=C584),1))"),"https://dl.acm.org/doi/10.1145/3774904.3792348")</f>
        <v>https://dl.acm.org/doi/10.1145/3774904.3792348</v>
      </c>
      <c r="H584" s="189" t="s">
        <v>2855</v>
      </c>
      <c r="I584" s="189" t="s">
        <v>2909</v>
      </c>
      <c r="J584" s="209"/>
      <c r="K584" s="147"/>
      <c r="L584" s="147"/>
      <c r="M584" s="209"/>
      <c r="N584" s="209"/>
      <c r="O584" s="209"/>
      <c r="P584" s="209"/>
      <c r="Q584" s="209"/>
      <c r="R584" s="209"/>
      <c r="S584" s="209"/>
      <c r="T584" s="209"/>
      <c r="U584" s="209"/>
      <c r="V584" s="209"/>
      <c r="W584" s="209"/>
      <c r="X584" s="209"/>
      <c r="Y584" s="209"/>
      <c r="Z584" s="209"/>
      <c r="AA584" s="209"/>
      <c r="AB584" s="209"/>
      <c r="AC584" s="209"/>
      <c r="AD584" s="209"/>
      <c r="AE584" s="209"/>
    </row>
    <row r="585">
      <c r="A585" s="208" t="s">
        <v>2907</v>
      </c>
      <c r="B585" s="189" t="str">
        <f>IFERROR(__xludf.DUMMYFUNCTION("FILTER ('Research Papers'!D:D,'Research Papers'!A:A=C585)"),"AlphaFree: Recommendation Free from Users, IDs, and GNNs")</f>
        <v>AlphaFree: Recommendation Free from Users, IDs, and GNNs</v>
      </c>
      <c r="C585" s="189" t="s">
        <v>1026</v>
      </c>
      <c r="D585" s="209" t="str">
        <f t="shared" si="2"/>
        <v>AlphaFree: Recommendation Free from Users, IDs, and GNNs
Minseo Jeon, Junwoo Jung, Daewon Gwak and Jinhong Jung
</v>
      </c>
      <c r="E585" s="209" t="str">
        <f>IFERROR(__xludf.DUMMYFUNCTION("TEXTJOIN(CHAR(10), TRUE,FILTER('Research Papers'!$C:$C,'Research Papers'!$A:$A=C585))"),"Minseo Jeon, Junwoo Jung, Daewon Gwak and Jinhong Jung")</f>
        <v>Minseo Jeon, Junwoo Jung, Daewon Gwak and Jinhong Jung</v>
      </c>
      <c r="F585" s="209" t="str">
        <f>IFERROR(__xludf.DUMMYFUNCTION("TEXTJOIN(CHAR(10), TRUE,FILTER ('Sheridan Main'!E:E,'Sheridan Main'!B:B=C585))"),"jinhong@ssu.ac.kr")</f>
        <v>jinhong@ssu.ac.kr</v>
      </c>
      <c r="G585" s="210" t="str">
        <f>IFERROR(__xludf.DUMMYFUNCTION("CONCATENATE(""https://dl.acm.org/doi/"",INDEX(FILTER('Sheridan Main'!A:A,'Sheridan Main'!B:B=C585),1))"),"https://dl.acm.org/doi/10.1145/3774904.3792355")</f>
        <v>https://dl.acm.org/doi/10.1145/3774904.3792355</v>
      </c>
      <c r="H585" s="189" t="s">
        <v>2855</v>
      </c>
      <c r="I585" s="189" t="s">
        <v>2909</v>
      </c>
      <c r="J585" s="209"/>
      <c r="K585" s="147"/>
      <c r="L585" s="147"/>
      <c r="M585" s="209"/>
      <c r="N585" s="209"/>
      <c r="O585" s="209"/>
      <c r="P585" s="209"/>
      <c r="Q585" s="209"/>
      <c r="R585" s="209"/>
      <c r="S585" s="209"/>
      <c r="T585" s="209"/>
      <c r="U585" s="209"/>
      <c r="V585" s="209"/>
      <c r="W585" s="209"/>
      <c r="X585" s="209"/>
      <c r="Y585" s="209"/>
      <c r="Z585" s="209"/>
      <c r="AA585" s="209"/>
      <c r="AB585" s="209"/>
      <c r="AC585" s="209"/>
      <c r="AD585" s="209"/>
      <c r="AE585" s="209"/>
    </row>
    <row r="586">
      <c r="A586" s="208" t="s">
        <v>2907</v>
      </c>
      <c r="B586" s="189" t="str">
        <f>IFERROR(__xludf.DUMMYFUNCTION("FILTER ('Research Papers'!D:D,'Research Papers'!A:A=C586)"),"Same Last-Item Confusion Unveiled: A Unified Mitigation Framework for Graph Learning in Session-Based Recommendation")</f>
        <v>Same Last-Item Confusion Unveiled: A Unified Mitigation Framework for Graph Learning in Session-Based Recommendation</v>
      </c>
      <c r="C586" s="189" t="s">
        <v>1028</v>
      </c>
      <c r="D586" s="209" t="str">
        <f t="shared" si="2"/>
        <v>Same Last-Item Confusion Unveiled: A Unified Mitigation Framework for Graph Learning in Session-Based Recommendation
Jinpeng Chen, Jianxiang He, Yuan Cao, Huan Li, Zhenye Yang,
Kaimin Wei, Xiongnan Jin, Senzhang Wang and Weiping Tu
</v>
      </c>
      <c r="E586" s="209" t="str">
        <f>IFERROR(__xludf.DUMMYFUNCTION("TEXTJOIN(CHAR(10), TRUE,FILTER('Research Papers'!$C:$C,'Research Papers'!$A:$A=C586))"),"Jinpeng Chen, Jianxiang He, Yuan Cao, Huan Li, Zhenye Yang,
Kaimin Wei, Xiongnan Jin, Senzhang Wang and Weiping Tu")</f>
        <v>Jinpeng Chen, Jianxiang He, Yuan Cao, Huan Li, Zhenye Yang,
Kaimin Wei, Xiongnan Jin, Senzhang Wang and Weiping Tu</v>
      </c>
      <c r="F586" s="209" t="str">
        <f>IFERROR(__xludf.DUMMYFUNCTION("TEXTJOIN(CHAR(10), TRUE,FILTER ('Sheridan Main'!E:E,'Sheridan Main'!B:B=C586))"),"jpchen@bupt.edu.cn")</f>
        <v>jpchen@bupt.edu.cn</v>
      </c>
      <c r="G586" s="210" t="str">
        <f>IFERROR(__xludf.DUMMYFUNCTION("CONCATENATE(""https://dl.acm.org/doi/"",INDEX(FILTER('Sheridan Main'!A:A,'Sheridan Main'!B:B=C586),1))"),"https://dl.acm.org/doi/10.1145/3774904.3792356")</f>
        <v>https://dl.acm.org/doi/10.1145/3774904.3792356</v>
      </c>
      <c r="H586" s="189" t="s">
        <v>2855</v>
      </c>
      <c r="I586" s="189" t="s">
        <v>2909</v>
      </c>
      <c r="J586" s="209"/>
      <c r="K586" s="147"/>
      <c r="L586" s="147"/>
      <c r="M586" s="209"/>
      <c r="N586" s="209"/>
      <c r="O586" s="209"/>
      <c r="P586" s="209"/>
      <c r="Q586" s="209"/>
      <c r="R586" s="209"/>
      <c r="S586" s="209"/>
      <c r="T586" s="209"/>
      <c r="U586" s="209"/>
      <c r="V586" s="209"/>
      <c r="W586" s="209"/>
      <c r="X586" s="209"/>
      <c r="Y586" s="209"/>
      <c r="Z586" s="209"/>
      <c r="AA586" s="209"/>
      <c r="AB586" s="209"/>
      <c r="AC586" s="209"/>
      <c r="AD586" s="209"/>
      <c r="AE586" s="209"/>
    </row>
    <row r="587">
      <c r="A587" s="208" t="s">
        <v>2907</v>
      </c>
      <c r="B587" s="189" t="str">
        <f>IFERROR(__xludf.DUMMYFUNCTION("FILTER ('Research Papers'!D:D,'Research Papers'!A:A=C587)"),"R2NS: Recall and Re-ranking of Negative Samples for Sequential Recommendation")</f>
        <v>R2NS: Recall and Re-ranking of Negative Samples for Sequential Recommendation</v>
      </c>
      <c r="C587" s="189" t="s">
        <v>1036</v>
      </c>
      <c r="D587" s="209" t="str">
        <f t="shared" si="2"/>
        <v>R2NS: Recall and Re-ranking of Negative Samples for Sequential Recommendation
Yuanzi Li, Xuri Ge, Jingyu Zhao, Yidan Wang, Jiyuan Yang,
Zhumin Chen, Zhaochun Ren and Xin Xin
</v>
      </c>
      <c r="E587" s="209" t="str">
        <f>IFERROR(__xludf.DUMMYFUNCTION("TEXTJOIN(CHAR(10), TRUE,FILTER('Research Papers'!$C:$C,'Research Papers'!$A:$A=C587))"),"Yuanzi Li, Xuri Ge, Jingyu Zhao, Yidan Wang, Jiyuan Yang,
Zhumin Chen, Zhaochun Ren and Xin Xin")</f>
        <v>Yuanzi Li, Xuri Ge, Jingyu Zhao, Yidan Wang, Jiyuan Yang,
Zhumin Chen, Zhaochun Ren and Xin Xin</v>
      </c>
      <c r="F587" s="209" t="str">
        <f>IFERROR(__xludf.DUMMYFUNCTION("TEXTJOIN(CHAR(10), TRUE,FILTER ('Sheridan Main'!E:E,'Sheridan Main'!B:B=C587))"),"xinxin@sdu.edu.cn")</f>
        <v>xinxin@sdu.edu.cn</v>
      </c>
      <c r="G587" s="210" t="str">
        <f>IFERROR(__xludf.DUMMYFUNCTION("CONCATENATE(""https://dl.acm.org/doi/"",INDEX(FILTER('Sheridan Main'!A:A,'Sheridan Main'!B:B=C587),1))"),"https://dl.acm.org/doi/10.1145/3774904.3792360")</f>
        <v>https://dl.acm.org/doi/10.1145/3774904.3792360</v>
      </c>
      <c r="H587" s="189" t="s">
        <v>2855</v>
      </c>
      <c r="I587" s="189" t="s">
        <v>2909</v>
      </c>
      <c r="J587" s="209"/>
      <c r="K587" s="147"/>
      <c r="L587" s="147"/>
      <c r="M587" s="209"/>
      <c r="N587" s="209"/>
      <c r="O587" s="209"/>
      <c r="P587" s="209"/>
      <c r="Q587" s="209"/>
      <c r="R587" s="209"/>
      <c r="S587" s="209"/>
      <c r="T587" s="209"/>
      <c r="U587" s="209"/>
      <c r="V587" s="209"/>
      <c r="W587" s="209"/>
      <c r="X587" s="209"/>
      <c r="Y587" s="209"/>
      <c r="Z587" s="209"/>
      <c r="AA587" s="209"/>
      <c r="AB587" s="209"/>
      <c r="AC587" s="209"/>
      <c r="AD587" s="209"/>
      <c r="AE587" s="209"/>
    </row>
    <row r="588">
      <c r="A588" s="208" t="s">
        <v>2907</v>
      </c>
      <c r="B588" s="189" t="str">
        <f>IFERROR(__xludf.DUMMYFUNCTION("FILTER ('Research Papers'!D:D,'Research Papers'!A:A=C588)"),"DynaMoLTV: A Cross-Game Dynamic Mixture Model with Weighted Sub-Distributions for Player Lifetime Value Prediction")</f>
        <v>DynaMoLTV: A Cross-Game Dynamic Mixture Model with Weighted Sub-Distributions for Player Lifetime Value Prediction</v>
      </c>
      <c r="C588" s="189" t="s">
        <v>1156</v>
      </c>
      <c r="D588" s="209" t="str">
        <f t="shared" si="2"/>
        <v>DynaMoLTV: A Cross-Game Dynamic Mixture Model with Weighted Sub-Distributions for Player Lifetime Value Prediction
Furen Xu, Jie Zhang, Kai Jiang, Chengxiang Zhuo and Zang Li
</v>
      </c>
      <c r="E588" s="209" t="str">
        <f>IFERROR(__xludf.DUMMYFUNCTION("TEXTJOIN(CHAR(10), TRUE,FILTER('Research Papers'!$C:$C,'Research Papers'!$A:$A=C588))"),"Furen Xu, Jie Zhang, Kai Jiang, Chengxiang Zhuo and Zang Li")</f>
        <v>Furen Xu, Jie Zhang, Kai Jiang, Chengxiang Zhuo and Zang Li</v>
      </c>
      <c r="F588" s="209" t="str">
        <f>IFERROR(__xludf.DUMMYFUNCTION("TEXTJOIN(CHAR(10), TRUE,FILTER ('Sheridan Main'!E:E,'Sheridan Main'!B:B=C588))"),"furenxu@tencent.com")</f>
        <v>furenxu@tencent.com</v>
      </c>
      <c r="G588" s="210" t="str">
        <f>IFERROR(__xludf.DUMMYFUNCTION("CONCATENATE(""https://dl.acm.org/doi/"",INDEX(FILTER('Sheridan Main'!A:A,'Sheridan Main'!B:B=C588),1))"),"https://dl.acm.org/doi/10.1145/3774904.3792420")</f>
        <v>https://dl.acm.org/doi/10.1145/3774904.3792420</v>
      </c>
      <c r="H588" s="189" t="s">
        <v>2855</v>
      </c>
      <c r="I588" s="189" t="s">
        <v>2909</v>
      </c>
      <c r="J588" s="209"/>
      <c r="K588" s="147"/>
      <c r="L588" s="147"/>
      <c r="M588" s="209"/>
      <c r="N588" s="209"/>
      <c r="O588" s="209"/>
      <c r="P588" s="209"/>
      <c r="Q588" s="209"/>
      <c r="R588" s="209"/>
      <c r="S588" s="209"/>
      <c r="T588" s="209"/>
      <c r="U588" s="209"/>
      <c r="V588" s="209"/>
      <c r="W588" s="209"/>
      <c r="X588" s="209"/>
      <c r="Y588" s="209"/>
      <c r="Z588" s="209"/>
      <c r="AA588" s="209"/>
      <c r="AB588" s="209"/>
      <c r="AC588" s="209"/>
      <c r="AD588" s="209"/>
      <c r="AE588" s="209"/>
    </row>
    <row r="589">
      <c r="A589" s="208" t="s">
        <v>2907</v>
      </c>
      <c r="B589" s="189" t="str">
        <f>IFERROR(__xludf.DUMMYFUNCTION("FILTER ('Research Papers'!D:D,'Research Papers'!A:A=C589)"),"From Criteria to Ranking: Targeting-Aware Tripartite Graph Learning for Multi-Criteria Recommendation")</f>
        <v>From Criteria to Ranking: Targeting-Aware Tripartite Graph Learning for Multi-Criteria Recommendation</v>
      </c>
      <c r="C589" s="189" t="s">
        <v>1166</v>
      </c>
      <c r="D589" s="209" t="str">
        <f t="shared" si="2"/>
        <v>From Criteria to Ranking: Targeting-Aware Tripartite Graph Learning for Multi-Criteria Recommendation
Zhenhua Meng and Fanshen Meng
</v>
      </c>
      <c r="E589" s="209" t="str">
        <f>IFERROR(__xludf.DUMMYFUNCTION("TEXTJOIN(CHAR(10), TRUE,FILTER('Research Papers'!$C:$C,'Research Papers'!$A:$A=C589))"),"Zhenhua Meng and Fanshen Meng")</f>
        <v>Zhenhua Meng and Fanshen Meng</v>
      </c>
      <c r="F589" s="209" t="str">
        <f>IFERROR(__xludf.DUMMYFUNCTION("TEXTJOIN(CHAR(10), TRUE,FILTER ('Sheridan Main'!E:E,'Sheridan Main'!B:B=C589))"),"zhmeng@imu.edu.cn")</f>
        <v>zhmeng@imu.edu.cn</v>
      </c>
      <c r="G589" s="210" t="str">
        <f>IFERROR(__xludf.DUMMYFUNCTION("CONCATENATE(""https://dl.acm.org/doi/"",INDEX(FILTER('Sheridan Main'!A:A,'Sheridan Main'!B:B=C589),1))"),"https://dl.acm.org/doi/10.1145/3774904.3792425")</f>
        <v>https://dl.acm.org/doi/10.1145/3774904.3792425</v>
      </c>
      <c r="H589" s="189" t="s">
        <v>2855</v>
      </c>
      <c r="I589" s="189" t="s">
        <v>2910</v>
      </c>
      <c r="J589" s="209"/>
      <c r="K589" s="147"/>
      <c r="L589" s="147"/>
      <c r="M589" s="209"/>
      <c r="N589" s="209"/>
      <c r="O589" s="209"/>
      <c r="P589" s="209"/>
      <c r="Q589" s="209"/>
      <c r="R589" s="209"/>
      <c r="S589" s="209"/>
      <c r="T589" s="209"/>
      <c r="U589" s="209"/>
      <c r="V589" s="209"/>
      <c r="W589" s="209"/>
      <c r="X589" s="209"/>
      <c r="Y589" s="209"/>
      <c r="Z589" s="209"/>
      <c r="AA589" s="209"/>
      <c r="AB589" s="209"/>
      <c r="AC589" s="209"/>
      <c r="AD589" s="209"/>
      <c r="AE589" s="209"/>
    </row>
    <row r="590">
      <c r="A590" s="208" t="s">
        <v>2907</v>
      </c>
      <c r="B590" s="189" t="str">
        <f>IFERROR(__xludf.DUMMYFUNCTION("FILTER ('Research Papers'!D:D,'Research Papers'!A:A=C590)"),"SAGE: Global Semantic Alignment with LLMs for Long-Tail Sequential Recommendation")</f>
        <v>SAGE: Global Semantic Alignment with LLMs for Long-Tail Sequential Recommendation</v>
      </c>
      <c r="C590" s="189" t="s">
        <v>1228</v>
      </c>
      <c r="D590" s="209" t="str">
        <f t="shared" si="2"/>
        <v>SAGE: Global Semantic Alignment with LLMs for Long-Tail Sequential Recommendation
Maolin Wang, Tongshu Bian, Ziyan Wang, Xiaotong Jiang,
Binhao Wang, Derong Xu, Wanyu Wang, Ruocheng Guo and
Xiangyu Zhao
</v>
      </c>
      <c r="E590" s="209" t="str">
        <f>IFERROR(__xludf.DUMMYFUNCTION("TEXTJOIN(CHAR(10), TRUE,FILTER('Research Papers'!$C:$C,'Research Papers'!$A:$A=C590))"),"Maolin Wang, Tongshu Bian, Ziyan Wang, Xiaotong Jiang,
Binhao Wang, Derong Xu, Wanyu Wang, Ruocheng Guo and
Xiangyu Zhao")</f>
        <v>Maolin Wang, Tongshu Bian, Ziyan Wang, Xiaotong Jiang,
Binhao Wang, Derong Xu, Wanyu Wang, Ruocheng Guo and
Xiangyu Zhao</v>
      </c>
      <c r="F590" s="209" t="str">
        <f>IFERROR(__xludf.DUMMYFUNCTION("TEXTJOIN(CHAR(10), TRUE,FILTER ('Sheridan Main'!E:E,'Sheridan Main'!B:B=C590))"),"xianzhao@cityu.edu.hk")</f>
        <v>xianzhao@cityu.edu.hk</v>
      </c>
      <c r="G590" s="210" t="str">
        <f>IFERROR(__xludf.DUMMYFUNCTION("CONCATENATE(""https://dl.acm.org/doi/"",INDEX(FILTER('Sheridan Main'!A:A,'Sheridan Main'!B:B=C590),1))"),"https://dl.acm.org/doi/10.1145/3774904.3792456")</f>
        <v>https://dl.acm.org/doi/10.1145/3774904.3792456</v>
      </c>
      <c r="H590" s="189" t="s">
        <v>2855</v>
      </c>
      <c r="I590" s="189" t="s">
        <v>2910</v>
      </c>
      <c r="J590" s="209"/>
      <c r="K590" s="147"/>
      <c r="L590" s="147"/>
      <c r="M590" s="209"/>
      <c r="N590" s="209"/>
      <c r="O590" s="209"/>
      <c r="P590" s="209"/>
      <c r="Q590" s="209"/>
      <c r="R590" s="209"/>
      <c r="S590" s="209"/>
      <c r="T590" s="209"/>
      <c r="U590" s="209"/>
      <c r="V590" s="209"/>
      <c r="W590" s="209"/>
      <c r="X590" s="209"/>
      <c r="Y590" s="209"/>
      <c r="Z590" s="209"/>
      <c r="AA590" s="209"/>
      <c r="AB590" s="209"/>
      <c r="AC590" s="209"/>
      <c r="AD590" s="209"/>
      <c r="AE590" s="209"/>
    </row>
    <row r="591">
      <c r="A591" s="208" t="s">
        <v>2907</v>
      </c>
      <c r="B591" s="189" t="str">
        <f>IFERROR(__xludf.DUMMYFUNCTION("FILTER ('Research Papers'!D:D,'Research Papers'!A:A=C591)"),"Relation-aware Diffusion-Asymmetric Graph Contrastive Learning for Recommendation")</f>
        <v>Relation-aware Diffusion-Asymmetric Graph Contrastive Learning for Recommendation</v>
      </c>
      <c r="C591" s="189" t="s">
        <v>1242</v>
      </c>
      <c r="D591" s="209" t="str">
        <f t="shared" si="2"/>
        <v>Relation-aware Diffusion-Asymmetric Graph Contrastive Learning for Recommendation
Yixuan Huang, Jiawei Chen, Shengfan Zhang and Zane Cao
</v>
      </c>
      <c r="E591" s="209" t="str">
        <f>IFERROR(__xludf.DUMMYFUNCTION("TEXTJOIN(CHAR(10), TRUE,FILTER('Research Papers'!$C:$C,'Research Papers'!$A:$A=C591))"),"Yixuan Huang, Jiawei Chen, Shengfan Zhang and Zane Cao")</f>
        <v>Yixuan Huang, Jiawei Chen, Shengfan Zhang and Zane Cao</v>
      </c>
      <c r="F591" s="209" t="str">
        <f>IFERROR(__xludf.DUMMYFUNCTION("TEXTJOIN(CHAR(10), TRUE,FILTER ('Sheridan Main'!E:E,'Sheridan Main'!B:B=C591))"),"agiczsr@gmail.com")</f>
        <v>agiczsr@gmail.com</v>
      </c>
      <c r="G591" s="210" t="str">
        <f>IFERROR(__xludf.DUMMYFUNCTION("CONCATENATE(""https://dl.acm.org/doi/"",INDEX(FILTER('Sheridan Main'!A:A,'Sheridan Main'!B:B=C591),1))"),"https://dl.acm.org/doi/10.1145/3774904.3792463")</f>
        <v>https://dl.acm.org/doi/10.1145/3774904.3792463</v>
      </c>
      <c r="H591" s="189" t="s">
        <v>2855</v>
      </c>
      <c r="I591" s="189" t="s">
        <v>2910</v>
      </c>
      <c r="J591" s="209"/>
      <c r="K591" s="147"/>
      <c r="L591" s="147"/>
      <c r="M591" s="209"/>
      <c r="N591" s="209"/>
      <c r="O591" s="209"/>
      <c r="P591" s="209"/>
      <c r="Q591" s="209"/>
      <c r="R591" s="209"/>
      <c r="S591" s="209"/>
      <c r="T591" s="209"/>
      <c r="U591" s="209"/>
      <c r="V591" s="209"/>
      <c r="W591" s="209"/>
      <c r="X591" s="209"/>
      <c r="Y591" s="209"/>
      <c r="Z591" s="209"/>
      <c r="AA591" s="209"/>
      <c r="AB591" s="209"/>
      <c r="AC591" s="209"/>
      <c r="AD591" s="209"/>
      <c r="AE591" s="209"/>
    </row>
    <row r="592">
      <c r="A592" s="208" t="s">
        <v>2907</v>
      </c>
      <c r="B592" s="189" t="str">
        <f>IFERROR(__xludf.DUMMYFUNCTION("FILTER ('Research Papers'!D:D,'Research Papers'!A:A=C592)"),"Adaptive Location Hierarchy Learning for Long-Tailed Mobility Prediction")</f>
        <v>Adaptive Location Hierarchy Learning for Long-Tailed Mobility Prediction</v>
      </c>
      <c r="C592" s="189" t="s">
        <v>1344</v>
      </c>
      <c r="D592" s="209" t="str">
        <f t="shared" si="2"/>
        <v>Adaptive Location Hierarchy Learning for Long-Tailed Mobility Prediction
Yu Wang, Junshu Dai, Yuchen Ying, Hanyang Yuan, Zunlei
Feng, Tongya Zheng and Mingli Song
</v>
      </c>
      <c r="E592" s="209" t="str">
        <f>IFERROR(__xludf.DUMMYFUNCTION("TEXTJOIN(CHAR(10), TRUE,FILTER('Research Papers'!$C:$C,'Research Papers'!$A:$A=C592))"),"Yu Wang, Junshu Dai, Yuchen Ying, Hanyang Yuan, Zunlei
Feng, Tongya Zheng and Mingli Song")</f>
        <v>Yu Wang, Junshu Dai, Yuchen Ying, Hanyang Yuan, Zunlei
Feng, Tongya Zheng and Mingli Song</v>
      </c>
      <c r="F592" s="209" t="str">
        <f>IFERROR(__xludf.DUMMYFUNCTION("TEXTJOIN(CHAR(10), TRUE,FILTER ('Sheridan Main'!E:E,'Sheridan Main'!B:B=C592))"),"doujiang_zheng@163.com")</f>
        <v>doujiang_zheng@163.com</v>
      </c>
      <c r="G592" s="210" t="str">
        <f>IFERROR(__xludf.DUMMYFUNCTION("CONCATENATE(""https://dl.acm.org/doi/"",INDEX(FILTER('Sheridan Main'!A:A,'Sheridan Main'!B:B=C592),1))"),"https://dl.acm.org/doi/10.1145/3774904.3792514")</f>
        <v>https://dl.acm.org/doi/10.1145/3774904.3792514</v>
      </c>
      <c r="H592" s="189" t="s">
        <v>2855</v>
      </c>
      <c r="I592" s="189" t="s">
        <v>2910</v>
      </c>
      <c r="J592" s="209"/>
      <c r="K592" s="147"/>
      <c r="L592" s="147"/>
      <c r="M592" s="209"/>
      <c r="N592" s="209"/>
      <c r="O592" s="209"/>
      <c r="P592" s="209"/>
      <c r="Q592" s="209"/>
      <c r="R592" s="209"/>
      <c r="S592" s="209"/>
      <c r="T592" s="209"/>
      <c r="U592" s="209"/>
      <c r="V592" s="209"/>
      <c r="W592" s="209"/>
      <c r="X592" s="209"/>
      <c r="Y592" s="209"/>
      <c r="Z592" s="209"/>
      <c r="AA592" s="209"/>
      <c r="AB592" s="209"/>
      <c r="AC592" s="209"/>
      <c r="AD592" s="209"/>
      <c r="AE592" s="209"/>
    </row>
    <row r="593">
      <c r="A593" s="208" t="s">
        <v>2907</v>
      </c>
      <c r="B593" s="189" t="str">
        <f>IFERROR(__xludf.DUMMYFUNCTION("FILTER ('Research Papers'!D:D,'Research Papers'!A:A=C593)"),"Scaling Collaborative Filtering with Multimodal Contrastive Fine-tuning")</f>
        <v>Scaling Collaborative Filtering with Multimodal Contrastive Fine-tuning</v>
      </c>
      <c r="C593" s="189" t="s">
        <v>1362</v>
      </c>
      <c r="D593" s="209" t="str">
        <f t="shared" si="2"/>
        <v>Scaling Collaborative Filtering with Multimodal Contrastive Fine-tuning
Liwei Jin, Dan Luo, Lixin Zou, Chenliang Li, Xiangyang Luo,
Xixun Lin, Liming Dong and Yifan Zhang
</v>
      </c>
      <c r="E593" s="209" t="str">
        <f>IFERROR(__xludf.DUMMYFUNCTION("TEXTJOIN(CHAR(10), TRUE,FILTER('Research Papers'!$C:$C,'Research Papers'!$A:$A=C593))"),"Liwei Jin, Dan Luo, Lixin Zou, Chenliang Li, Xiangyang Luo,
Xixun Lin, Liming Dong and Yifan Zhang")</f>
        <v>Liwei Jin, Dan Luo, Lixin Zou, Chenliang Li, Xiangyang Luo,
Xixun Lin, Liming Dong and Yifan Zhang</v>
      </c>
      <c r="F593" s="209" t="str">
        <f>IFERROR(__xludf.DUMMYFUNCTION("TEXTJOIN(CHAR(10), TRUE,FILTER ('Sheridan Main'!E:E,'Sheridan Main'!B:B=C593))"),"zoulixin@whu.edu.cn")</f>
        <v>zoulixin@whu.edu.cn</v>
      </c>
      <c r="G593" s="210" t="str">
        <f>IFERROR(__xludf.DUMMYFUNCTION("CONCATENATE(""https://dl.acm.org/doi/"",INDEX(FILTER('Sheridan Main'!A:A,'Sheridan Main'!B:B=C593),1))"),"https://dl.acm.org/doi/10.1145/3774904.3792523")</f>
        <v>https://dl.acm.org/doi/10.1145/3774904.3792523</v>
      </c>
      <c r="H593" s="189" t="s">
        <v>2855</v>
      </c>
      <c r="I593" s="189" t="s">
        <v>2910</v>
      </c>
      <c r="J593" s="209"/>
      <c r="K593" s="147"/>
      <c r="L593" s="147"/>
      <c r="M593" s="209"/>
      <c r="N593" s="209"/>
      <c r="O593" s="209"/>
      <c r="P593" s="209"/>
      <c r="Q593" s="209"/>
      <c r="R593" s="209"/>
      <c r="S593" s="209"/>
      <c r="T593" s="209"/>
      <c r="U593" s="209"/>
      <c r="V593" s="209"/>
      <c r="W593" s="209"/>
      <c r="X593" s="209"/>
      <c r="Y593" s="209"/>
      <c r="Z593" s="209"/>
      <c r="AA593" s="209"/>
      <c r="AB593" s="209"/>
      <c r="AC593" s="209"/>
      <c r="AD593" s="209"/>
      <c r="AE593" s="209"/>
    </row>
    <row r="594">
      <c r="A594" s="208" t="s">
        <v>2907</v>
      </c>
      <c r="B594" s="189" t="str">
        <f>IFERROR(__xludf.DUMMYFUNCTION("FILTER ('Research Papers'!D:D,'Research Papers'!A:A=C594)"),"Embedding Enhancement via Fine-Tuned Language Models for Learner-Item Cognitive Modeling")</f>
        <v>Embedding Enhancement via Fine-Tuned Language Models for Learner-Item Cognitive Modeling</v>
      </c>
      <c r="C594" s="189" t="s">
        <v>1400</v>
      </c>
      <c r="D594" s="209" t="str">
        <f t="shared" si="2"/>
        <v>Embedding Enhancement via Fine-Tuned Language Models for Learner-Item Cognitive Modeling
Yuanhao Liu, Zihan Zhou, Kaiying Wu, Shuo Liu, Yiyang
Huang, Jiajun Guo, Aimin Zhou and Hong Qian
</v>
      </c>
      <c r="E594" s="209" t="str">
        <f>IFERROR(__xludf.DUMMYFUNCTION("TEXTJOIN(CHAR(10), TRUE,FILTER('Research Papers'!$C:$C,'Research Papers'!$A:$A=C594))"),"Yuanhao Liu, Zihan Zhou, Kaiying Wu, Shuo Liu, Yiyang
Huang, Jiajun Guo, Aimin Zhou and Hong Qian")</f>
        <v>Yuanhao Liu, Zihan Zhou, Kaiying Wu, Shuo Liu, Yiyang
Huang, Jiajun Guo, Aimin Zhou and Hong Qian</v>
      </c>
      <c r="F594" s="209" t="str">
        <f>IFERROR(__xludf.DUMMYFUNCTION("TEXTJOIN(CHAR(10), TRUE,FILTER ('Sheridan Main'!E:E,'Sheridan Main'!B:B=C594))"),"hqian@cs.ecnu.edu.cn")</f>
        <v>hqian@cs.ecnu.edu.cn</v>
      </c>
      <c r="G594" s="210" t="str">
        <f>IFERROR(__xludf.DUMMYFUNCTION("CONCATENATE(""https://dl.acm.org/doi/"",INDEX(FILTER('Sheridan Main'!A:A,'Sheridan Main'!B:B=C594),1))"),"https://dl.acm.org/doi/10.1145/3774904.3792542")</f>
        <v>https://dl.acm.org/doi/10.1145/3774904.3792542</v>
      </c>
      <c r="H594" s="189" t="s">
        <v>2855</v>
      </c>
      <c r="I594" s="189" t="s">
        <v>2910</v>
      </c>
      <c r="J594" s="209"/>
      <c r="K594" s="147"/>
      <c r="L594" s="147"/>
      <c r="M594" s="209"/>
      <c r="N594" s="209"/>
      <c r="O594" s="209"/>
      <c r="P594" s="209"/>
      <c r="Q594" s="209"/>
      <c r="R594" s="209"/>
      <c r="S594" s="209"/>
      <c r="T594" s="209"/>
      <c r="U594" s="209"/>
      <c r="V594" s="209"/>
      <c r="W594" s="209"/>
      <c r="X594" s="209"/>
      <c r="Y594" s="209"/>
      <c r="Z594" s="209"/>
      <c r="AA594" s="209"/>
      <c r="AB594" s="209"/>
      <c r="AC594" s="209"/>
      <c r="AD594" s="209"/>
      <c r="AE594" s="209"/>
    </row>
    <row r="595">
      <c r="A595" s="208" t="s">
        <v>2907</v>
      </c>
      <c r="B595" s="189" t="str">
        <f>IFERROR(__xludf.DUMMYFUNCTION("FILTER ('Research Papers'!D:D,'Research Papers'!A:A=C595)"),"Spattack: Subgroup Poisoning Attacks on Federated Recommender Systems")</f>
        <v>Spattack: Subgroup Poisoning Attacks on Federated Recommender Systems</v>
      </c>
      <c r="C595" s="189" t="s">
        <v>1420</v>
      </c>
      <c r="D595" s="209" t="str">
        <f t="shared" si="2"/>
        <v>Spattack: Subgroup Poisoning Attacks on Federated Recommender Systems
Bo Yan, Yurong Hao, Dingqi Liu, Huabin Sun, Pengpeng Qiao,
Wei Yang Bryan Lim, Yang Cao and Chuan Shi
</v>
      </c>
      <c r="E595" s="209" t="str">
        <f>IFERROR(__xludf.DUMMYFUNCTION("TEXTJOIN(CHAR(10), TRUE,FILTER('Research Papers'!$C:$C,'Research Papers'!$A:$A=C595))"),"Bo Yan, Yurong Hao, Dingqi Liu, Huabin Sun, Pengpeng Qiao,
Wei Yang Bryan Lim, Yang Cao and Chuan Shi")</f>
        <v>Bo Yan, Yurong Hao, Dingqi Liu, Huabin Sun, Pengpeng Qiao,
Wei Yang Bryan Lim, Yang Cao and Chuan Shi</v>
      </c>
      <c r="F595" s="209" t="str">
        <f>IFERROR(__xludf.DUMMYFUNCTION("TEXTJOIN(CHAR(10), TRUE,FILTER ('Sheridan Main'!E:E,'Sheridan Main'!B:B=C595))"),"boyan@bupt.edu.cn")</f>
        <v>boyan@bupt.edu.cn</v>
      </c>
      <c r="G595" s="210" t="str">
        <f>IFERROR(__xludf.DUMMYFUNCTION("CONCATENATE(""https://dl.acm.org/doi/"",INDEX(FILTER('Sheridan Main'!A:A,'Sheridan Main'!B:B=C595),1))"),"https://dl.acm.org/doi/10.1145/3774904.3792552")</f>
        <v>https://dl.acm.org/doi/10.1145/3774904.3792552</v>
      </c>
      <c r="H595" s="189" t="s">
        <v>2855</v>
      </c>
      <c r="I595" s="189" t="s">
        <v>2910</v>
      </c>
      <c r="J595" s="209"/>
      <c r="K595" s="147"/>
      <c r="L595" s="147"/>
      <c r="M595" s="209"/>
      <c r="N595" s="209"/>
      <c r="O595" s="209"/>
      <c r="P595" s="209"/>
      <c r="Q595" s="209"/>
      <c r="R595" s="209"/>
      <c r="S595" s="209"/>
      <c r="T595" s="209"/>
      <c r="U595" s="209"/>
      <c r="V595" s="209"/>
      <c r="W595" s="209"/>
      <c r="X595" s="209"/>
      <c r="Y595" s="209"/>
      <c r="Z595" s="209"/>
      <c r="AA595" s="209"/>
      <c r="AB595" s="209"/>
      <c r="AC595" s="209"/>
      <c r="AD595" s="209"/>
      <c r="AE595" s="209"/>
    </row>
    <row r="596">
      <c r="A596" s="208" t="s">
        <v>2907</v>
      </c>
      <c r="B596" s="189" t="str">
        <f>IFERROR(__xludf.DUMMYFUNCTION("FILTER ('Research Papers'!D:D,'Research Papers'!A:A=C596)"),"Quantifying User Coherence: A Unified Framework for Analyzing Recommender Systems Across Domains")</f>
        <v>Quantifying User Coherence: A Unified Framework for Analyzing Recommender Systems Across Domains</v>
      </c>
      <c r="C596" s="189" t="s">
        <v>1442</v>
      </c>
      <c r="D596" s="209" t="str">
        <f t="shared" si="2"/>
        <v>Quantifying User Coherence: A Unified Framework for Analyzing Recommender Systems Across Domains
Michael Soumm, Alexandre Fournier-Montgieux, Adrian Popescu
and Bertrand Delezoide
</v>
      </c>
      <c r="E596" s="209" t="str">
        <f>IFERROR(__xludf.DUMMYFUNCTION("TEXTJOIN(CHAR(10), TRUE,FILTER('Research Papers'!$C:$C,'Research Papers'!$A:$A=C596))"),"Michael Soumm, Alexandre Fournier-Montgieux, Adrian Popescu
and Bertrand Delezoide")</f>
        <v>Michael Soumm, Alexandre Fournier-Montgieux, Adrian Popescu
and Bertrand Delezoide</v>
      </c>
      <c r="F596" s="209" t="str">
        <f>IFERROR(__xludf.DUMMYFUNCTION("TEXTJOIN(CHAR(10), TRUE,FILTER ('Sheridan Main'!E:E,'Sheridan Main'!B:B=C596))"),"soumm.michael@gmail.com")</f>
        <v>soumm.michael@gmail.com</v>
      </c>
      <c r="G596" s="210" t="str">
        <f>IFERROR(__xludf.DUMMYFUNCTION("CONCATENATE(""https://dl.acm.org/doi/"",INDEX(FILTER('Sheridan Main'!A:A,'Sheridan Main'!B:B=C596),1))"),"https://dl.acm.org/doi/10.1145/3774904.3792563")</f>
        <v>https://dl.acm.org/doi/10.1145/3774904.3792563</v>
      </c>
      <c r="H596" s="189" t="s">
        <v>2855</v>
      </c>
      <c r="I596" s="189" t="s">
        <v>2910</v>
      </c>
      <c r="J596" s="209"/>
      <c r="K596" s="147"/>
      <c r="L596" s="147"/>
      <c r="M596" s="209"/>
      <c r="N596" s="209"/>
      <c r="O596" s="209"/>
      <c r="P596" s="209"/>
      <c r="Q596" s="209"/>
      <c r="R596" s="209"/>
      <c r="S596" s="209"/>
      <c r="T596" s="209"/>
      <c r="U596" s="209"/>
      <c r="V596" s="209"/>
      <c r="W596" s="209"/>
      <c r="X596" s="209"/>
      <c r="Y596" s="209"/>
      <c r="Z596" s="209"/>
      <c r="AA596" s="209"/>
      <c r="AB596" s="209"/>
      <c r="AC596" s="209"/>
      <c r="AD596" s="209"/>
      <c r="AE596" s="209"/>
    </row>
    <row r="597">
      <c r="A597" s="208" t="s">
        <v>2907</v>
      </c>
      <c r="B597" s="189" t="str">
        <f>IFERROR(__xludf.DUMMYFUNCTION("FILTER ('Research Papers'!D:D,'Research Papers'!A:A=C597)"),"ONeRec: Towards Openness-Aware and Adaptive Proactive News Recommendation")</f>
        <v>ONeRec: Towards Openness-Aware and Adaptive Proactive News Recommendation</v>
      </c>
      <c r="C597" s="189" t="s">
        <v>1458</v>
      </c>
      <c r="D597" s="209" t="str">
        <f t="shared" si="2"/>
        <v>ONeRec: Towards Openness-Aware and Adaptive Proactive News Recommendation
Jie Li, Zhen Cui and Linmei Hu
</v>
      </c>
      <c r="E597" s="209" t="str">
        <f>IFERROR(__xludf.DUMMYFUNCTION("TEXTJOIN(CHAR(10), TRUE,FILTER('Research Papers'!$C:$C,'Research Papers'!$A:$A=C597))"),"Jie Li, Zhen Cui and Linmei Hu")</f>
        <v>Jie Li, Zhen Cui and Linmei Hu</v>
      </c>
      <c r="F597" s="209" t="str">
        <f>IFERROR(__xludf.DUMMYFUNCTION("TEXTJOIN(CHAR(10), TRUE,FILTER ('Sheridan Main'!E:E,'Sheridan Main'!B:B=C597))"),"hulinmei@bit.edu.cn")</f>
        <v>hulinmei@bit.edu.cn</v>
      </c>
      <c r="G597" s="210" t="str">
        <f>IFERROR(__xludf.DUMMYFUNCTION("CONCATENATE(""https://dl.acm.org/doi/"",INDEX(FILTER('Sheridan Main'!A:A,'Sheridan Main'!B:B=C597),1))"),"https://dl.acm.org/doi/10.1145/3774904.3792571")</f>
        <v>https://dl.acm.org/doi/10.1145/3774904.3792571</v>
      </c>
      <c r="H597" s="189" t="s">
        <v>2855</v>
      </c>
      <c r="I597" s="189" t="s">
        <v>2910</v>
      </c>
      <c r="J597" s="209"/>
      <c r="K597" s="147"/>
      <c r="L597" s="147"/>
      <c r="M597" s="209"/>
      <c r="N597" s="209"/>
      <c r="O597" s="209"/>
      <c r="P597" s="209"/>
      <c r="Q597" s="209"/>
      <c r="R597" s="209"/>
      <c r="S597" s="209"/>
      <c r="T597" s="209"/>
      <c r="U597" s="209"/>
      <c r="V597" s="209"/>
      <c r="W597" s="209"/>
      <c r="X597" s="209"/>
      <c r="Y597" s="209"/>
      <c r="Z597" s="209"/>
      <c r="AA597" s="209"/>
      <c r="AB597" s="209"/>
      <c r="AC597" s="209"/>
      <c r="AD597" s="209"/>
      <c r="AE597" s="209"/>
    </row>
    <row r="598">
      <c r="A598" s="208" t="s">
        <v>2907</v>
      </c>
      <c r="B598" s="189" t="str">
        <f>IFERROR(__xludf.DUMMYFUNCTION("FILTER ('Research Papers'!D:D,'Research Papers'!A:A=C598)"),"Sharpness-Consistent Cross-Domain Recommendation for Cold-Start Items")</f>
        <v>Sharpness-Consistent Cross-Domain Recommendation for Cold-Start Items</v>
      </c>
      <c r="C598" s="189" t="s">
        <v>1468</v>
      </c>
      <c r="D598" s="209" t="str">
        <f t="shared" si="2"/>
        <v>Sharpness-Consistent Cross-Domain Recommendation for Cold-Start Items
Ke Fei, Jingjing Li, Zhekai Du and Hongbo Chen
</v>
      </c>
      <c r="E598" s="209" t="str">
        <f>IFERROR(__xludf.DUMMYFUNCTION("TEXTJOIN(CHAR(10), TRUE,FILTER('Research Papers'!$C:$C,'Research Papers'!$A:$A=C598))"),"Ke Fei, Jingjing Li, Zhekai Du and Hongbo Chen")</f>
        <v>Ke Fei, Jingjing Li, Zhekai Du and Hongbo Chen</v>
      </c>
      <c r="F598" s="209" t="str">
        <f>IFERROR(__xludf.DUMMYFUNCTION("TEXTJOIN(CHAR(10), TRUE,FILTER ('Sheridan Main'!E:E,'Sheridan Main'!B:B=C598))"),"lijin117@yeah.net")</f>
        <v>lijin117@yeah.net</v>
      </c>
      <c r="G598" s="210" t="str">
        <f>IFERROR(__xludf.DUMMYFUNCTION("CONCATENATE(""https://dl.acm.org/doi/"",INDEX(FILTER('Sheridan Main'!A:A,'Sheridan Main'!B:B=C598),1))"),"https://dl.acm.org/doi/10.1145/3774904.3792576")</f>
        <v>https://dl.acm.org/doi/10.1145/3774904.3792576</v>
      </c>
      <c r="H598" s="189" t="s">
        <v>2855</v>
      </c>
      <c r="I598" s="189" t="s">
        <v>2910</v>
      </c>
      <c r="J598" s="209"/>
      <c r="K598" s="147"/>
      <c r="L598" s="147"/>
      <c r="M598" s="209"/>
      <c r="N598" s="209"/>
      <c r="O598" s="209"/>
      <c r="P598" s="209"/>
      <c r="Q598" s="209"/>
      <c r="R598" s="209"/>
      <c r="S598" s="209"/>
      <c r="T598" s="209"/>
      <c r="U598" s="209"/>
      <c r="V598" s="209"/>
      <c r="W598" s="209"/>
      <c r="X598" s="209"/>
      <c r="Y598" s="209"/>
      <c r="Z598" s="209"/>
      <c r="AA598" s="209"/>
      <c r="AB598" s="209"/>
      <c r="AC598" s="209"/>
      <c r="AD598" s="209"/>
      <c r="AE598" s="209"/>
    </row>
    <row r="599">
      <c r="A599" s="208" t="s">
        <v>2907</v>
      </c>
      <c r="B599" s="189" t="str">
        <f>IFERROR(__xludf.DUMMYFUNCTION("FILTER ('Research Papers'!D:D,'Research Papers'!A:A=C599)"),"Sharpness-Aware Minimization for Generalized Embedding Learning in Federated Recommendation")</f>
        <v>Sharpness-Aware Minimization for Generalized Embedding Learning in Federated Recommendation</v>
      </c>
      <c r="C599" s="189" t="s">
        <v>1474</v>
      </c>
      <c r="D599" s="209" t="str">
        <f t="shared" si="2"/>
        <v>Sharpness-Aware Minimization for Generalized Embedding Learning in Federated Recommendation
Fengyuan Yu, Xiaohua Feng, Yuyuan Li, Changwang Zhang, Jun
Wang and Chaochao Chen
</v>
      </c>
      <c r="E599" s="209" t="str">
        <f>IFERROR(__xludf.DUMMYFUNCTION("TEXTJOIN(CHAR(10), TRUE,FILTER('Research Papers'!$C:$C,'Research Papers'!$A:$A=C599))"),"Fengyuan Yu, Xiaohua Feng, Yuyuan Li, Changwang Zhang, Jun
Wang and Chaochao Chen")</f>
        <v>Fengyuan Yu, Xiaohua Feng, Yuyuan Li, Changwang Zhang, Jun
Wang and Chaochao Chen</v>
      </c>
      <c r="F599" s="209" t="str">
        <f>IFERROR(__xludf.DUMMYFUNCTION("TEXTJOIN(CHAR(10), TRUE,FILTER ('Sheridan Main'!E:E,'Sheridan Main'!B:B=C599))"),"zjuccc@zju.edu.cn")</f>
        <v>zjuccc@zju.edu.cn</v>
      </c>
      <c r="G599" s="210" t="str">
        <f>IFERROR(__xludf.DUMMYFUNCTION("CONCATENATE(""https://dl.acm.org/doi/"",INDEX(FILTER('Sheridan Main'!A:A,'Sheridan Main'!B:B=C599),1))"),"https://dl.acm.org/doi/10.1145/3774904.3792579")</f>
        <v>https://dl.acm.org/doi/10.1145/3774904.3792579</v>
      </c>
      <c r="H599" s="189" t="s">
        <v>2855</v>
      </c>
      <c r="I599" s="189" t="s">
        <v>2910</v>
      </c>
      <c r="J599" s="209"/>
      <c r="K599" s="147"/>
      <c r="L599" s="147"/>
      <c r="M599" s="209"/>
      <c r="N599" s="209"/>
      <c r="O599" s="209"/>
      <c r="P599" s="209"/>
      <c r="Q599" s="209"/>
      <c r="R599" s="209"/>
      <c r="S599" s="209"/>
      <c r="T599" s="209"/>
      <c r="U599" s="209"/>
      <c r="V599" s="209"/>
      <c r="W599" s="209"/>
      <c r="X599" s="209"/>
      <c r="Y599" s="209"/>
      <c r="Z599" s="209"/>
      <c r="AA599" s="209"/>
      <c r="AB599" s="209"/>
      <c r="AC599" s="209"/>
      <c r="AD599" s="209"/>
      <c r="AE599" s="209"/>
    </row>
    <row r="600">
      <c r="A600" s="208" t="s">
        <v>2907</v>
      </c>
      <c r="B600" s="189" t="str">
        <f>IFERROR(__xludf.DUMMYFUNCTION("FILTER ('Research Papers'!D:D,'Research Papers'!A:A=C600)"),"Dynamic Experts Synergy for Multi-Task Recommendation")</f>
        <v>Dynamic Experts Synergy for Multi-Task Recommendation</v>
      </c>
      <c r="C600" s="189" t="s">
        <v>1502</v>
      </c>
      <c r="D600" s="209" t="str">
        <f t="shared" si="2"/>
        <v>Dynamic Experts Synergy for Multi-Task Recommendation
Haotian Wu, Yingpeng Du, Zhu Sun, Jie Zhang and Puay Siew
Tan
</v>
      </c>
      <c r="E600" s="209" t="str">
        <f>IFERROR(__xludf.DUMMYFUNCTION("TEXTJOIN(CHAR(10), TRUE,FILTER('Research Papers'!$C:$C,'Research Papers'!$A:$A=C600))"),"Haotian Wu, Yingpeng Du, Zhu Sun, Jie Zhang and Puay Siew
Tan")</f>
        <v>Haotian Wu, Yingpeng Du, Zhu Sun, Jie Zhang and Puay Siew
Tan</v>
      </c>
      <c r="F600" s="209" t="str">
        <f>IFERROR(__xludf.DUMMYFUNCTION("TEXTJOIN(CHAR(10), TRUE,FILTER ('Sheridan Main'!E:E,'Sheridan Main'!B:B=C600))"),"dyp1993@pku.edu.cn")</f>
        <v>dyp1993@pku.edu.cn</v>
      </c>
      <c r="G600" s="210" t="str">
        <f>IFERROR(__xludf.DUMMYFUNCTION("CONCATENATE(""https://dl.acm.org/doi/"",INDEX(FILTER('Sheridan Main'!A:A,'Sheridan Main'!B:B=C600),1))"),"https://dl.acm.org/doi/10.1145/3774904.3792593")</f>
        <v>https://dl.acm.org/doi/10.1145/3774904.3792593</v>
      </c>
      <c r="H600" s="189" t="s">
        <v>2855</v>
      </c>
      <c r="I600" s="189" t="s">
        <v>2910</v>
      </c>
      <c r="J600" s="209"/>
      <c r="K600" s="147"/>
      <c r="L600" s="147"/>
      <c r="M600" s="209"/>
      <c r="N600" s="209"/>
      <c r="O600" s="209"/>
      <c r="P600" s="209"/>
      <c r="Q600" s="209"/>
      <c r="R600" s="209"/>
      <c r="S600" s="209"/>
      <c r="T600" s="209"/>
      <c r="U600" s="209"/>
      <c r="V600" s="209"/>
      <c r="W600" s="209"/>
      <c r="X600" s="209"/>
      <c r="Y600" s="209"/>
      <c r="Z600" s="209"/>
      <c r="AA600" s="209"/>
      <c r="AB600" s="209"/>
      <c r="AC600" s="209"/>
      <c r="AD600" s="209"/>
      <c r="AE600" s="209"/>
    </row>
    <row r="601">
      <c r="A601" s="208" t="s">
        <v>2907</v>
      </c>
      <c r="B601" s="189" t="str">
        <f>IFERROR(__xludf.DUMMYFUNCTION("FILTER ('Research Papers'!D:D,'Research Papers'!A:A=C601)"),"Talos: Optimizing Top-K Accuracy in Recommender Systems")</f>
        <v>Talos: Optimizing Top-K Accuracy in Recommender Systems</v>
      </c>
      <c r="C601" s="189" t="s">
        <v>1520</v>
      </c>
      <c r="D601" s="209" t="str">
        <f t="shared" si="2"/>
        <v>Talos: Optimizing Top-K Accuracy in Recommender Systems
Shengjia Zhang, Weiqin Yang, Jiawei Chen, Peng Wu, Yuegang
Sun, Gang Wang, Qihao Shi and Can Wang
</v>
      </c>
      <c r="E601" s="209" t="str">
        <f>IFERROR(__xludf.DUMMYFUNCTION("TEXTJOIN(CHAR(10), TRUE,FILTER('Research Papers'!$C:$C,'Research Papers'!$A:$A=C601))"),"Shengjia Zhang, Weiqin Yang, Jiawei Chen, Peng Wu, Yuegang
Sun, Gang Wang, Qihao Shi and Can Wang")</f>
        <v>Shengjia Zhang, Weiqin Yang, Jiawei Chen, Peng Wu, Yuegang
Sun, Gang Wang, Qihao Shi and Can Wang</v>
      </c>
      <c r="F601" s="209" t="str">
        <f>IFERROR(__xludf.DUMMYFUNCTION("TEXTJOIN(CHAR(10), TRUE,FILTER ('Sheridan Main'!E:E,'Sheridan Main'!B:B=C601))"),"sleepyhunt@zju.edu.cn")</f>
        <v>sleepyhunt@zju.edu.cn</v>
      </c>
      <c r="G601" s="210" t="str">
        <f>IFERROR(__xludf.DUMMYFUNCTION("CONCATENATE(""https://dl.acm.org/doi/"",INDEX(FILTER('Sheridan Main'!A:A,'Sheridan Main'!B:B=C601),1))"),"https://dl.acm.org/doi/10.1145/3774904.3792602")</f>
        <v>https://dl.acm.org/doi/10.1145/3774904.3792602</v>
      </c>
      <c r="H601" s="189" t="s">
        <v>2855</v>
      </c>
      <c r="I601" s="189" t="s">
        <v>195</v>
      </c>
      <c r="J601" s="209"/>
      <c r="K601" s="147"/>
      <c r="L601" s="147"/>
      <c r="M601" s="209"/>
      <c r="N601" s="209"/>
      <c r="O601" s="209"/>
      <c r="P601" s="209"/>
      <c r="Q601" s="209"/>
      <c r="R601" s="209"/>
      <c r="S601" s="209"/>
      <c r="T601" s="209"/>
      <c r="U601" s="209"/>
      <c r="V601" s="209"/>
      <c r="W601" s="209"/>
      <c r="X601" s="209"/>
      <c r="Y601" s="209"/>
      <c r="Z601" s="209"/>
      <c r="AA601" s="209"/>
      <c r="AB601" s="209"/>
      <c r="AC601" s="209"/>
      <c r="AD601" s="209"/>
      <c r="AE601" s="209"/>
    </row>
    <row r="602">
      <c r="A602" s="208" t="s">
        <v>2907</v>
      </c>
      <c r="B602" s="189" t="str">
        <f>IFERROR(__xludf.DUMMYFUNCTION("FILTER ('Research Papers'!D:D,'Research Papers'!A:A=C602)"),"From Token to Item: Enhancing Large Language Models for Recommendation via Item-aware Attention Mechanism")</f>
        <v>From Token to Item: Enhancing Large Language Models for Recommendation via Item-aware Attention Mechanism</v>
      </c>
      <c r="C602" s="189" t="s">
        <v>1536</v>
      </c>
      <c r="D602" s="209" t="str">
        <f t="shared" si="2"/>
        <v>From Token to Item: Enhancing Large Language Models for Recommendation via Item-aware Attention Mechanism
Xiaokun Zhang, Bowei He, Jiamin Chen, Ziqiang Cui and Chen
Ma
</v>
      </c>
      <c r="E602" s="209" t="str">
        <f>IFERROR(__xludf.DUMMYFUNCTION("TEXTJOIN(CHAR(10), TRUE,FILTER('Research Papers'!$C:$C,'Research Papers'!$A:$A=C602))"),"Xiaokun Zhang, Bowei He, Jiamin Chen, Ziqiang Cui and Chen
Ma")</f>
        <v>Xiaokun Zhang, Bowei He, Jiamin Chen, Ziqiang Cui and Chen
Ma</v>
      </c>
      <c r="F602" s="209" t="str">
        <f>IFERROR(__xludf.DUMMYFUNCTION("TEXTJOIN(CHAR(10), TRUE,FILTER ('Sheridan Main'!E:E,'Sheridan Main'!B:B=C602))"),"chenma@cityu.edu.hk")</f>
        <v>chenma@cityu.edu.hk</v>
      </c>
      <c r="G602" s="210" t="str">
        <f>IFERROR(__xludf.DUMMYFUNCTION("CONCATENATE(""https://dl.acm.org/doi/"",INDEX(FILTER('Sheridan Main'!A:A,'Sheridan Main'!B:B=C602),1))"),"https://dl.acm.org/doi/10.1145/3774904.3792610")</f>
        <v>https://dl.acm.org/doi/10.1145/3774904.3792610</v>
      </c>
      <c r="H602" s="189" t="s">
        <v>2855</v>
      </c>
      <c r="I602" s="189" t="s">
        <v>195</v>
      </c>
      <c r="J602" s="209"/>
      <c r="K602" s="147"/>
      <c r="L602" s="147"/>
      <c r="M602" s="209"/>
      <c r="N602" s="209"/>
      <c r="O602" s="209"/>
      <c r="P602" s="209"/>
      <c r="Q602" s="209"/>
      <c r="R602" s="209"/>
      <c r="S602" s="209"/>
      <c r="T602" s="209"/>
      <c r="U602" s="209"/>
      <c r="V602" s="209"/>
      <c r="W602" s="209"/>
      <c r="X602" s="209"/>
      <c r="Y602" s="209"/>
      <c r="Z602" s="209"/>
      <c r="AA602" s="209"/>
      <c r="AB602" s="209"/>
      <c r="AC602" s="209"/>
      <c r="AD602" s="209"/>
      <c r="AE602" s="209"/>
    </row>
    <row r="603">
      <c r="A603" s="208" t="s">
        <v>2907</v>
      </c>
      <c r="B603" s="189" t="str">
        <f>IFERROR(__xludf.DUMMYFUNCTION("FILTER ('Research Papers'!D:D,'Research Papers'!A:A=C603)"),"Following the TRAIL: Predicting and Explaining Tomorrow’s Hits with a Fine-Tuned LLM")</f>
        <v>Following the TRAIL: Predicting and Explaining Tomorrow’s Hits with a Fine-Tuned LLM</v>
      </c>
      <c r="C603" s="189" t="s">
        <v>1548</v>
      </c>
      <c r="D603" s="209" t="str">
        <f t="shared" si="2"/>
        <v>Following the TRAIL: Predicting and Explaining Tomorrow’s Hits with a Fine-Tuned LLM
Yinan Zhang, Zhixi Chen, Jiazheng Jing and Zhiqi Shen
</v>
      </c>
      <c r="E603" s="209" t="str">
        <f>IFERROR(__xludf.DUMMYFUNCTION("TEXTJOIN(CHAR(10), TRUE,FILTER('Research Papers'!$C:$C,'Research Papers'!$A:$A=C603))"),"Yinan Zhang, Zhixi Chen, Jiazheng Jing and Zhiqi Shen")</f>
        <v>Yinan Zhang, Zhixi Chen, Jiazheng Jing and Zhiqi Shen</v>
      </c>
      <c r="F603" s="209" t="str">
        <f>IFERROR(__xludf.DUMMYFUNCTION("TEXTJOIN(CHAR(10), TRUE,FILTER ('Sheridan Main'!E:E,'Sheridan Main'!B:B=C603))"),"yinan.zhang@ntu.edu.sg")</f>
        <v>yinan.zhang@ntu.edu.sg</v>
      </c>
      <c r="G603" s="210" t="str">
        <f>IFERROR(__xludf.DUMMYFUNCTION("CONCATENATE(""https://dl.acm.org/doi/"",INDEX(FILTER('Sheridan Main'!A:A,'Sheridan Main'!B:B=C603),1))"),"https://dl.acm.org/doi/10.1145/3774904.3792616")</f>
        <v>https://dl.acm.org/doi/10.1145/3774904.3792616</v>
      </c>
      <c r="H603" s="189" t="s">
        <v>2855</v>
      </c>
      <c r="I603" s="189" t="s">
        <v>195</v>
      </c>
      <c r="J603" s="209"/>
      <c r="K603" s="147"/>
      <c r="L603" s="147"/>
      <c r="M603" s="209"/>
      <c r="N603" s="209"/>
      <c r="O603" s="209"/>
      <c r="P603" s="209"/>
      <c r="Q603" s="209"/>
      <c r="R603" s="209"/>
      <c r="S603" s="209"/>
      <c r="T603" s="209"/>
      <c r="U603" s="209"/>
      <c r="V603" s="209"/>
      <c r="W603" s="209"/>
      <c r="X603" s="209"/>
      <c r="Y603" s="209"/>
      <c r="Z603" s="209"/>
      <c r="AA603" s="209"/>
      <c r="AB603" s="209"/>
      <c r="AC603" s="209"/>
      <c r="AD603" s="209"/>
      <c r="AE603" s="209"/>
    </row>
    <row r="604">
      <c r="A604" s="208" t="s">
        <v>2907</v>
      </c>
      <c r="B604" s="189" t="str">
        <f>IFERROR(__xludf.DUMMYFUNCTION("FILTER ('Research Papers'!D:D,'Research Papers'!A:A=C604)"),"QDDR: Quality-Driven Intent Disentanglement with Dual-Path Modeling for Recommendation")</f>
        <v>QDDR: Quality-Driven Intent Disentanglement with Dual-Path Modeling for Recommendation</v>
      </c>
      <c r="C604" s="189" t="s">
        <v>1596</v>
      </c>
      <c r="D604" s="209" t="str">
        <f t="shared" si="2"/>
        <v>QDDR: Quality-Driven Intent Disentanglement with Dual-Path Modeling for Recommendation
Nengjun Zhu, Yixun Lu and Qi Zhang
</v>
      </c>
      <c r="E604" s="209" t="str">
        <f>IFERROR(__xludf.DUMMYFUNCTION("TEXTJOIN(CHAR(10), TRUE,FILTER('Research Papers'!$C:$C,'Research Papers'!$A:$A=C604))"),"Nengjun Zhu, Yixun Lu and Qi Zhang")</f>
        <v>Nengjun Zhu, Yixun Lu and Qi Zhang</v>
      </c>
      <c r="F604" s="209" t="str">
        <f>IFERROR(__xludf.DUMMYFUNCTION("TEXTJOIN(CHAR(10), TRUE,FILTER ('Sheridan Main'!E:E,'Sheridan Main'!B:B=C604))"),"zhu_nj@shu.edu.cn")</f>
        <v>zhu_nj@shu.edu.cn</v>
      </c>
      <c r="G604" s="210" t="str">
        <f>IFERROR(__xludf.DUMMYFUNCTION("CONCATENATE(""https://dl.acm.org/doi/"",INDEX(FILTER('Sheridan Main'!A:A,'Sheridan Main'!B:B=C604),1))"),"https://dl.acm.org/doi/10.1145/3774904.3792640")</f>
        <v>https://dl.acm.org/doi/10.1145/3774904.3792640</v>
      </c>
      <c r="H604" s="189" t="s">
        <v>2855</v>
      </c>
      <c r="I604" s="189" t="s">
        <v>195</v>
      </c>
      <c r="J604" s="209"/>
      <c r="K604" s="147"/>
      <c r="L604" s="147"/>
      <c r="M604" s="209"/>
      <c r="N604" s="209"/>
      <c r="O604" s="209"/>
      <c r="P604" s="209"/>
      <c r="Q604" s="209"/>
      <c r="R604" s="209"/>
      <c r="S604" s="209"/>
      <c r="T604" s="209"/>
      <c r="U604" s="209"/>
      <c r="V604" s="209"/>
      <c r="W604" s="209"/>
      <c r="X604" s="209"/>
      <c r="Y604" s="209"/>
      <c r="Z604" s="209"/>
      <c r="AA604" s="209"/>
      <c r="AB604" s="209"/>
      <c r="AC604" s="209"/>
      <c r="AD604" s="209"/>
      <c r="AE604" s="209"/>
    </row>
    <row r="605">
      <c r="A605" s="208" t="s">
        <v>2907</v>
      </c>
      <c r="B605" s="189" t="str">
        <f>IFERROR(__xludf.DUMMYFUNCTION("FILTER ('Research Papers'!D:D,'Research Papers'!A:A=C605)"),"IMPerSumm: Information-Modulated User Preference Modeling for Personalized Text Summarization")</f>
        <v>IMPerSumm: Information-Modulated User Preference Modeling for Personalized Text Summarization</v>
      </c>
      <c r="C605" s="189" t="s">
        <v>1600</v>
      </c>
      <c r="D605" s="209" t="str">
        <f t="shared" si="2"/>
        <v>IMPerSumm: Information-Modulated User Preference Modeling for Personalized Text Summarization
Parthiv Chatterjee, Dhara Jhaveri, Sourish Dasgupta and
Tanmoy Chakraborty
</v>
      </c>
      <c r="E605" s="209" t="str">
        <f>IFERROR(__xludf.DUMMYFUNCTION("TEXTJOIN(CHAR(10), TRUE,FILTER('Research Papers'!$C:$C,'Research Papers'!$A:$A=C605))"),"Parthiv Chatterjee, Dhara Jhaveri, Sourish Dasgupta and
Tanmoy Chakraborty")</f>
        <v>Parthiv Chatterjee, Dhara Jhaveri, Sourish Dasgupta and
Tanmoy Chakraborty</v>
      </c>
      <c r="F605" s="209" t="str">
        <f>IFERROR(__xludf.DUMMYFUNCTION("TEXTJOIN(CHAR(10), TRUE,FILTER ('Sheridan Main'!E:E,'Sheridan Main'!B:B=C605))"),"sourish_dasgupta@daiict.ac.in")</f>
        <v>sourish_dasgupta@daiict.ac.in</v>
      </c>
      <c r="G605" s="210" t="str">
        <f>IFERROR(__xludf.DUMMYFUNCTION("CONCATENATE(""https://dl.acm.org/doi/"",INDEX(FILTER('Sheridan Main'!A:A,'Sheridan Main'!B:B=C605),1))"),"https://dl.acm.org/doi/10.1145/3774904.3792642")</f>
        <v>https://dl.acm.org/doi/10.1145/3774904.3792642</v>
      </c>
      <c r="H605" s="189" t="s">
        <v>2855</v>
      </c>
      <c r="I605" s="189" t="s">
        <v>195</v>
      </c>
      <c r="J605" s="209"/>
      <c r="K605" s="147"/>
      <c r="L605" s="147"/>
      <c r="M605" s="209"/>
      <c r="N605" s="209"/>
      <c r="O605" s="209"/>
      <c r="P605" s="209"/>
      <c r="Q605" s="209"/>
      <c r="R605" s="209"/>
      <c r="S605" s="209"/>
      <c r="T605" s="209"/>
      <c r="U605" s="209"/>
      <c r="V605" s="209"/>
      <c r="W605" s="209"/>
      <c r="X605" s="209"/>
      <c r="Y605" s="209"/>
      <c r="Z605" s="209"/>
      <c r="AA605" s="209"/>
      <c r="AB605" s="209"/>
      <c r="AC605" s="209"/>
      <c r="AD605" s="209"/>
      <c r="AE605" s="209"/>
    </row>
    <row r="606">
      <c r="A606" s="208" t="s">
        <v>2907</v>
      </c>
      <c r="B606" s="189" t="str">
        <f>IFERROR(__xludf.DUMMYFUNCTION("FILTER ('Research Papers'!D:D,'Research Papers'!A:A=C606)"),"CCL-Diff: Representation-Consistent Diffusion with Intrinsic Contrastive Learning for Recommender Systems")</f>
        <v>CCL-Diff: Representation-Consistent Diffusion with Intrinsic Contrastive Learning for Recommender Systems</v>
      </c>
      <c r="C606" s="189" t="s">
        <v>1610</v>
      </c>
      <c r="D606" s="209" t="str">
        <f t="shared" si="2"/>
        <v>CCL-Diff: Representation-Consistent Diffusion with Intrinsic Contrastive Learning for Recommender Systems
Lingyan Zhang, Wanyu Ling, Shuwen Daizhou, Li Kuang and
Kehua Guo
</v>
      </c>
      <c r="E606" s="209" t="str">
        <f>IFERROR(__xludf.DUMMYFUNCTION("TEXTJOIN(CHAR(10), TRUE,FILTER('Research Papers'!$C:$C,'Research Papers'!$A:$A=C606))"),"Lingyan Zhang, Wanyu Ling, Shuwen Daizhou, Li Kuang and
Kehua Guo")</f>
        <v>Lingyan Zhang, Wanyu Ling, Shuwen Daizhou, Li Kuang and
Kehua Guo</v>
      </c>
      <c r="F606" s="209" t="str">
        <f>IFERROR(__xludf.DUMMYFUNCTION("TEXTJOIN(CHAR(10), TRUE,FILTER ('Sheridan Main'!E:E,'Sheridan Main'!B:B=C606))"),"wanyuling@csu.edu.cn")</f>
        <v>wanyuling@csu.edu.cn</v>
      </c>
      <c r="G606" s="210" t="str">
        <f>IFERROR(__xludf.DUMMYFUNCTION("CONCATENATE(""https://dl.acm.org/doi/"",INDEX(FILTER('Sheridan Main'!A:A,'Sheridan Main'!B:B=C606),1))"),"https://dl.acm.org/doi/10.1145/3774904.3792647")</f>
        <v>https://dl.acm.org/doi/10.1145/3774904.3792647</v>
      </c>
      <c r="H606" s="189" t="s">
        <v>2855</v>
      </c>
      <c r="I606" s="189" t="s">
        <v>195</v>
      </c>
      <c r="J606" s="209"/>
      <c r="K606" s="147"/>
      <c r="L606" s="147"/>
      <c r="M606" s="209"/>
      <c r="N606" s="209"/>
      <c r="O606" s="209"/>
      <c r="P606" s="209"/>
      <c r="Q606" s="209"/>
      <c r="R606" s="209"/>
      <c r="S606" s="209"/>
      <c r="T606" s="209"/>
      <c r="U606" s="209"/>
      <c r="V606" s="209"/>
      <c r="W606" s="209"/>
      <c r="X606" s="209"/>
      <c r="Y606" s="209"/>
      <c r="Z606" s="209"/>
      <c r="AA606" s="209"/>
      <c r="AB606" s="209"/>
      <c r="AC606" s="209"/>
      <c r="AD606" s="209"/>
      <c r="AE606" s="209"/>
    </row>
    <row r="607">
      <c r="A607" s="208" t="s">
        <v>2907</v>
      </c>
      <c r="B607" s="189" t="str">
        <f>IFERROR(__xludf.DUMMYFUNCTION("FILTER ('Research Papers'!D:D,'Research Papers'!A:A=C607)"),"Exploration Sizing via Model-Predictive Control")</f>
        <v>Exploration Sizing via Model-Predictive Control</v>
      </c>
      <c r="C607" s="189" t="s">
        <v>1638</v>
      </c>
      <c r="D607" s="209" t="str">
        <f t="shared" si="2"/>
        <v>Exploration Sizing via Model-Predictive Control
Ethan Che, Hakan Ceylan, James McInerney and Nathan Kallus
</v>
      </c>
      <c r="E607" s="209" t="str">
        <f>IFERROR(__xludf.DUMMYFUNCTION("TEXTJOIN(CHAR(10), TRUE,FILTER('Research Papers'!$C:$C,'Research Papers'!$A:$A=C607))"),"Ethan Che, Hakan Ceylan, James McInerney and Nathan Kallus")</f>
        <v>Ethan Che, Hakan Ceylan, James McInerney and Nathan Kallus</v>
      </c>
      <c r="F607" s="209" t="str">
        <f>IFERROR(__xludf.DUMMYFUNCTION("TEXTJOIN(CHAR(10), TRUE,FILTER ('Sheridan Main'!E:E,'Sheridan Main'!B:B=C607))"),"eche@meta.com")</f>
        <v>eche@meta.com</v>
      </c>
      <c r="G607" s="210" t="str">
        <f>IFERROR(__xludf.DUMMYFUNCTION("CONCATENATE(""https://dl.acm.org/doi/"",INDEX(FILTER('Sheridan Main'!A:A,'Sheridan Main'!B:B=C607),1))"),"https://dl.acm.org/doi/10.1145/3774904.3792661")</f>
        <v>https://dl.acm.org/doi/10.1145/3774904.3792661</v>
      </c>
      <c r="H607" s="189" t="s">
        <v>2855</v>
      </c>
      <c r="I607" s="189" t="s">
        <v>195</v>
      </c>
      <c r="J607" s="209"/>
      <c r="K607" s="147"/>
      <c r="L607" s="147"/>
      <c r="M607" s="209"/>
      <c r="N607" s="209"/>
      <c r="O607" s="209"/>
      <c r="P607" s="209"/>
      <c r="Q607" s="209"/>
      <c r="R607" s="209"/>
      <c r="S607" s="209"/>
      <c r="T607" s="209"/>
      <c r="U607" s="209"/>
      <c r="V607" s="209"/>
      <c r="W607" s="209"/>
      <c r="X607" s="209"/>
      <c r="Y607" s="209"/>
      <c r="Z607" s="209"/>
      <c r="AA607" s="209"/>
      <c r="AB607" s="209"/>
      <c r="AC607" s="209"/>
      <c r="AD607" s="209"/>
      <c r="AE607" s="209"/>
    </row>
    <row r="608">
      <c r="A608" s="208" t="s">
        <v>2907</v>
      </c>
      <c r="B608" s="189" t="str">
        <f>IFERROR(__xludf.DUMMYFUNCTION("FILTER ('Research Papers'!D:D,'Research Papers'!A:A=C608)"),"Post-hoc Popularity Bias Correction in GNN-based Collaborative Filtering")</f>
        <v>Post-hoc Popularity Bias Correction in GNN-based Collaborative Filtering</v>
      </c>
      <c r="C608" s="189" t="s">
        <v>1656</v>
      </c>
      <c r="D608" s="209" t="str">
        <f t="shared" si="2"/>
        <v>Post-hoc Popularity Bias Correction in GNN-based Collaborative Filtering
Md Aminul Islam, Elena Zheleva and Ren Wang
</v>
      </c>
      <c r="E608" s="209" t="str">
        <f>IFERROR(__xludf.DUMMYFUNCTION("TEXTJOIN(CHAR(10), TRUE,FILTER('Research Papers'!$C:$C,'Research Papers'!$A:$A=C608))"),"Md Aminul Islam, Elena Zheleva and Ren Wang")</f>
        <v>Md Aminul Islam, Elena Zheleva and Ren Wang</v>
      </c>
      <c r="F608" s="209" t="str">
        <f>IFERROR(__xludf.DUMMYFUNCTION("TEXTJOIN(CHAR(10), TRUE,FILTER ('Sheridan Main'!E:E,'Sheridan Main'!B:B=C608))"),"rwang74@illinoistech.edu")</f>
        <v>rwang74@illinoistech.edu</v>
      </c>
      <c r="G608" s="210" t="str">
        <f>IFERROR(__xludf.DUMMYFUNCTION("CONCATENATE(""https://dl.acm.org/doi/"",INDEX(FILTER('Sheridan Main'!A:A,'Sheridan Main'!B:B=C608),1))"),"https://dl.acm.org/doi/10.1145/3774904.3792670")</f>
        <v>https://dl.acm.org/doi/10.1145/3774904.3792670</v>
      </c>
      <c r="H608" s="189" t="s">
        <v>2855</v>
      </c>
      <c r="I608" s="189" t="s">
        <v>195</v>
      </c>
      <c r="J608" s="209"/>
      <c r="K608" s="147"/>
      <c r="L608" s="147"/>
      <c r="M608" s="209"/>
      <c r="N608" s="209"/>
      <c r="O608" s="209"/>
      <c r="P608" s="209"/>
      <c r="Q608" s="209"/>
      <c r="R608" s="209"/>
      <c r="S608" s="209"/>
      <c r="T608" s="209"/>
      <c r="U608" s="209"/>
      <c r="V608" s="209"/>
      <c r="W608" s="209"/>
      <c r="X608" s="209"/>
      <c r="Y608" s="209"/>
      <c r="Z608" s="209"/>
      <c r="AA608" s="209"/>
      <c r="AB608" s="209"/>
      <c r="AC608" s="209"/>
      <c r="AD608" s="209"/>
      <c r="AE608" s="209"/>
    </row>
    <row r="609">
      <c r="A609" s="208" t="s">
        <v>2907</v>
      </c>
      <c r="B609" s="189" t="str">
        <f>IFERROR(__xludf.DUMMYFUNCTION("FILTER ('Research Papers'!D:D,'Research Papers'!A:A=C609)"),"Identifying and Upweighting Power-Niche Users to Mitigate Popularity Bias in Recommendations")</f>
        <v>Identifying and Upweighting Power-Niche Users to Mitigate Popularity Bias in Recommendations</v>
      </c>
      <c r="C609" s="189" t="s">
        <v>1674</v>
      </c>
      <c r="D609" s="209" t="str">
        <f t="shared" si="2"/>
        <v>Identifying and Upweighting Power-Niche Users to Mitigate Popularity Bias in Recommendations
David Liu, Erik Weis, Moritz Laber, Tina Eliassi-Rad and
Brennan Klein
</v>
      </c>
      <c r="E609" s="209" t="str">
        <f>IFERROR(__xludf.DUMMYFUNCTION("TEXTJOIN(CHAR(10), TRUE,FILTER('Research Papers'!$C:$C,'Research Papers'!$A:$A=C609))"),"David Liu, Erik Weis, Moritz Laber, Tina Eliassi-Rad and
Brennan Klein")</f>
        <v>David Liu, Erik Weis, Moritz Laber, Tina Eliassi-Rad and
Brennan Klein</v>
      </c>
      <c r="F609" s="209" t="str">
        <f>IFERROR(__xludf.DUMMYFUNCTION("TEXTJOIN(CHAR(10), TRUE,FILTER ('Sheridan Main'!E:E,'Sheridan Main'!B:B=C609))"),"davidliu@cornell.edu")</f>
        <v>davidliu@cornell.edu</v>
      </c>
      <c r="G609" s="210" t="str">
        <f>IFERROR(__xludf.DUMMYFUNCTION("CONCATENATE(""https://dl.acm.org/doi/"",INDEX(FILTER('Sheridan Main'!A:A,'Sheridan Main'!B:B=C609),1))"),"https://dl.acm.org/doi/10.1145/3774904.3792679")</f>
        <v>https://dl.acm.org/doi/10.1145/3774904.3792679</v>
      </c>
      <c r="H609" s="189" t="s">
        <v>2855</v>
      </c>
      <c r="I609" s="189" t="s">
        <v>195</v>
      </c>
      <c r="J609" s="209"/>
      <c r="K609" s="147"/>
      <c r="L609" s="147"/>
      <c r="M609" s="209"/>
      <c r="N609" s="209"/>
      <c r="O609" s="209"/>
      <c r="P609" s="209"/>
      <c r="Q609" s="209"/>
      <c r="R609" s="209"/>
      <c r="S609" s="209"/>
      <c r="T609" s="209"/>
      <c r="U609" s="209"/>
      <c r="V609" s="209"/>
      <c r="W609" s="209"/>
      <c r="X609" s="209"/>
      <c r="Y609" s="209"/>
      <c r="Z609" s="209"/>
      <c r="AA609" s="209"/>
      <c r="AB609" s="209"/>
      <c r="AC609" s="209"/>
      <c r="AD609" s="209"/>
      <c r="AE609" s="209"/>
    </row>
    <row r="610">
      <c r="A610" s="208" t="s">
        <v>2907</v>
      </c>
      <c r="B610" s="189" t="str">
        <f>IFERROR(__xludf.DUMMYFUNCTION("FILTER ('Research Papers'!D:D,'Research Papers'!A:A=C610)"),"Efficient Content-based Recommendation Model Training via Noise-aware Coreset Selection")</f>
        <v>Efficient Content-based Recommendation Model Training via Noise-aware Coreset Selection</v>
      </c>
      <c r="C610" s="189" t="s">
        <v>1688</v>
      </c>
      <c r="D610" s="209" t="str">
        <f t="shared" si="2"/>
        <v>Efficient Content-based Recommendation Model Training via Noise-aware Coreset Selection
Hung V. Tran, Tong Chen, Hechuan Wen, Quoc Viet Hung
Nguyen, Bin Cui and Hongzhi Yin
</v>
      </c>
      <c r="E610" s="209" t="str">
        <f>IFERROR(__xludf.DUMMYFUNCTION("TEXTJOIN(CHAR(10), TRUE,FILTER('Research Papers'!$C:$C,'Research Papers'!$A:$A=C610))"),"Hung V. Tran, Tong Chen, Hechuan Wen, Quoc Viet Hung
Nguyen, Bin Cui and Hongzhi Yin")</f>
        <v>Hung V. Tran, Tong Chen, Hechuan Wen, Quoc Viet Hung
Nguyen, Bin Cui and Hongzhi Yin</v>
      </c>
      <c r="F610" s="209" t="str">
        <f>IFERROR(__xludf.DUMMYFUNCTION("TEXTJOIN(CHAR(10), TRUE,FILTER ('Sheridan Main'!E:E,'Sheridan Main'!B:B=C610))"),"db.hongzhi@gmail.com")</f>
        <v>db.hongzhi@gmail.com</v>
      </c>
      <c r="G610" s="210" t="str">
        <f>IFERROR(__xludf.DUMMYFUNCTION("CONCATENATE(""https://dl.acm.org/doi/"",INDEX(FILTER('Sheridan Main'!A:A,'Sheridan Main'!B:B=C610),1))"),"https://dl.acm.org/doi/10.1145/3774904.3792686")</f>
        <v>https://dl.acm.org/doi/10.1145/3774904.3792686</v>
      </c>
      <c r="H610" s="189" t="s">
        <v>2855</v>
      </c>
      <c r="I610" s="189" t="s">
        <v>195</v>
      </c>
      <c r="J610" s="209"/>
      <c r="K610" s="147"/>
      <c r="L610" s="147"/>
      <c r="M610" s="209"/>
      <c r="N610" s="209"/>
      <c r="O610" s="209"/>
      <c r="P610" s="209"/>
      <c r="Q610" s="209"/>
      <c r="R610" s="209"/>
      <c r="S610" s="209"/>
      <c r="T610" s="209"/>
      <c r="U610" s="209"/>
      <c r="V610" s="209"/>
      <c r="W610" s="209"/>
      <c r="X610" s="209"/>
      <c r="Y610" s="209"/>
      <c r="Z610" s="209"/>
      <c r="AA610" s="209"/>
      <c r="AB610" s="209"/>
      <c r="AC610" s="209"/>
      <c r="AD610" s="209"/>
      <c r="AE610" s="209"/>
    </row>
    <row r="611">
      <c r="A611" s="208" t="s">
        <v>2907</v>
      </c>
      <c r="B611" s="189" t="str">
        <f>IFERROR(__xludf.DUMMYFUNCTION("FILTER ('Research Papers'!D:D,'Research Papers'!A:A=C611)"),"DrunkAgent: Stealthy Memory Corruption in LLM-Powered Recommender Agents")</f>
        <v>DrunkAgent: Stealthy Memory Corruption in LLM-Powered Recommender Agents</v>
      </c>
      <c r="C611" s="189" t="s">
        <v>1692</v>
      </c>
      <c r="D611" s="209" t="str">
        <f t="shared" si="2"/>
        <v>DrunkAgent: Stealthy Memory Corruption in LLM-Powered Recommender Agents
Shiyi Yang, Zhibo Hu, Xinshu Li, Chen Wang, Tong Yu, Xiwei
Xu, Liming Zhu and Lina Yao
</v>
      </c>
      <c r="E611" s="209" t="str">
        <f>IFERROR(__xludf.DUMMYFUNCTION("TEXTJOIN(CHAR(10), TRUE,FILTER('Research Papers'!$C:$C,'Research Papers'!$A:$A=C611))"),"Shiyi Yang, Zhibo Hu, Xinshu Li, Chen Wang, Tong Yu, Xiwei
Xu, Liming Zhu and Lina Yao")</f>
        <v>Shiyi Yang, Zhibo Hu, Xinshu Li, Chen Wang, Tong Yu, Xiwei
Xu, Liming Zhu and Lina Yao</v>
      </c>
      <c r="F611" s="209" t="str">
        <f>IFERROR(__xludf.DUMMYFUNCTION("TEXTJOIN(CHAR(10), TRUE,FILTER ('Sheridan Main'!E:E,'Sheridan Main'!B:B=C611))"),"shiyi.yang1@unsw.edu.au")</f>
        <v>shiyi.yang1@unsw.edu.au</v>
      </c>
      <c r="G611" s="210" t="str">
        <f>IFERROR(__xludf.DUMMYFUNCTION("CONCATENATE(""https://dl.acm.org/doi/"",INDEX(FILTER('Sheridan Main'!A:A,'Sheridan Main'!B:B=C611),1))"),"https://dl.acm.org/doi/10.1145/3774904.3792688")</f>
        <v>https://dl.acm.org/doi/10.1145/3774904.3792688</v>
      </c>
      <c r="H611" s="189" t="s">
        <v>2855</v>
      </c>
      <c r="I611" s="189" t="s">
        <v>195</v>
      </c>
      <c r="J611" s="209"/>
      <c r="K611" s="147"/>
      <c r="L611" s="147"/>
      <c r="M611" s="209"/>
      <c r="N611" s="209"/>
      <c r="O611" s="209"/>
      <c r="P611" s="209"/>
      <c r="Q611" s="209"/>
      <c r="R611" s="209"/>
      <c r="S611" s="209"/>
      <c r="T611" s="209"/>
      <c r="U611" s="209"/>
      <c r="V611" s="209"/>
      <c r="W611" s="209"/>
      <c r="X611" s="209"/>
      <c r="Y611" s="209"/>
      <c r="Z611" s="209"/>
      <c r="AA611" s="209"/>
      <c r="AB611" s="209"/>
      <c r="AC611" s="209"/>
      <c r="AD611" s="209"/>
      <c r="AE611" s="209"/>
    </row>
    <row r="612">
      <c r="A612" s="208" t="s">
        <v>2907</v>
      </c>
      <c r="B612" s="189" t="str">
        <f>IFERROR(__xludf.DUMMYFUNCTION("FILTER ('Research Papers'!D:D,'Research Papers'!A:A=C612)"),"TopKGAT: A Top-K Objective-Driven Architecture for Recommendation")</f>
        <v>TopKGAT: A Top-K Objective-Driven Architecture for Recommendation</v>
      </c>
      <c r="C612" s="189" t="s">
        <v>1750</v>
      </c>
      <c r="D612" s="209" t="str">
        <f t="shared" si="2"/>
        <v>TopKGAT: A Top-K Objective-Driven Architecture for Recommendation
Sirui Chen, Jiawei Chen, Canghong Jin, Sheng Zhou, Jingbang
Chen, Wujie Sun and Can Wang
</v>
      </c>
      <c r="E612" s="209" t="str">
        <f>IFERROR(__xludf.DUMMYFUNCTION("TEXTJOIN(CHAR(10), TRUE,FILTER('Research Papers'!$C:$C,'Research Papers'!$A:$A=C612))"),"Sirui Chen, Jiawei Chen, Canghong Jin, Sheng Zhou, Jingbang
Chen, Wujie Sun and Can Wang")</f>
        <v>Sirui Chen, Jiawei Chen, Canghong Jin, Sheng Zhou, Jingbang
Chen, Wujie Sun and Can Wang</v>
      </c>
      <c r="F612" s="209" t="str">
        <f>IFERROR(__xludf.DUMMYFUNCTION("TEXTJOIN(CHAR(10), TRUE,FILTER ('Sheridan Main'!E:E,'Sheridan Main'!B:B=C612))"),"sleepyhunt@zju.edu.cn")</f>
        <v>sleepyhunt@zju.edu.cn</v>
      </c>
      <c r="G612" s="210" t="str">
        <f>IFERROR(__xludf.DUMMYFUNCTION("CONCATENATE(""https://dl.acm.org/doi/"",INDEX(FILTER('Sheridan Main'!A:A,'Sheridan Main'!B:B=C612),1))"),"https://dl.acm.org/doi/10.1145/3774904.3792717")</f>
        <v>https://dl.acm.org/doi/10.1145/3774904.3792717</v>
      </c>
      <c r="H612" s="189" t="s">
        <v>2855</v>
      </c>
      <c r="I612" s="189" t="s">
        <v>195</v>
      </c>
      <c r="J612" s="209"/>
      <c r="K612" s="147"/>
      <c r="L612" s="147"/>
      <c r="M612" s="209"/>
      <c r="N612" s="209"/>
      <c r="O612" s="209"/>
      <c r="P612" s="209"/>
      <c r="Q612" s="209"/>
      <c r="R612" s="209"/>
      <c r="S612" s="209"/>
      <c r="T612" s="209"/>
      <c r="U612" s="209"/>
      <c r="V612" s="209"/>
      <c r="W612" s="209"/>
      <c r="X612" s="209"/>
      <c r="Y612" s="209"/>
      <c r="Z612" s="209"/>
      <c r="AA612" s="209"/>
      <c r="AB612" s="209"/>
      <c r="AC612" s="209"/>
      <c r="AD612" s="209"/>
      <c r="AE612" s="209"/>
    </row>
    <row r="613">
      <c r="A613" s="208" t="s">
        <v>2907</v>
      </c>
      <c r="B613" s="189" t="str">
        <f>IFERROR(__xludf.DUMMYFUNCTION("FILTER ('Research Papers'!D:D,'Research Papers'!A:A=C613)"),"Taming the Long Tail: Efficient Item-wise Sharpness-Aware Minimization for LLM-based Recommender Systems")</f>
        <v>Taming the Long Tail: Efficient Item-wise Sharpness-Aware Minimization for LLM-based Recommender Systems</v>
      </c>
      <c r="C613" s="189" t="s">
        <v>1788</v>
      </c>
      <c r="D613" s="209" t="str">
        <f t="shared" si="2"/>
        <v>Taming the Long Tail: Efficient Item-wise Sharpness-Aware Minimization for LLM-based Recommender Systems
Jiaming Zhang, Yuyuan Li, Xiaohua Feng, Li Zhang, Longfei
Li, Jun Zhou and Chaochao Chen
</v>
      </c>
      <c r="E613" s="209" t="str">
        <f>IFERROR(__xludf.DUMMYFUNCTION("TEXTJOIN(CHAR(10), TRUE,FILTER('Research Papers'!$C:$C,'Research Papers'!$A:$A=C613))"),"Jiaming Zhang, Yuyuan Li, Xiaohua Feng, Li Zhang, Longfei
Li, Jun Zhou and Chaochao Chen")</f>
        <v>Jiaming Zhang, Yuyuan Li, Xiaohua Feng, Li Zhang, Longfei
Li, Jun Zhou and Chaochao Chen</v>
      </c>
      <c r="F613" s="209" t="str">
        <f>IFERROR(__xludf.DUMMYFUNCTION("TEXTJOIN(CHAR(10), TRUE,FILTER ('Sheridan Main'!E:E,'Sheridan Main'!B:B=C613))"),"zjuccc@zju.edu.cn")</f>
        <v>zjuccc@zju.edu.cn</v>
      </c>
      <c r="G613" s="210" t="str">
        <f>IFERROR(__xludf.DUMMYFUNCTION("CONCATENATE(""https://dl.acm.org/doi/"",INDEX(FILTER('Sheridan Main'!A:A,'Sheridan Main'!B:B=C613),1))"),"https://dl.acm.org/doi/10.1145/3774904.3792736")</f>
        <v>https://dl.acm.org/doi/10.1145/3774904.3792736</v>
      </c>
      <c r="H613" s="189" t="s">
        <v>2855</v>
      </c>
      <c r="I613" s="189" t="s">
        <v>195</v>
      </c>
      <c r="J613" s="209"/>
      <c r="K613" s="147"/>
      <c r="L613" s="147"/>
      <c r="M613" s="209"/>
      <c r="N613" s="209"/>
      <c r="O613" s="209"/>
      <c r="P613" s="209"/>
      <c r="Q613" s="209"/>
      <c r="R613" s="209"/>
      <c r="S613" s="209"/>
      <c r="T613" s="209"/>
      <c r="U613" s="209"/>
      <c r="V613" s="209"/>
      <c r="W613" s="209"/>
      <c r="X613" s="209"/>
      <c r="Y613" s="209"/>
      <c r="Z613" s="209"/>
      <c r="AA613" s="209"/>
      <c r="AB613" s="209"/>
      <c r="AC613" s="209"/>
      <c r="AD613" s="209"/>
      <c r="AE613" s="209"/>
    </row>
    <row r="614">
      <c r="A614" s="208" t="s">
        <v>2911</v>
      </c>
      <c r="B614" s="189" t="str">
        <f>IFERROR(__xludf.DUMMYFUNCTION("FILTER ('Research Papers'!D:D,'Research Papers'!A:A=C614)"),"A Frequency-Aware Mixture of Heterogeneous Experts Framework for Knowledge Tracing")</f>
        <v>A Frequency-Aware Mixture of Heterogeneous Experts Framework for Knowledge Tracing</v>
      </c>
      <c r="C614" s="189" t="s">
        <v>860</v>
      </c>
      <c r="D614" s="209" t="str">
        <f t="shared" si="2"/>
        <v>A Frequency-Aware Mixture of Heterogeneous Experts Framework for Knowledge Tracing
Youheng Bai, Mingliang Hou, Teng Guo, Zitao Liu and Weiqi
Luo
</v>
      </c>
      <c r="E614" s="209" t="str">
        <f>IFERROR(__xludf.DUMMYFUNCTION("TEXTJOIN(CHAR(10), TRUE,FILTER('Research Papers'!$C:$C,'Research Papers'!$A:$A=C614))"),"Youheng Bai, Mingliang Hou, Teng Guo, Zitao Liu and Weiqi
Luo")</f>
        <v>Youheng Bai, Mingliang Hou, Teng Guo, Zitao Liu and Weiqi
Luo</v>
      </c>
      <c r="F614" s="209" t="str">
        <f>IFERROR(__xludf.DUMMYFUNCTION("TEXTJOIN(CHAR(10), TRUE,FILTER ('Sheridan Main'!E:E,'Sheridan Main'!B:B=C614))"),"zitao.jerry.liu@gmail.com")</f>
        <v>zitao.jerry.liu@gmail.com</v>
      </c>
      <c r="G614" s="210" t="str">
        <f>IFERROR(__xludf.DUMMYFUNCTION("CONCATENATE(""https://dl.acm.org/doi/"",INDEX(FILTER('Sheridan Main'!A:A,'Sheridan Main'!B:B=C614),1))"),"https://dl.acm.org/doi/10.1145/3774904.3792272")</f>
        <v>https://dl.acm.org/doi/10.1145/3774904.3792272</v>
      </c>
      <c r="H614" s="189" t="s">
        <v>82</v>
      </c>
      <c r="I614" s="209"/>
      <c r="J614" s="209"/>
      <c r="K614" s="147"/>
      <c r="L614" s="147"/>
      <c r="M614" s="209"/>
      <c r="N614" s="209"/>
      <c r="O614" s="209"/>
      <c r="P614" s="209"/>
      <c r="Q614" s="209"/>
      <c r="R614" s="209"/>
      <c r="S614" s="209"/>
      <c r="T614" s="209"/>
      <c r="U614" s="209"/>
      <c r="V614" s="209"/>
      <c r="W614" s="209"/>
      <c r="X614" s="209"/>
      <c r="Y614" s="209"/>
      <c r="Z614" s="209"/>
      <c r="AA614" s="209"/>
      <c r="AB614" s="209"/>
      <c r="AC614" s="209"/>
      <c r="AD614" s="209"/>
      <c r="AE614" s="209"/>
    </row>
    <row r="615">
      <c r="A615" s="208" t="s">
        <v>2911</v>
      </c>
      <c r="B615" s="189" t="str">
        <f>IFERROR(__xludf.DUMMYFUNCTION("FILTER ('Research Papers'!D:D,'Research Papers'!A:A=C615)"),"Efficient High-Dimensional Time Series Forecasting with Transformers: A Channel Reordering Perspective")</f>
        <v>Efficient High-Dimensional Time Series Forecasting with Transformers: A Channel Reordering Perspective</v>
      </c>
      <c r="C615" s="189" t="s">
        <v>1100</v>
      </c>
      <c r="D615" s="209" t="str">
        <f t="shared" si="2"/>
        <v>Efficient High-Dimensional Time Series Forecasting with Transformers: A Channel Reordering Perspective
Yuchen Fang, Shiyu Wang, Yuxuan Liang, Zhou Ye, Yang Xiang,
Yan Zhao and Kai Zheng
</v>
      </c>
      <c r="E615" s="209" t="str">
        <f>IFERROR(__xludf.DUMMYFUNCTION("TEXTJOIN(CHAR(10), TRUE,FILTER('Research Papers'!$C:$C,'Research Papers'!$A:$A=C615))"),"Yuchen Fang, Shiyu Wang, Yuxuan Liang, Zhou Ye, Yang Xiang,
Yan Zhao and Kai Zheng")</f>
        <v>Yuchen Fang, Shiyu Wang, Yuxuan Liang, Zhou Ye, Yang Xiang,
Yan Zhao and Kai Zheng</v>
      </c>
      <c r="F615" s="209" t="str">
        <f>IFERROR(__xludf.DUMMYFUNCTION("TEXTJOIN(CHAR(10), TRUE,FILTER ('Sheridan Main'!E:E,'Sheridan Main'!B:B=C615))"),"zhaoyan@uestc.edu.cn")</f>
        <v>zhaoyan@uestc.edu.cn</v>
      </c>
      <c r="G615" s="210" t="str">
        <f>IFERROR(__xludf.DUMMYFUNCTION("CONCATENATE(""https://dl.acm.org/doi/"",INDEX(FILTER('Sheridan Main'!A:A,'Sheridan Main'!B:B=C615),1))"),"https://dl.acm.org/doi/10.1145/3774904.3792392")</f>
        <v>https://dl.acm.org/doi/10.1145/3774904.3792392</v>
      </c>
      <c r="H615" s="189" t="s">
        <v>82</v>
      </c>
      <c r="I615" s="209"/>
      <c r="J615" s="209"/>
      <c r="K615" s="147"/>
      <c r="L615" s="147"/>
      <c r="M615" s="209"/>
      <c r="N615" s="209"/>
      <c r="O615" s="209"/>
      <c r="P615" s="209"/>
      <c r="Q615" s="209"/>
      <c r="R615" s="209"/>
      <c r="S615" s="209"/>
      <c r="T615" s="209"/>
      <c r="U615" s="209"/>
      <c r="V615" s="209"/>
      <c r="W615" s="209"/>
      <c r="X615" s="209"/>
      <c r="Y615" s="209"/>
      <c r="Z615" s="209"/>
      <c r="AA615" s="209"/>
      <c r="AB615" s="209"/>
      <c r="AC615" s="209"/>
      <c r="AD615" s="209"/>
      <c r="AE615" s="209"/>
    </row>
    <row r="616">
      <c r="A616" s="208" t="s">
        <v>2911</v>
      </c>
      <c r="B616" s="189" t="str">
        <f>IFERROR(__xludf.DUMMYFUNCTION("FILTER ('Research Papers'!D:D,'Research Papers'!A:A=C616)"),"Modeling Point-to-Point Dependency for High-Dimensional Long-Term Series Forecasting")</f>
        <v>Modeling Point-to-Point Dependency for High-Dimensional Long-Term Series Forecasting</v>
      </c>
      <c r="C616" s="189" t="s">
        <v>1322</v>
      </c>
      <c r="D616" s="209" t="str">
        <f t="shared" si="2"/>
        <v>Modeling Point-to-Point Dependency for High-Dimensional Long-Term Series Forecasting
Xinyu Li, Kexi Chen, Ying Zheng, Zhiyi Yao, Yi Xie, Jihan
Dai, Lei Bai, Jin Zhao, Jiajie Shen, Yunqi Cai, Hong Lu and
Xin Wang
</v>
      </c>
      <c r="E616" s="209" t="str">
        <f>IFERROR(__xludf.DUMMYFUNCTION("TEXTJOIN(CHAR(10), TRUE,FILTER('Research Papers'!$C:$C,'Research Papers'!$A:$A=C616))"),"Xinyu Li, Kexi Chen, Ying Zheng, Zhiyi Yao, Yi Xie, Jihan
Dai, Lei Bai, Jin Zhao, Jiajie Shen, Yunqi Cai, Hong Lu and
Xin Wang")</f>
        <v>Xinyu Li, Kexi Chen, Ying Zheng, Zhiyi Yao, Yi Xie, Jihan
Dai, Lei Bai, Jin Zhao, Jiajie Shen, Yunqi Cai, Hong Lu and
Xin Wang</v>
      </c>
      <c r="F616" s="209" t="str">
        <f>IFERROR(__xludf.DUMMYFUNCTION("TEXTJOIN(CHAR(10), TRUE,FILTER ('Sheridan Main'!E:E,'Sheridan Main'!B:B=C616))"),"xinw@fudan.edu.cn")</f>
        <v>xinw@fudan.edu.cn</v>
      </c>
      <c r="G616" s="210" t="str">
        <f>IFERROR(__xludf.DUMMYFUNCTION("CONCATENATE(""https://dl.acm.org/doi/"",INDEX(FILTER('Sheridan Main'!A:A,'Sheridan Main'!B:B=C616),1))"),"https://dl.acm.org/doi/10.1145/3774904.3792503")</f>
        <v>https://dl.acm.org/doi/10.1145/3774904.3792503</v>
      </c>
      <c r="H616" s="189" t="s">
        <v>82</v>
      </c>
      <c r="I616" s="209"/>
      <c r="J616" s="209"/>
      <c r="K616" s="147"/>
      <c r="L616" s="147"/>
      <c r="M616" s="209"/>
      <c r="N616" s="209"/>
      <c r="O616" s="209"/>
      <c r="P616" s="209"/>
      <c r="Q616" s="209"/>
      <c r="R616" s="209"/>
      <c r="S616" s="209"/>
      <c r="T616" s="209"/>
      <c r="U616" s="209"/>
      <c r="V616" s="209"/>
      <c r="W616" s="209"/>
      <c r="X616" s="209"/>
      <c r="Y616" s="209"/>
      <c r="Z616" s="209"/>
      <c r="AA616" s="209"/>
      <c r="AB616" s="209"/>
      <c r="AC616" s="209"/>
      <c r="AD616" s="209"/>
      <c r="AE616" s="209"/>
    </row>
    <row r="617">
      <c r="A617" s="208" t="s">
        <v>2911</v>
      </c>
      <c r="B617" s="189" t="str">
        <f>IFERROR(__xludf.DUMMYFUNCTION("FILTER ('Research Papers'!D:D,'Research Papers'!A:A=C617)"),"Time-TK: A Multi-Offset Temporal Interaction Framework Combining Transformer and Kolmogorov-Arnold Networks for Time Series Forecasting")</f>
        <v>Time-TK: A Multi-Offset Temporal Interaction Framework Combining Transformer and Kolmogorov-Arnold Networks for Time Series Forecasting</v>
      </c>
      <c r="C617" s="189" t="s">
        <v>1552</v>
      </c>
      <c r="D617" s="209" t="str">
        <f t="shared" si="2"/>
        <v>Time-TK: A Multi-Offset Temporal Interaction Framework Combining Transformer and Kolmogorov-Arnold Networks for Time Series Forecasting
Fan Zhang, Shiming Fan and Hua Wang
</v>
      </c>
      <c r="E617" s="209" t="str">
        <f>IFERROR(__xludf.DUMMYFUNCTION("TEXTJOIN(CHAR(10), TRUE,FILTER('Research Papers'!$C:$C,'Research Papers'!$A:$A=C617))"),"Fan Zhang, Shiming Fan and Hua Wang")</f>
        <v>Fan Zhang, Shiming Fan and Hua Wang</v>
      </c>
      <c r="F617" s="209" t="str">
        <f>IFERROR(__xludf.DUMMYFUNCTION("TEXTJOIN(CHAR(10), TRUE,FILTER ('Sheridan Main'!E:E,'Sheridan Main'!B:B=C617))"),"hwa229@163.com")</f>
        <v>hwa229@163.com</v>
      </c>
      <c r="G617" s="210" t="str">
        <f>IFERROR(__xludf.DUMMYFUNCTION("CONCATENATE(""https://dl.acm.org/doi/"",INDEX(FILTER('Sheridan Main'!A:A,'Sheridan Main'!B:B=C617),1))"),"https://dl.acm.org/doi/10.1145/3774904.3792618")</f>
        <v>https://dl.acm.org/doi/10.1145/3774904.3792618</v>
      </c>
      <c r="H617" s="189" t="s">
        <v>82</v>
      </c>
      <c r="I617" s="209"/>
      <c r="J617" s="209"/>
      <c r="K617" s="147"/>
      <c r="L617" s="147"/>
      <c r="M617" s="209"/>
      <c r="N617" s="209"/>
      <c r="O617" s="209"/>
      <c r="P617" s="209"/>
      <c r="Q617" s="209"/>
      <c r="R617" s="209"/>
      <c r="S617" s="209"/>
      <c r="T617" s="209"/>
      <c r="U617" s="209"/>
      <c r="V617" s="209"/>
      <c r="W617" s="209"/>
      <c r="X617" s="209"/>
      <c r="Y617" s="209"/>
      <c r="Z617" s="209"/>
      <c r="AA617" s="209"/>
      <c r="AB617" s="209"/>
      <c r="AC617" s="209"/>
      <c r="AD617" s="209"/>
      <c r="AE617" s="209"/>
    </row>
    <row r="618">
      <c r="A618" s="208" t="s">
        <v>2911</v>
      </c>
      <c r="B618" s="189" t="str">
        <f>IFERROR(__xludf.DUMMYFUNCTION("FILTER ('Research Papers'!D:D,'Research Papers'!A:A=C618)"),"FedDis: A Causal Disentanglement Framework for Federated Traffic Prediction")</f>
        <v>FedDis: A Causal Disentanglement Framework for Federated Traffic Prediction</v>
      </c>
      <c r="C618" s="189" t="s">
        <v>1642</v>
      </c>
      <c r="D618" s="209" t="str">
        <f t="shared" si="2"/>
        <v>FedDis: A Causal Disentanglement Framework for Federated Traffic Prediction
Chengyang Zhou, Zijian Zhang, Chunxu Zhang, Hao Miao, Yulin
Zhang, Kedi Lyu and Juncheng Hu
</v>
      </c>
      <c r="E618" s="209" t="str">
        <f>IFERROR(__xludf.DUMMYFUNCTION("TEXTJOIN(CHAR(10), TRUE,FILTER('Research Papers'!$C:$C,'Research Papers'!$A:$A=C618))"),"Chengyang Zhou, Zijian Zhang, Chunxu Zhang, Hao Miao, Yulin
Zhang, Kedi Lyu and Juncheng Hu")</f>
        <v>Chengyang Zhou, Zijian Zhang, Chunxu Zhang, Hao Miao, Yulin
Zhang, Kedi Lyu and Juncheng Hu</v>
      </c>
      <c r="F618" s="209" t="str">
        <f>IFERROR(__xludf.DUMMYFUNCTION("TEXTJOIN(CHAR(10), TRUE,FILTER ('Sheridan Main'!E:E,'Sheridan Main'!B:B=C618))"),"zhangzijian@jlu.edu.cn")</f>
        <v>zhangzijian@jlu.edu.cn</v>
      </c>
      <c r="G618" s="210" t="str">
        <f>IFERROR(__xludf.DUMMYFUNCTION("CONCATENATE(""https://dl.acm.org/doi/"",INDEX(FILTER('Sheridan Main'!A:A,'Sheridan Main'!B:B=C618),1))"),"https://dl.acm.org/doi/10.1145/3774904.3792663")</f>
        <v>https://dl.acm.org/doi/10.1145/3774904.3792663</v>
      </c>
      <c r="H618" s="189" t="s">
        <v>82</v>
      </c>
      <c r="I618" s="209"/>
      <c r="J618" s="209"/>
      <c r="K618" s="147"/>
      <c r="L618" s="147"/>
      <c r="M618" s="209"/>
      <c r="N618" s="209"/>
      <c r="O618" s="209"/>
      <c r="P618" s="209"/>
      <c r="Q618" s="209"/>
      <c r="R618" s="209"/>
      <c r="S618" s="209"/>
      <c r="T618" s="209"/>
      <c r="U618" s="209"/>
      <c r="V618" s="209"/>
      <c r="W618" s="209"/>
      <c r="X618" s="209"/>
      <c r="Y618" s="209"/>
      <c r="Z618" s="209"/>
      <c r="AA618" s="209"/>
      <c r="AB618" s="209"/>
      <c r="AC618" s="209"/>
      <c r="AD618" s="209"/>
      <c r="AE618" s="209"/>
    </row>
    <row r="619">
      <c r="A619" s="208" t="s">
        <v>2911</v>
      </c>
      <c r="B619" s="189" t="str">
        <f>IFERROR(__xludf.DUMMYFUNCTION("FILTER ('Research Papers'!D:D,'Research Papers'!A:A=C619)"),"Hermes the Polyglot: A Unified Framework to Enhance Expressiveness for Multimodal Interlingual Subtitling")</f>
        <v>Hermes the Polyglot: A Unified Framework to Enhance Expressiveness for Multimodal Interlingual Subtitling</v>
      </c>
      <c r="C619" s="189" t="s">
        <v>840</v>
      </c>
      <c r="D619" s="209" t="str">
        <f t="shared" si="2"/>
        <v>Hermes the Polyglot: A Unified Framework to Enhance Expressiveness for Multimodal Interlingual Subtitling
Chaoqun Cui, Shijing Wang, Liangbin Huang, Qingqing Gu,
Zhaolong Huang, Xiao Zeng and Wenji Mao
</v>
      </c>
      <c r="E619" s="209" t="str">
        <f>IFERROR(__xludf.DUMMYFUNCTION("TEXTJOIN(CHAR(10), TRUE,FILTER('Research Papers'!$C:$C,'Research Papers'!$A:$A=C619))"),"Chaoqun Cui, Shijing Wang, Liangbin Huang, Qingqing Gu,
Zhaolong Huang, Xiao Zeng and Wenji Mao")</f>
        <v>Chaoqun Cui, Shijing Wang, Liangbin Huang, Qingqing Gu,
Zhaolong Huang, Xiao Zeng and Wenji Mao</v>
      </c>
      <c r="F619" s="209" t="str">
        <f>IFERROR(__xludf.DUMMYFUNCTION("TEXTJOIN(CHAR(10), TRUE,FILTER ('Sheridan Main'!E:E,'Sheridan Main'!B:B=C619))"),"wenji.mao@ia.ac.cn")</f>
        <v>wenji.mao@ia.ac.cn</v>
      </c>
      <c r="G619" s="210" t="str">
        <f>IFERROR(__xludf.DUMMYFUNCTION("CONCATENATE(""https://dl.acm.org/doi/"",INDEX(FILTER('Sheridan Main'!A:A,'Sheridan Main'!B:B=C619),1))"),"https://dl.acm.org/doi/10.1145/3774904.3792262")</f>
        <v>https://dl.acm.org/doi/10.1145/3774904.3792262</v>
      </c>
      <c r="H619" s="189" t="s">
        <v>105</v>
      </c>
      <c r="I619" s="209"/>
      <c r="J619" s="209"/>
      <c r="K619" s="147"/>
      <c r="L619" s="147"/>
      <c r="M619" s="209"/>
      <c r="N619" s="209"/>
      <c r="O619" s="209"/>
      <c r="P619" s="209"/>
      <c r="Q619" s="209"/>
      <c r="R619" s="209"/>
      <c r="S619" s="209"/>
      <c r="T619" s="209"/>
      <c r="U619" s="209"/>
      <c r="V619" s="209"/>
      <c r="W619" s="209"/>
      <c r="X619" s="209"/>
      <c r="Y619" s="209"/>
      <c r="Z619" s="209"/>
      <c r="AA619" s="209"/>
      <c r="AB619" s="209"/>
      <c r="AC619" s="209"/>
      <c r="AD619" s="209"/>
      <c r="AE619" s="209"/>
    </row>
    <row r="620">
      <c r="A620" s="208" t="s">
        <v>2911</v>
      </c>
      <c r="B620" s="189" t="str">
        <f>IFERROR(__xludf.DUMMYFUNCTION("FILTER ('Research Papers'!D:D,'Research Papers'!A:A=C620)"),"BHGap: A Deep Iterative Prompting and Multi-stage Alignment Framework for Dynamic Facial Expression Recognition")</f>
        <v>BHGap: A Deep Iterative Prompting and Multi-stage Alignment Framework for Dynamic Facial Expression Recognition</v>
      </c>
      <c r="C620" s="189" t="s">
        <v>1150</v>
      </c>
      <c r="D620" s="209" t="str">
        <f t="shared" si="2"/>
        <v>BHGap: A Deep Iterative Prompting and Multi-stage Alignment Framework for Dynamic Facial Expression Recognition
Yichi Zhang, Yunqi Han, Jiayue Ding and Liangyu Chen
</v>
      </c>
      <c r="E620" s="209" t="str">
        <f>IFERROR(__xludf.DUMMYFUNCTION("TEXTJOIN(CHAR(10), TRUE,FILTER('Research Papers'!$C:$C,'Research Papers'!$A:$A=C620))"),"Yichi Zhang, Yunqi Han, Jiayue Ding and Liangyu Chen")</f>
        <v>Yichi Zhang, Yunqi Han, Jiayue Ding and Liangyu Chen</v>
      </c>
      <c r="F620" s="209" t="str">
        <f>IFERROR(__xludf.DUMMYFUNCTION("TEXTJOIN(CHAR(10), TRUE,FILTER ('Sheridan Main'!E:E,'Sheridan Main'!B:B=C620))"),"lychen@sei.ecnu.edu.cn")</f>
        <v>lychen@sei.ecnu.edu.cn</v>
      </c>
      <c r="G620" s="210" t="str">
        <f>IFERROR(__xludf.DUMMYFUNCTION("CONCATENATE(""https://dl.acm.org/doi/"",INDEX(FILTER('Sheridan Main'!A:A,'Sheridan Main'!B:B=C620),1))"),"https://dl.acm.org/doi/10.1145/3774904.3792417")</f>
        <v>https://dl.acm.org/doi/10.1145/3774904.3792417</v>
      </c>
      <c r="H620" s="189" t="s">
        <v>105</v>
      </c>
      <c r="I620" s="209"/>
      <c r="J620" s="209"/>
      <c r="K620" s="147"/>
      <c r="L620" s="147"/>
      <c r="M620" s="209"/>
      <c r="N620" s="209"/>
      <c r="O620" s="209"/>
      <c r="P620" s="209"/>
      <c r="Q620" s="209"/>
      <c r="R620" s="209"/>
      <c r="S620" s="209"/>
      <c r="T620" s="209"/>
      <c r="U620" s="209"/>
      <c r="V620" s="209"/>
      <c r="W620" s="209"/>
      <c r="X620" s="209"/>
      <c r="Y620" s="209"/>
      <c r="Z620" s="209"/>
      <c r="AA620" s="209"/>
      <c r="AB620" s="209"/>
      <c r="AC620" s="209"/>
      <c r="AD620" s="209"/>
      <c r="AE620" s="209"/>
    </row>
    <row r="621">
      <c r="A621" s="208" t="s">
        <v>2911</v>
      </c>
      <c r="B621" s="189" t="str">
        <f>IFERROR(__xludf.DUMMYFUNCTION("FILTER ('Research Papers'!D:D,'Research Papers'!A:A=C621)"),"MuVaC: A Variational Causal Framework for Multimodal Sarcasm Understanding in Dialogues")</f>
        <v>MuVaC: A Variational Causal Framework for Multimodal Sarcasm Understanding in Dialogues</v>
      </c>
      <c r="C621" s="189" t="s">
        <v>1298</v>
      </c>
      <c r="D621" s="209" t="str">
        <f t="shared" si="2"/>
        <v>MuVaC: A Variational Causal Framework for Multimodal Sarcasm Understanding in Dialogues
Diandian Guo, Fangfang Yuan, Cong Cao, Xixun Lin, Chuan
Zhou, Hao Peng, Yanan Cao and Yanbing Liu
</v>
      </c>
      <c r="E621" s="209" t="str">
        <f>IFERROR(__xludf.DUMMYFUNCTION("TEXTJOIN(CHAR(10), TRUE,FILTER('Research Papers'!$C:$C,'Research Papers'!$A:$A=C621))"),"Diandian Guo, Fangfang Yuan, Cong Cao, Xixun Lin, Chuan
Zhou, Hao Peng, Yanan Cao and Yanbing Liu")</f>
        <v>Diandian Guo, Fangfang Yuan, Cong Cao, Xixun Lin, Chuan
Zhou, Hao Peng, Yanan Cao and Yanbing Liu</v>
      </c>
      <c r="F621" s="209" t="str">
        <f>IFERROR(__xludf.DUMMYFUNCTION("TEXTJOIN(CHAR(10), TRUE,FILTER ('Sheridan Main'!E:E,'Sheridan Main'!B:B=C621))"),"caocong@iie.ac.cn")</f>
        <v>caocong@iie.ac.cn</v>
      </c>
      <c r="G621" s="210" t="str">
        <f>IFERROR(__xludf.DUMMYFUNCTION("CONCATENATE(""https://dl.acm.org/doi/"",INDEX(FILTER('Sheridan Main'!A:A,'Sheridan Main'!B:B=C621),1))"),"https://dl.acm.org/doi/10.1145/3774904.3792491")</f>
        <v>https://dl.acm.org/doi/10.1145/3774904.3792491</v>
      </c>
      <c r="H621" s="189" t="s">
        <v>105</v>
      </c>
      <c r="I621" s="209"/>
      <c r="J621" s="209"/>
      <c r="K621" s="147"/>
      <c r="L621" s="147"/>
      <c r="M621" s="209"/>
      <c r="N621" s="209"/>
      <c r="O621" s="209"/>
      <c r="P621" s="209"/>
      <c r="Q621" s="209"/>
      <c r="R621" s="209"/>
      <c r="S621" s="209"/>
      <c r="T621" s="209"/>
      <c r="U621" s="209"/>
      <c r="V621" s="209"/>
      <c r="W621" s="209"/>
      <c r="X621" s="209"/>
      <c r="Y621" s="209"/>
      <c r="Z621" s="209"/>
      <c r="AA621" s="209"/>
      <c r="AB621" s="209"/>
      <c r="AC621" s="209"/>
      <c r="AD621" s="209"/>
      <c r="AE621" s="209"/>
    </row>
    <row r="622">
      <c r="A622" s="208" t="s">
        <v>2911</v>
      </c>
      <c r="B622" s="189" t="str">
        <f>IFERROR(__xludf.DUMMYFUNCTION("FILTER ('Research Papers'!D:D,'Research Papers'!A:A=C622)"),"CCAF: Coarse-to-fine Cross-Modal Alignment and Fusion for Multimodal Sentiment Analysis")</f>
        <v>CCAF: Coarse-to-fine Cross-Modal Alignment and Fusion for Multimodal Sentiment Analysis</v>
      </c>
      <c r="C622" s="189" t="s">
        <v>1454</v>
      </c>
      <c r="D622" s="209" t="str">
        <f t="shared" si="2"/>
        <v>CCAF: Coarse-to-fine Cross-Modal Alignment and Fusion for Multimodal Sentiment Analysis
Xianbing Zhao, Shengzun Yang and Buzhou Tang
</v>
      </c>
      <c r="E622" s="209" t="str">
        <f>IFERROR(__xludf.DUMMYFUNCTION("TEXTJOIN(CHAR(10), TRUE,FILTER('Research Papers'!$C:$C,'Research Papers'!$A:$A=C622))"),"Xianbing Zhao, Shengzun Yang and Buzhou Tang")</f>
        <v>Xianbing Zhao, Shengzun Yang and Buzhou Tang</v>
      </c>
      <c r="F622" s="209" t="str">
        <f>IFERROR(__xludf.DUMMYFUNCTION("TEXTJOIN(CHAR(10), TRUE,FILTER ('Sheridan Main'!E:E,'Sheridan Main'!B:B=C622))"),"tangbuzhou@hit.edu.cn")</f>
        <v>tangbuzhou@hit.edu.cn</v>
      </c>
      <c r="G622" s="210" t="str">
        <f>IFERROR(__xludf.DUMMYFUNCTION("CONCATENATE(""https://dl.acm.org/doi/"",INDEX(FILTER('Sheridan Main'!A:A,'Sheridan Main'!B:B=C622),1))"),"https://dl.acm.org/doi/10.1145/3774904.3792569")</f>
        <v>https://dl.acm.org/doi/10.1145/3774904.3792569</v>
      </c>
      <c r="H622" s="189" t="s">
        <v>105</v>
      </c>
      <c r="I622" s="209"/>
      <c r="J622" s="209"/>
      <c r="K622" s="147"/>
      <c r="L622" s="147"/>
      <c r="M622" s="209"/>
      <c r="N622" s="209"/>
      <c r="O622" s="209"/>
      <c r="P622" s="209"/>
      <c r="Q622" s="209"/>
      <c r="R622" s="209"/>
      <c r="S622" s="209"/>
      <c r="T622" s="209"/>
      <c r="U622" s="209"/>
      <c r="V622" s="209"/>
      <c r="W622" s="209"/>
      <c r="X622" s="209"/>
      <c r="Y622" s="209"/>
      <c r="Z622" s="209"/>
      <c r="AA622" s="209"/>
      <c r="AB622" s="209"/>
      <c r="AC622" s="209"/>
      <c r="AD622" s="209"/>
      <c r="AE622" s="209"/>
    </row>
    <row r="623">
      <c r="A623" s="208" t="s">
        <v>2911</v>
      </c>
      <c r="B623" s="189" t="str">
        <f>IFERROR(__xludf.DUMMYFUNCTION("FILTER ('Research Papers'!D:D,'Research Papers'!A:A=C623)"),"ATGFB-MFF: Adaptive Text-Guided Fiber Bundle Feature Fusion with LLMs for Multimodal Sentiment Analysis and Emotion Recognition in Conversations")</f>
        <v>ATGFB-MFF: Adaptive Text-Guided Fiber Bundle Feature Fusion with LLMs for Multimodal Sentiment Analysis and Emotion Recognition in Conversations</v>
      </c>
      <c r="C623" s="189" t="s">
        <v>1470</v>
      </c>
      <c r="D623" s="209" t="str">
        <f t="shared" si="2"/>
        <v>ATGFB-MFF: Adaptive Text-Guided Fiber Bundle Feature Fusion with LLMs for Multimodal Sentiment Analysis and Emotion Recognition in Conversations
Zhaowei Liu, Sheng Liu, Weiqing Yan, Peng Song, Yongchao
Song and Rufei Gao
</v>
      </c>
      <c r="E623" s="209" t="str">
        <f>IFERROR(__xludf.DUMMYFUNCTION("TEXTJOIN(CHAR(10), TRUE,FILTER('Research Papers'!$C:$C,'Research Papers'!$A:$A=C623))"),"Zhaowei Liu, Sheng Liu, Weiqing Yan, Peng Song, Yongchao
Song and Rufei Gao")</f>
        <v>Zhaowei Liu, Sheng Liu, Weiqing Yan, Peng Song, Yongchao
Song and Rufei Gao</v>
      </c>
      <c r="F623" s="209" t="str">
        <f>IFERROR(__xludf.DUMMYFUNCTION("TEXTJOIN(CHAR(10), TRUE,FILTER ('Sheridan Main'!E:E,'Sheridan Main'!B:B=C623))"),"lzw@ytu.edu.cn")</f>
        <v>lzw@ytu.edu.cn</v>
      </c>
      <c r="G623" s="210" t="str">
        <f>IFERROR(__xludf.DUMMYFUNCTION("CONCATENATE(""https://dl.acm.org/doi/"",INDEX(FILTER('Sheridan Main'!A:A,'Sheridan Main'!B:B=C623),1))"),"https://dl.acm.org/doi/10.1145/3774904.3792577")</f>
        <v>https://dl.acm.org/doi/10.1145/3774904.3792577</v>
      </c>
      <c r="H623" s="189" t="s">
        <v>105</v>
      </c>
      <c r="I623" s="209"/>
      <c r="J623" s="209"/>
      <c r="K623" s="147"/>
      <c r="L623" s="147"/>
      <c r="M623" s="209"/>
      <c r="N623" s="209"/>
      <c r="O623" s="209"/>
      <c r="P623" s="209"/>
      <c r="Q623" s="209"/>
      <c r="R623" s="209"/>
      <c r="S623" s="209"/>
      <c r="T623" s="209"/>
      <c r="U623" s="209"/>
      <c r="V623" s="209"/>
      <c r="W623" s="209"/>
      <c r="X623" s="209"/>
      <c r="Y623" s="209"/>
      <c r="Z623" s="209"/>
      <c r="AA623" s="209"/>
      <c r="AB623" s="209"/>
      <c r="AC623" s="209"/>
      <c r="AD623" s="209"/>
      <c r="AE623" s="209"/>
    </row>
    <row r="624">
      <c r="A624" s="208" t="s">
        <v>2911</v>
      </c>
      <c r="B624" s="189" t="str">
        <f>IFERROR(__xludf.DUMMYFUNCTION("FILTER ('Research Papers'!D:D,'Research Papers'!A:A=C624)"),"PAMAS: Self-Adaptive Multi-Agent System with Perspective Aggregation for Misinformation Detection")</f>
        <v>PAMAS: Self-Adaptive Multi-Agent System with Perspective Aggregation for Misinformation Detection</v>
      </c>
      <c r="C624" s="189" t="s">
        <v>648</v>
      </c>
      <c r="D624" s="209" t="str">
        <f t="shared" si="2"/>
        <v>PAMAS: Self-Adaptive Multi-Agent System with Perspective Aggregation for Misinformation Detection
Zongwei Wang, Min Gao, Junliang Yu, Tong Chen and Chenghua
Lin
</v>
      </c>
      <c r="E624" s="209" t="str">
        <f>IFERROR(__xludf.DUMMYFUNCTION("TEXTJOIN(CHAR(10), TRUE,FILTER('Research Papers'!$C:$C,'Research Papers'!$A:$A=C624))"),"Zongwei Wang, Min Gao, Junliang Yu, Tong Chen and Chenghua
Lin")</f>
        <v>Zongwei Wang, Min Gao, Junliang Yu, Tong Chen and Chenghua
Lin</v>
      </c>
      <c r="F624" s="209" t="str">
        <f>IFERROR(__xludf.DUMMYFUNCTION("TEXTJOIN(CHAR(10), TRUE,FILTER ('Sheridan Main'!E:E,'Sheridan Main'!B:B=C624))"),"gaomin@cqu.edu.cn")</f>
        <v>gaomin@cqu.edu.cn</v>
      </c>
      <c r="G624" s="210" t="str">
        <f>IFERROR(__xludf.DUMMYFUNCTION("CONCATENATE(""https://dl.acm.org/doi/"",INDEX(FILTER('Sheridan Main'!A:A,'Sheridan Main'!B:B=C624),1))"),"https://dl.acm.org/doi/10.1145/3774904.3792166")</f>
        <v>https://dl.acm.org/doi/10.1145/3774904.3792166</v>
      </c>
      <c r="H624" s="189" t="s">
        <v>139</v>
      </c>
      <c r="I624" s="209"/>
      <c r="J624" s="209"/>
      <c r="K624" s="147"/>
      <c r="L624" s="147"/>
      <c r="M624" s="209"/>
      <c r="N624" s="209"/>
      <c r="O624" s="209"/>
      <c r="P624" s="209"/>
      <c r="Q624" s="209"/>
      <c r="R624" s="209"/>
      <c r="S624" s="209"/>
      <c r="T624" s="209"/>
      <c r="U624" s="209"/>
      <c r="V624" s="209"/>
      <c r="W624" s="209"/>
      <c r="X624" s="209"/>
      <c r="Y624" s="209"/>
      <c r="Z624" s="209"/>
      <c r="AA624" s="209"/>
      <c r="AB624" s="209"/>
      <c r="AC624" s="209"/>
      <c r="AD624" s="209"/>
      <c r="AE624" s="209"/>
    </row>
    <row r="625">
      <c r="A625" s="208" t="s">
        <v>2911</v>
      </c>
      <c r="B625" s="189" t="str">
        <f>IFERROR(__xludf.DUMMYFUNCTION("FILTER ('Research Papers'!D:D,'Research Papers'!A:A=C625)"),"TrueLens: Video Fake News Detection with Dual Level Evidence Gathering and Consolidation")</f>
        <v>TrueLens: Video Fake News Detection with Dual Level Evidence Gathering and Consolidation</v>
      </c>
      <c r="C625" s="189" t="s">
        <v>1040</v>
      </c>
      <c r="D625" s="209" t="str">
        <f t="shared" si="2"/>
        <v>TrueLens: Video Fake News Detection with Dual Level Evidence Gathering and Consolidation
Junyi Chen, Qian Liu, Jing Sun and Yi Zhang
</v>
      </c>
      <c r="E625" s="209" t="str">
        <f>IFERROR(__xludf.DUMMYFUNCTION("TEXTJOIN(CHAR(10), TRUE,FILTER('Research Papers'!$C:$C,'Research Papers'!$A:$A=C625))"),"Junyi Chen, Qian Liu, Jing Sun and Yi Zhang")</f>
        <v>Junyi Chen, Qian Liu, Jing Sun and Yi Zhang</v>
      </c>
      <c r="F625" s="209" t="str">
        <f>IFERROR(__xludf.DUMMYFUNCTION("TEXTJOIN(CHAR(10), TRUE,FILTER ('Sheridan Main'!E:E,'Sheridan Main'!B:B=C625))"),"liu.qian@auckland.ac.nz")</f>
        <v>liu.qian@auckland.ac.nz</v>
      </c>
      <c r="G625" s="210" t="str">
        <f>IFERROR(__xludf.DUMMYFUNCTION("CONCATENATE(""https://dl.acm.org/doi/"",INDEX(FILTER('Sheridan Main'!A:A,'Sheridan Main'!B:B=C625),1))"),"https://dl.acm.org/doi/10.1145/3774904.3792362")</f>
        <v>https://dl.acm.org/doi/10.1145/3774904.3792362</v>
      </c>
      <c r="H625" s="189" t="s">
        <v>139</v>
      </c>
      <c r="I625" s="209"/>
      <c r="J625" s="209"/>
      <c r="K625" s="147"/>
      <c r="L625" s="147"/>
      <c r="M625" s="209"/>
      <c r="N625" s="209"/>
      <c r="O625" s="209"/>
      <c r="P625" s="209"/>
      <c r="Q625" s="209"/>
      <c r="R625" s="209"/>
      <c r="S625" s="209"/>
      <c r="T625" s="209"/>
      <c r="U625" s="209"/>
      <c r="V625" s="209"/>
      <c r="W625" s="209"/>
      <c r="X625" s="209"/>
      <c r="Y625" s="209"/>
      <c r="Z625" s="209"/>
      <c r="AA625" s="209"/>
      <c r="AB625" s="209"/>
      <c r="AC625" s="209"/>
      <c r="AD625" s="209"/>
      <c r="AE625" s="209"/>
    </row>
    <row r="626">
      <c r="A626" s="208" t="s">
        <v>2911</v>
      </c>
      <c r="B626" s="189" t="str">
        <f>IFERROR(__xludf.DUMMYFUNCTION("FILTER ('Research Papers'!D:D,'Research Papers'!A:A=C626)"),"Is Misinformation More Open? A Study of robots.txt Gatekeeping on the Web")</f>
        <v>Is Misinformation More Open? A Study of robots.txt Gatekeeping on the Web</v>
      </c>
      <c r="C626" s="189" t="s">
        <v>1566</v>
      </c>
      <c r="D626" s="209" t="str">
        <f t="shared" si="2"/>
        <v>Is Misinformation More Open? A Study of robots.txt Gatekeeping on the Web
Nicolas Steinacker-Olsztyn, Devashish Gosain and Ha Dao
</v>
      </c>
      <c r="E626" s="209" t="str">
        <f>IFERROR(__xludf.DUMMYFUNCTION("TEXTJOIN(CHAR(10), TRUE,FILTER('Research Papers'!$C:$C,'Research Papers'!$A:$A=C626))"),"Nicolas Steinacker-Olsztyn, Devashish Gosain and Ha Dao")</f>
        <v>Nicolas Steinacker-Olsztyn, Devashish Gosain and Ha Dao</v>
      </c>
      <c r="F626" s="209" t="str">
        <f>IFERROR(__xludf.DUMMYFUNCTION("TEXTJOIN(CHAR(10), TRUE,FILTER ('Sheridan Main'!E:E,'Sheridan Main'!B:B=C626))"),"hadao@mpi-inf.mpg.de")</f>
        <v>hadao@mpi-inf.mpg.de</v>
      </c>
      <c r="G626" s="210" t="str">
        <f>IFERROR(__xludf.DUMMYFUNCTION("CONCATENATE(""https://dl.acm.org/doi/"",INDEX(FILTER('Sheridan Main'!A:A,'Sheridan Main'!B:B=C626),1))"),"https://dl.acm.org/doi/10.1145/3774904.3792625")</f>
        <v>https://dl.acm.org/doi/10.1145/3774904.3792625</v>
      </c>
      <c r="H626" s="189" t="s">
        <v>139</v>
      </c>
      <c r="I626" s="209"/>
      <c r="J626" s="209"/>
      <c r="K626" s="147"/>
      <c r="L626" s="147"/>
      <c r="M626" s="209"/>
      <c r="N626" s="209"/>
      <c r="O626" s="209"/>
      <c r="P626" s="209"/>
      <c r="Q626" s="209"/>
      <c r="R626" s="209"/>
      <c r="S626" s="209"/>
      <c r="T626" s="209"/>
      <c r="U626" s="209"/>
      <c r="V626" s="209"/>
      <c r="W626" s="209"/>
      <c r="X626" s="209"/>
      <c r="Y626" s="209"/>
      <c r="Z626" s="209"/>
      <c r="AA626" s="209"/>
      <c r="AB626" s="209"/>
      <c r="AC626" s="209"/>
      <c r="AD626" s="209"/>
      <c r="AE626" s="209"/>
    </row>
    <row r="627">
      <c r="A627" s="208" t="s">
        <v>2911</v>
      </c>
      <c r="B627" s="189" t="str">
        <f>IFERROR(__xludf.DUMMYFUNCTION("FILTER ('Research Papers'!D:D,'Research Papers'!A:A=C627)"),"From Manipulation to Mistrust: Explaining Diverse Micro-Video Misinformation for Robust Debunking in the Wild")</f>
        <v>From Manipulation to Mistrust: Explaining Diverse Micro-Video Misinformation for Robust Debunking in the Wild</v>
      </c>
      <c r="C627" s="189" t="s">
        <v>1758</v>
      </c>
      <c r="D627" s="209" t="str">
        <f t="shared" si="2"/>
        <v>From Manipulation to Mistrust: Explaining Diverse Micro-Video Misinformation for Robust Debunking in the Wild
Zhi Zeng, Yifei Yang, Jiaying Wu, Xulang Zhang, Xiangzheng
Kong, Herun Wan, Zihan Ma and Minnan Luo
</v>
      </c>
      <c r="E627" s="209" t="str">
        <f>IFERROR(__xludf.DUMMYFUNCTION("TEXTJOIN(CHAR(10), TRUE,FILTER('Research Papers'!$C:$C,'Research Papers'!$A:$A=C627))"),"Zhi Zeng, Yifei Yang, Jiaying Wu, Xulang Zhang, Xiangzheng
Kong, Herun Wan, Zihan Ma and Minnan Luo")</f>
        <v>Zhi Zeng, Yifei Yang, Jiaying Wu, Xulang Zhang, Xiangzheng
Kong, Herun Wan, Zihan Ma and Minnan Luo</v>
      </c>
      <c r="F627" s="209" t="str">
        <f>IFERROR(__xludf.DUMMYFUNCTION("TEXTJOIN(CHAR(10), TRUE,FILTER ('Sheridan Main'!E:E,'Sheridan Main'!B:B=C627))"),"zhizeng@stu.xjtu.edu.cn")</f>
        <v>zhizeng@stu.xjtu.edu.cn</v>
      </c>
      <c r="G627" s="210" t="str">
        <f>IFERROR(__xludf.DUMMYFUNCTION("CONCATENATE(""https://dl.acm.org/doi/"",INDEX(FILTER('Sheridan Main'!A:A,'Sheridan Main'!B:B=C627),1))"),"https://dl.acm.org/doi/10.1145/3774904.3792721")</f>
        <v>https://dl.acm.org/doi/10.1145/3774904.3792721</v>
      </c>
      <c r="H627" s="189" t="s">
        <v>139</v>
      </c>
      <c r="I627" s="209"/>
      <c r="J627" s="209"/>
      <c r="K627" s="147"/>
      <c r="L627" s="147"/>
      <c r="M627" s="209"/>
      <c r="N627" s="209"/>
      <c r="O627" s="209"/>
      <c r="P627" s="209"/>
      <c r="Q627" s="209"/>
      <c r="R627" s="209"/>
      <c r="S627" s="209"/>
      <c r="T627" s="209"/>
      <c r="U627" s="209"/>
      <c r="V627" s="209"/>
      <c r="W627" s="209"/>
      <c r="X627" s="209"/>
      <c r="Y627" s="209"/>
      <c r="Z627" s="209"/>
      <c r="AA627" s="209"/>
      <c r="AB627" s="209"/>
      <c r="AC627" s="209"/>
      <c r="AD627" s="209"/>
      <c r="AE627" s="209"/>
    </row>
    <row r="628">
      <c r="A628" s="208" t="s">
        <v>2911</v>
      </c>
      <c r="B628" s="189" t="str">
        <f>IFERROR(__xludf.DUMMYFUNCTION("FILTER ('Research Papers'!D:D,'Research Papers'!A:A=C628)"),"DOMAIN: Explainable Credibility Assessment Tools for Empowering Online Readers Coping with Misinformation ")</f>
        <v>DOMAIN: Explainable Credibility Assessment Tools for Empowering Online Readers Coping with Misinformation </v>
      </c>
      <c r="C628" s="212" t="s">
        <v>2934</v>
      </c>
      <c r="D628" s="209" t="str">
        <f t="shared" si="2"/>
        <v>DOMAIN: Explainable Credibility Assessment Tools for Empowering Online Readers Coping with Misinformation 
Danielle Caled, Paula Carvalho, Francisco Sousa and Mário Silva
</v>
      </c>
      <c r="E628" s="209" t="str">
        <f>IFERROR(__xludf.DUMMYFUNCTION("TEXTJOIN(CHAR(10), TRUE,FILTER('Research Papers'!$C:$C,'Research Papers'!$A:$A=C628))"),"Danielle Caled, Paula Carvalho, Francisco Sousa and Mário Silva")</f>
        <v>Danielle Caled, Paula Carvalho, Francisco Sousa and Mário Silva</v>
      </c>
      <c r="F628" s="189" t="s">
        <v>2935</v>
      </c>
      <c r="G628" s="189" t="s">
        <v>2935</v>
      </c>
      <c r="H628" s="189" t="s">
        <v>2935</v>
      </c>
      <c r="I628" s="209"/>
      <c r="J628" s="209"/>
      <c r="K628" s="147"/>
      <c r="L628" s="147"/>
      <c r="M628" s="209"/>
      <c r="N628" s="209"/>
      <c r="O628" s="209"/>
      <c r="P628" s="209"/>
      <c r="Q628" s="209"/>
      <c r="R628" s="209"/>
      <c r="S628" s="209"/>
      <c r="T628" s="209"/>
      <c r="U628" s="209"/>
      <c r="V628" s="209"/>
      <c r="W628" s="209"/>
      <c r="X628" s="209"/>
      <c r="Y628" s="209"/>
      <c r="Z628" s="209"/>
      <c r="AA628" s="209"/>
      <c r="AB628" s="209"/>
      <c r="AC628" s="209"/>
      <c r="AD628" s="209"/>
      <c r="AE628" s="209"/>
    </row>
    <row r="629">
      <c r="A629" s="208" t="s">
        <v>2911</v>
      </c>
      <c r="B629" s="189" t="str">
        <f>IFERROR(__xludf.DUMMYFUNCTION("FILTER ('Research Papers'!D:D,'Research Papers'!A:A=C629)"),"Multi-Aspect Mining and Anomaly Detection for Heterogeneous Tensor Streams")</f>
        <v>Multi-Aspect Mining and Anomaly Detection for Heterogeneous Tensor Streams</v>
      </c>
      <c r="C629" s="189" t="s">
        <v>666</v>
      </c>
      <c r="D629" s="209" t="str">
        <f t="shared" si="2"/>
        <v>Multi-Aspect Mining and Anomaly Detection for Heterogeneous Tensor Streams
Soshi Kakio, Yasuko Matsubara, Ren Fujiwara and Yasushi
Sakurai
</v>
      </c>
      <c r="E629" s="209" t="str">
        <f>IFERROR(__xludf.DUMMYFUNCTION("TEXTJOIN(CHAR(10), TRUE,FILTER('Research Papers'!$C:$C,'Research Papers'!$A:$A=C629))"),"Soshi Kakio, Yasuko Matsubara, Ren Fujiwara and Yasushi
Sakurai")</f>
        <v>Soshi Kakio, Yasuko Matsubara, Ren Fujiwara and Yasushi
Sakurai</v>
      </c>
      <c r="F629" s="209" t="str">
        <f>IFERROR(__xludf.DUMMYFUNCTION("TEXTJOIN(CHAR(10), TRUE,FILTER ('Sheridan Main'!E:E,'Sheridan Main'!B:B=C629))"),"skakio88@sanken.osaka-u.ac.jp")</f>
        <v>skakio88@sanken.osaka-u.ac.jp</v>
      </c>
      <c r="G629" s="210" t="str">
        <f>IFERROR(__xludf.DUMMYFUNCTION("CONCATENATE(""https://dl.acm.org/doi/"",INDEX(FILTER('Sheridan Main'!A:A,'Sheridan Main'!B:B=C629),1))"),"https://dl.acm.org/doi/10.1145/3774904.3792175")</f>
        <v>https://dl.acm.org/doi/10.1145/3774904.3792175</v>
      </c>
      <c r="H629" s="189" t="s">
        <v>161</v>
      </c>
      <c r="I629" s="209"/>
      <c r="J629" s="209"/>
      <c r="K629" s="147"/>
      <c r="L629" s="147"/>
      <c r="M629" s="209"/>
      <c r="N629" s="209"/>
      <c r="O629" s="209"/>
      <c r="P629" s="209"/>
      <c r="Q629" s="209"/>
      <c r="R629" s="209"/>
      <c r="S629" s="209"/>
      <c r="T629" s="209"/>
      <c r="U629" s="209"/>
      <c r="V629" s="209"/>
      <c r="W629" s="209"/>
      <c r="X629" s="209"/>
      <c r="Y629" s="209"/>
      <c r="Z629" s="209"/>
      <c r="AA629" s="209"/>
      <c r="AB629" s="209"/>
      <c r="AC629" s="209"/>
      <c r="AD629" s="209"/>
      <c r="AE629" s="209"/>
    </row>
    <row r="630">
      <c r="A630" s="208" t="s">
        <v>2911</v>
      </c>
      <c r="B630" s="189" t="str">
        <f>IFERROR(__xludf.DUMMYFUNCTION("FILTER ('Research Papers'!D:D,'Research Papers'!A:A=C630)"),"EIAN: Explicit Interaction-aware Attention Network for Interpretable Event Modeling")</f>
        <v>EIAN: Explicit Interaction-aware Attention Network for Interpretable Event Modeling</v>
      </c>
      <c r="C630" s="189" t="s">
        <v>704</v>
      </c>
      <c r="D630" s="209" t="str">
        <f t="shared" si="2"/>
        <v>EIAN: Explicit Interaction-aware Attention Network for Interpretable Event Modeling
Jiping Zhang, Hua Zhu, Hong Huang, Yongkang Zhou, Kehan Yin
and Bang Liu
</v>
      </c>
      <c r="E630" s="209" t="str">
        <f>IFERROR(__xludf.DUMMYFUNCTION("TEXTJOIN(CHAR(10), TRUE,FILTER('Research Papers'!$C:$C,'Research Papers'!$A:$A=C630))"),"Jiping Zhang, Hua Zhu, Hong Huang, Yongkang Zhou, Kehan Yin
and Bang Liu")</f>
        <v>Jiping Zhang, Hua Zhu, Hong Huang, Yongkang Zhou, Kehan Yin
and Bang Liu</v>
      </c>
      <c r="F630" s="209" t="str">
        <f>IFERROR(__xludf.DUMMYFUNCTION("TEXTJOIN(CHAR(10), TRUE,FILTER ('Sheridan Main'!E:E,'Sheridan Main'!B:B=C630))"),"honghuang@hust.edu.cn")</f>
        <v>honghuang@hust.edu.cn</v>
      </c>
      <c r="G630" s="210" t="str">
        <f>IFERROR(__xludf.DUMMYFUNCTION("CONCATENATE(""https://dl.acm.org/doi/"",INDEX(FILTER('Sheridan Main'!A:A,'Sheridan Main'!B:B=C630),1))"),"https://dl.acm.org/doi/10.1145/3774904.3792194")</f>
        <v>https://dl.acm.org/doi/10.1145/3774904.3792194</v>
      </c>
      <c r="H630" s="189" t="s">
        <v>2856</v>
      </c>
      <c r="I630" s="189" t="s">
        <v>2912</v>
      </c>
      <c r="J630" s="189" t="s">
        <v>2936</v>
      </c>
      <c r="K630" s="147"/>
      <c r="L630" s="147"/>
      <c r="M630" s="209"/>
      <c r="N630" s="209"/>
      <c r="O630" s="209"/>
      <c r="P630" s="209"/>
      <c r="Q630" s="209"/>
      <c r="R630" s="209"/>
      <c r="S630" s="209"/>
      <c r="T630" s="209"/>
      <c r="U630" s="209"/>
      <c r="V630" s="209"/>
      <c r="W630" s="209"/>
      <c r="X630" s="209"/>
      <c r="Y630" s="209"/>
      <c r="Z630" s="209"/>
      <c r="AA630" s="209"/>
      <c r="AB630" s="209"/>
      <c r="AC630" s="209"/>
      <c r="AD630" s="209"/>
      <c r="AE630" s="209"/>
    </row>
    <row r="631">
      <c r="A631" s="208" t="s">
        <v>2911</v>
      </c>
      <c r="B631" s="189" t="str">
        <f>IFERROR(__xludf.DUMMYFUNCTION("FILTER ('Research Papers'!D:D,'Research Papers'!A:A=C631)"),"JitterSketch: Finding Jittery Flows in Network Streams")</f>
        <v>JitterSketch: Finding Jittery Flows in Network Streams</v>
      </c>
      <c r="C631" s="189" t="s">
        <v>972</v>
      </c>
      <c r="D631" s="209" t="str">
        <f t="shared" si="2"/>
        <v>JitterSketch: Finding Jittery Flows in Network Streams
Zhongxian Liang, Qilong Shi, Xiyan Liang, Zihan Li, Wenjun
Li, Tong Yang, Yangyang Wang, Mingwei Xu and Weizhe Zhang
</v>
      </c>
      <c r="E631" s="209" t="str">
        <f>IFERROR(__xludf.DUMMYFUNCTION("TEXTJOIN(CHAR(10), TRUE,FILTER('Research Papers'!$C:$C,'Research Papers'!$A:$A=C631))"),"Zhongxian Liang, Qilong Shi, Xiyan Liang, Zihan Li, Wenjun
Li, Tong Yang, Yangyang Wang, Mingwei Xu and Weizhe Zhang")</f>
        <v>Zhongxian Liang, Qilong Shi, Xiyan Liang, Zihan Li, Wenjun
Li, Tong Yang, Yangyang Wang, Mingwei Xu and Weizhe Zhang</v>
      </c>
      <c r="F631" s="209" t="str">
        <f>IFERROR(__xludf.DUMMYFUNCTION("TEXTJOIN(CHAR(10), TRUE,FILTER ('Sheridan Main'!E:E,'Sheridan Main'!B:B=C631))"),"wenjunli@pku.org.cn")</f>
        <v>wenjunli@pku.org.cn</v>
      </c>
      <c r="G631" s="210" t="str">
        <f>IFERROR(__xludf.DUMMYFUNCTION("CONCATENATE(""https://dl.acm.org/doi/"",INDEX(FILTER('Sheridan Main'!A:A,'Sheridan Main'!B:B=C631),1))"),"https://dl.acm.org/doi/10.1145/3774904.3792328")</f>
        <v>https://dl.acm.org/doi/10.1145/3774904.3792328</v>
      </c>
      <c r="H631" s="189" t="s">
        <v>161</v>
      </c>
      <c r="I631" s="209"/>
      <c r="J631" s="209"/>
      <c r="K631" s="147"/>
      <c r="L631" s="147"/>
      <c r="M631" s="209"/>
      <c r="N631" s="209"/>
      <c r="O631" s="209"/>
      <c r="P631" s="209"/>
      <c r="Q631" s="209"/>
      <c r="R631" s="209"/>
      <c r="S631" s="209"/>
      <c r="T631" s="209"/>
      <c r="U631" s="209"/>
      <c r="V631" s="209"/>
      <c r="W631" s="209"/>
      <c r="X631" s="209"/>
      <c r="Y631" s="209"/>
      <c r="Z631" s="209"/>
      <c r="AA631" s="209"/>
      <c r="AB631" s="209"/>
      <c r="AC631" s="209"/>
      <c r="AD631" s="209"/>
      <c r="AE631" s="209"/>
    </row>
    <row r="632">
      <c r="A632" s="208" t="s">
        <v>2911</v>
      </c>
      <c r="B632" s="189" t="str">
        <f>IFERROR(__xludf.DUMMYFUNCTION("FILTER ('Research Papers'!D:D,'Research Papers'!A:A=C632)"),"We Need a More Robust Classifier: Dual Causal Learning Empowers Domain-Incremental Time Series Classification")</f>
        <v>We Need a More Robust Classifier: Dual Causal Learning Empowers Domain-Incremental Time Series Classification</v>
      </c>
      <c r="C632" s="189" t="s">
        <v>1062</v>
      </c>
      <c r="D632" s="209" t="str">
        <f t="shared" si="2"/>
        <v>We Need a More Robust Classifier: Dual Causal Learning Empowers Domain-Incremental Time Series Classification
Zhipeng Liu, Peibo Duan, Xuan Tang, Haodong Jing, Mingyang
Geng, Yongsheng Huang, Jialu Xu, Bin Zhang and Binwu Wang
</v>
      </c>
      <c r="E632" s="209" t="str">
        <f>IFERROR(__xludf.DUMMYFUNCTION("TEXTJOIN(CHAR(10), TRUE,FILTER('Research Papers'!$C:$C,'Research Papers'!$A:$A=C632))"),"Zhipeng Liu, Peibo Duan, Xuan Tang, Haodong Jing, Mingyang
Geng, Yongsheng Huang, Jialu Xu, Bin Zhang and Binwu Wang")</f>
        <v>Zhipeng Liu, Peibo Duan, Xuan Tang, Haodong Jing, Mingyang
Geng, Yongsheng Huang, Jialu Xu, Bin Zhang and Binwu Wang</v>
      </c>
      <c r="F632" s="209" t="str">
        <f>IFERROR(__xludf.DUMMYFUNCTION("TEXTJOIN(CHAR(10), TRUE,FILTER ('Sheridan Main'!E:E,'Sheridan Main'!B:B=C632))"),"2310543@stu.neu.edu.cn")</f>
        <v>2310543@stu.neu.edu.cn</v>
      </c>
      <c r="G632" s="210" t="str">
        <f>IFERROR(__xludf.DUMMYFUNCTION("CONCATENATE(""https://dl.acm.org/doi/"",INDEX(FILTER('Sheridan Main'!A:A,'Sheridan Main'!B:B=C632),1))"),"https://dl.acm.org/doi/10.1145/3774904.3792373")</f>
        <v>https://dl.acm.org/doi/10.1145/3774904.3792373</v>
      </c>
      <c r="H632" s="189" t="s">
        <v>161</v>
      </c>
      <c r="I632" s="209"/>
      <c r="J632" s="209"/>
      <c r="K632" s="147"/>
      <c r="L632" s="147"/>
      <c r="M632" s="209"/>
      <c r="N632" s="209"/>
      <c r="O632" s="209"/>
      <c r="P632" s="209"/>
      <c r="Q632" s="209"/>
      <c r="R632" s="209"/>
      <c r="S632" s="209"/>
      <c r="T632" s="209"/>
      <c r="U632" s="209"/>
      <c r="V632" s="209"/>
      <c r="W632" s="209"/>
      <c r="X632" s="209"/>
      <c r="Y632" s="209"/>
      <c r="Z632" s="209"/>
      <c r="AA632" s="209"/>
      <c r="AB632" s="209"/>
      <c r="AC632" s="209"/>
      <c r="AD632" s="209"/>
      <c r="AE632" s="209"/>
    </row>
    <row r="633">
      <c r="A633" s="208" t="s">
        <v>2911</v>
      </c>
      <c r="B633" s="189" t="str">
        <f>IFERROR(__xludf.DUMMYFUNCTION("FILTER ('Research Papers'!D:D,'Research Papers'!A:A=C633)"),"Byte-token Enhanced Language Models for Temporal Point Processes Analysis")</f>
        <v>Byte-token Enhanced Language Models for Temporal Point Processes Analysis</v>
      </c>
      <c r="C633" s="189" t="s">
        <v>710</v>
      </c>
      <c r="D633" s="209" t="str">
        <f t="shared" si="2"/>
        <v>Byte-token Enhanced Language Models for Temporal Point Processes Analysis
Quyu Kong, Yixuan Zhang, Yang Liu, Panrong Tong, Enqi Liu
and Feng Zhou
</v>
      </c>
      <c r="E633" s="209" t="str">
        <f>IFERROR(__xludf.DUMMYFUNCTION("TEXTJOIN(CHAR(10), TRUE,FILTER('Research Papers'!$C:$C,'Research Papers'!$A:$A=C633))"),"Quyu Kong, Yixuan Zhang, Yang Liu, Panrong Tong, Enqi Liu
and Feng Zhou")</f>
        <v>Quyu Kong, Yixuan Zhang, Yang Liu, Panrong Tong, Enqi Liu
and Feng Zhou</v>
      </c>
      <c r="F633" s="209" t="str">
        <f>IFERROR(__xludf.DUMMYFUNCTION("TEXTJOIN(CHAR(10), TRUE,FILTER ('Sheridan Main'!E:E,'Sheridan Main'!B:B=C633))"),"feng.zhou@ruc.edu.cn")</f>
        <v>feng.zhou@ruc.edu.cn</v>
      </c>
      <c r="G633" s="210" t="str">
        <f>IFERROR(__xludf.DUMMYFUNCTION("CONCATENATE(""https://dl.acm.org/doi/"",INDEX(FILTER('Sheridan Main'!A:A,'Sheridan Main'!B:B=C633),1))"),"https://dl.acm.org/doi/10.1145/3774904.3792197")</f>
        <v>https://dl.acm.org/doi/10.1145/3774904.3792197</v>
      </c>
      <c r="H633" s="189" t="s">
        <v>161</v>
      </c>
      <c r="I633" s="189"/>
      <c r="J633" s="209"/>
      <c r="K633" s="135" t="s">
        <v>2937</v>
      </c>
      <c r="L633" s="147"/>
      <c r="M633" s="209"/>
      <c r="N633" s="209"/>
      <c r="O633" s="209"/>
      <c r="P633" s="209"/>
      <c r="Q633" s="209"/>
      <c r="R633" s="209"/>
      <c r="S633" s="209"/>
      <c r="T633" s="209"/>
      <c r="U633" s="209"/>
      <c r="V633" s="209"/>
      <c r="W633" s="209"/>
      <c r="X633" s="209"/>
      <c r="Y633" s="209"/>
      <c r="Z633" s="209"/>
      <c r="AA633" s="209"/>
      <c r="AB633" s="209"/>
      <c r="AC633" s="209"/>
      <c r="AD633" s="209"/>
      <c r="AE633" s="209"/>
    </row>
    <row r="634">
      <c r="A634" s="208" t="s">
        <v>2911</v>
      </c>
      <c r="B634" s="189" t="str">
        <f>IFERROR(__xludf.DUMMYFUNCTION("FILTER ('Research Papers'!D:D,'Research Papers'!A:A=C634)"),"An In-depth Analysis of the Linguistic Characteristics of Science Claims on the Web and their Impact on Fact-checking ")</f>
        <v>An In-depth Analysis of the Linguistic Characteristics of Science Claims on the Web and their Impact on Fact-checking </v>
      </c>
      <c r="C634" s="212" t="s">
        <v>2938</v>
      </c>
      <c r="D634" s="209" t="str">
        <f t="shared" si="2"/>
        <v>An In-depth Analysis of the Linguistic Characteristics of Science Claims on the Web and their Impact on Fact-checking 
Salim Hafid, Sebastian Schellhammer, Yavuz Selim Kartal, Thomas Papastergiou, Stefan Dietze, Sandra Bringay and Konstantin Todorov
</v>
      </c>
      <c r="E634" s="209" t="str">
        <f>IFERROR(__xludf.DUMMYFUNCTION("TEXTJOIN(CHAR(10), TRUE,FILTER('Research Papers'!$C:$C,'Research Papers'!$A:$A=C634))"),"Salim Hafid, Sebastian Schellhammer, Yavuz Selim Kartal, Thomas Papastergiou, Stefan Dietze, Sandra Bringay and Konstantin Todorov")</f>
        <v>Salim Hafid, Sebastian Schellhammer, Yavuz Selim Kartal, Thomas Papastergiou, Stefan Dietze, Sandra Bringay and Konstantin Todorov</v>
      </c>
      <c r="F634" s="209" t="str">
        <f>IFERROR(__xludf.DUMMYFUNCTION("TEXTJOIN(CHAR(10), TRUE,FILTER (TWEB!E:E,TWEB!A:A=C634))"),"konstantin.todorov@lirmm.fr")</f>
        <v>konstantin.todorov@lirmm.fr</v>
      </c>
      <c r="G634" s="210" t="str">
        <f>IFERROR(__xludf.DUMMYFUNCTION("CONCATENATE(""https://dl.acm.org/doi/"",FILTER(TWEB!F:F,TWEB!A:A=C634))"),"https://dl.acm.org/doi/full/10.1145/3746170")</f>
        <v>https://dl.acm.org/doi/full/10.1145/3746170</v>
      </c>
      <c r="H634" s="189" t="s">
        <v>161</v>
      </c>
      <c r="I634" s="209"/>
      <c r="J634" s="209"/>
      <c r="K634" s="147"/>
      <c r="L634" s="147"/>
      <c r="M634" s="209"/>
      <c r="N634" s="209"/>
      <c r="O634" s="209"/>
      <c r="P634" s="209"/>
      <c r="Q634" s="209"/>
      <c r="R634" s="209"/>
      <c r="S634" s="209"/>
      <c r="T634" s="209"/>
      <c r="U634" s="209"/>
      <c r="V634" s="209"/>
      <c r="W634" s="209"/>
      <c r="X634" s="209"/>
      <c r="Y634" s="209"/>
      <c r="Z634" s="209"/>
      <c r="AA634" s="209"/>
      <c r="AB634" s="209"/>
      <c r="AC634" s="209"/>
      <c r="AD634" s="209"/>
      <c r="AE634" s="209"/>
    </row>
    <row r="635">
      <c r="A635" s="208" t="s">
        <v>2911</v>
      </c>
      <c r="B635" s="189" t="str">
        <f>IFERROR(__xludf.DUMMYFUNCTION("FILTER ('Research Papers'!D:D,'Research Papers'!A:A=C635)"),"Anchor Drift No More: Hierarchical Consistency-Guided Prompt Distillation for Incomplete Multimodal Learning")</f>
        <v>Anchor Drift No More: Hierarchical Consistency-Guided Prompt Distillation for Incomplete Multimodal Learning</v>
      </c>
      <c r="C635" s="189" t="s">
        <v>1312</v>
      </c>
      <c r="D635" s="209" t="str">
        <f t="shared" si="2"/>
        <v>Anchor Drift No More: Hierarchical Consistency-Guided Prompt Distillation for Incomplete Multimodal Learning
Ruiting Dai, Zesen Cai, Lisi Mo, Guiduo Duan, Keren Shi and
Tao He
</v>
      </c>
      <c r="E635" s="209" t="str">
        <f>IFERROR(__xludf.DUMMYFUNCTION("TEXTJOIN(CHAR(10), TRUE,FILTER('Research Papers'!$C:$C,'Research Papers'!$A:$A=C635))"),"Ruiting Dai, Zesen Cai, Lisi Mo, Guiduo Duan, Keren Shi and
Tao He")</f>
        <v>Ruiting Dai, Zesen Cai, Lisi Mo, Guiduo Duan, Keren Shi and
Tao He</v>
      </c>
      <c r="F635" s="209" t="str">
        <f>IFERROR(__xludf.DUMMYFUNCTION("TEXTJOIN(CHAR(10), TRUE,FILTER ('Sheridan Main'!E:E,'Sheridan Main'!B:B=C635))"),"tao.he01@hotmail.com")</f>
        <v>tao.he01@hotmail.com</v>
      </c>
      <c r="G635" s="210" t="str">
        <f>IFERROR(__xludf.DUMMYFUNCTION("CONCATENATE(""https://dl.acm.org/doi/"",INDEX(FILTER('Sheridan Main'!A:A,'Sheridan Main'!B:B=C635),1))"),"https://dl.acm.org/doi/10.1145/3774904.3792498")</f>
        <v>https://dl.acm.org/doi/10.1145/3774904.3792498</v>
      </c>
      <c r="H635" s="189" t="s">
        <v>181</v>
      </c>
      <c r="I635" s="209"/>
      <c r="J635" s="209"/>
      <c r="K635" s="147"/>
      <c r="L635" s="147"/>
      <c r="M635" s="209"/>
      <c r="N635" s="209"/>
      <c r="O635" s="209"/>
      <c r="P635" s="209"/>
      <c r="Q635" s="209"/>
      <c r="R635" s="209"/>
      <c r="S635" s="209"/>
      <c r="T635" s="209"/>
      <c r="U635" s="209"/>
      <c r="V635" s="209"/>
      <c r="W635" s="209"/>
      <c r="X635" s="209"/>
      <c r="Y635" s="209"/>
      <c r="Z635" s="209"/>
      <c r="AA635" s="209"/>
      <c r="AB635" s="209"/>
      <c r="AC635" s="209"/>
      <c r="AD635" s="209"/>
      <c r="AE635" s="209"/>
    </row>
    <row r="636">
      <c r="A636" s="208" t="s">
        <v>2911</v>
      </c>
      <c r="B636" s="189" t="str">
        <f>IFERROR(__xludf.DUMMYFUNCTION("FILTER ('Research Papers'!D:D,'Research Papers'!A:A=C636)"),"LoRA-E^2: Effective and Efficient Low-rank Adaptation")</f>
        <v>LoRA-E^2: Effective and Efficient Low-rank Adaptation</v>
      </c>
      <c r="C636" s="189" t="s">
        <v>1316</v>
      </c>
      <c r="D636" s="209" t="str">
        <f t="shared" si="2"/>
        <v>LoRA-E^2: Effective and Efficient Low-rank Adaptation
Shengkun Zhu, Jinshan Zeng, Yiming Wang, Sheng Wang, Yuan
Sun, Shangfeng Chen, Yuan Yao and Qiang Yang
</v>
      </c>
      <c r="E636" s="209" t="str">
        <f>IFERROR(__xludf.DUMMYFUNCTION("TEXTJOIN(CHAR(10), TRUE,FILTER('Research Papers'!$C:$C,'Research Papers'!$A:$A=C636))"),"Shengkun Zhu, Jinshan Zeng, Yiming Wang, Sheng Wang, Yuan
Sun, Shangfeng Chen, Yuan Yao and Qiang Yang")</f>
        <v>Shengkun Zhu, Jinshan Zeng, Yiming Wang, Sheng Wang, Yuan
Sun, Shangfeng Chen, Yuan Yao and Qiang Yang</v>
      </c>
      <c r="F636" s="209" t="str">
        <f>IFERROR(__xludf.DUMMYFUNCTION("TEXTJOIN(CHAR(10), TRUE,FILTER ('Sheridan Main'!E:E,'Sheridan Main'!B:B=C636))"),"whuzsk66@whu.edu.cn")</f>
        <v>whuzsk66@whu.edu.cn</v>
      </c>
      <c r="G636" s="210" t="str">
        <f>IFERROR(__xludf.DUMMYFUNCTION("CONCATENATE(""https://dl.acm.org/doi/"",INDEX(FILTER('Sheridan Main'!A:A,'Sheridan Main'!B:B=C636),1))"),"https://dl.acm.org/doi/10.1145/3774904.3792500")</f>
        <v>https://dl.acm.org/doi/10.1145/3774904.3792500</v>
      </c>
      <c r="H636" s="189" t="s">
        <v>181</v>
      </c>
      <c r="I636" s="209"/>
      <c r="J636" s="209"/>
      <c r="K636" s="147"/>
      <c r="L636" s="147"/>
      <c r="M636" s="209"/>
      <c r="N636" s="209"/>
      <c r="O636" s="209"/>
      <c r="P636" s="209"/>
      <c r="Q636" s="209"/>
      <c r="R636" s="209"/>
      <c r="S636" s="209"/>
      <c r="T636" s="209"/>
      <c r="U636" s="209"/>
      <c r="V636" s="209"/>
      <c r="W636" s="209"/>
      <c r="X636" s="209"/>
      <c r="Y636" s="209"/>
      <c r="Z636" s="209"/>
      <c r="AA636" s="209"/>
      <c r="AB636" s="209"/>
      <c r="AC636" s="209"/>
      <c r="AD636" s="209"/>
      <c r="AE636" s="209"/>
    </row>
    <row r="637">
      <c r="A637" s="208" t="s">
        <v>2911</v>
      </c>
      <c r="B637" s="189" t="str">
        <f>IFERROR(__xludf.DUMMYFUNCTION("FILTER ('Research Papers'!D:D,'Research Papers'!A:A=C637)"),"Reinforcement Learning with Verbalized Probabilities for LLM Classification")</f>
        <v>Reinforcement Learning with Verbalized Probabilities for LLM Classification</v>
      </c>
      <c r="C637" s="189" t="s">
        <v>1396</v>
      </c>
      <c r="D637" s="209" t="str">
        <f t="shared" si="2"/>
        <v>Reinforcement Learning with Verbalized Probabilities for LLM Classification
Liyao Li, Hao Chen, Jiaming Tian, Wentao Ye, Lirong Gao,
Chao Ye, Ningtao Wang, Xing Fu, Yu Cheng, Haobo Wang, Gang
Chen and Junbo Zhao
</v>
      </c>
      <c r="E637" s="209" t="str">
        <f>IFERROR(__xludf.DUMMYFUNCTION("TEXTJOIN(CHAR(10), TRUE,FILTER('Research Papers'!$C:$C,'Research Papers'!$A:$A=C637))"),"Liyao Li, Hao Chen, Jiaming Tian, Wentao Ye, Lirong Gao,
Chao Ye, Ningtao Wang, Xing Fu, Yu Cheng, Haobo Wang, Gang
Chen and Junbo Zhao")</f>
        <v>Liyao Li, Hao Chen, Jiaming Tian, Wentao Ye, Lirong Gao,
Chao Ye, Ningtao Wang, Xing Fu, Yu Cheng, Haobo Wang, Gang
Chen and Junbo Zhao</v>
      </c>
      <c r="F637" s="209" t="str">
        <f>IFERROR(__xludf.DUMMYFUNCTION("TEXTJOIN(CHAR(10), TRUE,FILTER ('Sheridan Main'!E:E,'Sheridan Main'!B:B=C637))"),"ntwang25@gmail.com")</f>
        <v>ntwang25@gmail.com</v>
      </c>
      <c r="G637" s="210" t="str">
        <f>IFERROR(__xludf.DUMMYFUNCTION("CONCATENATE(""https://dl.acm.org/doi/"",INDEX(FILTER('Sheridan Main'!A:A,'Sheridan Main'!B:B=C637),1))"),"https://dl.acm.org/doi/10.1145/3774904.3792540")</f>
        <v>https://dl.acm.org/doi/10.1145/3774904.3792540</v>
      </c>
      <c r="H637" s="189" t="s">
        <v>181</v>
      </c>
      <c r="I637" s="209"/>
      <c r="J637" s="209"/>
      <c r="K637" s="147"/>
      <c r="L637" s="147"/>
      <c r="M637" s="209"/>
      <c r="N637" s="209"/>
      <c r="O637" s="209"/>
      <c r="P637" s="209"/>
      <c r="Q637" s="209"/>
      <c r="R637" s="209"/>
      <c r="S637" s="209"/>
      <c r="T637" s="209"/>
      <c r="U637" s="209"/>
      <c r="V637" s="209"/>
      <c r="W637" s="209"/>
      <c r="X637" s="209"/>
      <c r="Y637" s="209"/>
      <c r="Z637" s="209"/>
      <c r="AA637" s="209"/>
      <c r="AB637" s="209"/>
      <c r="AC637" s="209"/>
      <c r="AD637" s="209"/>
      <c r="AE637" s="209"/>
    </row>
    <row r="638">
      <c r="A638" s="208" t="s">
        <v>2911</v>
      </c>
      <c r="B638" s="189" t="str">
        <f>IFERROR(__xludf.DUMMYFUNCTION("FILTER ('Research Papers'!D:D,'Research Papers'!A:A=C638)"),"Multistage Feedback-Driven Causal Discovery from Textual Data with Large Language Models")</f>
        <v>Multistage Feedback-Driven Causal Discovery from Textual Data with Large Language Models</v>
      </c>
      <c r="C638" s="189" t="s">
        <v>1582</v>
      </c>
      <c r="D638" s="209" t="str">
        <f t="shared" si="2"/>
        <v>Multistage Feedback-Driven Causal Discovery from Textual Data with Large Language Models
Juntao Yang, Dayuan Cao, Kui Yu, Xiang Wang, Jing Yang, Lin
Liu and Jiuyong Li
</v>
      </c>
      <c r="E638" s="209" t="str">
        <f>IFERROR(__xludf.DUMMYFUNCTION("TEXTJOIN(CHAR(10), TRUE,FILTER('Research Papers'!$C:$C,'Research Papers'!$A:$A=C638))"),"Juntao Yang, Dayuan Cao, Kui Yu, Xiang Wang, Jing Yang, Lin
Liu and Jiuyong Li")</f>
        <v>Juntao Yang, Dayuan Cao, Kui Yu, Xiang Wang, Jing Yang, Lin
Liu and Jiuyong Li</v>
      </c>
      <c r="F638" s="209" t="str">
        <f>IFERROR(__xludf.DUMMYFUNCTION("TEXTJOIN(CHAR(10), TRUE,FILTER ('Sheridan Main'!E:E,'Sheridan Main'!B:B=C638))"),"yukui@hfut.edu.cn")</f>
        <v>yukui@hfut.edu.cn</v>
      </c>
      <c r="G638" s="210" t="str">
        <f>IFERROR(__xludf.DUMMYFUNCTION("CONCATENATE(""https://dl.acm.org/doi/"",INDEX(FILTER('Sheridan Main'!A:A,'Sheridan Main'!B:B=C638),1))"),"https://dl.acm.org/doi/10.1145/3774904.3792633")</f>
        <v>https://dl.acm.org/doi/10.1145/3774904.3792633</v>
      </c>
      <c r="H638" s="189" t="s">
        <v>181</v>
      </c>
      <c r="I638" s="209"/>
      <c r="J638" s="209"/>
      <c r="K638" s="147"/>
      <c r="L638" s="147"/>
      <c r="M638" s="209"/>
      <c r="N638" s="209"/>
      <c r="O638" s="209"/>
      <c r="P638" s="209"/>
      <c r="Q638" s="209"/>
      <c r="R638" s="209"/>
      <c r="S638" s="209"/>
      <c r="T638" s="209"/>
      <c r="U638" s="209"/>
      <c r="V638" s="209"/>
      <c r="W638" s="209"/>
      <c r="X638" s="209"/>
      <c r="Y638" s="209"/>
      <c r="Z638" s="209"/>
      <c r="AA638" s="209"/>
      <c r="AB638" s="209"/>
      <c r="AC638" s="209"/>
      <c r="AD638" s="209"/>
      <c r="AE638" s="209"/>
    </row>
    <row r="639">
      <c r="A639" s="208" t="s">
        <v>2911</v>
      </c>
      <c r="B639" s="189" t="str">
        <f>IFERROR(__xludf.DUMMYFUNCTION("FILTER ('Research Papers'!D:D,'Research Papers'!A:A=C639)"),"Inference Cost Attacks for Retrieval-Augmented Large Language Models")</f>
        <v>Inference Cost Attacks for Retrieval-Augmented Large Language Models</v>
      </c>
      <c r="C639" s="189" t="s">
        <v>1682</v>
      </c>
      <c r="D639" s="209" t="str">
        <f t="shared" si="2"/>
        <v>Inference Cost Attacks for Retrieval-Augmented Large Language Models
Chengliang Liu, Liangbo Ning, Yujuan Ding and Wenqi Fan
</v>
      </c>
      <c r="E639" s="209" t="str">
        <f>IFERROR(__xludf.DUMMYFUNCTION("TEXTJOIN(CHAR(10), TRUE,FILTER('Research Papers'!$C:$C,'Research Papers'!$A:$A=C639))"),"Chengliang Liu, Liangbo Ning, Yujuan Ding and Wenqi Fan")</f>
        <v>Chengliang Liu, Liangbo Ning, Yujuan Ding and Wenqi Fan</v>
      </c>
      <c r="F639" s="209" t="str">
        <f>IFERROR(__xludf.DUMMYFUNCTION("TEXTJOIN(CHAR(10), TRUE,FILTER ('Sheridan Main'!E:E,'Sheridan Main'!B:B=C639))"),"dingyujuan385@gmail.com")</f>
        <v>dingyujuan385@gmail.com</v>
      </c>
      <c r="G639" s="210" t="str">
        <f>IFERROR(__xludf.DUMMYFUNCTION("CONCATENATE(""https://dl.acm.org/doi/"",INDEX(FILTER('Sheridan Main'!A:A,'Sheridan Main'!B:B=C639),1))"),"https://dl.acm.org/doi/10.1145/3774904.3792683")</f>
        <v>https://dl.acm.org/doi/10.1145/3774904.3792683</v>
      </c>
      <c r="H639" s="189" t="s">
        <v>181</v>
      </c>
      <c r="I639" s="209"/>
      <c r="J639" s="209"/>
      <c r="K639" s="147"/>
      <c r="L639" s="147"/>
      <c r="M639" s="209"/>
      <c r="N639" s="209"/>
      <c r="O639" s="209"/>
      <c r="P639" s="209"/>
      <c r="Q639" s="209"/>
      <c r="R639" s="209"/>
      <c r="S639" s="209"/>
      <c r="T639" s="209"/>
      <c r="U639" s="209"/>
      <c r="V639" s="209"/>
      <c r="W639" s="209"/>
      <c r="X639" s="209"/>
      <c r="Y639" s="209"/>
      <c r="Z639" s="209"/>
      <c r="AA639" s="209"/>
      <c r="AB639" s="209"/>
      <c r="AC639" s="209"/>
      <c r="AD639" s="209"/>
      <c r="AE639" s="209"/>
    </row>
    <row r="640">
      <c r="A640" s="208" t="s">
        <v>2911</v>
      </c>
      <c r="B640" s="189" t="str">
        <f>IFERROR(__xludf.DUMMYFUNCTION("FILTER ('Research Papers'!D:D,'Research Papers'!A:A=C640)"),"Beyond Patches: Superpixel Token-based Transformers for Attribute-Specific Fashion Retrieval")</f>
        <v>Beyond Patches: Superpixel Token-based Transformers for Attribute-Specific Fashion Retrieval</v>
      </c>
      <c r="C640" s="189" t="s">
        <v>504</v>
      </c>
      <c r="D640" s="209" t="str">
        <f t="shared" si="2"/>
        <v>Beyond Patches: Superpixel Token-based Transformers for Attribute-Specific Fashion Retrieval
Shuili Zhang, Hongzhang Mu, Wenyuan Zhang, Duohe Ma and
Tingwen Liu
</v>
      </c>
      <c r="E640" s="209" t="str">
        <f>IFERROR(__xludf.DUMMYFUNCTION("TEXTJOIN(CHAR(10), TRUE,FILTER('Research Papers'!$C:$C,'Research Papers'!$A:$A=C640))"),"Shuili Zhang, Hongzhang Mu, Wenyuan Zhang, Duohe Ma and
Tingwen Liu")</f>
        <v>Shuili Zhang, Hongzhang Mu, Wenyuan Zhang, Duohe Ma and
Tingwen Liu</v>
      </c>
      <c r="F640" s="209" t="str">
        <f>IFERROR(__xludf.DUMMYFUNCTION("TEXTJOIN(CHAR(10), TRUE,FILTER ('Sheridan Main'!E:E,'Sheridan Main'!B:B=C640))"),"zhangshuili@iie.ac.cn")</f>
        <v>zhangshuili@iie.ac.cn</v>
      </c>
      <c r="G640" s="210" t="str">
        <f>IFERROR(__xludf.DUMMYFUNCTION("CONCATENATE(""https://dl.acm.org/doi/"",INDEX(FILTER('Sheridan Main'!A:A,'Sheridan Main'!B:B=C640),1))"),"https://dl.acm.org/doi/10.1145/3774904.3792094")</f>
        <v>https://dl.acm.org/doi/10.1145/3774904.3792094</v>
      </c>
      <c r="H640" s="189" t="s">
        <v>207</v>
      </c>
      <c r="I640" s="209"/>
      <c r="J640" s="209"/>
      <c r="K640" s="147"/>
      <c r="L640" s="147"/>
      <c r="M640" s="209"/>
      <c r="N640" s="209"/>
      <c r="O640" s="209"/>
      <c r="P640" s="209"/>
      <c r="Q640" s="209"/>
      <c r="R640" s="209"/>
      <c r="S640" s="209"/>
      <c r="T640" s="209"/>
      <c r="U640" s="209"/>
      <c r="V640" s="209"/>
      <c r="W640" s="209"/>
      <c r="X640" s="209"/>
      <c r="Y640" s="209"/>
      <c r="Z640" s="209"/>
      <c r="AA640" s="209"/>
      <c r="AB640" s="209"/>
      <c r="AC640" s="209"/>
      <c r="AD640" s="209"/>
      <c r="AE640" s="209"/>
    </row>
    <row r="641">
      <c r="A641" s="208" t="s">
        <v>2911</v>
      </c>
      <c r="B641" s="189" t="str">
        <f>IFERROR(__xludf.DUMMYFUNCTION("FILTER ('Research Papers'!D:D,'Research Papers'!A:A=C641)"),"VarParser: Unleashing the Neglected Power of Variables for LLM-based Log Parsing")</f>
        <v>VarParser: Unleashing the Neglected Power of Variables for LLM-based Log Parsing</v>
      </c>
      <c r="C641" s="189" t="s">
        <v>506</v>
      </c>
      <c r="D641" s="209" t="str">
        <f t="shared" si="2"/>
        <v>VarParser: Unleashing the Neglected Power of Variables for LLM-based Log Parsing
Jinrui Sun, Tong Jia, Minghua He and Ying Li
</v>
      </c>
      <c r="E641" s="209" t="str">
        <f>IFERROR(__xludf.DUMMYFUNCTION("TEXTJOIN(CHAR(10), TRUE,FILTER('Research Papers'!$C:$C,'Research Papers'!$A:$A=C641))"),"Jinrui Sun, Tong Jia, Minghua He and Ying Li")</f>
        <v>Jinrui Sun, Tong Jia, Minghua He and Ying Li</v>
      </c>
      <c r="F641" s="209" t="str">
        <f>IFERROR(__xludf.DUMMYFUNCTION("TEXTJOIN(CHAR(10), TRUE,FILTER ('Sheridan Main'!E:E,'Sheridan Main'!B:B=C641))"),"jia.tong@pku.edu.cn")</f>
        <v>jia.tong@pku.edu.cn</v>
      </c>
      <c r="G641" s="210" t="str">
        <f>IFERROR(__xludf.DUMMYFUNCTION("CONCATENATE(""https://dl.acm.org/doi/"",INDEX(FILTER('Sheridan Main'!A:A,'Sheridan Main'!B:B=C641),1))"),"https://dl.acm.org/doi/10.1145/3774904.3792095")</f>
        <v>https://dl.acm.org/doi/10.1145/3774904.3792095</v>
      </c>
      <c r="H641" s="189" t="s">
        <v>207</v>
      </c>
      <c r="I641" s="209"/>
      <c r="J641" s="209"/>
      <c r="K641" s="147"/>
      <c r="L641" s="147"/>
      <c r="M641" s="209"/>
      <c r="N641" s="209"/>
      <c r="O641" s="209"/>
      <c r="P641" s="209"/>
      <c r="Q641" s="209"/>
      <c r="R641" s="209"/>
      <c r="S641" s="209"/>
      <c r="T641" s="209"/>
      <c r="U641" s="209"/>
      <c r="V641" s="209"/>
      <c r="W641" s="209"/>
      <c r="X641" s="209"/>
      <c r="Y641" s="209"/>
      <c r="Z641" s="209"/>
      <c r="AA641" s="209"/>
      <c r="AB641" s="209"/>
      <c r="AC641" s="209"/>
      <c r="AD641" s="209"/>
      <c r="AE641" s="209"/>
    </row>
    <row r="642">
      <c r="A642" s="208" t="s">
        <v>2911</v>
      </c>
      <c r="B642" s="189" t="str">
        <f>IFERROR(__xludf.DUMMYFUNCTION("FILTER ('Research Papers'!D:D,'Research Papers'!A:A=C642)"),"ColorBench: Benchmarking Mobile Agents with Graph-Structured Framework for Complex Long-Horizon Tasks")</f>
        <v>ColorBench: Benchmarking Mobile Agents with Graph-Structured Framework for Complex Long-Horizon Tasks</v>
      </c>
      <c r="C642" s="189" t="s">
        <v>746</v>
      </c>
      <c r="D642" s="209" t="str">
        <f t="shared" si="2"/>
        <v>ColorBench: Benchmarking Mobile Agents with Graph-Structured Framework for Complex Long-Horizon Tasks
Yuanyi Song, Heyuan Huang, Qiqiang Lin, Yin Zhao, Xiangmou
Qu, Jun Wang, Xingyu Lou, Weiwen Liu, Zhuosheng Zhang, Jun
Wang, Zhaoxiang Wang, Yong Yu and Weinan Zhang
</v>
      </c>
      <c r="E642" s="209" t="str">
        <f>IFERROR(__xludf.DUMMYFUNCTION("TEXTJOIN(CHAR(10), TRUE,FILTER('Research Papers'!$C:$C,'Research Papers'!$A:$A=C642))"),"Yuanyi Song, Heyuan Huang, Qiqiang Lin, Yin Zhao, Xiangmou
Qu, Jun Wang, Xingyu Lou, Weiwen Liu, Zhuosheng Zhang, Jun
Wang, Zhaoxiang Wang, Yong Yu and Weinan Zhang")</f>
        <v>Yuanyi Song, Heyuan Huang, Qiqiang Lin, Yin Zhao, Xiangmou
Qu, Jun Wang, Xingyu Lou, Weiwen Liu, Zhuosheng Zhang, Jun
Wang, Zhaoxiang Wang, Yong Yu and Weinan Zhang</v>
      </c>
      <c r="F642" s="209" t="str">
        <f>IFERROR(__xludf.DUMMYFUNCTION("TEXTJOIN(CHAR(10), TRUE,FILTER ('Sheridan Main'!E:E,'Sheridan Main'!B:B=C642))"),"wnzhang@sjtu.edu.cn")</f>
        <v>wnzhang@sjtu.edu.cn</v>
      </c>
      <c r="G642" s="210" t="str">
        <f>IFERROR(__xludf.DUMMYFUNCTION("CONCATENATE(""https://dl.acm.org/doi/"",INDEX(FILTER('Sheridan Main'!A:A,'Sheridan Main'!B:B=C642),1))"),"https://dl.acm.org/doi/10.1145/3774904.3792215")</f>
        <v>https://dl.acm.org/doi/10.1145/3774904.3792215</v>
      </c>
      <c r="H642" s="189" t="s">
        <v>207</v>
      </c>
      <c r="I642" s="209"/>
      <c r="J642" s="209"/>
      <c r="K642" s="147"/>
      <c r="L642" s="147"/>
      <c r="M642" s="209"/>
      <c r="N642" s="209"/>
      <c r="O642" s="209"/>
      <c r="P642" s="209"/>
      <c r="Q642" s="209"/>
      <c r="R642" s="209"/>
      <c r="S642" s="209"/>
      <c r="T642" s="209"/>
      <c r="U642" s="209"/>
      <c r="V642" s="209"/>
      <c r="W642" s="209"/>
      <c r="X642" s="209"/>
      <c r="Y642" s="209"/>
      <c r="Z642" s="209"/>
      <c r="AA642" s="209"/>
      <c r="AB642" s="209"/>
      <c r="AC642" s="209"/>
      <c r="AD642" s="209"/>
      <c r="AE642" s="209"/>
    </row>
    <row r="643">
      <c r="A643" s="208" t="s">
        <v>2911</v>
      </c>
      <c r="B643" s="189" t="str">
        <f>IFERROR(__xludf.DUMMYFUNCTION("FILTER ('Research Papers'!D:D,'Research Papers'!A:A=C643)"),"VisionST: Coordinating Cross-modal Traffic Prediction with Interactive Geo-image Encoding")</f>
        <v>VisionST: Coordinating Cross-modal Traffic Prediction with Interactive Geo-image Encoding</v>
      </c>
      <c r="C643" s="189" t="s">
        <v>1210</v>
      </c>
      <c r="D643" s="209" t="str">
        <f t="shared" si="2"/>
        <v>VisionST: Coordinating Cross-modal Traffic Prediction with Interactive Geo-image Encoding
Jinwen Chen, Hao Miao, Chenxi Liu, Yan Zhao and Kai Zheng
</v>
      </c>
      <c r="E643" s="209" t="str">
        <f>IFERROR(__xludf.DUMMYFUNCTION("TEXTJOIN(CHAR(10), TRUE,FILTER('Research Papers'!$C:$C,'Research Papers'!$A:$A=C643))"),"Jinwen Chen, Hao Miao, Chenxi Liu, Yan Zhao and Kai Zheng")</f>
        <v>Jinwen Chen, Hao Miao, Chenxi Liu, Yan Zhao and Kai Zheng</v>
      </c>
      <c r="F643" s="209" t="str">
        <f>IFERROR(__xludf.DUMMYFUNCTION("TEXTJOIN(CHAR(10), TRUE,FILTER ('Sheridan Main'!E:E,'Sheridan Main'!B:B=C643))"),"hao.miao@polyu.edu.hk")</f>
        <v>hao.miao@polyu.edu.hk</v>
      </c>
      <c r="G643" s="210" t="str">
        <f>IFERROR(__xludf.DUMMYFUNCTION("CONCATENATE(""https://dl.acm.org/doi/"",INDEX(FILTER('Sheridan Main'!A:A,'Sheridan Main'!B:B=C643),1))"),"https://dl.acm.org/doi/10.1145/3774904.3792447")</f>
        <v>https://dl.acm.org/doi/10.1145/3774904.3792447</v>
      </c>
      <c r="H643" s="189" t="s">
        <v>207</v>
      </c>
      <c r="I643" s="209"/>
      <c r="J643" s="209"/>
      <c r="K643" s="147"/>
      <c r="L643" s="147"/>
      <c r="M643" s="209"/>
      <c r="N643" s="209"/>
      <c r="O643" s="209"/>
      <c r="P643" s="209"/>
      <c r="Q643" s="209"/>
      <c r="R643" s="209"/>
      <c r="S643" s="209"/>
      <c r="T643" s="209"/>
      <c r="U643" s="209"/>
      <c r="V643" s="209"/>
      <c r="W643" s="209"/>
      <c r="X643" s="209"/>
      <c r="Y643" s="209"/>
      <c r="Z643" s="209"/>
      <c r="AA643" s="209"/>
      <c r="AB643" s="209"/>
      <c r="AC643" s="209"/>
      <c r="AD643" s="209"/>
      <c r="AE643" s="209"/>
    </row>
    <row r="644">
      <c r="A644" s="208" t="s">
        <v>2911</v>
      </c>
      <c r="B644" s="189" t="str">
        <f>IFERROR(__xludf.DUMMYFUNCTION("FILTER ('Research Papers'!D:D,'Research Papers'!A:A=C644)"),"UrbanMoE: A Sparse Multi-Modal Mixture-of-Experts Framework for Multi-Task Urban Region Profiling")</f>
        <v>UrbanMoE: A Sparse Multi-Modal Mixture-of-Experts Framework for Multi-Task Urban Region Profiling</v>
      </c>
      <c r="C644" s="189" t="s">
        <v>1718</v>
      </c>
      <c r="D644" s="209" t="str">
        <f t="shared" si="2"/>
        <v>UrbanMoE: A Sparse Multi-Modal Mixture-of-Experts Framework for Multi-Task Urban Region Profiling
Pingping Liu, Jiamiao Liu, Zijian Zhang, Hao Miao, Qi
Jiang, Qingliang Li, Qiuzhan Zhou and Irwin King
</v>
      </c>
      <c r="E644" s="209" t="str">
        <f>IFERROR(__xludf.DUMMYFUNCTION("TEXTJOIN(CHAR(10), TRUE,FILTER('Research Papers'!$C:$C,'Research Papers'!$A:$A=C644))"),"Pingping Liu, Jiamiao Liu, Zijian Zhang, Hao Miao, Qi
Jiang, Qingliang Li, Qiuzhan Zhou and Irwin King")</f>
        <v>Pingping Liu, Jiamiao Liu, Zijian Zhang, Hao Miao, Qi
Jiang, Qingliang Li, Qiuzhan Zhou and Irwin King</v>
      </c>
      <c r="F644" s="209" t="str">
        <f>IFERROR(__xludf.DUMMYFUNCTION("TEXTJOIN(CHAR(10), TRUE,FILTER ('Sheridan Main'!E:E,'Sheridan Main'!B:B=C644))"),"zhangzijian@jlu.edu.cn")</f>
        <v>zhangzijian@jlu.edu.cn</v>
      </c>
      <c r="G644" s="210" t="str">
        <f>IFERROR(__xludf.DUMMYFUNCTION("CONCATENATE(""https://dl.acm.org/doi/"",INDEX(FILTER('Sheridan Main'!A:A,'Sheridan Main'!B:B=C644),1))"),"https://dl.acm.org/doi/10.1145/3774904.3792701")</f>
        <v>https://dl.acm.org/doi/10.1145/3774904.3792701</v>
      </c>
      <c r="H644" s="189" t="s">
        <v>207</v>
      </c>
      <c r="I644" s="209"/>
      <c r="J644" s="209"/>
      <c r="K644" s="147"/>
      <c r="L644" s="147"/>
      <c r="M644" s="209"/>
      <c r="N644" s="209"/>
      <c r="O644" s="209"/>
      <c r="P644" s="209"/>
      <c r="Q644" s="209"/>
      <c r="R644" s="209"/>
      <c r="S644" s="209"/>
      <c r="T644" s="209"/>
      <c r="U644" s="209"/>
      <c r="V644" s="209"/>
      <c r="W644" s="209"/>
      <c r="X644" s="209"/>
      <c r="Y644" s="209"/>
      <c r="Z644" s="209"/>
      <c r="AA644" s="209"/>
      <c r="AB644" s="209"/>
      <c r="AC644" s="209"/>
      <c r="AD644" s="209"/>
      <c r="AE644" s="209"/>
    </row>
    <row r="645">
      <c r="A645" s="208" t="s">
        <v>2911</v>
      </c>
      <c r="B645" s="189" t="str">
        <f>IFERROR(__xludf.DUMMYFUNCTION("FILTER ('Research Papers'!D:D,'Research Papers'!A:A=C645)"),"Cardinality is Not Enough: Super Host Detection via Segmented Cardinality Estimation")</f>
        <v>Cardinality is Not Enough: Super Host Detection via Segmented Cardinality Estimation</v>
      </c>
      <c r="C645" s="189" t="s">
        <v>458</v>
      </c>
      <c r="D645" s="209" t="str">
        <f t="shared" si="2"/>
        <v>Cardinality is Not Enough: Super Host Detection via Segmented Cardinality Estimation
Yilin Zhao, Jiawei Huang, Xianshi Su, Weihe Li, Xin Li, Yan
Liu, Jiacheng Xie, Qichen Su, Jin Ye, Wanchun Jiang and
Jianxin Wang
</v>
      </c>
      <c r="E645" s="209" t="str">
        <f>IFERROR(__xludf.DUMMYFUNCTION("TEXTJOIN(CHAR(10), TRUE,FILTER('Research Papers'!$C:$C,'Research Papers'!$A:$A=C645))"),"Yilin Zhao, Jiawei Huang, Xianshi Su, Weihe Li, Xin Li, Yan
Liu, Jiacheng Xie, Qichen Su, Jin Ye, Wanchun Jiang and
Jianxin Wang")</f>
        <v>Yilin Zhao, Jiawei Huang, Xianshi Su, Weihe Li, Xin Li, Yan
Liu, Jiacheng Xie, Qichen Su, Jin Ye, Wanchun Jiang and
Jianxin Wang</v>
      </c>
      <c r="F645" s="209" t="str">
        <f>IFERROR(__xludf.DUMMYFUNCTION("TEXTJOIN(CHAR(10), TRUE,FILTER ('Sheridan Main'!E:E,'Sheridan Main'!B:B=C645))"),"jiaweihuang@csu.edu.cn")</f>
        <v>jiaweihuang@csu.edu.cn</v>
      </c>
      <c r="G645" s="210" t="str">
        <f>IFERROR(__xludf.DUMMYFUNCTION("CONCATENATE(""https://dl.acm.org/doi/"",INDEX(FILTER('Sheridan Main'!A:A,'Sheridan Main'!B:B=C645),1))"),"https://dl.acm.org/doi/10.1145/3774904.3792071")</f>
        <v>https://dl.acm.org/doi/10.1145/3774904.3792071</v>
      </c>
      <c r="H645" s="189" t="s">
        <v>2856</v>
      </c>
      <c r="I645" s="189" t="s">
        <v>2912</v>
      </c>
      <c r="J645" s="209"/>
      <c r="K645" s="205" t="s">
        <v>2930</v>
      </c>
      <c r="L645" s="174">
        <f>COUNTIF(H:H,H645)</f>
        <v>38</v>
      </c>
      <c r="M645" s="209"/>
      <c r="N645" s="209"/>
      <c r="O645" s="209"/>
      <c r="P645" s="209"/>
      <c r="Q645" s="209"/>
      <c r="R645" s="209"/>
      <c r="S645" s="209"/>
      <c r="T645" s="209"/>
      <c r="U645" s="209"/>
      <c r="V645" s="209"/>
      <c r="W645" s="209"/>
      <c r="X645" s="209"/>
      <c r="Y645" s="209"/>
      <c r="Z645" s="209"/>
      <c r="AA645" s="209"/>
      <c r="AB645" s="209"/>
      <c r="AC645" s="209"/>
      <c r="AD645" s="209"/>
      <c r="AE645" s="209"/>
    </row>
    <row r="647">
      <c r="A647" s="208" t="s">
        <v>2911</v>
      </c>
      <c r="B647" s="189" t="str">
        <f>IFERROR(__xludf.DUMMYFUNCTION("FILTER ('Research Papers'!D:D,'Research Papers'!A:A=C647)"),"Dynamic Prototype-Augmented Stance Detection: Learning from the Seen to Reason about the Unseen")</f>
        <v>Dynamic Prototype-Augmented Stance Detection: Learning from the Seen to Reason about the Unseen</v>
      </c>
      <c r="C647" s="189" t="s">
        <v>758</v>
      </c>
      <c r="D647" s="209" t="str">
        <f t="shared" ref="D647:D993" si="3">concatenate(B647,char(10),E647,char(10))</f>
        <v>Dynamic Prototype-Augmented Stance Detection: Learning from the Seen to Reason about the Unseen
Zhaodan Zhang, Jin Zhang and Jiafeng Guo
</v>
      </c>
      <c r="E647" s="209" t="str">
        <f>IFERROR(__xludf.DUMMYFUNCTION("TEXTJOIN(CHAR(10), TRUE,FILTER('Research Papers'!$C:$C,'Research Papers'!$A:$A=C647))"),"Zhaodan Zhang, Jin Zhang and Jiafeng Guo")</f>
        <v>Zhaodan Zhang, Jin Zhang and Jiafeng Guo</v>
      </c>
      <c r="F647" s="209" t="str">
        <f>IFERROR(__xludf.DUMMYFUNCTION("TEXTJOIN(CHAR(10), TRUE,FILTER ('Sheridan Main'!E:E,'Sheridan Main'!B:B=C647))"),"zhangzhaodan23s@ict.ac.cn")</f>
        <v>zhangzhaodan23s@ict.ac.cn</v>
      </c>
      <c r="G647" s="210" t="str">
        <f>IFERROR(__xludf.DUMMYFUNCTION("CONCATENATE(""https://dl.acm.org/doi/"",INDEX(FILTER('Sheridan Main'!A:A,'Sheridan Main'!B:B=C647),1))"),"https://dl.acm.org/doi/10.1145/3774904.3792221")</f>
        <v>https://dl.acm.org/doi/10.1145/3774904.3792221</v>
      </c>
      <c r="H647" s="189" t="s">
        <v>2856</v>
      </c>
      <c r="I647" s="189" t="s">
        <v>2912</v>
      </c>
      <c r="J647" s="209"/>
      <c r="K647" s="147"/>
      <c r="L647" s="147"/>
      <c r="M647" s="209"/>
      <c r="N647" s="209"/>
      <c r="O647" s="209"/>
      <c r="P647" s="209"/>
      <c r="Q647" s="209"/>
      <c r="R647" s="209"/>
      <c r="S647" s="209"/>
      <c r="T647" s="209"/>
      <c r="U647" s="209"/>
      <c r="V647" s="209"/>
      <c r="W647" s="209"/>
      <c r="X647" s="209"/>
      <c r="Y647" s="209"/>
      <c r="Z647" s="209"/>
      <c r="AA647" s="209"/>
      <c r="AB647" s="209"/>
      <c r="AC647" s="209"/>
      <c r="AD647" s="209"/>
      <c r="AE647" s="209"/>
    </row>
    <row r="648">
      <c r="A648" s="208" t="s">
        <v>2911</v>
      </c>
      <c r="B648" s="189" t="str">
        <f>IFERROR(__xludf.DUMMYFUNCTION("FILTER ('Research Papers'!D:D,'Research Papers'!A:A=C648)"),"Triple-R: Iterative Query Rewriting and Refinement for Retrieval-Augmented Fake News Detection")</f>
        <v>Triple-R: Iterative Query Rewriting and Refinement for Retrieval-Augmented Fake News Detection</v>
      </c>
      <c r="C648" s="189" t="s">
        <v>808</v>
      </c>
      <c r="D648" s="209" t="str">
        <f t="shared" si="3"/>
        <v>Triple-R: Iterative Query Rewriting and Refinement for Retrieval-Augmented Fake News Detection
Jie Li, Jinrui Wang, Linmei Hu and Yuqiu Deng
</v>
      </c>
      <c r="E648" s="209" t="str">
        <f>IFERROR(__xludf.DUMMYFUNCTION("TEXTJOIN(CHAR(10), TRUE,FILTER('Research Papers'!$C:$C,'Research Papers'!$A:$A=C648))"),"Jie Li, Jinrui Wang, Linmei Hu and Yuqiu Deng")</f>
        <v>Jie Li, Jinrui Wang, Linmei Hu and Yuqiu Deng</v>
      </c>
      <c r="F648" s="209" t="str">
        <f>IFERROR(__xludf.DUMMYFUNCTION("TEXTJOIN(CHAR(10), TRUE,FILTER ('Sheridan Main'!E:E,'Sheridan Main'!B:B=C648))"),"hulinmei@bit.edu.cn")</f>
        <v>hulinmei@bit.edu.cn</v>
      </c>
      <c r="G648" s="210" t="str">
        <f>IFERROR(__xludf.DUMMYFUNCTION("CONCATENATE(""https://dl.acm.org/doi/"",INDEX(FILTER('Sheridan Main'!A:A,'Sheridan Main'!B:B=C648),1))"),"https://dl.acm.org/doi/10.1145/3774904.3792246")</f>
        <v>https://dl.acm.org/doi/10.1145/3774904.3792246</v>
      </c>
      <c r="H648" s="189" t="s">
        <v>2856</v>
      </c>
      <c r="I648" s="189" t="s">
        <v>2912</v>
      </c>
      <c r="J648" s="209"/>
      <c r="K648" s="147"/>
      <c r="L648" s="147"/>
      <c r="M648" s="209"/>
      <c r="N648" s="209"/>
      <c r="O648" s="209"/>
      <c r="P648" s="209"/>
      <c r="Q648" s="209"/>
      <c r="R648" s="209"/>
      <c r="S648" s="209"/>
      <c r="T648" s="209"/>
      <c r="U648" s="209"/>
      <c r="V648" s="209"/>
      <c r="W648" s="209"/>
      <c r="X648" s="209"/>
      <c r="Y648" s="209"/>
      <c r="Z648" s="209"/>
      <c r="AA648" s="209"/>
      <c r="AB648" s="209"/>
      <c r="AC648" s="209"/>
      <c r="AD648" s="209"/>
      <c r="AE648" s="209"/>
    </row>
    <row r="649">
      <c r="A649" s="208" t="s">
        <v>2911</v>
      </c>
      <c r="B649" s="189" t="str">
        <f>IFERROR(__xludf.DUMMYFUNCTION("FILTER ('Research Papers'!D:D,'Research Papers'!A:A=C649)"),"Expectation-Maximization Driven Contrastive Disentanglement for Generalized Category Discovery")</f>
        <v>Expectation-Maximization Driven Contrastive Disentanglement for Generalized Category Discovery</v>
      </c>
      <c r="C649" s="189" t="s">
        <v>826</v>
      </c>
      <c r="D649" s="209" t="str">
        <f t="shared" si="3"/>
        <v>Expectation-Maximization Driven Contrastive Disentanglement for Generalized Category Discovery
Weiyi Yang, Richong Zhang, Junfan Chen, Jiawei Sheng and
Lihong Wang
</v>
      </c>
      <c r="E649" s="209" t="str">
        <f>IFERROR(__xludf.DUMMYFUNCTION("TEXTJOIN(CHAR(10), TRUE,FILTER('Research Papers'!$C:$C,'Research Papers'!$A:$A=C649))"),"Weiyi Yang, Richong Zhang, Junfan Chen, Jiawei Sheng and
Lihong Wang")</f>
        <v>Weiyi Yang, Richong Zhang, Junfan Chen, Jiawei Sheng and
Lihong Wang</v>
      </c>
      <c r="F649" s="209" t="str">
        <f>IFERROR(__xludf.DUMMYFUNCTION("TEXTJOIN(CHAR(10), TRUE,FILTER ('Sheridan Main'!E:E,'Sheridan Main'!B:B=C649))"),"yangweiyi@buaa.edu.cn")</f>
        <v>yangweiyi@buaa.edu.cn</v>
      </c>
      <c r="G649" s="210" t="str">
        <f>IFERROR(__xludf.DUMMYFUNCTION("CONCATENATE(""https://dl.acm.org/doi/"",INDEX(FILTER('Sheridan Main'!A:A,'Sheridan Main'!B:B=C649),1))"),"https://dl.acm.org/doi/10.1145/3774904.3792255")</f>
        <v>https://dl.acm.org/doi/10.1145/3774904.3792255</v>
      </c>
      <c r="H649" s="189" t="s">
        <v>2856</v>
      </c>
      <c r="I649" s="189" t="s">
        <v>2912</v>
      </c>
      <c r="J649" s="209"/>
      <c r="K649" s="147"/>
      <c r="L649" s="147"/>
      <c r="M649" s="209"/>
      <c r="N649" s="209"/>
      <c r="O649" s="209"/>
      <c r="P649" s="209"/>
      <c r="Q649" s="209"/>
      <c r="R649" s="209"/>
      <c r="S649" s="209"/>
      <c r="T649" s="209"/>
      <c r="U649" s="209"/>
      <c r="V649" s="209"/>
      <c r="W649" s="209"/>
      <c r="X649" s="209"/>
      <c r="Y649" s="209"/>
      <c r="Z649" s="209"/>
      <c r="AA649" s="209"/>
      <c r="AB649" s="209"/>
      <c r="AC649" s="209"/>
      <c r="AD649" s="209"/>
      <c r="AE649" s="209"/>
    </row>
    <row r="650">
      <c r="A650" s="208" t="s">
        <v>2911</v>
      </c>
      <c r="B650" s="189" t="str">
        <f>IFERROR(__xludf.DUMMYFUNCTION("FILTER ('Research Papers'!D:D,'Research Papers'!A:A=C650)"),"KMLP: A Scalable Hybrid Architecture for Web-Scale Tabular Data Modeling")</f>
        <v>KMLP: A Scalable Hybrid Architecture for Web-Scale Tabular Data Modeling</v>
      </c>
      <c r="C650" s="189" t="s">
        <v>912</v>
      </c>
      <c r="D650" s="209" t="str">
        <f t="shared" si="3"/>
        <v>KMLP: A Scalable Hybrid Architecture for Web-Scale Tabular Data Modeling
Mingming Zhang, Pengfei Shi, Junbo Zhao, Ningtao Wang, Feng
Zhao, Guandong Sun, Yulin Kang, Xing Fu, Zhiqing Xiao,
Weiqiang Wang and Ruizhe Gao
</v>
      </c>
      <c r="E650" s="209" t="str">
        <f>IFERROR(__xludf.DUMMYFUNCTION("TEXTJOIN(CHAR(10), TRUE,FILTER('Research Papers'!$C:$C,'Research Papers'!$A:$A=C650))"),"Mingming Zhang, Pengfei Shi, Junbo Zhao, Ningtao Wang, Feng
Zhao, Guandong Sun, Yulin Kang, Xing Fu, Zhiqing Xiao,
Weiqiang Wang and Ruizhe Gao")</f>
        <v>Mingming Zhang, Pengfei Shi, Junbo Zhao, Ningtao Wang, Feng
Zhao, Guandong Sun, Yulin Kang, Xing Fu, Zhiqing Xiao,
Weiqiang Wang and Ruizhe Gao</v>
      </c>
      <c r="F650" s="209" t="str">
        <f>IFERROR(__xludf.DUMMYFUNCTION("TEXTJOIN(CHAR(10), TRUE,FILTER ('Sheridan Main'!E:E,'Sheridan Main'!B:B=C650))"),"ningtao.nt@antgroup.com")</f>
        <v>ningtao.nt@antgroup.com</v>
      </c>
      <c r="G650" s="210" t="str">
        <f>IFERROR(__xludf.DUMMYFUNCTION("CONCATENATE(""https://dl.acm.org/doi/"",INDEX(FILTER('Sheridan Main'!A:A,'Sheridan Main'!B:B=C650),1))"),"https://dl.acm.org/doi/10.1145/3774904.3792298")</f>
        <v>https://dl.acm.org/doi/10.1145/3774904.3792298</v>
      </c>
      <c r="H650" s="189" t="s">
        <v>2856</v>
      </c>
      <c r="I650" s="189" t="s">
        <v>2912</v>
      </c>
      <c r="J650" s="209"/>
      <c r="K650" s="147"/>
      <c r="L650" s="147"/>
      <c r="M650" s="209"/>
      <c r="N650" s="209"/>
      <c r="O650" s="209"/>
      <c r="P650" s="209"/>
      <c r="Q650" s="209"/>
      <c r="R650" s="209"/>
      <c r="S650" s="209"/>
      <c r="T650" s="209"/>
      <c r="U650" s="209"/>
      <c r="V650" s="209"/>
      <c r="W650" s="209"/>
      <c r="X650" s="209"/>
      <c r="Y650" s="209"/>
      <c r="Z650" s="209"/>
      <c r="AA650" s="209"/>
      <c r="AB650" s="209"/>
      <c r="AC650" s="209"/>
      <c r="AD650" s="209"/>
      <c r="AE650" s="209"/>
    </row>
    <row r="651">
      <c r="A651" s="208" t="s">
        <v>2911</v>
      </c>
      <c r="B651" s="189" t="str">
        <f>IFERROR(__xludf.DUMMYFUNCTION("FILTER ('Research Papers'!D:D,'Research Papers'!A:A=C651)"),"Measuring and Enhancing Human Value Alignment in Zero-Shot Document-Level Claim Extraction")</f>
        <v>Measuring and Enhancing Human Value Alignment in Zero-Shot Document-Level Claim Extraction</v>
      </c>
      <c r="C651" s="189" t="s">
        <v>914</v>
      </c>
      <c r="D651" s="209" t="str">
        <f t="shared" si="3"/>
        <v>Measuring and Enhancing Human Value Alignment in Zero-Shot Document-Level Claim Extraction
Yuanzhen Hao and Desheng Wu
</v>
      </c>
      <c r="E651" s="209" t="str">
        <f>IFERROR(__xludf.DUMMYFUNCTION("TEXTJOIN(CHAR(10), TRUE,FILTER('Research Papers'!$C:$C,'Research Papers'!$A:$A=C651))"),"Yuanzhen Hao and Desheng Wu")</f>
        <v>Yuanzhen Hao and Desheng Wu</v>
      </c>
      <c r="F651" s="209" t="str">
        <f>IFERROR(__xludf.DUMMYFUNCTION("TEXTJOIN(CHAR(10), TRUE,FILTER ('Sheridan Main'!E:E,'Sheridan Main'!B:B=C651))"),"dwu@ucas.ac.cn")</f>
        <v>dwu@ucas.ac.cn</v>
      </c>
      <c r="G651" s="210" t="str">
        <f>IFERROR(__xludf.DUMMYFUNCTION("CONCATENATE(""https://dl.acm.org/doi/"",INDEX(FILTER('Sheridan Main'!A:A,'Sheridan Main'!B:B=C651),1))"),"https://dl.acm.org/doi/10.1145/3774904.3792299")</f>
        <v>https://dl.acm.org/doi/10.1145/3774904.3792299</v>
      </c>
      <c r="H651" s="189" t="s">
        <v>2856</v>
      </c>
      <c r="I651" s="189" t="s">
        <v>2912</v>
      </c>
      <c r="J651" s="209"/>
      <c r="K651" s="147"/>
      <c r="L651" s="147"/>
      <c r="M651" s="209"/>
      <c r="N651" s="209"/>
      <c r="O651" s="209"/>
      <c r="P651" s="209"/>
      <c r="Q651" s="209"/>
      <c r="R651" s="209"/>
      <c r="S651" s="209"/>
      <c r="T651" s="209"/>
      <c r="U651" s="209"/>
      <c r="V651" s="209"/>
      <c r="W651" s="209"/>
      <c r="X651" s="209"/>
      <c r="Y651" s="209"/>
      <c r="Z651" s="209"/>
      <c r="AA651" s="209"/>
      <c r="AB651" s="209"/>
      <c r="AC651" s="209"/>
      <c r="AD651" s="209"/>
      <c r="AE651" s="209"/>
    </row>
    <row r="652">
      <c r="A652" s="208" t="s">
        <v>2911</v>
      </c>
      <c r="B652" s="189" t="str">
        <f>IFERROR(__xludf.DUMMYFUNCTION("FILTER ('Research Papers'!D:D,'Research Papers'!A:A=C652)"),"Thinking Bidirectionally: A Reasoning and Self-Correction Approach for Text-Based Event Prediction with Large Language Models")</f>
        <v>Thinking Bidirectionally: A Reasoning and Self-Correction Approach for Text-Based Event Prediction with Large Language Models</v>
      </c>
      <c r="C652" s="189" t="s">
        <v>928</v>
      </c>
      <c r="D652" s="209" t="str">
        <f t="shared" si="3"/>
        <v>Thinking Bidirectionally: A Reasoning and Self-Correction Approach for Text-Based Event Prediction with Large Language Models
Liwei Qian, Hang Zhang, Yiheng Wu, Yanmin Li, Mengna Zhu,
Lihua Liu and Jibing Wu
</v>
      </c>
      <c r="E652" s="209" t="str">
        <f>IFERROR(__xludf.DUMMYFUNCTION("TEXTJOIN(CHAR(10), TRUE,FILTER('Research Papers'!$C:$C,'Research Papers'!$A:$A=C652))"),"Liwei Qian, Hang Zhang, Yiheng Wu, Yanmin Li, Mengna Zhu,
Lihua Liu and Jibing Wu")</f>
        <v>Liwei Qian, Hang Zhang, Yiheng Wu, Yanmin Li, Mengna Zhu,
Lihua Liu and Jibing Wu</v>
      </c>
      <c r="F652" s="209" t="str">
        <f>IFERROR(__xludf.DUMMYFUNCTION("TEXTJOIN(CHAR(10), TRUE,FILTER ('Sheridan Main'!E:E,'Sheridan Main'!B:B=C652))"),"wujibing@nudt.edu.cn")</f>
        <v>wujibing@nudt.edu.cn</v>
      </c>
      <c r="G652" s="210" t="str">
        <f>IFERROR(__xludf.DUMMYFUNCTION("CONCATENATE(""https://dl.acm.org/doi/"",INDEX(FILTER('Sheridan Main'!A:A,'Sheridan Main'!B:B=C652),1))"),"https://dl.acm.org/doi/10.1145/3774904.3792306")</f>
        <v>https://dl.acm.org/doi/10.1145/3774904.3792306</v>
      </c>
      <c r="H652" s="189" t="s">
        <v>2856</v>
      </c>
      <c r="I652" s="189" t="s">
        <v>122</v>
      </c>
      <c r="J652" s="209"/>
      <c r="K652" s="147"/>
      <c r="L652" s="147"/>
      <c r="M652" s="209"/>
      <c r="N652" s="209"/>
      <c r="O652" s="209"/>
      <c r="P652" s="209"/>
      <c r="Q652" s="209"/>
      <c r="R652" s="209"/>
      <c r="S652" s="209"/>
      <c r="T652" s="209"/>
      <c r="U652" s="209"/>
      <c r="V652" s="209"/>
      <c r="W652" s="209"/>
      <c r="X652" s="209"/>
      <c r="Y652" s="209"/>
      <c r="Z652" s="209"/>
      <c r="AA652" s="209"/>
      <c r="AB652" s="209"/>
      <c r="AC652" s="209"/>
      <c r="AD652" s="209"/>
      <c r="AE652" s="209"/>
    </row>
    <row r="653">
      <c r="A653" s="208" t="s">
        <v>2911</v>
      </c>
      <c r="B653" s="189" t="str">
        <f>IFERROR(__xludf.DUMMYFUNCTION("FILTER ('Research Papers'!D:D,'Research Papers'!A:A=C653)"),"Hyperbolic Multimodal Generative Representation Learning for Generalized Zero-Shot Multimodal Information Extraction")</f>
        <v>Hyperbolic Multimodal Generative Representation Learning for Generalized Zero-Shot Multimodal Information Extraction</v>
      </c>
      <c r="C653" s="189" t="s">
        <v>938</v>
      </c>
      <c r="D653" s="209" t="str">
        <f t="shared" si="3"/>
        <v>Hyperbolic Multimodal Generative Representation Learning for Generalized Zero-Shot Multimodal Information Extraction
Baohang Zhou, Kehui Song, Rize Jin, Yu Zhao, Xuhui Sui,
Xinying Qian, Xingyue Guo and Ying Zhang
</v>
      </c>
      <c r="E653" s="209" t="str">
        <f>IFERROR(__xludf.DUMMYFUNCTION("TEXTJOIN(CHAR(10), TRUE,FILTER('Research Papers'!$C:$C,'Research Papers'!$A:$A=C653))"),"Baohang Zhou, Kehui Song, Rize Jin, Yu Zhao, Xuhui Sui,
Xinying Qian, Xingyue Guo and Ying Zhang")</f>
        <v>Baohang Zhou, Kehui Song, Rize Jin, Yu Zhao, Xuhui Sui,
Xinying Qian, Xingyue Guo and Ying Zhang</v>
      </c>
      <c r="F653" s="209" t="str">
        <f>IFERROR(__xludf.DUMMYFUNCTION("TEXTJOIN(CHAR(10), TRUE,FILTER ('Sheridan Main'!E:E,'Sheridan Main'!B:B=C653))"),"songkehui@tiangong.edu.cn")</f>
        <v>songkehui@tiangong.edu.cn</v>
      </c>
      <c r="G653" s="210" t="str">
        <f>IFERROR(__xludf.DUMMYFUNCTION("CONCATENATE(""https://dl.acm.org/doi/"",INDEX(FILTER('Sheridan Main'!A:A,'Sheridan Main'!B:B=C653),1))"),"https://dl.acm.org/doi/10.1145/3774904.3792311")</f>
        <v>https://dl.acm.org/doi/10.1145/3774904.3792311</v>
      </c>
      <c r="H653" s="189" t="s">
        <v>2856</v>
      </c>
      <c r="I653" s="189" t="s">
        <v>122</v>
      </c>
      <c r="J653" s="209"/>
      <c r="K653" s="147"/>
      <c r="L653" s="147"/>
      <c r="M653" s="209"/>
      <c r="N653" s="209"/>
      <c r="O653" s="209"/>
      <c r="P653" s="209"/>
      <c r="Q653" s="209"/>
      <c r="R653" s="209"/>
      <c r="S653" s="209"/>
      <c r="T653" s="209"/>
      <c r="U653" s="209"/>
      <c r="V653" s="209"/>
      <c r="W653" s="209"/>
      <c r="X653" s="209"/>
      <c r="Y653" s="209"/>
      <c r="Z653" s="209"/>
      <c r="AA653" s="209"/>
      <c r="AB653" s="209"/>
      <c r="AC653" s="209"/>
      <c r="AD653" s="209"/>
      <c r="AE653" s="209"/>
    </row>
    <row r="654">
      <c r="A654" s="208" t="s">
        <v>2911</v>
      </c>
      <c r="B654" s="189" t="str">
        <f>IFERROR(__xludf.DUMMYFUNCTION("FILTER ('Research Papers'!D:D,'Research Papers'!A:A=C654)"),"MIDE: Multimodal Dialogue Emotion Recognition via Mutual Information Enhancement and Dynamic Modality Selection")</f>
        <v>MIDE: Multimodal Dialogue Emotion Recognition via Mutual Information Enhancement and Dynamic Modality Selection</v>
      </c>
      <c r="C654" s="189" t="s">
        <v>956</v>
      </c>
      <c r="D654" s="209" t="str">
        <f t="shared" si="3"/>
        <v>MIDE: Multimodal Dialogue Emotion Recognition via Mutual Information Enhancement and Dynamic Modality Selection
Zhibo Zhang, Jianjun Li and Zhiyuan Ma
</v>
      </c>
      <c r="E654" s="209" t="str">
        <f>IFERROR(__xludf.DUMMYFUNCTION("TEXTJOIN(CHAR(10), TRUE,FILTER('Research Papers'!$C:$C,'Research Papers'!$A:$A=C654))"),"Zhibo Zhang, Jianjun Li and Zhiyuan Ma")</f>
        <v>Zhibo Zhang, Jianjun Li and Zhiyuan Ma</v>
      </c>
      <c r="F654" s="209" t="str">
        <f>IFERROR(__xludf.DUMMYFUNCTION("TEXTJOIN(CHAR(10), TRUE,FILTER ('Sheridan Main'!E:E,'Sheridan Main'!B:B=C654))"),"jianjunli@hust.edu.cn")</f>
        <v>jianjunli@hust.edu.cn</v>
      </c>
      <c r="G654" s="210" t="str">
        <f>IFERROR(__xludf.DUMMYFUNCTION("CONCATENATE(""https://dl.acm.org/doi/"",INDEX(FILTER('Sheridan Main'!A:A,'Sheridan Main'!B:B=C654),1))"),"https://dl.acm.org/doi/10.1145/3774904.3792320")</f>
        <v>https://dl.acm.org/doi/10.1145/3774904.3792320</v>
      </c>
      <c r="H654" s="189" t="s">
        <v>2856</v>
      </c>
      <c r="I654" s="189" t="s">
        <v>122</v>
      </c>
      <c r="J654" s="209"/>
      <c r="K654" s="147"/>
      <c r="L654" s="147"/>
      <c r="M654" s="209"/>
      <c r="N654" s="209"/>
      <c r="O654" s="209"/>
      <c r="P654" s="209"/>
      <c r="Q654" s="209"/>
      <c r="R654" s="209"/>
      <c r="S654" s="209"/>
      <c r="T654" s="209"/>
      <c r="U654" s="209"/>
      <c r="V654" s="209"/>
      <c r="W654" s="209"/>
      <c r="X654" s="209"/>
      <c r="Y654" s="209"/>
      <c r="Z654" s="209"/>
      <c r="AA654" s="209"/>
      <c r="AB654" s="209"/>
      <c r="AC654" s="209"/>
      <c r="AD654" s="209"/>
      <c r="AE654" s="209"/>
    </row>
    <row r="655">
      <c r="A655" s="208" t="s">
        <v>2911</v>
      </c>
      <c r="B655" s="189" t="str">
        <f>IFERROR(__xludf.DUMMYFUNCTION("FILTER ('Research Papers'!D:D,'Research Papers'!A:A=C655)"),"GFMixer: Decoupled Temporal Gradient and Fourier-Aware Attention for Time Series Forecasting")</f>
        <v>GFMixer: Decoupled Temporal Gradient and Fourier-Aware Attention for Time Series Forecasting</v>
      </c>
      <c r="C655" s="189" t="s">
        <v>1006</v>
      </c>
      <c r="D655" s="209" t="str">
        <f t="shared" si="3"/>
        <v>GFMixer: Decoupled Temporal Gradient and Fourier-Aware Attention for Time Series Forecasting
Lin Zhang, Qing Li and Jingmei Zhao
</v>
      </c>
      <c r="E655" s="209" t="str">
        <f>IFERROR(__xludf.DUMMYFUNCTION("TEXTJOIN(CHAR(10), TRUE,FILTER('Research Papers'!$C:$C,'Research Papers'!$A:$A=C655))"),"Lin Zhang, Qing Li and Jingmei Zhao")</f>
        <v>Lin Zhang, Qing Li and Jingmei Zhao</v>
      </c>
      <c r="F655" s="209" t="str">
        <f>IFERROR(__xludf.DUMMYFUNCTION("TEXTJOIN(CHAR(10), TRUE,FILTER ('Sheridan Main'!E:E,'Sheridan Main'!B:B=C655))"),"liq_t@swufe.edu.cn")</f>
        <v>liq_t@swufe.edu.cn</v>
      </c>
      <c r="G655" s="210" t="str">
        <f>IFERROR(__xludf.DUMMYFUNCTION("CONCATENATE(""https://dl.acm.org/doi/"",INDEX(FILTER('Sheridan Main'!A:A,'Sheridan Main'!B:B=C655),1))"),"https://dl.acm.org/doi/10.1145/3774904.3792345")</f>
        <v>https://dl.acm.org/doi/10.1145/3774904.3792345</v>
      </c>
      <c r="H655" s="189" t="s">
        <v>2856</v>
      </c>
      <c r="I655" s="189" t="s">
        <v>122</v>
      </c>
      <c r="J655" s="209"/>
      <c r="K655" s="147"/>
      <c r="L655" s="147"/>
      <c r="M655" s="209"/>
      <c r="N655" s="209"/>
      <c r="O655" s="209"/>
      <c r="P655" s="209"/>
      <c r="Q655" s="209"/>
      <c r="R655" s="209"/>
      <c r="S655" s="209"/>
      <c r="T655" s="209"/>
      <c r="U655" s="209"/>
      <c r="V655" s="209"/>
      <c r="W655" s="209"/>
      <c r="X655" s="209"/>
      <c r="Y655" s="209"/>
      <c r="Z655" s="209"/>
      <c r="AA655" s="209"/>
      <c r="AB655" s="209"/>
      <c r="AC655" s="209"/>
      <c r="AD655" s="209"/>
      <c r="AE655" s="209"/>
    </row>
    <row r="656">
      <c r="A656" s="208" t="s">
        <v>2911</v>
      </c>
      <c r="B656" s="189" t="str">
        <f>IFERROR(__xludf.DUMMYFUNCTION("FILTER ('Research Papers'!D:D,'Research Papers'!A:A=C656)"),"MIGC-CMamba: Cross-Domain Mamba with Multi-Scale Imaging and Granular-Ball Computing for Traffic Flow Prediction")</f>
        <v>MIGC-CMamba: Cross-Domain Mamba with Multi-Scale Imaging and Granular-Ball Computing for Traffic Flow Prediction</v>
      </c>
      <c r="C656" s="189" t="s">
        <v>1034</v>
      </c>
      <c r="D656" s="209" t="str">
        <f t="shared" si="3"/>
        <v>MIGC-CMamba: Cross-Domain Mamba with Multi-Scale Imaging and Granular-Ball Computing for Traffic Flow Prediction
Wenxia Chang, Chao Zhang, Wentao Li and Deyu Li
</v>
      </c>
      <c r="E656" s="209" t="str">
        <f>IFERROR(__xludf.DUMMYFUNCTION("TEXTJOIN(CHAR(10), TRUE,FILTER('Research Papers'!$C:$C,'Research Papers'!$A:$A=C656))"),"Wenxia Chang, Chao Zhang, Wentao Li and Deyu Li")</f>
        <v>Wenxia Chang, Chao Zhang, Wentao Li and Deyu Li</v>
      </c>
      <c r="F656" s="209" t="str">
        <f>IFERROR(__xludf.DUMMYFUNCTION("TEXTJOIN(CHAR(10), TRUE,FILTER ('Sheridan Main'!E:E,'Sheridan Main'!B:B=C656))"),"czhang@sxu.edu.cn")</f>
        <v>czhang@sxu.edu.cn</v>
      </c>
      <c r="G656" s="210" t="str">
        <f>IFERROR(__xludf.DUMMYFUNCTION("CONCATENATE(""https://dl.acm.org/doi/"",INDEX(FILTER('Sheridan Main'!A:A,'Sheridan Main'!B:B=C656),1))"),"https://dl.acm.org/doi/10.1145/3774904.3792359")</f>
        <v>https://dl.acm.org/doi/10.1145/3774904.3792359</v>
      </c>
      <c r="H656" s="189" t="s">
        <v>2856</v>
      </c>
      <c r="I656" s="189" t="s">
        <v>122</v>
      </c>
      <c r="J656" s="209"/>
      <c r="K656" s="147"/>
      <c r="L656" s="147"/>
      <c r="M656" s="209"/>
      <c r="N656" s="209"/>
      <c r="O656" s="209"/>
      <c r="P656" s="209"/>
      <c r="Q656" s="209"/>
      <c r="R656" s="209"/>
      <c r="S656" s="209"/>
      <c r="T656" s="209"/>
      <c r="U656" s="209"/>
      <c r="V656" s="209"/>
      <c r="W656" s="209"/>
      <c r="X656" s="209"/>
      <c r="Y656" s="209"/>
      <c r="Z656" s="209"/>
      <c r="AA656" s="209"/>
      <c r="AB656" s="209"/>
      <c r="AC656" s="209"/>
      <c r="AD656" s="209"/>
      <c r="AE656" s="209"/>
    </row>
    <row r="657">
      <c r="A657" s="208" t="s">
        <v>2911</v>
      </c>
      <c r="B657" s="189" t="str">
        <f>IFERROR(__xludf.DUMMYFUNCTION("FILTER ('Research Papers'!D:D,'Research Papers'!A:A=C657)"),"STaR: Towards Effective and Stable Table Reasoning via Slow-Thinking Large Language Models")</f>
        <v>STaR: Towards Effective and Stable Table Reasoning via Slow-Thinking Large Language Models</v>
      </c>
      <c r="C657" s="189" t="s">
        <v>1060</v>
      </c>
      <c r="D657" s="209" t="str">
        <f t="shared" si="3"/>
        <v>STaR: Towards Effective and Stable Table Reasoning via Slow-Thinking Large Language Models
Huajian Zhang, Mingyue Cheng, Yucong Luo and Xiaoyu Tao
</v>
      </c>
      <c r="E657" s="209" t="str">
        <f>IFERROR(__xludf.DUMMYFUNCTION("TEXTJOIN(CHAR(10), TRUE,FILTER('Research Papers'!$C:$C,'Research Papers'!$A:$A=C657))"),"Huajian Zhang, Mingyue Cheng, Yucong Luo and Xiaoyu Tao")</f>
        <v>Huajian Zhang, Mingyue Cheng, Yucong Luo and Xiaoyu Tao</v>
      </c>
      <c r="F657" s="209" t="str">
        <f>IFERROR(__xludf.DUMMYFUNCTION("TEXTJOIN(CHAR(10), TRUE,FILTER ('Sheridan Main'!E:E,'Sheridan Main'!B:B=C657))"),"mycheng@ustc.edu.cn")</f>
        <v>mycheng@ustc.edu.cn</v>
      </c>
      <c r="G657" s="210" t="str">
        <f>IFERROR(__xludf.DUMMYFUNCTION("CONCATENATE(""https://dl.acm.org/doi/"",INDEX(FILTER('Sheridan Main'!A:A,'Sheridan Main'!B:B=C657),1))"),"https://dl.acm.org/doi/10.1145/3774904.3792372")</f>
        <v>https://dl.acm.org/doi/10.1145/3774904.3792372</v>
      </c>
      <c r="H657" s="189" t="s">
        <v>2856</v>
      </c>
      <c r="I657" s="189" t="s">
        <v>122</v>
      </c>
      <c r="J657" s="209"/>
      <c r="K657" s="147"/>
      <c r="L657" s="147"/>
      <c r="M657" s="209"/>
      <c r="N657" s="209"/>
      <c r="O657" s="209"/>
      <c r="P657" s="209"/>
      <c r="Q657" s="209"/>
      <c r="R657" s="209"/>
      <c r="S657" s="209"/>
      <c r="T657" s="209"/>
      <c r="U657" s="209"/>
      <c r="V657" s="209"/>
      <c r="W657" s="209"/>
      <c r="X657" s="209"/>
      <c r="Y657" s="209"/>
      <c r="Z657" s="209"/>
      <c r="AA657" s="209"/>
      <c r="AB657" s="209"/>
      <c r="AC657" s="209"/>
      <c r="AD657" s="209"/>
      <c r="AE657" s="209"/>
    </row>
    <row r="658">
      <c r="A658" s="208" t="s">
        <v>2911</v>
      </c>
      <c r="B658" s="189" t="str">
        <f>IFERROR(__xludf.DUMMYFUNCTION("FILTER ('Research Papers'!D:D,'Research Papers'!A:A=C658)"),"Enhancing Large Language Models for Time-Series Forecasting via Vector-Injected In-Context Learning")</f>
        <v>Enhancing Large Language Models for Time-Series Forecasting via Vector-Injected In-Context Learning</v>
      </c>
      <c r="C658" s="189" t="s">
        <v>1064</v>
      </c>
      <c r="D658" s="209" t="str">
        <f t="shared" si="3"/>
        <v>Enhancing Large Language Models for Time-Series Forecasting via Vector-Injected In-Context Learning
Jianqi Zhang, Jingyao Wang, Wenwen Qiang, Fanjiang Xu and
Changwen Zheng
</v>
      </c>
      <c r="E658" s="209" t="str">
        <f>IFERROR(__xludf.DUMMYFUNCTION("TEXTJOIN(CHAR(10), TRUE,FILTER('Research Papers'!$C:$C,'Research Papers'!$A:$A=C658))"),"Jianqi Zhang, Jingyao Wang, Wenwen Qiang, Fanjiang Xu and
Changwen Zheng")</f>
        <v>Jianqi Zhang, Jingyao Wang, Wenwen Qiang, Fanjiang Xu and
Changwen Zheng</v>
      </c>
      <c r="F658" s="209" t="str">
        <f>IFERROR(__xludf.DUMMYFUNCTION("TEXTJOIN(CHAR(10), TRUE,FILTER ('Sheridan Main'!E:E,'Sheridan Main'!B:B=C658))"),"qiang.ww0922@gmail.com
jluzhangjianqi@163.com")</f>
        <v>qiang.ww0922@gmail.com
jluzhangjianqi@163.com</v>
      </c>
      <c r="G658" s="210" t="str">
        <f>IFERROR(__xludf.DUMMYFUNCTION("CONCATENATE(""https://dl.acm.org/doi/"",INDEX(FILTER('Sheridan Main'!A:A,'Sheridan Main'!B:B=C658),1))"),"https://dl.acm.org/doi/10.1145/3774904.3792374")</f>
        <v>https://dl.acm.org/doi/10.1145/3774904.3792374</v>
      </c>
      <c r="H658" s="189" t="s">
        <v>2856</v>
      </c>
      <c r="I658" s="189" t="s">
        <v>122</v>
      </c>
      <c r="J658" s="209"/>
      <c r="K658" s="147"/>
      <c r="L658" s="147"/>
      <c r="M658" s="209"/>
      <c r="N658" s="209"/>
      <c r="O658" s="209"/>
      <c r="P658" s="209"/>
      <c r="Q658" s="209"/>
      <c r="R658" s="209"/>
      <c r="S658" s="209"/>
      <c r="T658" s="209"/>
      <c r="U658" s="209"/>
      <c r="V658" s="209"/>
      <c r="W658" s="209"/>
      <c r="X658" s="209"/>
      <c r="Y658" s="209"/>
      <c r="Z658" s="209"/>
      <c r="AA658" s="209"/>
      <c r="AB658" s="209"/>
      <c r="AC658" s="209"/>
      <c r="AD658" s="209"/>
      <c r="AE658" s="209"/>
    </row>
    <row r="659">
      <c r="A659" s="208" t="s">
        <v>2911</v>
      </c>
      <c r="B659" s="189" t="str">
        <f>IFERROR(__xludf.DUMMYFUNCTION("FILTER ('Research Papers'!D:D,'Research Papers'!A:A=C659)"),"Fusion Is Not A Simple Ensemble! Towards The Evolving Views in Insider Threat Detection")</f>
        <v>Fusion Is Not A Simple Ensemble! Towards The Evolving Views in Insider Threat Detection</v>
      </c>
      <c r="C659" s="189" t="s">
        <v>1112</v>
      </c>
      <c r="D659" s="209" t="str">
        <f t="shared" si="3"/>
        <v>Fusion Is Not A Simple Ensemble! Towards The Evolving Views in Insider Threat Detection
Chengyu Song, Lin Yang, Jianming Zheng, Jingjing Zhang,
Hongyu Kuang, Jinzhi Liao and Mengchun Zhao
</v>
      </c>
      <c r="E659" s="209" t="str">
        <f>IFERROR(__xludf.DUMMYFUNCTION("TEXTJOIN(CHAR(10), TRUE,FILTER('Research Papers'!$C:$C,'Research Papers'!$A:$A=C659))"),"Chengyu Song, Lin Yang, Jianming Zheng, Jingjing Zhang,
Hongyu Kuang, Jinzhi Liao and Mengchun Zhao")</f>
        <v>Chengyu Song, Lin Yang, Jianming Zheng, Jingjing Zhang,
Hongyu Kuang, Jinzhi Liao and Mengchun Zhao</v>
      </c>
      <c r="F659" s="209" t="str">
        <f>IFERROR(__xludf.DUMMYFUNCTION("TEXTJOIN(CHAR(10), TRUE,FILTER ('Sheridan Main'!E:E,'Sheridan Main'!B:B=C659))"),"songchengyu@alumni.nudt.edu.cn")</f>
        <v>songchengyu@alumni.nudt.edu.cn</v>
      </c>
      <c r="G659" s="210" t="str">
        <f>IFERROR(__xludf.DUMMYFUNCTION("CONCATENATE(""https://dl.acm.org/doi/"",INDEX(FILTER('Sheridan Main'!A:A,'Sheridan Main'!B:B=C659),1))"),"https://dl.acm.org/doi/10.1145/3774904.3792398")</f>
        <v>https://dl.acm.org/doi/10.1145/3774904.3792398</v>
      </c>
      <c r="H659" s="189" t="s">
        <v>2856</v>
      </c>
      <c r="I659" s="189" t="s">
        <v>2913</v>
      </c>
      <c r="J659" s="209"/>
      <c r="K659" s="147"/>
      <c r="L659" s="147"/>
      <c r="M659" s="209"/>
      <c r="N659" s="209"/>
      <c r="O659" s="209"/>
      <c r="P659" s="209"/>
      <c r="Q659" s="209"/>
      <c r="R659" s="209"/>
      <c r="S659" s="209"/>
      <c r="T659" s="209"/>
      <c r="U659" s="209"/>
      <c r="V659" s="209"/>
      <c r="W659" s="209"/>
      <c r="X659" s="209"/>
      <c r="Y659" s="209"/>
      <c r="Z659" s="209"/>
      <c r="AA659" s="209"/>
      <c r="AB659" s="209"/>
      <c r="AC659" s="209"/>
      <c r="AD659" s="209"/>
      <c r="AE659" s="209"/>
    </row>
    <row r="660">
      <c r="A660" s="208" t="s">
        <v>2911</v>
      </c>
      <c r="B660" s="189" t="str">
        <f>IFERROR(__xludf.DUMMYFUNCTION("FILTER ('Research Papers'!D:D,'Research Papers'!A:A=C660)"),"Diffusion Generative Recommendation with Continuous Tokens")</f>
        <v>Diffusion Generative Recommendation with Continuous Tokens</v>
      </c>
      <c r="C660" s="189" t="s">
        <v>1172</v>
      </c>
      <c r="D660" s="209" t="str">
        <f t="shared" si="3"/>
        <v>Diffusion Generative Recommendation with Continuous Tokens
Haohao Qu, Shanru Lin, Yujuan Ding, Yiqi Wang and Wenqi Fan
</v>
      </c>
      <c r="E660" s="209" t="str">
        <f>IFERROR(__xludf.DUMMYFUNCTION("TEXTJOIN(CHAR(10), TRUE,FILTER('Research Papers'!$C:$C,'Research Papers'!$A:$A=C660))"),"Haohao Qu, Shanru Lin, Yujuan Ding, Yiqi Wang and Wenqi Fan")</f>
        <v>Haohao Qu, Shanru Lin, Yujuan Ding, Yiqi Wang and Wenqi Fan</v>
      </c>
      <c r="F660" s="209" t="str">
        <f>IFERROR(__xludf.DUMMYFUNCTION("TEXTJOIN(CHAR(10), TRUE,FILTER ('Sheridan Main'!E:E,'Sheridan Main'!B:B=C660))"),"haohao.qu@connect.polyu.hk")</f>
        <v>haohao.qu@connect.polyu.hk</v>
      </c>
      <c r="G660" s="210" t="str">
        <f>IFERROR(__xludf.DUMMYFUNCTION("CONCATENATE(""https://dl.acm.org/doi/"",INDEX(FILTER('Sheridan Main'!A:A,'Sheridan Main'!B:B=C660),1))"),"https://dl.acm.org/doi/10.1145/3774904.3792428")</f>
        <v>https://dl.acm.org/doi/10.1145/3774904.3792428</v>
      </c>
      <c r="H660" s="189" t="s">
        <v>2856</v>
      </c>
      <c r="I660" s="189" t="s">
        <v>2913</v>
      </c>
      <c r="J660" s="209"/>
      <c r="K660" s="147"/>
      <c r="L660" s="147"/>
      <c r="M660" s="209"/>
      <c r="N660" s="209"/>
      <c r="O660" s="209"/>
      <c r="P660" s="209"/>
      <c r="Q660" s="209"/>
      <c r="R660" s="209"/>
      <c r="S660" s="209"/>
      <c r="T660" s="209"/>
      <c r="U660" s="209"/>
      <c r="V660" s="209"/>
      <c r="W660" s="209"/>
      <c r="X660" s="209"/>
      <c r="Y660" s="209"/>
      <c r="Z660" s="209"/>
      <c r="AA660" s="209"/>
      <c r="AB660" s="209"/>
      <c r="AC660" s="209"/>
      <c r="AD660" s="209"/>
      <c r="AE660" s="209"/>
    </row>
    <row r="661">
      <c r="A661" s="208" t="s">
        <v>2911</v>
      </c>
      <c r="B661" s="189" t="str">
        <f>IFERROR(__xludf.DUMMYFUNCTION("FILTER ('Research Papers'!D:D,'Research Papers'!A:A=C661)"),"EEO-TFV: Escape-Explore Optimizer for Web-Scale Time-Series Forecasting and Vision Analysis")</f>
        <v>EEO-TFV: Escape-Explore Optimizer for Web-Scale Time-Series Forecasting and Vision Analysis</v>
      </c>
      <c r="C661" s="189" t="s">
        <v>1184</v>
      </c>
      <c r="D661" s="209" t="str">
        <f t="shared" si="3"/>
        <v>EEO-TFV: Escape-Explore Optimizer for Web-Scale Time-Series Forecasting and Vision Analysis
Hua Wang, Jinghao Lu and Fan Zhang
</v>
      </c>
      <c r="E661" s="209" t="str">
        <f>IFERROR(__xludf.DUMMYFUNCTION("TEXTJOIN(CHAR(10), TRUE,FILTER('Research Papers'!$C:$C,'Research Papers'!$A:$A=C661))"),"Hua Wang, Jinghao Lu and Fan Zhang")</f>
        <v>Hua Wang, Jinghao Lu and Fan Zhang</v>
      </c>
      <c r="F661" s="209" t="str">
        <f>IFERROR(__xludf.DUMMYFUNCTION("TEXTJOIN(CHAR(10), TRUE,FILTER ('Sheridan Main'!E:E,'Sheridan Main'!B:B=C661))"),"Zhangfan51@sina.com")</f>
        <v>Zhangfan51@sina.com</v>
      </c>
      <c r="G661" s="210" t="str">
        <f>IFERROR(__xludf.DUMMYFUNCTION("CONCATENATE(""https://dl.acm.org/doi/"",INDEX(FILTER('Sheridan Main'!A:A,'Sheridan Main'!B:B=C661),1))"),"https://dl.acm.org/doi/10.1145/3774904.3792434")</f>
        <v>https://dl.acm.org/doi/10.1145/3774904.3792434</v>
      </c>
      <c r="H661" s="189" t="s">
        <v>2856</v>
      </c>
      <c r="I661" s="189" t="s">
        <v>2913</v>
      </c>
      <c r="J661" s="209"/>
      <c r="K661" s="147"/>
      <c r="L661" s="147"/>
      <c r="M661" s="209"/>
      <c r="N661" s="209"/>
      <c r="O661" s="209"/>
      <c r="P661" s="209"/>
      <c r="Q661" s="209"/>
      <c r="R661" s="209"/>
      <c r="S661" s="209"/>
      <c r="T661" s="209"/>
      <c r="U661" s="209"/>
      <c r="V661" s="209"/>
      <c r="W661" s="209"/>
      <c r="X661" s="209"/>
      <c r="Y661" s="209"/>
      <c r="Z661" s="209"/>
      <c r="AA661" s="209"/>
      <c r="AB661" s="209"/>
      <c r="AC661" s="209"/>
      <c r="AD661" s="209"/>
      <c r="AE661" s="209"/>
    </row>
    <row r="662">
      <c r="A662" s="208" t="s">
        <v>2911</v>
      </c>
      <c r="B662" s="189" t="str">
        <f>IFERROR(__xludf.DUMMYFUNCTION("FILTER ('Research Papers'!D:D,'Research Papers'!A:A=C662)"),"Towards Multi-Label Text Interpretation with Chain-of-Thought Prompting and Contextualized Knowledge")</f>
        <v>Towards Multi-Label Text Interpretation with Chain-of-Thought Prompting and Contextualized Knowledge</v>
      </c>
      <c r="C662" s="189" t="s">
        <v>1188</v>
      </c>
      <c r="D662" s="209" t="str">
        <f t="shared" si="3"/>
        <v>Towards Multi-Label Text Interpretation with Chain-of-Thought Prompting and Contextualized Knowledge
Rui Wang, Ziang Li, Haiping Huang, Jialin Yu, Yuxiang Zhou
and Guozi Sun
</v>
      </c>
      <c r="E662" s="209" t="str">
        <f>IFERROR(__xludf.DUMMYFUNCTION("TEXTJOIN(CHAR(10), TRUE,FILTER('Research Papers'!$C:$C,'Research Papers'!$A:$A=C662))"),"Rui Wang, Ziang Li, Haiping Huang, Jialin Yu, Yuxiang Zhou
and Guozi Sun")</f>
        <v>Rui Wang, Ziang Li, Haiping Huang, Jialin Yu, Yuxiang Zhou
and Guozi Sun</v>
      </c>
      <c r="F662" s="209" t="str">
        <f>IFERROR(__xludf.DUMMYFUNCTION("TEXTJOIN(CHAR(10), TRUE,FILTER ('Sheridan Main'!E:E,'Sheridan Main'!B:B=C662))"),"hhp@njupt.edu.cn")</f>
        <v>hhp@njupt.edu.cn</v>
      </c>
      <c r="G662" s="210" t="str">
        <f>IFERROR(__xludf.DUMMYFUNCTION("CONCATENATE(""https://dl.acm.org/doi/"",INDEX(FILTER('Sheridan Main'!A:A,'Sheridan Main'!B:B=C662),1))"),"https://dl.acm.org/doi/10.1145/3774904.3792436")</f>
        <v>https://dl.acm.org/doi/10.1145/3774904.3792436</v>
      </c>
      <c r="H662" s="189" t="s">
        <v>2856</v>
      </c>
      <c r="I662" s="189" t="s">
        <v>2913</v>
      </c>
      <c r="J662" s="209"/>
      <c r="K662" s="147"/>
      <c r="L662" s="147"/>
      <c r="M662" s="209"/>
      <c r="N662" s="209"/>
      <c r="O662" s="209"/>
      <c r="P662" s="209"/>
      <c r="Q662" s="209"/>
      <c r="R662" s="209"/>
      <c r="S662" s="209"/>
      <c r="T662" s="209"/>
      <c r="U662" s="209"/>
      <c r="V662" s="209"/>
      <c r="W662" s="209"/>
      <c r="X662" s="209"/>
      <c r="Y662" s="209"/>
      <c r="Z662" s="209"/>
      <c r="AA662" s="209"/>
      <c r="AB662" s="209"/>
      <c r="AC662" s="209"/>
      <c r="AD662" s="209"/>
      <c r="AE662" s="209"/>
    </row>
    <row r="663">
      <c r="A663" s="208" t="s">
        <v>2911</v>
      </c>
      <c r="B663" s="189" t="str">
        <f>IFERROR(__xludf.DUMMYFUNCTION("FILTER ('Research Papers'!D:D,'Research Papers'!A:A=C663)"),"Evolving Proxy Kills Drift: Data-Efficient Streaming Time Series Anomaly Detection")</f>
        <v>Evolving Proxy Kills Drift: Data-Efficient Streaming Time Series Anomaly Detection</v>
      </c>
      <c r="C663" s="189" t="s">
        <v>1196</v>
      </c>
      <c r="D663" s="209" t="str">
        <f t="shared" si="3"/>
        <v>Evolving Proxy Kills Drift: Data-Efficient Streaming Time Series Anomaly Detection
Qing Wei, Hao Miao, Yan Zhao, Kai Zheng, Bin Yang, Volker
Markl and Christian S. Jensen
</v>
      </c>
      <c r="E663" s="209" t="str">
        <f>IFERROR(__xludf.DUMMYFUNCTION("TEXTJOIN(CHAR(10), TRUE,FILTER('Research Papers'!$C:$C,'Research Papers'!$A:$A=C663))"),"Qing Wei, Hao Miao, Yan Zhao, Kai Zheng, Bin Yang, Volker
Markl and Christian S. Jensen")</f>
        <v>Qing Wei, Hao Miao, Yan Zhao, Kai Zheng, Bin Yang, Volker
Markl and Christian S. Jensen</v>
      </c>
      <c r="F663" s="209" t="str">
        <f>IFERROR(__xludf.DUMMYFUNCTION("TEXTJOIN(CHAR(10), TRUE,FILTER ('Sheridan Main'!E:E,'Sheridan Main'!B:B=C663))"),"hao.miao@polyu.edu.hk")</f>
        <v>hao.miao@polyu.edu.hk</v>
      </c>
      <c r="G663" s="210" t="str">
        <f>IFERROR(__xludf.DUMMYFUNCTION("CONCATENATE(""https://dl.acm.org/doi/"",INDEX(FILTER('Sheridan Main'!A:A,'Sheridan Main'!B:B=C663),1))"),"https://dl.acm.org/doi/10.1145/3774904.3792440")</f>
        <v>https://dl.acm.org/doi/10.1145/3774904.3792440</v>
      </c>
      <c r="H663" s="189" t="s">
        <v>2856</v>
      </c>
      <c r="I663" s="189" t="s">
        <v>2913</v>
      </c>
      <c r="J663" s="209"/>
      <c r="K663" s="147"/>
      <c r="L663" s="147"/>
      <c r="M663" s="209"/>
      <c r="N663" s="209"/>
      <c r="O663" s="209"/>
      <c r="P663" s="209"/>
      <c r="Q663" s="209"/>
      <c r="R663" s="209"/>
      <c r="S663" s="209"/>
      <c r="T663" s="209"/>
      <c r="U663" s="209"/>
      <c r="V663" s="209"/>
      <c r="W663" s="209"/>
      <c r="X663" s="209"/>
      <c r="Y663" s="209"/>
      <c r="Z663" s="209"/>
      <c r="AA663" s="209"/>
      <c r="AB663" s="209"/>
      <c r="AC663" s="209"/>
      <c r="AD663" s="209"/>
      <c r="AE663" s="209"/>
    </row>
    <row r="664">
      <c r="A664" s="208" t="s">
        <v>2911</v>
      </c>
      <c r="B664" s="189" t="str">
        <f>IFERROR(__xludf.DUMMYFUNCTION("FILTER ('Research Papers'!D:D,'Research Papers'!A:A=C664)"),"Shift-Resilient Diffusive Imputation for Variable Subset Forecasting")</f>
        <v>Shift-Resilient Diffusive Imputation for Variable Subset Forecasting</v>
      </c>
      <c r="C664" s="189" t="s">
        <v>1338</v>
      </c>
      <c r="D664" s="209" t="str">
        <f t="shared" si="3"/>
        <v>Shift-Resilient Diffusive Imputation for Variable Subset Forecasting
Haihua Xu, Qi Hao, He Zhang, Jianpeng Zhao, Ziyue Qiao, Lu
Jiang, Pengfei Wang, Yingjie Zhou and Pengyang Wang
</v>
      </c>
      <c r="E664" s="209" t="str">
        <f>IFERROR(__xludf.DUMMYFUNCTION("TEXTJOIN(CHAR(10), TRUE,FILTER('Research Papers'!$C:$C,'Research Papers'!$A:$A=C664))"),"Haihua Xu, Qi Hao, He Zhang, Jianpeng Zhao, Ziyue Qiao, Lu
Jiang, Pengfei Wang, Yingjie Zhou and Pengyang Wang")</f>
        <v>Haihua Xu, Qi Hao, He Zhang, Jianpeng Zhao, Ziyue Qiao, Lu
Jiang, Pengfei Wang, Yingjie Zhou and Pengyang Wang</v>
      </c>
      <c r="F664" s="209" t="str">
        <f>IFERROR(__xludf.DUMMYFUNCTION("TEXTJOIN(CHAR(10), TRUE,FILTER ('Sheridan Main'!E:E,'Sheridan Main'!B:B=C664))"),"pywang@um.edu.mo")</f>
        <v>pywang@um.edu.mo</v>
      </c>
      <c r="G664" s="210" t="str">
        <f>IFERROR(__xludf.DUMMYFUNCTION("CONCATENATE(""https://dl.acm.org/doi/"",INDEX(FILTER('Sheridan Main'!A:A,'Sheridan Main'!B:B=C664),1))"),"https://dl.acm.org/doi/10.1145/3774904.3792511")</f>
        <v>https://dl.acm.org/doi/10.1145/3774904.3792511</v>
      </c>
      <c r="H664" s="189" t="s">
        <v>2856</v>
      </c>
      <c r="I664" s="189" t="s">
        <v>2913</v>
      </c>
      <c r="J664" s="209"/>
      <c r="K664" s="147"/>
      <c r="L664" s="147"/>
      <c r="M664" s="209"/>
      <c r="N664" s="209"/>
      <c r="O664" s="209"/>
      <c r="P664" s="209"/>
      <c r="Q664" s="209"/>
      <c r="R664" s="209"/>
      <c r="S664" s="209"/>
      <c r="T664" s="209"/>
      <c r="U664" s="209"/>
      <c r="V664" s="209"/>
      <c r="W664" s="209"/>
      <c r="X664" s="209"/>
      <c r="Y664" s="209"/>
      <c r="Z664" s="209"/>
      <c r="AA664" s="209"/>
      <c r="AB664" s="209"/>
      <c r="AC664" s="209"/>
      <c r="AD664" s="209"/>
      <c r="AE664" s="209"/>
    </row>
    <row r="665">
      <c r="A665" s="208" t="s">
        <v>2911</v>
      </c>
      <c r="B665" s="189" t="str">
        <f>IFERROR(__xludf.DUMMYFUNCTION("FILTER ('Research Papers'!D:D,'Research Papers'!A:A=C665)"),"Leveraging LLM and Multiscale Knowledge States to Improve Knowledge Tracing in Programming Tasks")</f>
        <v>Leveraging LLM and Multiscale Knowledge States to Improve Knowledge Tracing in Programming Tasks</v>
      </c>
      <c r="C665" s="189" t="s">
        <v>1366</v>
      </c>
      <c r="D665" s="209" t="str">
        <f t="shared" si="3"/>
        <v>Leveraging LLM and Multiscale Knowledge States to Improve Knowledge Tracing in Programming Tasks
Mingxing Shao, Tiancheng Zhang, Yifang Yin, Wenhui Wu,
Zikai Li, Minghe Yu, Fangling Leng and Ge Yu
</v>
      </c>
      <c r="E665" s="209" t="str">
        <f>IFERROR(__xludf.DUMMYFUNCTION("TEXTJOIN(CHAR(10), TRUE,FILTER('Research Papers'!$C:$C,'Research Papers'!$A:$A=C665))"),"Mingxing Shao, Tiancheng Zhang, Yifang Yin, Wenhui Wu,
Zikai Li, Minghe Yu, Fangling Leng and Ge Yu")</f>
        <v>Mingxing Shao, Tiancheng Zhang, Yifang Yin, Wenhui Wu,
Zikai Li, Minghe Yu, Fangling Leng and Ge Yu</v>
      </c>
      <c r="F665" s="209" t="str">
        <f>IFERROR(__xludf.DUMMYFUNCTION("TEXTJOIN(CHAR(10), TRUE,FILTER ('Sheridan Main'!E:E,'Sheridan Main'!B:B=C665))"),"tczhang@mail.neu.edu.cn")</f>
        <v>tczhang@mail.neu.edu.cn</v>
      </c>
      <c r="G665" s="210" t="str">
        <f>IFERROR(__xludf.DUMMYFUNCTION("CONCATENATE(""https://dl.acm.org/doi/"",INDEX(FILTER('Sheridan Main'!A:A,'Sheridan Main'!B:B=C665),1))"),"https://dl.acm.org/doi/10.1145/3774904.3792525")</f>
        <v>https://dl.acm.org/doi/10.1145/3774904.3792525</v>
      </c>
      <c r="H665" s="189" t="s">
        <v>2856</v>
      </c>
      <c r="I665" s="189" t="s">
        <v>2913</v>
      </c>
      <c r="J665" s="209"/>
      <c r="K665" s="147"/>
      <c r="L665" s="147"/>
      <c r="M665" s="209"/>
      <c r="N665" s="209"/>
      <c r="O665" s="209"/>
      <c r="P665" s="209"/>
      <c r="Q665" s="209"/>
      <c r="R665" s="209"/>
      <c r="S665" s="209"/>
      <c r="T665" s="209"/>
      <c r="U665" s="209"/>
      <c r="V665" s="209"/>
      <c r="W665" s="209"/>
      <c r="X665" s="209"/>
      <c r="Y665" s="209"/>
      <c r="Z665" s="209"/>
      <c r="AA665" s="209"/>
      <c r="AB665" s="209"/>
      <c r="AC665" s="209"/>
      <c r="AD665" s="209"/>
      <c r="AE665" s="209"/>
    </row>
    <row r="666">
      <c r="A666" s="208" t="s">
        <v>2911</v>
      </c>
      <c r="B666" s="189" t="str">
        <f>IFERROR(__xludf.DUMMYFUNCTION("FILTER ('Research Papers'!D:D,'Research Papers'!A:A=C666)"),"Re-Diffusion: Modeling Latent Residuals with Diffusion for Time-Series Forecasting")</f>
        <v>Re-Diffusion: Modeling Latent Residuals with Diffusion for Time-Series Forecasting</v>
      </c>
      <c r="C666" s="189" t="s">
        <v>1394</v>
      </c>
      <c r="D666" s="209" t="str">
        <f t="shared" si="3"/>
        <v>Re-Diffusion: Modeling Latent Residuals with Diffusion for Time-Series Forecasting
Boning Zhang, Haishuai Wang, Zehong Hu, Jiajun Wang, Hongyi
Zhang and Jia Jia
</v>
      </c>
      <c r="E666" s="209" t="str">
        <f>IFERROR(__xludf.DUMMYFUNCTION("TEXTJOIN(CHAR(10), TRUE,FILTER('Research Papers'!$C:$C,'Research Papers'!$A:$A=C666))"),"Boning Zhang, Haishuai Wang, Zehong Hu, Jiajun Wang, Hongyi
Zhang and Jia Jia")</f>
        <v>Boning Zhang, Haishuai Wang, Zehong Hu, Jiajun Wang, Hongyi
Zhang and Jia Jia</v>
      </c>
      <c r="F666" s="209" t="str">
        <f>IFERROR(__xludf.DUMMYFUNCTION("TEXTJOIN(CHAR(10), TRUE,FILTER ('Sheridan Main'!E:E,'Sheridan Main'!B:B=C666))"),"haishuai.wang@zju.edu.cn")</f>
        <v>haishuai.wang@zju.edu.cn</v>
      </c>
      <c r="G666" s="210" t="str">
        <f>IFERROR(__xludf.DUMMYFUNCTION("CONCATENATE(""https://dl.acm.org/doi/"",INDEX(FILTER('Sheridan Main'!A:A,'Sheridan Main'!B:B=C666),1))"),"https://dl.acm.org/doi/10.1145/3774904.3792539")</f>
        <v>https://dl.acm.org/doi/10.1145/3774904.3792539</v>
      </c>
      <c r="H666" s="189" t="s">
        <v>2856</v>
      </c>
      <c r="I666" s="189" t="s">
        <v>2913</v>
      </c>
      <c r="J666" s="209"/>
      <c r="K666" s="147"/>
      <c r="L666" s="147"/>
      <c r="M666" s="209"/>
      <c r="N666" s="209"/>
      <c r="O666" s="209"/>
      <c r="P666" s="209"/>
      <c r="Q666" s="209"/>
      <c r="R666" s="209"/>
      <c r="S666" s="209"/>
      <c r="T666" s="209"/>
      <c r="U666" s="209"/>
      <c r="V666" s="209"/>
      <c r="W666" s="209"/>
      <c r="X666" s="209"/>
      <c r="Y666" s="209"/>
      <c r="Z666" s="209"/>
      <c r="AA666" s="209"/>
      <c r="AB666" s="209"/>
      <c r="AC666" s="209"/>
      <c r="AD666" s="209"/>
      <c r="AE666" s="209"/>
    </row>
    <row r="667">
      <c r="A667" s="208" t="s">
        <v>2911</v>
      </c>
      <c r="B667" s="189" t="str">
        <f>IFERROR(__xludf.DUMMYFUNCTION("FILTER ('Research Papers'!D:D,'Research Papers'!A:A=C667)"),"Mitigating Cognitive Vulnerabilities in Code Generation via Multi-Agent Adversarial Debate")</f>
        <v>Mitigating Cognitive Vulnerabilities in Code Generation via Multi-Agent Adversarial Debate</v>
      </c>
      <c r="C667" s="189" t="s">
        <v>1430</v>
      </c>
      <c r="D667" s="209" t="str">
        <f t="shared" si="3"/>
        <v>Mitigating Cognitive Vulnerabilities in Code Generation via Multi-Agent Adversarial Debate
Shuofu Liu, Quanjiang Guo, Xiao Liu and Ying Liu
</v>
      </c>
      <c r="E667" s="209" t="str">
        <f>IFERROR(__xludf.DUMMYFUNCTION("TEXTJOIN(CHAR(10), TRUE,FILTER('Research Papers'!$C:$C,'Research Papers'!$A:$A=C667))"),"Shuofu Liu, Quanjiang Guo, Xiao Liu and Ying Liu")</f>
        <v>Shuofu Liu, Quanjiang Guo, Xiao Liu and Ying Liu</v>
      </c>
      <c r="F667" s="209" t="str">
        <f>IFERROR(__xludf.DUMMYFUNCTION("TEXTJOIN(CHAR(10), TRUE,FILTER ('Sheridan Main'!E:E,'Sheridan Main'!B:B=C667))"),"guochance1999@163.com")</f>
        <v>guochance1999@163.com</v>
      </c>
      <c r="G667" s="210" t="str">
        <f>IFERROR(__xludf.DUMMYFUNCTION("CONCATENATE(""https://dl.acm.org/doi/"",INDEX(FILTER('Sheridan Main'!A:A,'Sheridan Main'!B:B=C667),1))"),"https://dl.acm.org/doi/10.1145/3774904.3792557")</f>
        <v>https://dl.acm.org/doi/10.1145/3774904.3792557</v>
      </c>
      <c r="H667" s="189" t="s">
        <v>2856</v>
      </c>
      <c r="I667" s="189" t="s">
        <v>2914</v>
      </c>
      <c r="J667" s="209"/>
      <c r="K667" s="147"/>
      <c r="L667" s="147"/>
      <c r="M667" s="209"/>
      <c r="N667" s="209"/>
      <c r="O667" s="209"/>
      <c r="P667" s="209"/>
      <c r="Q667" s="209"/>
      <c r="R667" s="209"/>
      <c r="S667" s="209"/>
      <c r="T667" s="209"/>
      <c r="U667" s="209"/>
      <c r="V667" s="209"/>
      <c r="W667" s="209"/>
      <c r="X667" s="209"/>
      <c r="Y667" s="209"/>
      <c r="Z667" s="209"/>
      <c r="AA667" s="209"/>
      <c r="AB667" s="209"/>
      <c r="AC667" s="209"/>
      <c r="AD667" s="209"/>
      <c r="AE667" s="209"/>
    </row>
    <row r="668">
      <c r="A668" s="208" t="s">
        <v>2911</v>
      </c>
      <c r="B668" s="189" t="str">
        <f>IFERROR(__xludf.DUMMYFUNCTION("FILTER ('Research Papers'!D:D,'Research Papers'!A:A=C668)"),"E2PL: Effective and Efficient Prompt Learning for Incomplete Multi-view Multi-Label Class Incremental Learning")</f>
        <v>E2PL: Effective and Efficient Prompt Learning for Incomplete Multi-view Multi-Label Class Incremental Learning</v>
      </c>
      <c r="C668" s="189" t="s">
        <v>1460</v>
      </c>
      <c r="D668" s="209" t="str">
        <f t="shared" si="3"/>
        <v>E2PL: Effective and Efficient Prompt Learning for Incomplete Multi-view Multi-Label Class Incremental Learning
Jiajun Chen, Yue Wu, Kai Huang, Wenxi Zhao, Wu Yangyang,
Xiaoye Miao, Mengying Zhu, Meng Xi and Guanjie Cheng
</v>
      </c>
      <c r="E668" s="209" t="str">
        <f>IFERROR(__xludf.DUMMYFUNCTION("TEXTJOIN(CHAR(10), TRUE,FILTER('Research Papers'!$C:$C,'Research Papers'!$A:$A=C668))"),"Jiajun Chen, Yue Wu, Kai Huang, Wenxi Zhao, Wu Yangyang,
Xiaoye Miao, Mengying Zhu, Meng Xi and Guanjie Cheng")</f>
        <v>Jiajun Chen, Yue Wu, Kai Huang, Wenxi Zhao, Wu Yangyang,
Xiaoye Miao, Mengying Zhu, Meng Xi and Guanjie Cheng</v>
      </c>
      <c r="F668" s="209" t="str">
        <f>IFERROR(__xludf.DUMMYFUNCTION("TEXTJOIN(CHAR(10), TRUE,FILTER ('Sheridan Main'!E:E,'Sheridan Main'!B:B=C668))"),"zjuwuyy@zju.edu.cn")</f>
        <v>zjuwuyy@zju.edu.cn</v>
      </c>
      <c r="G668" s="210" t="str">
        <f>IFERROR(__xludf.DUMMYFUNCTION("CONCATENATE(""https://dl.acm.org/doi/"",INDEX(FILTER('Sheridan Main'!A:A,'Sheridan Main'!B:B=C668),1))"),"https://dl.acm.org/doi/10.1145/3774904.3792572")</f>
        <v>https://dl.acm.org/doi/10.1145/3774904.3792572</v>
      </c>
      <c r="H668" s="189" t="s">
        <v>2856</v>
      </c>
      <c r="I668" s="189" t="s">
        <v>2914</v>
      </c>
      <c r="J668" s="209"/>
      <c r="K668" s="147"/>
      <c r="L668" s="147"/>
      <c r="M668" s="209"/>
      <c r="N668" s="209"/>
      <c r="O668" s="209"/>
      <c r="P668" s="209"/>
      <c r="Q668" s="209"/>
      <c r="R668" s="209"/>
      <c r="S668" s="209"/>
      <c r="T668" s="209"/>
      <c r="U668" s="209"/>
      <c r="V668" s="209"/>
      <c r="W668" s="209"/>
      <c r="X668" s="209"/>
      <c r="Y668" s="209"/>
      <c r="Z668" s="209"/>
      <c r="AA668" s="209"/>
      <c r="AB668" s="209"/>
      <c r="AC668" s="209"/>
      <c r="AD668" s="209"/>
      <c r="AE668" s="209"/>
    </row>
    <row r="669">
      <c r="A669" s="208" t="s">
        <v>2911</v>
      </c>
      <c r="B669" s="189" t="str">
        <f>IFERROR(__xludf.DUMMYFUNCTION("FILTER ('Research Papers'!D:D,'Research Papers'!A:A=C669)"),"CIDC: Cluster Identification-Guided Dual Correction for Robust Short Text Clustering")</f>
        <v>CIDC: Cluster Identification-Guided Dual Correction for Robust Short Text Clustering</v>
      </c>
      <c r="C669" s="189" t="s">
        <v>1472</v>
      </c>
      <c r="D669" s="209" t="str">
        <f t="shared" si="3"/>
        <v>CIDC: Cluster Identification-Guided Dual Correction for Robust Short Text Clustering
Yuhua Zhao, Zhixin Han, Xuan Li, Peiyu Xu, Hang Gao,
Mengting Hu and Tiegang Gao
</v>
      </c>
      <c r="E669" s="209" t="str">
        <f>IFERROR(__xludf.DUMMYFUNCTION("TEXTJOIN(CHAR(10), TRUE,FILTER('Research Papers'!$C:$C,'Research Papers'!$A:$A=C669))"),"Yuhua Zhao, Zhixin Han, Xuan Li, Peiyu Xu, Hang Gao,
Mengting Hu and Tiegang Gao")</f>
        <v>Yuhua Zhao, Zhixin Han, Xuan Li, Peiyu Xu, Hang Gao,
Mengting Hu and Tiegang Gao</v>
      </c>
      <c r="F669" s="209" t="str">
        <f>IFERROR(__xludf.DUMMYFUNCTION("TEXTJOIN(CHAR(10), TRUE,FILTER ('Sheridan Main'!E:E,'Sheridan Main'!B:B=C669))"),"mthu@nankai.edu.cn")</f>
        <v>mthu@nankai.edu.cn</v>
      </c>
      <c r="G669" s="210" t="str">
        <f>IFERROR(__xludf.DUMMYFUNCTION("CONCATENATE(""https://dl.acm.org/doi/"",INDEX(FILTER('Sheridan Main'!A:A,'Sheridan Main'!B:B=C669),1))"),"https://dl.acm.org/doi/10.1145/3774904.3792578")</f>
        <v>https://dl.acm.org/doi/10.1145/3774904.3792578</v>
      </c>
      <c r="H669" s="189" t="s">
        <v>2856</v>
      </c>
      <c r="I669" s="189" t="s">
        <v>2914</v>
      </c>
      <c r="J669" s="209"/>
      <c r="K669" s="147"/>
      <c r="L669" s="147"/>
      <c r="M669" s="209"/>
      <c r="N669" s="209"/>
      <c r="O669" s="209"/>
      <c r="P669" s="209"/>
      <c r="Q669" s="209"/>
      <c r="R669" s="209"/>
      <c r="S669" s="209"/>
      <c r="T669" s="209"/>
      <c r="U669" s="209"/>
      <c r="V669" s="209"/>
      <c r="W669" s="209"/>
      <c r="X669" s="209"/>
      <c r="Y669" s="209"/>
      <c r="Z669" s="209"/>
      <c r="AA669" s="209"/>
      <c r="AB669" s="209"/>
      <c r="AC669" s="209"/>
      <c r="AD669" s="209"/>
      <c r="AE669" s="209"/>
    </row>
    <row r="670">
      <c r="A670" s="208" t="s">
        <v>2911</v>
      </c>
      <c r="B670" s="189" t="str">
        <f>IFERROR(__xludf.DUMMYFUNCTION("FILTER ('Research Papers'!D:D,'Research Papers'!A:A=C670)"),"Mamba Hawkes Process for Event Sequence Modeling")</f>
        <v>Mamba Hawkes Process for Event Sequence Modeling</v>
      </c>
      <c r="C670" s="189" t="s">
        <v>1482</v>
      </c>
      <c r="D670" s="209" t="str">
        <f t="shared" si="3"/>
        <v>Mamba Hawkes Process for Event Sequence Modeling
Shan Dai, Yuyang Shen, Yuyang Liang, Chenhao Ma and
Anningzhe Gao
</v>
      </c>
      <c r="E670" s="209" t="str">
        <f>IFERROR(__xludf.DUMMYFUNCTION("TEXTJOIN(CHAR(10), TRUE,FILTER('Research Papers'!$C:$C,'Research Papers'!$A:$A=C670))"),"Shan Dai, Yuyang Shen, Yuyang Liang, Chenhao Ma and
Anningzhe Gao")</f>
        <v>Shan Dai, Yuyang Shen, Yuyang Liang, Chenhao Ma and
Anningzhe Gao</v>
      </c>
      <c r="F670" s="209" t="str">
        <f>IFERROR(__xludf.DUMMYFUNCTION("TEXTJOIN(CHAR(10), TRUE,FILTER ('Sheridan Main'!E:E,'Sheridan Main'!B:B=C670))"),"machenhao@cuhk.edu.cn")</f>
        <v>machenhao@cuhk.edu.cn</v>
      </c>
      <c r="G670" s="210" t="str">
        <f>IFERROR(__xludf.DUMMYFUNCTION("CONCATENATE(""https://dl.acm.org/doi/"",INDEX(FILTER('Sheridan Main'!A:A,'Sheridan Main'!B:B=C670),1))"),"https://dl.acm.org/doi/10.1145/3774904.3792583")</f>
        <v>https://dl.acm.org/doi/10.1145/3774904.3792583</v>
      </c>
      <c r="H670" s="189" t="s">
        <v>2856</v>
      </c>
      <c r="I670" s="189" t="s">
        <v>2914</v>
      </c>
      <c r="J670" s="209"/>
      <c r="K670" s="147"/>
      <c r="L670" s="147"/>
      <c r="M670" s="209"/>
      <c r="N670" s="209"/>
      <c r="O670" s="209"/>
      <c r="P670" s="209"/>
      <c r="Q670" s="209"/>
      <c r="R670" s="209"/>
      <c r="S670" s="209"/>
      <c r="T670" s="209"/>
      <c r="U670" s="209"/>
      <c r="V670" s="209"/>
      <c r="W670" s="209"/>
      <c r="X670" s="209"/>
      <c r="Y670" s="209"/>
      <c r="Z670" s="209"/>
      <c r="AA670" s="209"/>
      <c r="AB670" s="209"/>
      <c r="AC670" s="209"/>
      <c r="AD670" s="209"/>
      <c r="AE670" s="209"/>
    </row>
    <row r="671">
      <c r="A671" s="208" t="s">
        <v>2911</v>
      </c>
      <c r="B671" s="189" t="str">
        <f>IFERROR(__xludf.DUMMYFUNCTION("FILTER ('Research Papers'!D:D,'Research Papers'!A:A=C671)"),"StreamFP: Fingerprint-guided Data Selection for Efficient Stream Learning")</f>
        <v>StreamFP: Fingerprint-guided Data Selection for Efficient Stream Learning</v>
      </c>
      <c r="C671" s="189" t="s">
        <v>1484</v>
      </c>
      <c r="D671" s="209" t="str">
        <f t="shared" si="3"/>
        <v>StreamFP: Fingerprint-guided Data Selection for Efficient Stream Learning
Changwu Li, Tongjun Shi, Shuhao Zhang, Binbin Chen,
Bingsheng He, Xiaofei Liao and Hai Jin
</v>
      </c>
      <c r="E671" s="209" t="str">
        <f>IFERROR(__xludf.DUMMYFUNCTION("TEXTJOIN(CHAR(10), TRUE,FILTER('Research Papers'!$C:$C,'Research Papers'!$A:$A=C671))"),"Changwu Li, Tongjun Shi, Shuhao Zhang, Binbin Chen,
Bingsheng He, Xiaofei Liao and Hai Jin")</f>
        <v>Changwu Li, Tongjun Shi, Shuhao Zhang, Binbin Chen,
Bingsheng He, Xiaofei Liao and Hai Jin</v>
      </c>
      <c r="F671" s="209" t="str">
        <f>IFERROR(__xludf.DUMMYFUNCTION("TEXTJOIN(CHAR(10), TRUE,FILTER ('Sheridan Main'!E:E,'Sheridan Main'!B:B=C671))"),"tonyzhang19900609@gmail.com")</f>
        <v>tonyzhang19900609@gmail.com</v>
      </c>
      <c r="G671" s="210" t="str">
        <f>IFERROR(__xludf.DUMMYFUNCTION("CONCATENATE(""https://dl.acm.org/doi/"",INDEX(FILTER('Sheridan Main'!A:A,'Sheridan Main'!B:B=C671),1))"),"https://dl.acm.org/doi/10.1145/3774904.3792584")</f>
        <v>https://dl.acm.org/doi/10.1145/3774904.3792584</v>
      </c>
      <c r="H671" s="189" t="s">
        <v>2856</v>
      </c>
      <c r="I671" s="189" t="s">
        <v>2914</v>
      </c>
      <c r="J671" s="209"/>
      <c r="K671" s="147"/>
      <c r="L671" s="147"/>
      <c r="M671" s="209"/>
      <c r="N671" s="209"/>
      <c r="O671" s="209"/>
      <c r="P671" s="209"/>
      <c r="Q671" s="209"/>
      <c r="R671" s="209"/>
      <c r="S671" s="209"/>
      <c r="T671" s="209"/>
      <c r="U671" s="209"/>
      <c r="V671" s="209"/>
      <c r="W671" s="209"/>
      <c r="X671" s="209"/>
      <c r="Y671" s="209"/>
      <c r="Z671" s="209"/>
      <c r="AA671" s="209"/>
      <c r="AB671" s="209"/>
      <c r="AC671" s="209"/>
      <c r="AD671" s="209"/>
      <c r="AE671" s="209"/>
    </row>
    <row r="672">
      <c r="A672" s="208" t="s">
        <v>2911</v>
      </c>
      <c r="B672" s="189" t="str">
        <f>IFERROR(__xludf.DUMMYFUNCTION("FILTER ('Research Papers'!D:D,'Research Papers'!A:A=C672)"),"Interpretable Dynamic Network Modeling of Tensor Time Series via Kronecker Time-Varying Graphical Lasso")</f>
        <v>Interpretable Dynamic Network Modeling of Tensor Time Series via Kronecker Time-Varying Graphical Lasso</v>
      </c>
      <c r="C672" s="189" t="s">
        <v>1532</v>
      </c>
      <c r="D672" s="209" t="str">
        <f t="shared" si="3"/>
        <v>Interpretable Dynamic Network Modeling of Tensor Time Series via Kronecker Time-Varying Graphical Lasso
Shingo Higashiguchi, Koki Kawabata, Yasuko Matsubara and
Yasushi Sakurai
</v>
      </c>
      <c r="E672" s="209" t="str">
        <f>IFERROR(__xludf.DUMMYFUNCTION("TEXTJOIN(CHAR(10), TRUE,FILTER('Research Papers'!$C:$C,'Research Papers'!$A:$A=C672))"),"Shingo Higashiguchi, Koki Kawabata, Yasuko Matsubara and
Yasushi Sakurai")</f>
        <v>Shingo Higashiguchi, Koki Kawabata, Yasuko Matsubara and
Yasushi Sakurai</v>
      </c>
      <c r="F672" s="209" t="str">
        <f>IFERROR(__xludf.DUMMYFUNCTION("TEXTJOIN(CHAR(10), TRUE,FILTER ('Sheridan Main'!E:E,'Sheridan Main'!B:B=C672))"),"shingo88@sanken.osaka-u.ac.jp")</f>
        <v>shingo88@sanken.osaka-u.ac.jp</v>
      </c>
      <c r="G672" s="210" t="str">
        <f>IFERROR(__xludf.DUMMYFUNCTION("CONCATENATE(""https://dl.acm.org/doi/"",INDEX(FILTER('Sheridan Main'!A:A,'Sheridan Main'!B:B=C672),1))"),"https://dl.acm.org/doi/10.1145/3774904.3792608")</f>
        <v>https://dl.acm.org/doi/10.1145/3774904.3792608</v>
      </c>
      <c r="H672" s="189" t="s">
        <v>2856</v>
      </c>
      <c r="I672" s="189" t="s">
        <v>2914</v>
      </c>
      <c r="J672" s="209"/>
      <c r="K672" s="147"/>
      <c r="L672" s="147"/>
      <c r="M672" s="209"/>
      <c r="N672" s="209"/>
      <c r="O672" s="209"/>
      <c r="P672" s="209"/>
      <c r="Q672" s="209"/>
      <c r="R672" s="209"/>
      <c r="S672" s="209"/>
      <c r="T672" s="209"/>
      <c r="U672" s="209"/>
      <c r="V672" s="209"/>
      <c r="W672" s="209"/>
      <c r="X672" s="209"/>
      <c r="Y672" s="209"/>
      <c r="Z672" s="209"/>
      <c r="AA672" s="209"/>
      <c r="AB672" s="209"/>
      <c r="AC672" s="209"/>
      <c r="AD672" s="209"/>
      <c r="AE672" s="209"/>
    </row>
    <row r="673">
      <c r="A673" s="208" t="s">
        <v>2911</v>
      </c>
      <c r="B673" s="189" t="str">
        <f>IFERROR(__xludf.DUMMYFUNCTION("FILTER ('Research Papers'!D:D,'Research Papers'!A:A=C673)"),"Bias Mitigation for Harmful Meme Detection using Front-door Adjustment")</f>
        <v>Bias Mitigation for Harmful Meme Detection using Front-door Adjustment</v>
      </c>
      <c r="C673" s="189" t="s">
        <v>1570</v>
      </c>
      <c r="D673" s="209" t="str">
        <f t="shared" si="3"/>
        <v>Bias Mitigation for Harmful Meme Detection using Front-door Adjustment
Jiangfeng Zeng, Cheng Xiong, Xiao Ma and Jialin Qin
</v>
      </c>
      <c r="E673" s="209" t="str">
        <f>IFERROR(__xludf.DUMMYFUNCTION("TEXTJOIN(CHAR(10), TRUE,FILTER('Research Papers'!$C:$C,'Research Papers'!$A:$A=C673))"),"Jiangfeng Zeng, Cheng Xiong, Xiao Ma and Jialin Qin")</f>
        <v>Jiangfeng Zeng, Cheng Xiong, Xiao Ma and Jialin Qin</v>
      </c>
      <c r="F673" s="209" t="str">
        <f>IFERROR(__xludf.DUMMYFUNCTION("TEXTJOIN(CHAR(10), TRUE,FILTER ('Sheridan Main'!E:E,'Sheridan Main'!B:B=C673))"),"jfzeng@ccnu.edu.cn")</f>
        <v>jfzeng@ccnu.edu.cn</v>
      </c>
      <c r="G673" s="210" t="str">
        <f>IFERROR(__xludf.DUMMYFUNCTION("CONCATENATE(""https://dl.acm.org/doi/"",INDEX(FILTER('Sheridan Main'!A:A,'Sheridan Main'!B:B=C673),1))"),"https://dl.acm.org/doi/10.1145/3774904.3792627")</f>
        <v>https://dl.acm.org/doi/10.1145/3774904.3792627</v>
      </c>
      <c r="H673" s="189" t="s">
        <v>2856</v>
      </c>
      <c r="I673" s="189" t="s">
        <v>2914</v>
      </c>
      <c r="J673" s="209"/>
      <c r="K673" s="147"/>
      <c r="L673" s="147"/>
      <c r="M673" s="209"/>
      <c r="N673" s="209"/>
      <c r="O673" s="209"/>
      <c r="P673" s="209"/>
      <c r="Q673" s="209"/>
      <c r="R673" s="209"/>
      <c r="S673" s="209"/>
      <c r="T673" s="209"/>
      <c r="U673" s="209"/>
      <c r="V673" s="209"/>
      <c r="W673" s="209"/>
      <c r="X673" s="209"/>
      <c r="Y673" s="209"/>
      <c r="Z673" s="209"/>
      <c r="AA673" s="209"/>
      <c r="AB673" s="209"/>
      <c r="AC673" s="209"/>
      <c r="AD673" s="209"/>
      <c r="AE673" s="209"/>
    </row>
    <row r="674">
      <c r="A674" s="208" t="s">
        <v>2911</v>
      </c>
      <c r="B674" s="189" t="str">
        <f>IFERROR(__xludf.DUMMYFUNCTION("FILTER ('Research Papers'!D:D,'Research Papers'!A:A=C674)"),"VL-KGE: Vision–Language Models Meet Knowledge Graph Embeddings")</f>
        <v>VL-KGE: Vision–Language Models Meet Knowledge Graph Embeddings</v>
      </c>
      <c r="C674" s="189" t="s">
        <v>1670</v>
      </c>
      <c r="D674" s="209" t="str">
        <f t="shared" si="3"/>
        <v>VL-KGE: Vision–Language Models Meet Knowledge Graph Embeddings
Athanasios Efthymiou, Stevan Rudinac, Monika Kackovic,
Nachoem Wijnberg and Marcel Worring
</v>
      </c>
      <c r="E674" s="209" t="str">
        <f>IFERROR(__xludf.DUMMYFUNCTION("TEXTJOIN(CHAR(10), TRUE,FILTER('Research Papers'!$C:$C,'Research Papers'!$A:$A=C674))"),"Athanasios Efthymiou, Stevan Rudinac, Monika Kackovic,
Nachoem Wijnberg and Marcel Worring")</f>
        <v>Athanasios Efthymiou, Stevan Rudinac, Monika Kackovic,
Nachoem Wijnberg and Marcel Worring</v>
      </c>
      <c r="F674" s="209" t="str">
        <f>IFERROR(__xludf.DUMMYFUNCTION("TEXTJOIN(CHAR(10), TRUE,FILTER ('Sheridan Main'!E:E,'Sheridan Main'!B:B=C674))"),"a.efthymiou@uva.nl")</f>
        <v>a.efthymiou@uva.nl</v>
      </c>
      <c r="G674" s="210" t="str">
        <f>IFERROR(__xludf.DUMMYFUNCTION("CONCATENATE(""https://dl.acm.org/doi/"",INDEX(FILTER('Sheridan Main'!A:A,'Sheridan Main'!B:B=C674),1))"),"https://dl.acm.org/doi/10.1145/3774904.3792677")</f>
        <v>https://dl.acm.org/doi/10.1145/3774904.3792677</v>
      </c>
      <c r="H674" s="189" t="s">
        <v>2856</v>
      </c>
      <c r="I674" s="189" t="s">
        <v>2914</v>
      </c>
      <c r="J674" s="209"/>
      <c r="K674" s="147"/>
      <c r="L674" s="147"/>
      <c r="M674" s="209"/>
      <c r="N674" s="209"/>
      <c r="O674" s="209"/>
      <c r="P674" s="209"/>
      <c r="Q674" s="209"/>
      <c r="R674" s="209"/>
      <c r="S674" s="209"/>
      <c r="T674" s="209"/>
      <c r="U674" s="209"/>
      <c r="V674" s="209"/>
      <c r="W674" s="209"/>
      <c r="X674" s="209"/>
      <c r="Y674" s="209"/>
      <c r="Z674" s="209"/>
      <c r="AA674" s="209"/>
      <c r="AB674" s="209"/>
      <c r="AC674" s="209"/>
      <c r="AD674" s="209"/>
      <c r="AE674" s="209"/>
    </row>
    <row r="675">
      <c r="A675" s="208" t="s">
        <v>2911</v>
      </c>
      <c r="B675" s="189" t="str">
        <f>IFERROR(__xludf.DUMMYFUNCTION("FILTER ('Research Papers'!D:D,'Research Papers'!A:A=C675)"),"GlassMiner: Mining Looking Glass Services via Structure-Semantics Fusion for Web Observability")</f>
        <v>GlassMiner: Mining Looking Glass Services via Structure-Semantics Fusion for Web Observability</v>
      </c>
      <c r="C675" s="189" t="s">
        <v>1712</v>
      </c>
      <c r="D675" s="209" t="str">
        <f t="shared" si="3"/>
        <v>GlassMiner: Mining Looking Glass Services via Structure-Semantics Fusion for Web Observability
Yunze Wei, Xingang Shi, Han Zhang, Tianyu Zhang, Yahui Li
and Xia Yin
</v>
      </c>
      <c r="E675" s="209" t="str">
        <f>IFERROR(__xludf.DUMMYFUNCTION("TEXTJOIN(CHAR(10), TRUE,FILTER('Research Papers'!$C:$C,'Research Papers'!$A:$A=C675))"),"Yunze Wei, Xingang Shi, Han Zhang, Tianyu Zhang, Yahui Li
and Xia Yin")</f>
        <v>Yunze Wei, Xingang Shi, Han Zhang, Tianyu Zhang, Yahui Li
and Xia Yin</v>
      </c>
      <c r="F675" s="209" t="str">
        <f>IFERROR(__xludf.DUMMYFUNCTION("TEXTJOIN(CHAR(10), TRUE,FILTER ('Sheridan Main'!E:E,'Sheridan Main'!B:B=C675))"),"weiyz23@mails.tsinghua.edu.cn")</f>
        <v>weiyz23@mails.tsinghua.edu.cn</v>
      </c>
      <c r="G675" s="210" t="str">
        <f>IFERROR(__xludf.DUMMYFUNCTION("CONCATENATE(""https://dl.acm.org/doi/"",INDEX(FILTER('Sheridan Main'!A:A,'Sheridan Main'!B:B=C675),1))"),"https://dl.acm.org/doi/10.1145/3774904.3792698")</f>
        <v>https://dl.acm.org/doi/10.1145/3774904.3792698</v>
      </c>
      <c r="H675" s="189" t="s">
        <v>2856</v>
      </c>
      <c r="I675" s="189" t="s">
        <v>196</v>
      </c>
      <c r="J675" s="209"/>
      <c r="K675" s="147"/>
      <c r="L675" s="147"/>
      <c r="M675" s="209"/>
      <c r="N675" s="209"/>
      <c r="O675" s="209"/>
      <c r="P675" s="209"/>
      <c r="Q675" s="209"/>
      <c r="R675" s="209"/>
      <c r="S675" s="209"/>
      <c r="T675" s="209"/>
      <c r="U675" s="209"/>
      <c r="V675" s="209"/>
      <c r="W675" s="209"/>
      <c r="X675" s="209"/>
      <c r="Y675" s="209"/>
      <c r="Z675" s="209"/>
      <c r="AA675" s="209"/>
      <c r="AB675" s="209"/>
      <c r="AC675" s="209"/>
      <c r="AD675" s="209"/>
      <c r="AE675" s="209"/>
    </row>
    <row r="676">
      <c r="A676" s="208" t="s">
        <v>2911</v>
      </c>
      <c r="B676" s="189" t="str">
        <f>IFERROR(__xludf.DUMMYFUNCTION("FILTER ('Research Papers'!D:D,'Research Papers'!A:A=C676)"),"From Newborn to Impact: Bias-Aware Citation Prediction")</f>
        <v>From Newborn to Impact: Bias-Aware Citation Prediction</v>
      </c>
      <c r="C676" s="189" t="s">
        <v>1720</v>
      </c>
      <c r="D676" s="209" t="str">
        <f t="shared" si="3"/>
        <v>From Newborn to Impact: Bias-Aware Citation Prediction
Mingfei Lu, Mengjia Wu, Jiawei Xu, Weikai Li, Feng Liu,
Ying Ding, Yizhou Sun, Jie Lu and Yi Zhang
</v>
      </c>
      <c r="E676" s="209" t="str">
        <f>IFERROR(__xludf.DUMMYFUNCTION("TEXTJOIN(CHAR(10), TRUE,FILTER('Research Papers'!$C:$C,'Research Papers'!$A:$A=C676))"),"Mingfei Lu, Mengjia Wu, Jiawei Xu, Weikai Li, Feng Liu,
Ying Ding, Yizhou Sun, Jie Lu and Yi Zhang")</f>
        <v>Mingfei Lu, Mengjia Wu, Jiawei Xu, Weikai Li, Feng Liu,
Ying Ding, Yizhou Sun, Jie Lu and Yi Zhang</v>
      </c>
      <c r="F676" s="209" t="str">
        <f>IFERROR(__xludf.DUMMYFUNCTION("TEXTJOIN(CHAR(10), TRUE,FILTER ('Sheridan Main'!E:E,'Sheridan Main'!B:B=C676))"),"Yi.Zhang@uts.edu.au")</f>
        <v>Yi.Zhang@uts.edu.au</v>
      </c>
      <c r="G676" s="210" t="str">
        <f>IFERROR(__xludf.DUMMYFUNCTION("CONCATENATE(""https://dl.acm.org/doi/"",INDEX(FILTER('Sheridan Main'!A:A,'Sheridan Main'!B:B=C676),1))"),"https://dl.acm.org/doi/10.1145/3774904.3792702")</f>
        <v>https://dl.acm.org/doi/10.1145/3774904.3792702</v>
      </c>
      <c r="H676" s="189" t="s">
        <v>2856</v>
      </c>
      <c r="I676" s="189" t="s">
        <v>196</v>
      </c>
      <c r="J676" s="209"/>
      <c r="K676" s="147"/>
      <c r="L676" s="147"/>
      <c r="M676" s="209"/>
      <c r="N676" s="209"/>
      <c r="O676" s="209"/>
      <c r="P676" s="209"/>
      <c r="Q676" s="209"/>
      <c r="R676" s="209"/>
      <c r="S676" s="209"/>
      <c r="T676" s="209"/>
      <c r="U676" s="209"/>
      <c r="V676" s="209"/>
      <c r="W676" s="209"/>
      <c r="X676" s="209"/>
      <c r="Y676" s="209"/>
      <c r="Z676" s="209"/>
      <c r="AA676" s="209"/>
      <c r="AB676" s="209"/>
      <c r="AC676" s="209"/>
      <c r="AD676" s="209"/>
      <c r="AE676" s="209"/>
    </row>
    <row r="677">
      <c r="A677" s="208" t="s">
        <v>2911</v>
      </c>
      <c r="B677" s="189" t="str">
        <f>IFERROR(__xludf.DUMMYFUNCTION("FILTER ('Research Papers'!D:D,'Research Papers'!A:A=C677)"),"FedRMamba: Federated Residual Mamba for Multivariate Time-Series Forecasting")</f>
        <v>FedRMamba: Federated Residual Mamba for Multivariate Time-Series Forecasting</v>
      </c>
      <c r="C677" s="189" t="s">
        <v>1740</v>
      </c>
      <c r="D677" s="209" t="str">
        <f t="shared" si="3"/>
        <v>FedRMamba: Federated Residual Mamba for Multivariate Time-Series Forecasting
Zhiwei Hu, Liang Zhang and Guangxu Zhu
</v>
      </c>
      <c r="E677" s="209" t="str">
        <f>IFERROR(__xludf.DUMMYFUNCTION("TEXTJOIN(CHAR(10), TRUE,FILTER('Research Papers'!$C:$C,'Research Papers'!$A:$A=C677))"),"Zhiwei Hu, Liang Zhang and Guangxu Zhu")</f>
        <v>Zhiwei Hu, Liang Zhang and Guangxu Zhu</v>
      </c>
      <c r="F677" s="209" t="str">
        <f>IFERROR(__xludf.DUMMYFUNCTION("TEXTJOIN(CHAR(10), TRUE,FILTER ('Sheridan Main'!E:E,'Sheridan Main'!B:B=C677))"),"gxzhu@sribd.cn")</f>
        <v>gxzhu@sribd.cn</v>
      </c>
      <c r="G677" s="210" t="str">
        <f>IFERROR(__xludf.DUMMYFUNCTION("CONCATENATE(""https://dl.acm.org/doi/"",INDEX(FILTER('Sheridan Main'!A:A,'Sheridan Main'!B:B=C677),1))"),"https://dl.acm.org/doi/10.1145/3774904.3792712")</f>
        <v>https://dl.acm.org/doi/10.1145/3774904.3792712</v>
      </c>
      <c r="H677" s="189" t="s">
        <v>2856</v>
      </c>
      <c r="I677" s="189" t="s">
        <v>196</v>
      </c>
      <c r="J677" s="209"/>
      <c r="K677" s="147"/>
      <c r="L677" s="147"/>
      <c r="M677" s="209"/>
      <c r="N677" s="209"/>
      <c r="O677" s="209"/>
      <c r="P677" s="209"/>
      <c r="Q677" s="209"/>
      <c r="R677" s="209"/>
      <c r="S677" s="209"/>
      <c r="T677" s="209"/>
      <c r="U677" s="209"/>
      <c r="V677" s="209"/>
      <c r="W677" s="209"/>
      <c r="X677" s="209"/>
      <c r="Y677" s="209"/>
      <c r="Z677" s="209"/>
      <c r="AA677" s="209"/>
      <c r="AB677" s="209"/>
      <c r="AC677" s="209"/>
      <c r="AD677" s="209"/>
      <c r="AE677" s="209"/>
    </row>
    <row r="678">
      <c r="A678" s="208" t="s">
        <v>2911</v>
      </c>
      <c r="B678" s="189" t="str">
        <f>IFERROR(__xludf.DUMMYFUNCTION("FILTER ('Research Papers'!D:D,'Research Papers'!A:A=C678)"),"Prompt-Induced Linguistic Fingerprints for LLM-Generated Fake News Detection")</f>
        <v>Prompt-Induced Linguistic Fingerprints for LLM-Generated Fake News Detection</v>
      </c>
      <c r="C678" s="189" t="s">
        <v>1762</v>
      </c>
      <c r="D678" s="209" t="str">
        <f t="shared" si="3"/>
        <v>Prompt-Induced Linguistic Fingerprints for LLM-Generated Fake News Detection
Chi Wang, Min Gao, Zongwei Wang, Junwei Yin, Kai Shu and
Chenghua Lin
</v>
      </c>
      <c r="E678" s="209" t="str">
        <f>IFERROR(__xludf.DUMMYFUNCTION("TEXTJOIN(CHAR(10), TRUE,FILTER('Research Papers'!$C:$C,'Research Papers'!$A:$A=C678))"),"Chi Wang, Min Gao, Zongwei Wang, Junwei Yin, Kai Shu and
Chenghua Lin")</f>
        <v>Chi Wang, Min Gao, Zongwei Wang, Junwei Yin, Kai Shu and
Chenghua Lin</v>
      </c>
      <c r="F678" s="209" t="str">
        <f>IFERROR(__xludf.DUMMYFUNCTION("TEXTJOIN(CHAR(10), TRUE,FILTER ('Sheridan Main'!E:E,'Sheridan Main'!B:B=C678))"),"gaomin@cqu.edu.cn")</f>
        <v>gaomin@cqu.edu.cn</v>
      </c>
      <c r="G678" s="210" t="str">
        <f>IFERROR(__xludf.DUMMYFUNCTION("CONCATENATE(""https://dl.acm.org/doi/"",INDEX(FILTER('Sheridan Main'!A:A,'Sheridan Main'!B:B=C678),1))"),"https://dl.acm.org/doi/10.1145/3774904.3792723")</f>
        <v>https://dl.acm.org/doi/10.1145/3774904.3792723</v>
      </c>
      <c r="H678" s="189" t="s">
        <v>2856</v>
      </c>
      <c r="I678" s="189" t="s">
        <v>196</v>
      </c>
      <c r="J678" s="209"/>
      <c r="K678" s="147"/>
      <c r="L678" s="147"/>
      <c r="M678" s="209"/>
      <c r="N678" s="209"/>
      <c r="O678" s="209"/>
      <c r="P678" s="209"/>
      <c r="Q678" s="209"/>
      <c r="R678" s="209"/>
      <c r="S678" s="209"/>
      <c r="T678" s="209"/>
      <c r="U678" s="209"/>
      <c r="V678" s="209"/>
      <c r="W678" s="209"/>
      <c r="X678" s="209"/>
      <c r="Y678" s="209"/>
      <c r="Z678" s="209"/>
      <c r="AA678" s="209"/>
      <c r="AB678" s="209"/>
      <c r="AC678" s="209"/>
      <c r="AD678" s="209"/>
      <c r="AE678" s="209"/>
    </row>
    <row r="679">
      <c r="A679" s="208" t="s">
        <v>2911</v>
      </c>
      <c r="B679" s="189" t="str">
        <f>IFERROR(__xludf.DUMMYFUNCTION("FILTER ('Research Papers'!D:D,'Research Papers'!A:A=C679)"),"BARouter: A Budget-adaptive Online Large Language Model Router Framework")</f>
        <v>BARouter: A Budget-adaptive Online Large Language Model Router Framework</v>
      </c>
      <c r="C679" s="189" t="s">
        <v>1766</v>
      </c>
      <c r="D679" s="209" t="str">
        <f t="shared" si="3"/>
        <v>BARouter: A Budget-adaptive Online Large Language Model Router Framework
Lingkai Zu, Xiyue Peng and Xin Liu
</v>
      </c>
      <c r="E679" s="209" t="str">
        <f>IFERROR(__xludf.DUMMYFUNCTION("TEXTJOIN(CHAR(10), TRUE,FILTER('Research Papers'!$C:$C,'Research Papers'!$A:$A=C679))"),"Lingkai Zu, Xiyue Peng and Xin Liu")</f>
        <v>Lingkai Zu, Xiyue Peng and Xin Liu</v>
      </c>
      <c r="F679" s="209" t="str">
        <f>IFERROR(__xludf.DUMMYFUNCTION("TEXTJOIN(CHAR(10), TRUE,FILTER ('Sheridan Main'!E:E,'Sheridan Main'!B:B=C679))"),"liuxin7@shanghaitech.edu.cn")</f>
        <v>liuxin7@shanghaitech.edu.cn</v>
      </c>
      <c r="G679" s="210" t="str">
        <f>IFERROR(__xludf.DUMMYFUNCTION("CONCATENATE(""https://dl.acm.org/doi/"",INDEX(FILTER('Sheridan Main'!A:A,'Sheridan Main'!B:B=C679),1))"),"https://dl.acm.org/doi/10.1145/3774904.3792725")</f>
        <v>https://dl.acm.org/doi/10.1145/3774904.3792725</v>
      </c>
      <c r="H679" s="189" t="s">
        <v>2856</v>
      </c>
      <c r="I679" s="189" t="s">
        <v>196</v>
      </c>
      <c r="J679" s="209"/>
      <c r="K679" s="147"/>
      <c r="L679" s="147"/>
      <c r="M679" s="209"/>
      <c r="N679" s="209"/>
      <c r="O679" s="209"/>
      <c r="P679" s="209"/>
      <c r="Q679" s="209"/>
      <c r="R679" s="209"/>
      <c r="S679" s="209"/>
      <c r="T679" s="209"/>
      <c r="U679" s="209"/>
      <c r="V679" s="209"/>
      <c r="W679" s="209"/>
      <c r="X679" s="209"/>
      <c r="Y679" s="209"/>
      <c r="Z679" s="209"/>
      <c r="AA679" s="209"/>
      <c r="AB679" s="209"/>
      <c r="AC679" s="209"/>
      <c r="AD679" s="209"/>
      <c r="AE679" s="209"/>
    </row>
    <row r="680">
      <c r="A680" s="208" t="s">
        <v>2911</v>
      </c>
      <c r="B680" s="189" t="str">
        <f>IFERROR(__xludf.DUMMYFUNCTION("FILTER ('Research Papers'!D:D,'Research Papers'!A:A=C680)"),"Moral Outrage Shapes Commitments Beyond Attention: Multimodal Moral Emotions on YouTube in Korea and the US")</f>
        <v>Moral Outrage Shapes Commitments Beyond Attention: Multimodal Moral Emotions on YouTube in Korea and the US</v>
      </c>
      <c r="C680" s="189" t="s">
        <v>1772</v>
      </c>
      <c r="D680" s="209" t="str">
        <f t="shared" si="3"/>
        <v>Moral Outrage Shapes Commitments Beyond Attention: Multimodal Moral Emotions on YouTube in Korea and the US
Seongchan Park, Jaehong Kim, Hyeonseung Kim, Heejin Bin,
Sue Moon and Wonjae Lee
</v>
      </c>
      <c r="E680" s="209" t="str">
        <f>IFERROR(__xludf.DUMMYFUNCTION("TEXTJOIN(CHAR(10), TRUE,FILTER('Research Papers'!$C:$C,'Research Papers'!$A:$A=C680))"),"Seongchan Park, Jaehong Kim, Hyeonseung Kim, Heejin Bin,
Sue Moon and Wonjae Lee")</f>
        <v>Seongchan Park, Jaehong Kim, Hyeonseung Kim, Heejin Bin,
Sue Moon and Wonjae Lee</v>
      </c>
      <c r="F680" s="209" t="str">
        <f>IFERROR(__xludf.DUMMYFUNCTION("TEXTJOIN(CHAR(10), TRUE,FILTER ('Sheridan Main'!E:E,'Sheridan Main'!B:B=C680))"),"wnjlee@kaist.ac.kr")</f>
        <v>wnjlee@kaist.ac.kr</v>
      </c>
      <c r="G680" s="210" t="str">
        <f>IFERROR(__xludf.DUMMYFUNCTION("CONCATENATE(""https://dl.acm.org/doi/"",INDEX(FILTER('Sheridan Main'!A:A,'Sheridan Main'!B:B=C680),1))"),"https://dl.acm.org/doi/10.1145/3774904.3792728")</f>
        <v>https://dl.acm.org/doi/10.1145/3774904.3792728</v>
      </c>
      <c r="H680" s="189" t="s">
        <v>2856</v>
      </c>
      <c r="I680" s="189" t="s">
        <v>196</v>
      </c>
      <c r="J680" s="209"/>
      <c r="K680" s="147"/>
      <c r="L680" s="147"/>
      <c r="M680" s="209"/>
      <c r="N680" s="209"/>
      <c r="O680" s="209"/>
      <c r="P680" s="209"/>
      <c r="Q680" s="209"/>
      <c r="R680" s="209"/>
      <c r="S680" s="209"/>
      <c r="T680" s="209"/>
      <c r="U680" s="209"/>
      <c r="V680" s="209"/>
      <c r="W680" s="209"/>
      <c r="X680" s="209"/>
      <c r="Y680" s="209"/>
      <c r="Z680" s="209"/>
      <c r="AA680" s="209"/>
      <c r="AB680" s="209"/>
      <c r="AC680" s="209"/>
      <c r="AD680" s="209"/>
      <c r="AE680" s="209"/>
    </row>
    <row r="681">
      <c r="A681" s="208" t="s">
        <v>2911</v>
      </c>
      <c r="B681" s="189" t="str">
        <f>IFERROR(__xludf.DUMMYFUNCTION("FILTER ('Research Papers'!D:D,'Research Papers'!A:A=C681)"),"Dynamic Multi-period Experts for Online Time Series Forecasting")</f>
        <v>Dynamic Multi-period Experts for Online Time Series Forecasting</v>
      </c>
      <c r="C681" s="189" t="s">
        <v>1778</v>
      </c>
      <c r="D681" s="209" t="str">
        <f t="shared" si="3"/>
        <v>Dynamic Multi-period Experts for Online Time Series Forecasting
Seungha Hong, Sukang Chae, Suyeon Kim, Sanghwan Jang and
Hwanjo Yu
</v>
      </c>
      <c r="E681" s="209" t="str">
        <f>IFERROR(__xludf.DUMMYFUNCTION("TEXTJOIN(CHAR(10), TRUE,FILTER('Research Papers'!$C:$C,'Research Papers'!$A:$A=C681))"),"Seungha Hong, Sukang Chae, Suyeon Kim, Sanghwan Jang and
Hwanjo Yu")</f>
        <v>Seungha Hong, Sukang Chae, Suyeon Kim, Sanghwan Jang and
Hwanjo Yu</v>
      </c>
      <c r="F681" s="209" t="str">
        <f>IFERROR(__xludf.DUMMYFUNCTION("TEXTJOIN(CHAR(10), TRUE,FILTER ('Sheridan Main'!E:E,'Sheridan Main'!B:B=C681))"),"shhong97@postech.ac.kr")</f>
        <v>shhong97@postech.ac.kr</v>
      </c>
      <c r="G681" s="210" t="str">
        <f>IFERROR(__xludf.DUMMYFUNCTION("CONCATENATE(""https://dl.acm.org/doi/"",INDEX(FILTER('Sheridan Main'!A:A,'Sheridan Main'!B:B=C681),1))"),"https://dl.acm.org/doi/10.1145/3774904.3792731")</f>
        <v>https://dl.acm.org/doi/10.1145/3774904.3792731</v>
      </c>
      <c r="H681" s="189" t="s">
        <v>2856</v>
      </c>
      <c r="I681" s="189" t="s">
        <v>196</v>
      </c>
      <c r="J681" s="209"/>
      <c r="K681" s="147"/>
      <c r="L681" s="147"/>
      <c r="M681" s="209"/>
      <c r="N681" s="209"/>
      <c r="O681" s="209"/>
      <c r="P681" s="209"/>
      <c r="Q681" s="209"/>
      <c r="R681" s="209"/>
      <c r="S681" s="209"/>
      <c r="T681" s="209"/>
      <c r="U681" s="209"/>
      <c r="V681" s="209"/>
      <c r="W681" s="209"/>
      <c r="X681" s="209"/>
      <c r="Y681" s="209"/>
      <c r="Z681" s="209"/>
      <c r="AA681" s="209"/>
      <c r="AB681" s="209"/>
      <c r="AC681" s="209"/>
      <c r="AD681" s="209"/>
      <c r="AE681" s="209"/>
    </row>
    <row r="682">
      <c r="A682" s="208" t="s">
        <v>2911</v>
      </c>
      <c r="B682" s="189" t="str">
        <f>IFERROR(__xludf.DUMMYFUNCTION("FILTER ('Research Papers'!D:D,'Research Papers'!A:A=C682)"),"Unlocking the Multilingual Long-Tail Web: A Fused Macro-Micro Framework for Scalable Content Analysis")</f>
        <v>Unlocking the Multilingual Long-Tail Web: A Fused Macro-Micro Framework for Scalable Content Analysis</v>
      </c>
      <c r="C682" s="189" t="s">
        <v>1782</v>
      </c>
      <c r="D682" s="209" t="str">
        <f t="shared" si="3"/>
        <v>Unlocking the Multilingual Long-Tail Web: A Fused Macro-Micro Framework for Scalable Content Analysis
Jiarui Zhang, Yifan Deng and Qihao Wang
</v>
      </c>
      <c r="E682" s="209" t="str">
        <f>IFERROR(__xludf.DUMMYFUNCTION("TEXTJOIN(CHAR(10), TRUE,FILTER('Research Papers'!$C:$C,'Research Papers'!$A:$A=C682))"),"Jiarui Zhang, Yifan Deng and Qihao Wang")</f>
        <v>Jiarui Zhang, Yifan Deng and Qihao Wang</v>
      </c>
      <c r="F682" s="209" t="str">
        <f>IFERROR(__xludf.DUMMYFUNCTION("TEXTJOIN(CHAR(10), TRUE,FILTER ('Sheridan Main'!E:E,'Sheridan Main'!B:B=C682))"),"zhangjiarui@iie.ac.cn")</f>
        <v>zhangjiarui@iie.ac.cn</v>
      </c>
      <c r="G682" s="210" t="str">
        <f>IFERROR(__xludf.DUMMYFUNCTION("CONCATENATE(""https://dl.acm.org/doi/"",INDEX(FILTER('Sheridan Main'!A:A,'Sheridan Main'!B:B=C682),1))"),"https://dl.acm.org/doi/10.1145/3774904.3792733")</f>
        <v>https://dl.acm.org/doi/10.1145/3774904.3792733</v>
      </c>
      <c r="H682" s="189" t="s">
        <v>2856</v>
      </c>
      <c r="I682" s="189" t="s">
        <v>196</v>
      </c>
      <c r="J682" s="209"/>
      <c r="K682" s="147"/>
      <c r="L682" s="147"/>
      <c r="M682" s="209"/>
      <c r="N682" s="209"/>
      <c r="O682" s="209"/>
      <c r="P682" s="209"/>
      <c r="Q682" s="209"/>
      <c r="R682" s="209"/>
      <c r="S682" s="209"/>
      <c r="T682" s="209"/>
      <c r="U682" s="209"/>
      <c r="V682" s="209"/>
      <c r="W682" s="209"/>
      <c r="X682" s="209"/>
      <c r="Y682" s="209"/>
      <c r="Z682" s="209"/>
      <c r="AA682" s="209"/>
      <c r="AB682" s="209"/>
      <c r="AC682" s="209"/>
      <c r="AD682" s="209"/>
      <c r="AE682" s="209"/>
    </row>
    <row r="683">
      <c r="A683" s="209"/>
      <c r="B683" s="209"/>
      <c r="C683" s="209"/>
      <c r="D683" s="209" t="str">
        <f t="shared" si="3"/>
        <v>
</v>
      </c>
      <c r="E683" s="209" t="str">
        <f>IFERROR(__xludf.DUMMYFUNCTION("TEXTJOIN(CHAR(10), TRUE,FILTER('Research Papers'!$C:$C,'Research Papers'!$A:$A=C683))"),"")</f>
        <v/>
      </c>
      <c r="F683" s="209"/>
      <c r="G683" s="209"/>
      <c r="H683" s="209"/>
      <c r="I683" s="209"/>
      <c r="J683" s="209"/>
      <c r="K683" s="147"/>
      <c r="L683" s="147"/>
      <c r="M683" s="209"/>
      <c r="N683" s="209"/>
      <c r="O683" s="209"/>
      <c r="P683" s="209"/>
      <c r="Q683" s="209"/>
      <c r="R683" s="209"/>
      <c r="S683" s="209"/>
      <c r="T683" s="209"/>
      <c r="U683" s="209"/>
      <c r="V683" s="209"/>
      <c r="W683" s="209"/>
      <c r="X683" s="209"/>
      <c r="Y683" s="209"/>
      <c r="Z683" s="209"/>
      <c r="AA683" s="209"/>
      <c r="AB683" s="209"/>
      <c r="AC683" s="209"/>
      <c r="AD683" s="209"/>
      <c r="AE683" s="209"/>
    </row>
    <row r="684">
      <c r="A684" s="209"/>
      <c r="B684" s="209"/>
      <c r="C684" s="209"/>
      <c r="D684" s="209" t="str">
        <f t="shared" si="3"/>
        <v>
</v>
      </c>
      <c r="E684" s="209"/>
      <c r="F684" s="209"/>
      <c r="G684" s="209"/>
      <c r="H684" s="209"/>
      <c r="I684" s="209"/>
      <c r="J684" s="209"/>
      <c r="K684" s="147"/>
      <c r="L684" s="147"/>
      <c r="M684" s="209"/>
      <c r="N684" s="209"/>
      <c r="O684" s="209"/>
      <c r="P684" s="209"/>
      <c r="Q684" s="209"/>
      <c r="R684" s="209"/>
      <c r="S684" s="209"/>
      <c r="T684" s="209"/>
      <c r="U684" s="209"/>
      <c r="V684" s="209"/>
      <c r="W684" s="209"/>
      <c r="X684" s="209"/>
      <c r="Y684" s="209"/>
      <c r="Z684" s="209"/>
      <c r="AA684" s="209"/>
      <c r="AB684" s="209"/>
      <c r="AC684" s="209"/>
      <c r="AD684" s="209"/>
      <c r="AE684" s="209"/>
    </row>
    <row r="685">
      <c r="A685" s="209"/>
      <c r="B685" s="209"/>
      <c r="C685" s="209"/>
      <c r="D685" s="209" t="str">
        <f t="shared" si="3"/>
        <v>
</v>
      </c>
      <c r="E685" s="209"/>
      <c r="F685" s="209"/>
      <c r="G685" s="209"/>
      <c r="H685" s="209"/>
      <c r="I685" s="209"/>
      <c r="J685" s="209"/>
      <c r="K685" s="147"/>
      <c r="L685" s="147"/>
      <c r="M685" s="209"/>
      <c r="N685" s="209"/>
      <c r="O685" s="209"/>
      <c r="P685" s="209"/>
      <c r="Q685" s="209"/>
      <c r="R685" s="209"/>
      <c r="S685" s="209"/>
      <c r="T685" s="209"/>
      <c r="U685" s="209"/>
      <c r="V685" s="209"/>
      <c r="W685" s="209"/>
      <c r="X685" s="209"/>
      <c r="Y685" s="209"/>
      <c r="Z685" s="209"/>
      <c r="AA685" s="209"/>
      <c r="AB685" s="209"/>
      <c r="AC685" s="209"/>
      <c r="AD685" s="209"/>
      <c r="AE685" s="209"/>
    </row>
    <row r="686">
      <c r="A686" s="209"/>
      <c r="B686" s="209"/>
      <c r="C686" s="209"/>
      <c r="D686" s="209" t="str">
        <f t="shared" si="3"/>
        <v>
</v>
      </c>
      <c r="E686" s="209"/>
      <c r="F686" s="209"/>
      <c r="G686" s="209"/>
      <c r="H686" s="209"/>
      <c r="I686" s="209"/>
      <c r="J686" s="209"/>
      <c r="K686" s="147"/>
      <c r="L686" s="147"/>
      <c r="M686" s="209"/>
      <c r="N686" s="209"/>
      <c r="O686" s="209"/>
      <c r="P686" s="209"/>
      <c r="Q686" s="209"/>
      <c r="R686" s="209"/>
      <c r="S686" s="209"/>
      <c r="T686" s="209"/>
      <c r="U686" s="209"/>
      <c r="V686" s="209"/>
      <c r="W686" s="209"/>
      <c r="X686" s="209"/>
      <c r="Y686" s="209"/>
      <c r="Z686" s="209"/>
      <c r="AA686" s="209"/>
      <c r="AB686" s="209"/>
      <c r="AC686" s="209"/>
      <c r="AD686" s="209"/>
      <c r="AE686" s="209"/>
    </row>
    <row r="687">
      <c r="A687" s="209"/>
      <c r="B687" s="209"/>
      <c r="C687" s="209"/>
      <c r="D687" s="209" t="str">
        <f t="shared" si="3"/>
        <v>
</v>
      </c>
      <c r="E687" s="209"/>
      <c r="F687" s="209"/>
      <c r="G687" s="209"/>
      <c r="H687" s="209"/>
      <c r="I687" s="209"/>
      <c r="J687" s="209"/>
      <c r="K687" s="147"/>
      <c r="L687" s="147"/>
      <c r="M687" s="209"/>
      <c r="N687" s="209"/>
      <c r="O687" s="209"/>
      <c r="P687" s="209"/>
      <c r="Q687" s="209"/>
      <c r="R687" s="209"/>
      <c r="S687" s="209"/>
      <c r="T687" s="209"/>
      <c r="U687" s="209"/>
      <c r="V687" s="209"/>
      <c r="W687" s="209"/>
      <c r="X687" s="209"/>
      <c r="Y687" s="209"/>
      <c r="Z687" s="209"/>
      <c r="AA687" s="209"/>
      <c r="AB687" s="209"/>
      <c r="AC687" s="209"/>
      <c r="AD687" s="209"/>
      <c r="AE687" s="209"/>
    </row>
    <row r="688">
      <c r="A688" s="209"/>
      <c r="B688" s="209"/>
      <c r="C688" s="209"/>
      <c r="D688" s="209" t="str">
        <f t="shared" si="3"/>
        <v>
</v>
      </c>
      <c r="E688" s="209"/>
      <c r="F688" s="209"/>
      <c r="G688" s="209"/>
      <c r="H688" s="209"/>
      <c r="I688" s="209"/>
      <c r="J688" s="209"/>
      <c r="K688" s="147"/>
      <c r="L688" s="147"/>
      <c r="M688" s="209"/>
      <c r="N688" s="209"/>
      <c r="O688" s="209"/>
      <c r="P688" s="209"/>
      <c r="Q688" s="209"/>
      <c r="R688" s="209"/>
      <c r="S688" s="209"/>
      <c r="T688" s="209"/>
      <c r="U688" s="209"/>
      <c r="V688" s="209"/>
      <c r="W688" s="209"/>
      <c r="X688" s="209"/>
      <c r="Y688" s="209"/>
      <c r="Z688" s="209"/>
      <c r="AA688" s="209"/>
      <c r="AB688" s="209"/>
      <c r="AC688" s="209"/>
      <c r="AD688" s="209"/>
      <c r="AE688" s="209"/>
    </row>
    <row r="689">
      <c r="A689" s="209"/>
      <c r="B689" s="209"/>
      <c r="C689" s="209"/>
      <c r="D689" s="209" t="str">
        <f t="shared" si="3"/>
        <v>
</v>
      </c>
      <c r="E689" s="209"/>
      <c r="F689" s="209"/>
      <c r="G689" s="209"/>
      <c r="H689" s="209"/>
      <c r="I689" s="209"/>
      <c r="J689" s="209"/>
      <c r="K689" s="147"/>
      <c r="L689" s="147"/>
      <c r="M689" s="209"/>
      <c r="N689" s="209"/>
      <c r="O689" s="209"/>
      <c r="P689" s="209"/>
      <c r="Q689" s="209"/>
      <c r="R689" s="209"/>
      <c r="S689" s="209"/>
      <c r="T689" s="209"/>
      <c r="U689" s="209"/>
      <c r="V689" s="209"/>
      <c r="W689" s="209"/>
      <c r="X689" s="209"/>
      <c r="Y689" s="209"/>
      <c r="Z689" s="209"/>
      <c r="AA689" s="209"/>
      <c r="AB689" s="209"/>
      <c r="AC689" s="209"/>
      <c r="AD689" s="209"/>
      <c r="AE689" s="209"/>
    </row>
    <row r="690">
      <c r="A690" s="209"/>
      <c r="B690" s="209"/>
      <c r="C690" s="209"/>
      <c r="D690" s="209" t="str">
        <f t="shared" si="3"/>
        <v>
</v>
      </c>
      <c r="E690" s="209"/>
      <c r="F690" s="209"/>
      <c r="G690" s="209"/>
      <c r="H690" s="209"/>
      <c r="I690" s="209"/>
      <c r="J690" s="209"/>
      <c r="K690" s="147"/>
      <c r="L690" s="147"/>
      <c r="M690" s="209"/>
      <c r="N690" s="209"/>
      <c r="O690" s="209"/>
      <c r="P690" s="209"/>
      <c r="Q690" s="209"/>
      <c r="R690" s="209"/>
      <c r="S690" s="209"/>
      <c r="T690" s="209"/>
      <c r="U690" s="209"/>
      <c r="V690" s="209"/>
      <c r="W690" s="209"/>
      <c r="X690" s="209"/>
      <c r="Y690" s="209"/>
      <c r="Z690" s="209"/>
      <c r="AA690" s="209"/>
      <c r="AB690" s="209"/>
      <c r="AC690" s="209"/>
      <c r="AD690" s="209"/>
      <c r="AE690" s="209"/>
    </row>
    <row r="691">
      <c r="A691" s="209"/>
      <c r="B691" s="209"/>
      <c r="C691" s="209"/>
      <c r="D691" s="209" t="str">
        <f t="shared" si="3"/>
        <v>
</v>
      </c>
      <c r="E691" s="209"/>
      <c r="F691" s="209"/>
      <c r="G691" s="209"/>
      <c r="H691" s="209"/>
      <c r="I691" s="209"/>
      <c r="J691" s="209"/>
      <c r="K691" s="147"/>
      <c r="L691" s="147"/>
      <c r="M691" s="209"/>
      <c r="N691" s="209"/>
      <c r="O691" s="209"/>
      <c r="P691" s="209"/>
      <c r="Q691" s="209"/>
      <c r="R691" s="209"/>
      <c r="S691" s="209"/>
      <c r="T691" s="209"/>
      <c r="U691" s="209"/>
      <c r="V691" s="209"/>
      <c r="W691" s="209"/>
      <c r="X691" s="209"/>
      <c r="Y691" s="209"/>
      <c r="Z691" s="209"/>
      <c r="AA691" s="209"/>
      <c r="AB691" s="209"/>
      <c r="AC691" s="209"/>
      <c r="AD691" s="209"/>
      <c r="AE691" s="209"/>
    </row>
    <row r="692">
      <c r="A692" s="209"/>
      <c r="B692" s="209"/>
      <c r="C692" s="209"/>
      <c r="D692" s="209" t="str">
        <f t="shared" si="3"/>
        <v>
</v>
      </c>
      <c r="E692" s="209"/>
      <c r="F692" s="209"/>
      <c r="G692" s="209"/>
      <c r="H692" s="209"/>
      <c r="I692" s="209"/>
      <c r="J692" s="209"/>
      <c r="K692" s="147"/>
      <c r="L692" s="147"/>
      <c r="M692" s="209"/>
      <c r="N692" s="209"/>
      <c r="O692" s="209"/>
      <c r="P692" s="209"/>
      <c r="Q692" s="209"/>
      <c r="R692" s="209"/>
      <c r="S692" s="209"/>
      <c r="T692" s="209"/>
      <c r="U692" s="209"/>
      <c r="V692" s="209"/>
      <c r="W692" s="209"/>
      <c r="X692" s="209"/>
      <c r="Y692" s="209"/>
      <c r="Z692" s="209"/>
      <c r="AA692" s="209"/>
      <c r="AB692" s="209"/>
      <c r="AC692" s="209"/>
      <c r="AD692" s="209"/>
      <c r="AE692" s="209"/>
    </row>
    <row r="693">
      <c r="A693" s="209"/>
      <c r="B693" s="209"/>
      <c r="C693" s="209"/>
      <c r="D693" s="209" t="str">
        <f t="shared" si="3"/>
        <v>
</v>
      </c>
      <c r="E693" s="209"/>
      <c r="F693" s="209" t="str">
        <f>IFERROR(__xludf.DUMMYFUNCTION("TEXTJOIN(CHAR(10), TRUE,FILTER ('Sheridan Main'!E:E,'Sheridan Main'!B:B=C693))"),"")</f>
        <v/>
      </c>
      <c r="G693" s="209"/>
      <c r="H693" s="209"/>
      <c r="I693" s="209"/>
      <c r="J693" s="209"/>
      <c r="K693" s="147"/>
      <c r="L693" s="147"/>
      <c r="M693" s="209"/>
      <c r="N693" s="209"/>
      <c r="O693" s="209"/>
      <c r="P693" s="209"/>
      <c r="Q693" s="209"/>
      <c r="R693" s="209"/>
      <c r="S693" s="209"/>
      <c r="T693" s="209"/>
      <c r="U693" s="209"/>
      <c r="V693" s="209"/>
      <c r="W693" s="209"/>
      <c r="X693" s="209"/>
      <c r="Y693" s="209"/>
      <c r="Z693" s="209"/>
      <c r="AA693" s="209"/>
      <c r="AB693" s="209"/>
      <c r="AC693" s="209"/>
      <c r="AD693" s="209"/>
      <c r="AE693" s="209"/>
    </row>
    <row r="694">
      <c r="A694" s="209"/>
      <c r="B694" s="209"/>
      <c r="C694" s="209"/>
      <c r="D694" s="209" t="str">
        <f t="shared" si="3"/>
        <v>
</v>
      </c>
      <c r="E694" s="209"/>
      <c r="F694" s="209" t="str">
        <f>IFERROR(__xludf.DUMMYFUNCTION("TEXTJOIN(CHAR(10), TRUE,FILTER ('Sheridan Main'!E:E,'Sheridan Main'!B:B=C694))"),"")</f>
        <v/>
      </c>
      <c r="G694" s="209"/>
      <c r="H694" s="209"/>
      <c r="I694" s="209"/>
      <c r="J694" s="209"/>
      <c r="K694" s="147"/>
      <c r="L694" s="147"/>
      <c r="M694" s="209"/>
      <c r="N694" s="209"/>
      <c r="O694" s="209"/>
      <c r="P694" s="209"/>
      <c r="Q694" s="209"/>
      <c r="R694" s="209"/>
      <c r="S694" s="209"/>
      <c r="T694" s="209"/>
      <c r="U694" s="209"/>
      <c r="V694" s="209"/>
      <c r="W694" s="209"/>
      <c r="X694" s="209"/>
      <c r="Y694" s="209"/>
      <c r="Z694" s="209"/>
      <c r="AA694" s="209"/>
      <c r="AB694" s="209"/>
      <c r="AC694" s="209"/>
      <c r="AD694" s="209"/>
      <c r="AE694" s="209"/>
    </row>
    <row r="695">
      <c r="A695" s="209"/>
      <c r="B695" s="209"/>
      <c r="C695" s="209"/>
      <c r="D695" s="209" t="str">
        <f t="shared" si="3"/>
        <v>
</v>
      </c>
      <c r="E695" s="209"/>
      <c r="F695" s="209"/>
      <c r="G695" s="209"/>
      <c r="H695" s="209"/>
      <c r="I695" s="209"/>
      <c r="J695" s="209"/>
      <c r="K695" s="147"/>
      <c r="L695" s="147"/>
      <c r="M695" s="209"/>
      <c r="N695" s="209"/>
      <c r="O695" s="209"/>
      <c r="P695" s="209"/>
      <c r="Q695" s="209"/>
      <c r="R695" s="209"/>
      <c r="S695" s="209"/>
      <c r="T695" s="209"/>
      <c r="U695" s="209"/>
      <c r="V695" s="209"/>
      <c r="W695" s="209"/>
      <c r="X695" s="209"/>
      <c r="Y695" s="209"/>
      <c r="Z695" s="209"/>
      <c r="AA695" s="209"/>
      <c r="AB695" s="209"/>
      <c r="AC695" s="209"/>
      <c r="AD695" s="209"/>
      <c r="AE695" s="209"/>
    </row>
    <row r="696">
      <c r="A696" s="209"/>
      <c r="B696" s="209"/>
      <c r="C696" s="209"/>
      <c r="D696" s="209" t="str">
        <f t="shared" si="3"/>
        <v>
</v>
      </c>
      <c r="E696" s="209"/>
      <c r="F696" s="209"/>
      <c r="G696" s="209"/>
      <c r="H696" s="209"/>
      <c r="I696" s="209"/>
      <c r="J696" s="209"/>
      <c r="K696" s="147"/>
      <c r="L696" s="147"/>
      <c r="M696" s="209"/>
      <c r="N696" s="209"/>
      <c r="O696" s="209"/>
      <c r="P696" s="209"/>
      <c r="Q696" s="209"/>
      <c r="R696" s="209"/>
      <c r="S696" s="209"/>
      <c r="T696" s="209"/>
      <c r="U696" s="209"/>
      <c r="V696" s="209"/>
      <c r="W696" s="209"/>
      <c r="X696" s="209"/>
      <c r="Y696" s="209"/>
      <c r="Z696" s="209"/>
      <c r="AA696" s="209"/>
      <c r="AB696" s="209"/>
      <c r="AC696" s="209"/>
      <c r="AD696" s="209"/>
      <c r="AE696" s="209"/>
    </row>
    <row r="697">
      <c r="A697" s="209"/>
      <c r="B697" s="209"/>
      <c r="C697" s="209"/>
      <c r="D697" s="209" t="str">
        <f t="shared" si="3"/>
        <v>
</v>
      </c>
      <c r="E697" s="209"/>
      <c r="F697" s="209"/>
      <c r="G697" s="209"/>
      <c r="H697" s="209"/>
      <c r="I697" s="209"/>
      <c r="J697" s="209"/>
      <c r="K697" s="147"/>
      <c r="L697" s="147"/>
      <c r="M697" s="209"/>
      <c r="N697" s="209"/>
      <c r="O697" s="209"/>
      <c r="P697" s="209"/>
      <c r="Q697" s="209"/>
      <c r="R697" s="209"/>
      <c r="S697" s="209"/>
      <c r="T697" s="209"/>
      <c r="U697" s="209"/>
      <c r="V697" s="209"/>
      <c r="W697" s="209"/>
      <c r="X697" s="209"/>
      <c r="Y697" s="209"/>
      <c r="Z697" s="209"/>
      <c r="AA697" s="209"/>
      <c r="AB697" s="209"/>
      <c r="AC697" s="209"/>
      <c r="AD697" s="209"/>
      <c r="AE697" s="209"/>
    </row>
    <row r="698">
      <c r="A698" s="209"/>
      <c r="B698" s="209"/>
      <c r="C698" s="209"/>
      <c r="D698" s="209" t="str">
        <f t="shared" si="3"/>
        <v>
</v>
      </c>
      <c r="E698" s="209"/>
      <c r="F698" s="209"/>
      <c r="G698" s="209"/>
      <c r="H698" s="209"/>
      <c r="I698" s="209"/>
      <c r="J698" s="209"/>
      <c r="K698" s="147"/>
      <c r="L698" s="147"/>
      <c r="M698" s="209"/>
      <c r="N698" s="209"/>
      <c r="O698" s="209"/>
      <c r="P698" s="209"/>
      <c r="Q698" s="209"/>
      <c r="R698" s="209"/>
      <c r="S698" s="209"/>
      <c r="T698" s="209"/>
      <c r="U698" s="209"/>
      <c r="V698" s="209"/>
      <c r="W698" s="209"/>
      <c r="X698" s="209"/>
      <c r="Y698" s="209"/>
      <c r="Z698" s="209"/>
      <c r="AA698" s="209"/>
      <c r="AB698" s="209"/>
      <c r="AC698" s="209"/>
      <c r="AD698" s="209"/>
      <c r="AE698" s="209"/>
    </row>
    <row r="699">
      <c r="A699" s="209"/>
      <c r="B699" s="209"/>
      <c r="C699" s="209"/>
      <c r="D699" s="209" t="str">
        <f t="shared" si="3"/>
        <v>
</v>
      </c>
      <c r="E699" s="209"/>
      <c r="F699" s="209"/>
      <c r="G699" s="209"/>
      <c r="H699" s="209"/>
      <c r="I699" s="209"/>
      <c r="J699" s="209"/>
      <c r="K699" s="147"/>
      <c r="L699" s="147"/>
      <c r="M699" s="209"/>
      <c r="N699" s="209"/>
      <c r="O699" s="209"/>
      <c r="P699" s="209"/>
      <c r="Q699" s="209"/>
      <c r="R699" s="209"/>
      <c r="S699" s="209"/>
      <c r="T699" s="209"/>
      <c r="U699" s="209"/>
      <c r="V699" s="209"/>
      <c r="W699" s="209"/>
      <c r="X699" s="209"/>
      <c r="Y699" s="209"/>
      <c r="Z699" s="209"/>
      <c r="AA699" s="209"/>
      <c r="AB699" s="209"/>
      <c r="AC699" s="209"/>
      <c r="AD699" s="209"/>
      <c r="AE699" s="209"/>
    </row>
    <row r="700">
      <c r="A700" s="209"/>
      <c r="B700" s="209"/>
      <c r="C700" s="209"/>
      <c r="D700" s="209" t="str">
        <f t="shared" si="3"/>
        <v>
</v>
      </c>
      <c r="E700" s="209"/>
      <c r="F700" s="209"/>
      <c r="G700" s="209"/>
      <c r="H700" s="209"/>
      <c r="I700" s="209"/>
      <c r="J700" s="209"/>
      <c r="K700" s="147"/>
      <c r="L700" s="147"/>
      <c r="M700" s="209"/>
      <c r="N700" s="209"/>
      <c r="O700" s="209"/>
      <c r="P700" s="209"/>
      <c r="Q700" s="209"/>
      <c r="R700" s="209"/>
      <c r="S700" s="209"/>
      <c r="T700" s="209"/>
      <c r="U700" s="209"/>
      <c r="V700" s="209"/>
      <c r="W700" s="209"/>
      <c r="X700" s="209"/>
      <c r="Y700" s="209"/>
      <c r="Z700" s="209"/>
      <c r="AA700" s="209"/>
      <c r="AB700" s="209"/>
      <c r="AC700" s="209"/>
      <c r="AD700" s="209"/>
      <c r="AE700" s="209"/>
    </row>
    <row r="701">
      <c r="A701" s="209"/>
      <c r="B701" s="209"/>
      <c r="C701" s="209"/>
      <c r="D701" s="209" t="str">
        <f t="shared" si="3"/>
        <v>
</v>
      </c>
      <c r="E701" s="209"/>
      <c r="F701" s="209"/>
      <c r="G701" s="209"/>
      <c r="H701" s="209"/>
      <c r="I701" s="209"/>
      <c r="J701" s="209"/>
      <c r="K701" s="147"/>
      <c r="L701" s="147"/>
      <c r="M701" s="209"/>
      <c r="N701" s="209"/>
      <c r="O701" s="209"/>
      <c r="P701" s="209"/>
      <c r="Q701" s="209"/>
      <c r="R701" s="209"/>
      <c r="S701" s="209"/>
      <c r="T701" s="209"/>
      <c r="U701" s="209"/>
      <c r="V701" s="209"/>
      <c r="W701" s="209"/>
      <c r="X701" s="209"/>
      <c r="Y701" s="209"/>
      <c r="Z701" s="209"/>
      <c r="AA701" s="209"/>
      <c r="AB701" s="209"/>
      <c r="AC701" s="209"/>
      <c r="AD701" s="209"/>
      <c r="AE701" s="209"/>
    </row>
    <row r="702">
      <c r="A702" s="209"/>
      <c r="B702" s="209"/>
      <c r="C702" s="209"/>
      <c r="D702" s="209" t="str">
        <f t="shared" si="3"/>
        <v>
</v>
      </c>
      <c r="E702" s="209"/>
      <c r="F702" s="209"/>
      <c r="G702" s="209"/>
      <c r="H702" s="209"/>
      <c r="I702" s="209"/>
      <c r="J702" s="209"/>
      <c r="K702" s="147"/>
      <c r="L702" s="147"/>
      <c r="M702" s="209"/>
      <c r="N702" s="209"/>
      <c r="O702" s="209"/>
      <c r="P702" s="209"/>
      <c r="Q702" s="209"/>
      <c r="R702" s="209"/>
      <c r="S702" s="209"/>
      <c r="T702" s="209"/>
      <c r="U702" s="209"/>
      <c r="V702" s="209"/>
      <c r="W702" s="209"/>
      <c r="X702" s="209"/>
      <c r="Y702" s="209"/>
      <c r="Z702" s="209"/>
      <c r="AA702" s="209"/>
      <c r="AB702" s="209"/>
      <c r="AC702" s="209"/>
      <c r="AD702" s="209"/>
      <c r="AE702" s="209"/>
    </row>
    <row r="703">
      <c r="A703" s="209"/>
      <c r="B703" s="209"/>
      <c r="C703" s="209"/>
      <c r="D703" s="209" t="str">
        <f t="shared" si="3"/>
        <v>
</v>
      </c>
      <c r="E703" s="209"/>
      <c r="F703" s="209"/>
      <c r="G703" s="209"/>
      <c r="H703" s="209"/>
      <c r="I703" s="209"/>
      <c r="J703" s="209"/>
      <c r="K703" s="147"/>
      <c r="L703" s="147"/>
      <c r="M703" s="209"/>
      <c r="N703" s="209"/>
      <c r="O703" s="209"/>
      <c r="P703" s="209"/>
      <c r="Q703" s="209"/>
      <c r="R703" s="209"/>
      <c r="S703" s="209"/>
      <c r="T703" s="209"/>
      <c r="U703" s="209"/>
      <c r="V703" s="209"/>
      <c r="W703" s="209"/>
      <c r="X703" s="209"/>
      <c r="Y703" s="209"/>
      <c r="Z703" s="209"/>
      <c r="AA703" s="209"/>
      <c r="AB703" s="209"/>
      <c r="AC703" s="209"/>
      <c r="AD703" s="209"/>
      <c r="AE703" s="209"/>
    </row>
    <row r="704">
      <c r="A704" s="209"/>
      <c r="B704" s="209"/>
      <c r="C704" s="209"/>
      <c r="D704" s="209" t="str">
        <f t="shared" si="3"/>
        <v>
</v>
      </c>
      <c r="E704" s="209"/>
      <c r="F704" s="209"/>
      <c r="G704" s="209"/>
      <c r="H704" s="209"/>
      <c r="I704" s="209"/>
      <c r="J704" s="209"/>
      <c r="K704" s="147"/>
      <c r="L704" s="147"/>
      <c r="M704" s="209"/>
      <c r="N704" s="209"/>
      <c r="O704" s="209"/>
      <c r="P704" s="209"/>
      <c r="Q704" s="209"/>
      <c r="R704" s="209"/>
      <c r="S704" s="209"/>
      <c r="T704" s="209"/>
      <c r="U704" s="209"/>
      <c r="V704" s="209"/>
      <c r="W704" s="209"/>
      <c r="X704" s="209"/>
      <c r="Y704" s="209"/>
      <c r="Z704" s="209"/>
      <c r="AA704" s="209"/>
      <c r="AB704" s="209"/>
      <c r="AC704" s="209"/>
      <c r="AD704" s="209"/>
      <c r="AE704" s="209"/>
    </row>
    <row r="705">
      <c r="A705" s="209"/>
      <c r="B705" s="209"/>
      <c r="C705" s="209"/>
      <c r="D705" s="209" t="str">
        <f t="shared" si="3"/>
        <v>
</v>
      </c>
      <c r="E705" s="209"/>
      <c r="F705" s="209"/>
      <c r="G705" s="209"/>
      <c r="H705" s="209"/>
      <c r="I705" s="209"/>
      <c r="J705" s="209"/>
      <c r="K705" s="147"/>
      <c r="L705" s="147"/>
      <c r="M705" s="209"/>
      <c r="N705" s="209"/>
      <c r="O705" s="209"/>
      <c r="P705" s="209"/>
      <c r="Q705" s="209"/>
      <c r="R705" s="209"/>
      <c r="S705" s="209"/>
      <c r="T705" s="209"/>
      <c r="U705" s="209"/>
      <c r="V705" s="209"/>
      <c r="W705" s="209"/>
      <c r="X705" s="209"/>
      <c r="Y705" s="209"/>
      <c r="Z705" s="209"/>
      <c r="AA705" s="209"/>
      <c r="AB705" s="209"/>
      <c r="AC705" s="209"/>
      <c r="AD705" s="209"/>
      <c r="AE705" s="209"/>
    </row>
    <row r="706">
      <c r="A706" s="209"/>
      <c r="B706" s="209"/>
      <c r="C706" s="209"/>
      <c r="D706" s="209" t="str">
        <f t="shared" si="3"/>
        <v>
</v>
      </c>
      <c r="E706" s="209"/>
      <c r="F706" s="209"/>
      <c r="G706" s="209"/>
      <c r="H706" s="209"/>
      <c r="I706" s="209"/>
      <c r="J706" s="209"/>
      <c r="K706" s="147"/>
      <c r="L706" s="147"/>
      <c r="M706" s="209"/>
      <c r="N706" s="209"/>
      <c r="O706" s="209"/>
      <c r="P706" s="209"/>
      <c r="Q706" s="209"/>
      <c r="R706" s="209"/>
      <c r="S706" s="209"/>
      <c r="T706" s="209"/>
      <c r="U706" s="209"/>
      <c r="V706" s="209"/>
      <c r="W706" s="209"/>
      <c r="X706" s="209"/>
      <c r="Y706" s="209"/>
      <c r="Z706" s="209"/>
      <c r="AA706" s="209"/>
      <c r="AB706" s="209"/>
      <c r="AC706" s="209"/>
      <c r="AD706" s="209"/>
      <c r="AE706" s="209"/>
    </row>
    <row r="707">
      <c r="A707" s="209"/>
      <c r="B707" s="209"/>
      <c r="C707" s="209"/>
      <c r="D707" s="209" t="str">
        <f t="shared" si="3"/>
        <v>
</v>
      </c>
      <c r="E707" s="209"/>
      <c r="F707" s="209"/>
      <c r="G707" s="209"/>
      <c r="H707" s="209"/>
      <c r="I707" s="209"/>
      <c r="J707" s="209"/>
      <c r="K707" s="147"/>
      <c r="L707" s="147"/>
      <c r="M707" s="209"/>
      <c r="N707" s="209"/>
      <c r="O707" s="209"/>
      <c r="P707" s="209"/>
      <c r="Q707" s="209"/>
      <c r="R707" s="209"/>
      <c r="S707" s="209"/>
      <c r="T707" s="209"/>
      <c r="U707" s="209"/>
      <c r="V707" s="209"/>
      <c r="W707" s="209"/>
      <c r="X707" s="209"/>
      <c r="Y707" s="209"/>
      <c r="Z707" s="209"/>
      <c r="AA707" s="209"/>
      <c r="AB707" s="209"/>
      <c r="AC707" s="209"/>
      <c r="AD707" s="209"/>
      <c r="AE707" s="209"/>
    </row>
    <row r="708">
      <c r="A708" s="209"/>
      <c r="B708" s="209"/>
      <c r="C708" s="209"/>
      <c r="D708" s="209" t="str">
        <f t="shared" si="3"/>
        <v>
</v>
      </c>
      <c r="E708" s="209"/>
      <c r="F708" s="209"/>
      <c r="G708" s="209"/>
      <c r="H708" s="209"/>
      <c r="I708" s="209"/>
      <c r="J708" s="209"/>
      <c r="K708" s="147"/>
      <c r="L708" s="147"/>
      <c r="M708" s="209"/>
      <c r="N708" s="209"/>
      <c r="O708" s="209"/>
      <c r="P708" s="209"/>
      <c r="Q708" s="209"/>
      <c r="R708" s="209"/>
      <c r="S708" s="209"/>
      <c r="T708" s="209"/>
      <c r="U708" s="209"/>
      <c r="V708" s="209"/>
      <c r="W708" s="209"/>
      <c r="X708" s="209"/>
      <c r="Y708" s="209"/>
      <c r="Z708" s="209"/>
      <c r="AA708" s="209"/>
      <c r="AB708" s="209"/>
      <c r="AC708" s="209"/>
      <c r="AD708" s="209"/>
      <c r="AE708" s="209"/>
    </row>
    <row r="709">
      <c r="A709" s="209"/>
      <c r="B709" s="209"/>
      <c r="C709" s="209"/>
      <c r="D709" s="209" t="str">
        <f t="shared" si="3"/>
        <v>
</v>
      </c>
      <c r="E709" s="209"/>
      <c r="F709" s="209"/>
      <c r="G709" s="209"/>
      <c r="H709" s="209"/>
      <c r="I709" s="209"/>
      <c r="J709" s="209"/>
      <c r="K709" s="147"/>
      <c r="L709" s="147"/>
      <c r="M709" s="209"/>
      <c r="N709" s="209"/>
      <c r="O709" s="209"/>
      <c r="P709" s="209"/>
      <c r="Q709" s="209"/>
      <c r="R709" s="209"/>
      <c r="S709" s="209"/>
      <c r="T709" s="209"/>
      <c r="U709" s="209"/>
      <c r="V709" s="209"/>
      <c r="W709" s="209"/>
      <c r="X709" s="209"/>
      <c r="Y709" s="209"/>
      <c r="Z709" s="209"/>
      <c r="AA709" s="209"/>
      <c r="AB709" s="209"/>
      <c r="AC709" s="209"/>
      <c r="AD709" s="209"/>
      <c r="AE709" s="209"/>
    </row>
    <row r="710">
      <c r="A710" s="209"/>
      <c r="B710" s="209"/>
      <c r="C710" s="209"/>
      <c r="D710" s="209" t="str">
        <f t="shared" si="3"/>
        <v>
</v>
      </c>
      <c r="E710" s="209"/>
      <c r="F710" s="209"/>
      <c r="G710" s="209"/>
      <c r="H710" s="209"/>
      <c r="I710" s="209"/>
      <c r="J710" s="209"/>
      <c r="K710" s="147"/>
      <c r="L710" s="147"/>
      <c r="M710" s="209"/>
      <c r="N710" s="209"/>
      <c r="O710" s="209"/>
      <c r="P710" s="209"/>
      <c r="Q710" s="209"/>
      <c r="R710" s="209"/>
      <c r="S710" s="209"/>
      <c r="T710" s="209"/>
      <c r="U710" s="209"/>
      <c r="V710" s="209"/>
      <c r="W710" s="209"/>
      <c r="X710" s="209"/>
      <c r="Y710" s="209"/>
      <c r="Z710" s="209"/>
      <c r="AA710" s="209"/>
      <c r="AB710" s="209"/>
      <c r="AC710" s="209"/>
      <c r="AD710" s="209"/>
      <c r="AE710" s="209"/>
    </row>
    <row r="711">
      <c r="A711" s="209"/>
      <c r="B711" s="209"/>
      <c r="C711" s="209"/>
      <c r="D711" s="209" t="str">
        <f t="shared" si="3"/>
        <v>
</v>
      </c>
      <c r="E711" s="209"/>
      <c r="F711" s="209"/>
      <c r="G711" s="209"/>
      <c r="H711" s="209"/>
      <c r="I711" s="209"/>
      <c r="J711" s="209"/>
      <c r="K711" s="147"/>
      <c r="L711" s="147"/>
      <c r="M711" s="209"/>
      <c r="N711" s="209"/>
      <c r="O711" s="209"/>
      <c r="P711" s="209"/>
      <c r="Q711" s="209"/>
      <c r="R711" s="209"/>
      <c r="S711" s="209"/>
      <c r="T711" s="209"/>
      <c r="U711" s="209"/>
      <c r="V711" s="209"/>
      <c r="W711" s="209"/>
      <c r="X711" s="209"/>
      <c r="Y711" s="209"/>
      <c r="Z711" s="209"/>
      <c r="AA711" s="209"/>
      <c r="AB711" s="209"/>
      <c r="AC711" s="209"/>
      <c r="AD711" s="209"/>
      <c r="AE711" s="209"/>
    </row>
    <row r="712">
      <c r="A712" s="209"/>
      <c r="B712" s="209"/>
      <c r="C712" s="209"/>
      <c r="D712" s="209" t="str">
        <f t="shared" si="3"/>
        <v>
</v>
      </c>
      <c r="E712" s="209"/>
      <c r="F712" s="209"/>
      <c r="G712" s="209"/>
      <c r="H712" s="209"/>
      <c r="I712" s="209"/>
      <c r="J712" s="209"/>
      <c r="K712" s="147"/>
      <c r="L712" s="147"/>
      <c r="M712" s="209"/>
      <c r="N712" s="209"/>
      <c r="O712" s="209"/>
      <c r="P712" s="209"/>
      <c r="Q712" s="209"/>
      <c r="R712" s="209"/>
      <c r="S712" s="209"/>
      <c r="T712" s="209"/>
      <c r="U712" s="209"/>
      <c r="V712" s="209"/>
      <c r="W712" s="209"/>
      <c r="X712" s="209"/>
      <c r="Y712" s="209"/>
      <c r="Z712" s="209"/>
      <c r="AA712" s="209"/>
      <c r="AB712" s="209"/>
      <c r="AC712" s="209"/>
      <c r="AD712" s="209"/>
      <c r="AE712" s="209"/>
    </row>
    <row r="713">
      <c r="A713" s="209"/>
      <c r="B713" s="209"/>
      <c r="C713" s="209"/>
      <c r="D713" s="209" t="str">
        <f t="shared" si="3"/>
        <v>
</v>
      </c>
      <c r="E713" s="209"/>
      <c r="F713" s="209"/>
      <c r="G713" s="209"/>
      <c r="H713" s="209"/>
      <c r="I713" s="209"/>
      <c r="J713" s="209"/>
      <c r="K713" s="147"/>
      <c r="L713" s="147"/>
      <c r="M713" s="209"/>
      <c r="N713" s="209"/>
      <c r="O713" s="209"/>
      <c r="P713" s="209"/>
      <c r="Q713" s="209"/>
      <c r="R713" s="209"/>
      <c r="S713" s="209"/>
      <c r="T713" s="209"/>
      <c r="U713" s="209"/>
      <c r="V713" s="209"/>
      <c r="W713" s="209"/>
      <c r="X713" s="209"/>
      <c r="Y713" s="209"/>
      <c r="Z713" s="209"/>
      <c r="AA713" s="209"/>
      <c r="AB713" s="209"/>
      <c r="AC713" s="209"/>
      <c r="AD713" s="209"/>
      <c r="AE713" s="209"/>
    </row>
    <row r="714">
      <c r="A714" s="209"/>
      <c r="B714" s="209"/>
      <c r="C714" s="209"/>
      <c r="D714" s="209" t="str">
        <f t="shared" si="3"/>
        <v>
</v>
      </c>
      <c r="E714" s="209"/>
      <c r="F714" s="209"/>
      <c r="G714" s="209"/>
      <c r="H714" s="209"/>
      <c r="I714" s="209"/>
      <c r="J714" s="209"/>
      <c r="K714" s="147"/>
      <c r="L714" s="147"/>
      <c r="M714" s="209"/>
      <c r="N714" s="209"/>
      <c r="O714" s="209"/>
      <c r="P714" s="209"/>
      <c r="Q714" s="209"/>
      <c r="R714" s="209"/>
      <c r="S714" s="209"/>
      <c r="T714" s="209"/>
      <c r="U714" s="209"/>
      <c r="V714" s="209"/>
      <c r="W714" s="209"/>
      <c r="X714" s="209"/>
      <c r="Y714" s="209"/>
      <c r="Z714" s="209"/>
      <c r="AA714" s="209"/>
      <c r="AB714" s="209"/>
      <c r="AC714" s="209"/>
      <c r="AD714" s="209"/>
      <c r="AE714" s="209"/>
    </row>
    <row r="715">
      <c r="A715" s="209"/>
      <c r="B715" s="209"/>
      <c r="C715" s="209"/>
      <c r="D715" s="209" t="str">
        <f t="shared" si="3"/>
        <v>
</v>
      </c>
      <c r="E715" s="209"/>
      <c r="F715" s="209"/>
      <c r="G715" s="209"/>
      <c r="H715" s="209"/>
      <c r="I715" s="209"/>
      <c r="J715" s="209"/>
      <c r="K715" s="147"/>
      <c r="L715" s="147"/>
      <c r="M715" s="209"/>
      <c r="N715" s="209"/>
      <c r="O715" s="209"/>
      <c r="P715" s="209"/>
      <c r="Q715" s="209"/>
      <c r="R715" s="209"/>
      <c r="S715" s="209"/>
      <c r="T715" s="209"/>
      <c r="U715" s="209"/>
      <c r="V715" s="209"/>
      <c r="W715" s="209"/>
      <c r="X715" s="209"/>
      <c r="Y715" s="209"/>
      <c r="Z715" s="209"/>
      <c r="AA715" s="209"/>
      <c r="AB715" s="209"/>
      <c r="AC715" s="209"/>
      <c r="AD715" s="209"/>
      <c r="AE715" s="209"/>
    </row>
    <row r="716">
      <c r="A716" s="209"/>
      <c r="B716" s="209"/>
      <c r="C716" s="209"/>
      <c r="D716" s="209" t="str">
        <f t="shared" si="3"/>
        <v>
</v>
      </c>
      <c r="E716" s="209"/>
      <c r="F716" s="209"/>
      <c r="G716" s="209"/>
      <c r="H716" s="209"/>
      <c r="I716" s="209"/>
      <c r="J716" s="209"/>
      <c r="K716" s="147"/>
      <c r="L716" s="147"/>
      <c r="M716" s="209"/>
      <c r="N716" s="209"/>
      <c r="O716" s="209"/>
      <c r="P716" s="209"/>
      <c r="Q716" s="209"/>
      <c r="R716" s="209"/>
      <c r="S716" s="209"/>
      <c r="T716" s="209"/>
      <c r="U716" s="209"/>
      <c r="V716" s="209"/>
      <c r="W716" s="209"/>
      <c r="X716" s="209"/>
      <c r="Y716" s="209"/>
      <c r="Z716" s="209"/>
      <c r="AA716" s="209"/>
      <c r="AB716" s="209"/>
      <c r="AC716" s="209"/>
      <c r="AD716" s="209"/>
      <c r="AE716" s="209"/>
    </row>
    <row r="717">
      <c r="A717" s="209"/>
      <c r="B717" s="209"/>
      <c r="C717" s="209"/>
      <c r="D717" s="209" t="str">
        <f t="shared" si="3"/>
        <v>
</v>
      </c>
      <c r="E717" s="209"/>
      <c r="F717" s="209"/>
      <c r="G717" s="209"/>
      <c r="H717" s="209"/>
      <c r="I717" s="209"/>
      <c r="J717" s="209"/>
      <c r="K717" s="147"/>
      <c r="L717" s="147"/>
      <c r="M717" s="209"/>
      <c r="N717" s="209"/>
      <c r="O717" s="209"/>
      <c r="P717" s="209"/>
      <c r="Q717" s="209"/>
      <c r="R717" s="209"/>
      <c r="S717" s="209"/>
      <c r="T717" s="209"/>
      <c r="U717" s="209"/>
      <c r="V717" s="209"/>
      <c r="W717" s="209"/>
      <c r="X717" s="209"/>
      <c r="Y717" s="209"/>
      <c r="Z717" s="209"/>
      <c r="AA717" s="209"/>
      <c r="AB717" s="209"/>
      <c r="AC717" s="209"/>
      <c r="AD717" s="209"/>
      <c r="AE717" s="209"/>
    </row>
    <row r="718">
      <c r="A718" s="209"/>
      <c r="B718" s="209"/>
      <c r="C718" s="209"/>
      <c r="D718" s="209" t="str">
        <f t="shared" si="3"/>
        <v>
</v>
      </c>
      <c r="E718" s="209"/>
      <c r="F718" s="209"/>
      <c r="G718" s="209"/>
      <c r="H718" s="209"/>
      <c r="I718" s="209"/>
      <c r="J718" s="209"/>
      <c r="K718" s="147"/>
      <c r="L718" s="147"/>
      <c r="M718" s="209"/>
      <c r="N718" s="209"/>
      <c r="O718" s="209"/>
      <c r="P718" s="209"/>
      <c r="Q718" s="209"/>
      <c r="R718" s="209"/>
      <c r="S718" s="209"/>
      <c r="T718" s="209"/>
      <c r="U718" s="209"/>
      <c r="V718" s="209"/>
      <c r="W718" s="209"/>
      <c r="X718" s="209"/>
      <c r="Y718" s="209"/>
      <c r="Z718" s="209"/>
      <c r="AA718" s="209"/>
      <c r="AB718" s="209"/>
      <c r="AC718" s="209"/>
      <c r="AD718" s="209"/>
      <c r="AE718" s="209"/>
    </row>
    <row r="719">
      <c r="A719" s="209"/>
      <c r="B719" s="209"/>
      <c r="C719" s="209"/>
      <c r="D719" s="209" t="str">
        <f t="shared" si="3"/>
        <v>
</v>
      </c>
      <c r="E719" s="209"/>
      <c r="F719" s="209"/>
      <c r="G719" s="209"/>
      <c r="H719" s="209"/>
      <c r="I719" s="209"/>
      <c r="J719" s="209"/>
      <c r="K719" s="147"/>
      <c r="L719" s="147"/>
      <c r="M719" s="209"/>
      <c r="N719" s="209"/>
      <c r="O719" s="209"/>
      <c r="P719" s="209"/>
      <c r="Q719" s="209"/>
      <c r="R719" s="209"/>
      <c r="S719" s="209"/>
      <c r="T719" s="209"/>
      <c r="U719" s="209"/>
      <c r="V719" s="209"/>
      <c r="W719" s="209"/>
      <c r="X719" s="209"/>
      <c r="Y719" s="209"/>
      <c r="Z719" s="209"/>
      <c r="AA719" s="209"/>
      <c r="AB719" s="209"/>
      <c r="AC719" s="209"/>
      <c r="AD719" s="209"/>
      <c r="AE719" s="209"/>
    </row>
    <row r="720">
      <c r="A720" s="209"/>
      <c r="B720" s="209"/>
      <c r="C720" s="209"/>
      <c r="D720" s="209" t="str">
        <f t="shared" si="3"/>
        <v>
</v>
      </c>
      <c r="E720" s="209"/>
      <c r="F720" s="209"/>
      <c r="G720" s="209"/>
      <c r="H720" s="209"/>
      <c r="I720" s="209"/>
      <c r="J720" s="209"/>
      <c r="K720" s="147"/>
      <c r="L720" s="147"/>
      <c r="M720" s="209"/>
      <c r="N720" s="209"/>
      <c r="O720" s="209"/>
      <c r="P720" s="209"/>
      <c r="Q720" s="209"/>
      <c r="R720" s="209"/>
      <c r="S720" s="209"/>
      <c r="T720" s="209"/>
      <c r="U720" s="209"/>
      <c r="V720" s="209"/>
      <c r="W720" s="209"/>
      <c r="X720" s="209"/>
      <c r="Y720" s="209"/>
      <c r="Z720" s="209"/>
      <c r="AA720" s="209"/>
      <c r="AB720" s="209"/>
      <c r="AC720" s="209"/>
      <c r="AD720" s="209"/>
      <c r="AE720" s="209"/>
    </row>
    <row r="721">
      <c r="A721" s="209"/>
      <c r="B721" s="209"/>
      <c r="C721" s="209"/>
      <c r="D721" s="209" t="str">
        <f t="shared" si="3"/>
        <v>
</v>
      </c>
      <c r="E721" s="209"/>
      <c r="F721" s="209"/>
      <c r="G721" s="209"/>
      <c r="H721" s="209"/>
      <c r="I721" s="209"/>
      <c r="J721" s="209"/>
      <c r="K721" s="147"/>
      <c r="L721" s="147"/>
      <c r="M721" s="209"/>
      <c r="N721" s="209"/>
      <c r="O721" s="209"/>
      <c r="P721" s="209"/>
      <c r="Q721" s="209"/>
      <c r="R721" s="209"/>
      <c r="S721" s="209"/>
      <c r="T721" s="209"/>
      <c r="U721" s="209"/>
      <c r="V721" s="209"/>
      <c r="W721" s="209"/>
      <c r="X721" s="209"/>
      <c r="Y721" s="209"/>
      <c r="Z721" s="209"/>
      <c r="AA721" s="209"/>
      <c r="AB721" s="209"/>
      <c r="AC721" s="209"/>
      <c r="AD721" s="209"/>
      <c r="AE721" s="209"/>
    </row>
    <row r="722">
      <c r="A722" s="209"/>
      <c r="B722" s="209"/>
      <c r="C722" s="209"/>
      <c r="D722" s="209" t="str">
        <f t="shared" si="3"/>
        <v>
</v>
      </c>
      <c r="E722" s="209"/>
      <c r="F722" s="209"/>
      <c r="G722" s="209"/>
      <c r="H722" s="209"/>
      <c r="I722" s="209"/>
      <c r="J722" s="209"/>
      <c r="K722" s="147"/>
      <c r="L722" s="147"/>
      <c r="M722" s="209"/>
      <c r="N722" s="209"/>
      <c r="O722" s="209"/>
      <c r="P722" s="209"/>
      <c r="Q722" s="209"/>
      <c r="R722" s="209"/>
      <c r="S722" s="209"/>
      <c r="T722" s="209"/>
      <c r="U722" s="209"/>
      <c r="V722" s="209"/>
      <c r="W722" s="209"/>
      <c r="X722" s="209"/>
      <c r="Y722" s="209"/>
      <c r="Z722" s="209"/>
      <c r="AA722" s="209"/>
      <c r="AB722" s="209"/>
      <c r="AC722" s="209"/>
      <c r="AD722" s="209"/>
      <c r="AE722" s="209"/>
    </row>
    <row r="723">
      <c r="A723" s="209"/>
      <c r="B723" s="209"/>
      <c r="C723" s="209"/>
      <c r="D723" s="209" t="str">
        <f t="shared" si="3"/>
        <v>
</v>
      </c>
      <c r="E723" s="209"/>
      <c r="F723" s="209"/>
      <c r="G723" s="209"/>
      <c r="H723" s="209"/>
      <c r="I723" s="209"/>
      <c r="J723" s="209"/>
      <c r="K723" s="147"/>
      <c r="L723" s="147"/>
      <c r="M723" s="209"/>
      <c r="N723" s="209"/>
      <c r="O723" s="209"/>
      <c r="P723" s="209"/>
      <c r="Q723" s="209"/>
      <c r="R723" s="209"/>
      <c r="S723" s="209"/>
      <c r="T723" s="209"/>
      <c r="U723" s="209"/>
      <c r="V723" s="209"/>
      <c r="W723" s="209"/>
      <c r="X723" s="209"/>
      <c r="Y723" s="209"/>
      <c r="Z723" s="209"/>
      <c r="AA723" s="209"/>
      <c r="AB723" s="209"/>
      <c r="AC723" s="209"/>
      <c r="AD723" s="209"/>
      <c r="AE723" s="209"/>
    </row>
    <row r="724">
      <c r="A724" s="209"/>
      <c r="B724" s="209"/>
      <c r="C724" s="209"/>
      <c r="D724" s="209" t="str">
        <f t="shared" si="3"/>
        <v>
</v>
      </c>
      <c r="E724" s="209"/>
      <c r="F724" s="209"/>
      <c r="G724" s="209"/>
      <c r="H724" s="209"/>
      <c r="I724" s="209"/>
      <c r="J724" s="209"/>
      <c r="K724" s="147"/>
      <c r="L724" s="147"/>
      <c r="M724" s="209"/>
      <c r="N724" s="209"/>
      <c r="O724" s="209"/>
      <c r="P724" s="209"/>
      <c r="Q724" s="209"/>
      <c r="R724" s="209"/>
      <c r="S724" s="209"/>
      <c r="T724" s="209"/>
      <c r="U724" s="209"/>
      <c r="V724" s="209"/>
      <c r="W724" s="209"/>
      <c r="X724" s="209"/>
      <c r="Y724" s="209"/>
      <c r="Z724" s="209"/>
      <c r="AA724" s="209"/>
      <c r="AB724" s="209"/>
      <c r="AC724" s="209"/>
      <c r="AD724" s="209"/>
      <c r="AE724" s="209"/>
    </row>
    <row r="725">
      <c r="A725" s="209"/>
      <c r="B725" s="209"/>
      <c r="C725" s="209"/>
      <c r="D725" s="209" t="str">
        <f t="shared" si="3"/>
        <v>
</v>
      </c>
      <c r="E725" s="209"/>
      <c r="F725" s="209"/>
      <c r="G725" s="209"/>
      <c r="H725" s="209"/>
      <c r="I725" s="209"/>
      <c r="J725" s="209"/>
      <c r="K725" s="147"/>
      <c r="L725" s="147"/>
      <c r="M725" s="209"/>
      <c r="N725" s="209"/>
      <c r="O725" s="209"/>
      <c r="P725" s="209"/>
      <c r="Q725" s="209"/>
      <c r="R725" s="209"/>
      <c r="S725" s="209"/>
      <c r="T725" s="209"/>
      <c r="U725" s="209"/>
      <c r="V725" s="209"/>
      <c r="W725" s="209"/>
      <c r="X725" s="209"/>
      <c r="Y725" s="209"/>
      <c r="Z725" s="209"/>
      <c r="AA725" s="209"/>
      <c r="AB725" s="209"/>
      <c r="AC725" s="209"/>
      <c r="AD725" s="209"/>
      <c r="AE725" s="209"/>
    </row>
    <row r="726">
      <c r="A726" s="209"/>
      <c r="B726" s="209"/>
      <c r="C726" s="209"/>
      <c r="D726" s="209" t="str">
        <f t="shared" si="3"/>
        <v>
</v>
      </c>
      <c r="E726" s="209"/>
      <c r="F726" s="209"/>
      <c r="G726" s="209"/>
      <c r="H726" s="209"/>
      <c r="I726" s="209"/>
      <c r="J726" s="209"/>
      <c r="K726" s="147"/>
      <c r="L726" s="147"/>
      <c r="M726" s="209"/>
      <c r="N726" s="209"/>
      <c r="O726" s="209"/>
      <c r="P726" s="209"/>
      <c r="Q726" s="209"/>
      <c r="R726" s="209"/>
      <c r="S726" s="209"/>
      <c r="T726" s="209"/>
      <c r="U726" s="209"/>
      <c r="V726" s="209"/>
      <c r="W726" s="209"/>
      <c r="X726" s="209"/>
      <c r="Y726" s="209"/>
      <c r="Z726" s="209"/>
      <c r="AA726" s="209"/>
      <c r="AB726" s="209"/>
      <c r="AC726" s="209"/>
      <c r="AD726" s="209"/>
      <c r="AE726" s="209"/>
    </row>
    <row r="727">
      <c r="A727" s="209"/>
      <c r="B727" s="209"/>
      <c r="C727" s="209"/>
      <c r="D727" s="209" t="str">
        <f t="shared" si="3"/>
        <v>
</v>
      </c>
      <c r="E727" s="209"/>
      <c r="F727" s="209"/>
      <c r="G727" s="209"/>
      <c r="H727" s="209"/>
      <c r="I727" s="209"/>
      <c r="J727" s="209"/>
      <c r="K727" s="147"/>
      <c r="L727" s="147"/>
      <c r="M727" s="209"/>
      <c r="N727" s="209"/>
      <c r="O727" s="209"/>
      <c r="P727" s="209"/>
      <c r="Q727" s="209"/>
      <c r="R727" s="209"/>
      <c r="S727" s="209"/>
      <c r="T727" s="209"/>
      <c r="U727" s="209"/>
      <c r="V727" s="209"/>
      <c r="W727" s="209"/>
      <c r="X727" s="209"/>
      <c r="Y727" s="209"/>
      <c r="Z727" s="209"/>
      <c r="AA727" s="209"/>
      <c r="AB727" s="209"/>
      <c r="AC727" s="209"/>
      <c r="AD727" s="209"/>
      <c r="AE727" s="209"/>
    </row>
    <row r="728">
      <c r="A728" s="209"/>
      <c r="B728" s="209"/>
      <c r="C728" s="209"/>
      <c r="D728" s="209" t="str">
        <f t="shared" si="3"/>
        <v>
</v>
      </c>
      <c r="E728" s="209"/>
      <c r="F728" s="209"/>
      <c r="G728" s="209"/>
      <c r="H728" s="209"/>
      <c r="I728" s="209"/>
      <c r="J728" s="209"/>
      <c r="K728" s="147"/>
      <c r="L728" s="147"/>
      <c r="M728" s="209"/>
      <c r="N728" s="209"/>
      <c r="O728" s="209"/>
      <c r="P728" s="209"/>
      <c r="Q728" s="209"/>
      <c r="R728" s="209"/>
      <c r="S728" s="209"/>
      <c r="T728" s="209"/>
      <c r="U728" s="209"/>
      <c r="V728" s="209"/>
      <c r="W728" s="209"/>
      <c r="X728" s="209"/>
      <c r="Y728" s="209"/>
      <c r="Z728" s="209"/>
      <c r="AA728" s="209"/>
      <c r="AB728" s="209"/>
      <c r="AC728" s="209"/>
      <c r="AD728" s="209"/>
      <c r="AE728" s="209"/>
    </row>
    <row r="729">
      <c r="A729" s="209"/>
      <c r="B729" s="209"/>
      <c r="C729" s="209"/>
      <c r="D729" s="209" t="str">
        <f t="shared" si="3"/>
        <v>
</v>
      </c>
      <c r="E729" s="209"/>
      <c r="F729" s="209"/>
      <c r="G729" s="209"/>
      <c r="H729" s="209"/>
      <c r="I729" s="209"/>
      <c r="J729" s="209"/>
      <c r="K729" s="147"/>
      <c r="L729" s="147"/>
      <c r="M729" s="209"/>
      <c r="N729" s="209"/>
      <c r="O729" s="209"/>
      <c r="P729" s="209"/>
      <c r="Q729" s="209"/>
      <c r="R729" s="209"/>
      <c r="S729" s="209"/>
      <c r="T729" s="209"/>
      <c r="U729" s="209"/>
      <c r="V729" s="209"/>
      <c r="W729" s="209"/>
      <c r="X729" s="209"/>
      <c r="Y729" s="209"/>
      <c r="Z729" s="209"/>
      <c r="AA729" s="209"/>
      <c r="AB729" s="209"/>
      <c r="AC729" s="209"/>
      <c r="AD729" s="209"/>
      <c r="AE729" s="209"/>
    </row>
    <row r="730">
      <c r="A730" s="209"/>
      <c r="B730" s="209"/>
      <c r="C730" s="209"/>
      <c r="D730" s="209" t="str">
        <f t="shared" si="3"/>
        <v>
</v>
      </c>
      <c r="E730" s="209"/>
      <c r="F730" s="209"/>
      <c r="G730" s="209"/>
      <c r="H730" s="209"/>
      <c r="I730" s="209"/>
      <c r="J730" s="209"/>
      <c r="K730" s="147"/>
      <c r="L730" s="147"/>
      <c r="M730" s="209"/>
      <c r="N730" s="209"/>
      <c r="O730" s="209"/>
      <c r="P730" s="209"/>
      <c r="Q730" s="209"/>
      <c r="R730" s="209"/>
      <c r="S730" s="209"/>
      <c r="T730" s="209"/>
      <c r="U730" s="209"/>
      <c r="V730" s="209"/>
      <c r="W730" s="209"/>
      <c r="X730" s="209"/>
      <c r="Y730" s="209"/>
      <c r="Z730" s="209"/>
      <c r="AA730" s="209"/>
      <c r="AB730" s="209"/>
      <c r="AC730" s="209"/>
      <c r="AD730" s="209"/>
      <c r="AE730" s="209"/>
    </row>
    <row r="731">
      <c r="A731" s="209"/>
      <c r="B731" s="209"/>
      <c r="C731" s="209"/>
      <c r="D731" s="209" t="str">
        <f t="shared" si="3"/>
        <v>
</v>
      </c>
      <c r="E731" s="209"/>
      <c r="F731" s="209"/>
      <c r="G731" s="209"/>
      <c r="H731" s="209"/>
      <c r="I731" s="209"/>
      <c r="J731" s="209"/>
      <c r="K731" s="147"/>
      <c r="L731" s="147"/>
      <c r="M731" s="209"/>
      <c r="N731" s="209"/>
      <c r="O731" s="209"/>
      <c r="P731" s="209"/>
      <c r="Q731" s="209"/>
      <c r="R731" s="209"/>
      <c r="S731" s="209"/>
      <c r="T731" s="209"/>
      <c r="U731" s="209"/>
      <c r="V731" s="209"/>
      <c r="W731" s="209"/>
      <c r="X731" s="209"/>
      <c r="Y731" s="209"/>
      <c r="Z731" s="209"/>
      <c r="AA731" s="209"/>
      <c r="AB731" s="209"/>
      <c r="AC731" s="209"/>
      <c r="AD731" s="209"/>
      <c r="AE731" s="209"/>
    </row>
    <row r="732">
      <c r="A732" s="209"/>
      <c r="B732" s="209"/>
      <c r="C732" s="209"/>
      <c r="D732" s="209" t="str">
        <f t="shared" si="3"/>
        <v>
</v>
      </c>
      <c r="E732" s="209"/>
      <c r="F732" s="209"/>
      <c r="G732" s="209"/>
      <c r="H732" s="209"/>
      <c r="I732" s="209"/>
      <c r="J732" s="209"/>
      <c r="K732" s="147"/>
      <c r="L732" s="147"/>
      <c r="M732" s="209"/>
      <c r="N732" s="209"/>
      <c r="O732" s="209"/>
      <c r="P732" s="209"/>
      <c r="Q732" s="209"/>
      <c r="R732" s="209"/>
      <c r="S732" s="209"/>
      <c r="T732" s="209"/>
      <c r="U732" s="209"/>
      <c r="V732" s="209"/>
      <c r="W732" s="209"/>
      <c r="X732" s="209"/>
      <c r="Y732" s="209"/>
      <c r="Z732" s="209"/>
      <c r="AA732" s="209"/>
      <c r="AB732" s="209"/>
      <c r="AC732" s="209"/>
      <c r="AD732" s="209"/>
      <c r="AE732" s="209"/>
    </row>
    <row r="733">
      <c r="A733" s="209"/>
      <c r="B733" s="209"/>
      <c r="C733" s="209"/>
      <c r="D733" s="209" t="str">
        <f t="shared" si="3"/>
        <v>
</v>
      </c>
      <c r="E733" s="209"/>
      <c r="F733" s="209"/>
      <c r="G733" s="209"/>
      <c r="H733" s="209"/>
      <c r="I733" s="209"/>
      <c r="J733" s="209"/>
      <c r="K733" s="147"/>
      <c r="L733" s="147"/>
      <c r="M733" s="209"/>
      <c r="N733" s="209"/>
      <c r="O733" s="209"/>
      <c r="P733" s="209"/>
      <c r="Q733" s="209"/>
      <c r="R733" s="209"/>
      <c r="S733" s="209"/>
      <c r="T733" s="209"/>
      <c r="U733" s="209"/>
      <c r="V733" s="209"/>
      <c r="W733" s="209"/>
      <c r="X733" s="209"/>
      <c r="Y733" s="209"/>
      <c r="Z733" s="209"/>
      <c r="AA733" s="209"/>
      <c r="AB733" s="209"/>
      <c r="AC733" s="209"/>
      <c r="AD733" s="209"/>
      <c r="AE733" s="209"/>
    </row>
    <row r="734">
      <c r="A734" s="209"/>
      <c r="B734" s="209"/>
      <c r="C734" s="209"/>
      <c r="D734" s="209" t="str">
        <f t="shared" si="3"/>
        <v>
</v>
      </c>
      <c r="E734" s="209"/>
      <c r="F734" s="209"/>
      <c r="G734" s="209"/>
      <c r="H734" s="209"/>
      <c r="I734" s="209"/>
      <c r="J734" s="209"/>
      <c r="K734" s="147"/>
      <c r="L734" s="147"/>
      <c r="M734" s="209"/>
      <c r="N734" s="209"/>
      <c r="O734" s="209"/>
      <c r="P734" s="209"/>
      <c r="Q734" s="209"/>
      <c r="R734" s="209"/>
      <c r="S734" s="209"/>
      <c r="T734" s="209"/>
      <c r="U734" s="209"/>
      <c r="V734" s="209"/>
      <c r="W734" s="209"/>
      <c r="X734" s="209"/>
      <c r="Y734" s="209"/>
      <c r="Z734" s="209"/>
      <c r="AA734" s="209"/>
      <c r="AB734" s="209"/>
      <c r="AC734" s="209"/>
      <c r="AD734" s="209"/>
      <c r="AE734" s="209"/>
    </row>
    <row r="735">
      <c r="A735" s="209"/>
      <c r="B735" s="209"/>
      <c r="C735" s="209"/>
      <c r="D735" s="209" t="str">
        <f t="shared" si="3"/>
        <v>
</v>
      </c>
      <c r="E735" s="209"/>
      <c r="F735" s="209"/>
      <c r="G735" s="209"/>
      <c r="H735" s="209"/>
      <c r="I735" s="209"/>
      <c r="J735" s="209"/>
      <c r="K735" s="147"/>
      <c r="L735" s="147"/>
      <c r="M735" s="209"/>
      <c r="N735" s="209"/>
      <c r="O735" s="209"/>
      <c r="P735" s="209"/>
      <c r="Q735" s="209"/>
      <c r="R735" s="209"/>
      <c r="S735" s="209"/>
      <c r="T735" s="209"/>
      <c r="U735" s="209"/>
      <c r="V735" s="209"/>
      <c r="W735" s="209"/>
      <c r="X735" s="209"/>
      <c r="Y735" s="209"/>
      <c r="Z735" s="209"/>
      <c r="AA735" s="209"/>
      <c r="AB735" s="209"/>
      <c r="AC735" s="209"/>
      <c r="AD735" s="209"/>
      <c r="AE735" s="209"/>
    </row>
    <row r="736">
      <c r="A736" s="209"/>
      <c r="B736" s="209"/>
      <c r="C736" s="209"/>
      <c r="D736" s="209" t="str">
        <f t="shared" si="3"/>
        <v>
</v>
      </c>
      <c r="E736" s="209"/>
      <c r="F736" s="209"/>
      <c r="G736" s="209"/>
      <c r="H736" s="209"/>
      <c r="I736" s="209"/>
      <c r="J736" s="209"/>
      <c r="K736" s="147"/>
      <c r="L736" s="147"/>
      <c r="M736" s="209"/>
      <c r="N736" s="209"/>
      <c r="O736" s="209"/>
      <c r="P736" s="209"/>
      <c r="Q736" s="209"/>
      <c r="R736" s="209"/>
      <c r="S736" s="209"/>
      <c r="T736" s="209"/>
      <c r="U736" s="209"/>
      <c r="V736" s="209"/>
      <c r="W736" s="209"/>
      <c r="X736" s="209"/>
      <c r="Y736" s="209"/>
      <c r="Z736" s="209"/>
      <c r="AA736" s="209"/>
      <c r="AB736" s="209"/>
      <c r="AC736" s="209"/>
      <c r="AD736" s="209"/>
      <c r="AE736" s="209"/>
    </row>
    <row r="737">
      <c r="A737" s="209"/>
      <c r="B737" s="209"/>
      <c r="C737" s="209"/>
      <c r="D737" s="209" t="str">
        <f t="shared" si="3"/>
        <v>
</v>
      </c>
      <c r="E737" s="209"/>
      <c r="F737" s="209"/>
      <c r="G737" s="209"/>
      <c r="H737" s="209"/>
      <c r="I737" s="209"/>
      <c r="J737" s="209"/>
      <c r="K737" s="147"/>
      <c r="L737" s="147"/>
      <c r="M737" s="209"/>
      <c r="N737" s="209"/>
      <c r="O737" s="209"/>
      <c r="P737" s="209"/>
      <c r="Q737" s="209"/>
      <c r="R737" s="209"/>
      <c r="S737" s="209"/>
      <c r="T737" s="209"/>
      <c r="U737" s="209"/>
      <c r="V737" s="209"/>
      <c r="W737" s="209"/>
      <c r="X737" s="209"/>
      <c r="Y737" s="209"/>
      <c r="Z737" s="209"/>
      <c r="AA737" s="209"/>
      <c r="AB737" s="209"/>
      <c r="AC737" s="209"/>
      <c r="AD737" s="209"/>
      <c r="AE737" s="209"/>
    </row>
    <row r="738">
      <c r="A738" s="209"/>
      <c r="B738" s="209"/>
      <c r="C738" s="209"/>
      <c r="D738" s="209" t="str">
        <f t="shared" si="3"/>
        <v>
</v>
      </c>
      <c r="E738" s="209"/>
      <c r="F738" s="209"/>
      <c r="G738" s="209"/>
      <c r="H738" s="209"/>
      <c r="I738" s="209"/>
      <c r="J738" s="209"/>
      <c r="K738" s="147"/>
      <c r="L738" s="147"/>
      <c r="M738" s="209"/>
      <c r="N738" s="209"/>
      <c r="O738" s="209"/>
      <c r="P738" s="209"/>
      <c r="Q738" s="209"/>
      <c r="R738" s="209"/>
      <c r="S738" s="209"/>
      <c r="T738" s="209"/>
      <c r="U738" s="209"/>
      <c r="V738" s="209"/>
      <c r="W738" s="209"/>
      <c r="X738" s="209"/>
      <c r="Y738" s="209"/>
      <c r="Z738" s="209"/>
      <c r="AA738" s="209"/>
      <c r="AB738" s="209"/>
      <c r="AC738" s="209"/>
      <c r="AD738" s="209"/>
      <c r="AE738" s="209"/>
    </row>
    <row r="739">
      <c r="A739" s="209"/>
      <c r="B739" s="209"/>
      <c r="C739" s="209"/>
      <c r="D739" s="209" t="str">
        <f t="shared" si="3"/>
        <v>
</v>
      </c>
      <c r="E739" s="209"/>
      <c r="F739" s="209"/>
      <c r="G739" s="209"/>
      <c r="H739" s="209"/>
      <c r="I739" s="209"/>
      <c r="J739" s="209"/>
      <c r="K739" s="147"/>
      <c r="L739" s="147"/>
      <c r="M739" s="209"/>
      <c r="N739" s="209"/>
      <c r="O739" s="209"/>
      <c r="P739" s="209"/>
      <c r="Q739" s="209"/>
      <c r="R739" s="209"/>
      <c r="S739" s="209"/>
      <c r="T739" s="209"/>
      <c r="U739" s="209"/>
      <c r="V739" s="209"/>
      <c r="W739" s="209"/>
      <c r="X739" s="209"/>
      <c r="Y739" s="209"/>
      <c r="Z739" s="209"/>
      <c r="AA739" s="209"/>
      <c r="AB739" s="209"/>
      <c r="AC739" s="209"/>
      <c r="AD739" s="209"/>
      <c r="AE739" s="209"/>
    </row>
    <row r="740">
      <c r="A740" s="209"/>
      <c r="B740" s="209"/>
      <c r="C740" s="209"/>
      <c r="D740" s="209" t="str">
        <f t="shared" si="3"/>
        <v>
</v>
      </c>
      <c r="E740" s="209"/>
      <c r="F740" s="209"/>
      <c r="G740" s="209"/>
      <c r="H740" s="209"/>
      <c r="I740" s="209"/>
      <c r="J740" s="209"/>
      <c r="K740" s="147"/>
      <c r="L740" s="147"/>
      <c r="M740" s="209"/>
      <c r="N740" s="209"/>
      <c r="O740" s="209"/>
      <c r="P740" s="209"/>
      <c r="Q740" s="209"/>
      <c r="R740" s="209"/>
      <c r="S740" s="209"/>
      <c r="T740" s="209"/>
      <c r="U740" s="209"/>
      <c r="V740" s="209"/>
      <c r="W740" s="209"/>
      <c r="X740" s="209"/>
      <c r="Y740" s="209"/>
      <c r="Z740" s="209"/>
      <c r="AA740" s="209"/>
      <c r="AB740" s="209"/>
      <c r="AC740" s="209"/>
      <c r="AD740" s="209"/>
      <c r="AE740" s="209"/>
    </row>
    <row r="741">
      <c r="A741" s="209"/>
      <c r="B741" s="209"/>
      <c r="C741" s="209"/>
      <c r="D741" s="209" t="str">
        <f t="shared" si="3"/>
        <v>
</v>
      </c>
      <c r="E741" s="209"/>
      <c r="F741" s="209"/>
      <c r="G741" s="209"/>
      <c r="H741" s="209"/>
      <c r="I741" s="209"/>
      <c r="J741" s="209"/>
      <c r="K741" s="147"/>
      <c r="L741" s="147"/>
      <c r="M741" s="209"/>
      <c r="N741" s="209"/>
      <c r="O741" s="209"/>
      <c r="P741" s="209"/>
      <c r="Q741" s="209"/>
      <c r="R741" s="209"/>
      <c r="S741" s="209"/>
      <c r="T741" s="209"/>
      <c r="U741" s="209"/>
      <c r="V741" s="209"/>
      <c r="W741" s="209"/>
      <c r="X741" s="209"/>
      <c r="Y741" s="209"/>
      <c r="Z741" s="209"/>
      <c r="AA741" s="209"/>
      <c r="AB741" s="209"/>
      <c r="AC741" s="209"/>
      <c r="AD741" s="209"/>
      <c r="AE741" s="209"/>
    </row>
    <row r="742">
      <c r="A742" s="209"/>
      <c r="B742" s="209"/>
      <c r="C742" s="209"/>
      <c r="D742" s="209" t="str">
        <f t="shared" si="3"/>
        <v>
</v>
      </c>
      <c r="E742" s="209"/>
      <c r="F742" s="209"/>
      <c r="G742" s="209"/>
      <c r="H742" s="209"/>
      <c r="I742" s="209"/>
      <c r="J742" s="209"/>
      <c r="K742" s="147"/>
      <c r="L742" s="147"/>
      <c r="M742" s="209"/>
      <c r="N742" s="209"/>
      <c r="O742" s="209"/>
      <c r="P742" s="209"/>
      <c r="Q742" s="209"/>
      <c r="R742" s="209"/>
      <c r="S742" s="209"/>
      <c r="T742" s="209"/>
      <c r="U742" s="209"/>
      <c r="V742" s="209"/>
      <c r="W742" s="209"/>
      <c r="X742" s="209"/>
      <c r="Y742" s="209"/>
      <c r="Z742" s="209"/>
      <c r="AA742" s="209"/>
      <c r="AB742" s="209"/>
      <c r="AC742" s="209"/>
      <c r="AD742" s="209"/>
      <c r="AE742" s="209"/>
    </row>
    <row r="743">
      <c r="A743" s="209"/>
      <c r="B743" s="209"/>
      <c r="C743" s="209"/>
      <c r="D743" s="209" t="str">
        <f t="shared" si="3"/>
        <v>
</v>
      </c>
      <c r="E743" s="209"/>
      <c r="F743" s="209"/>
      <c r="G743" s="209"/>
      <c r="H743" s="209"/>
      <c r="I743" s="209"/>
      <c r="J743" s="209"/>
      <c r="K743" s="147"/>
      <c r="L743" s="147"/>
      <c r="M743" s="209"/>
      <c r="N743" s="209"/>
      <c r="O743" s="209"/>
      <c r="P743" s="209"/>
      <c r="Q743" s="209"/>
      <c r="R743" s="209"/>
      <c r="S743" s="209"/>
      <c r="T743" s="209"/>
      <c r="U743" s="209"/>
      <c r="V743" s="209"/>
      <c r="W743" s="209"/>
      <c r="X743" s="209"/>
      <c r="Y743" s="209"/>
      <c r="Z743" s="209"/>
      <c r="AA743" s="209"/>
      <c r="AB743" s="209"/>
      <c r="AC743" s="209"/>
      <c r="AD743" s="209"/>
      <c r="AE743" s="209"/>
    </row>
    <row r="744">
      <c r="A744" s="209"/>
      <c r="B744" s="209"/>
      <c r="C744" s="209"/>
      <c r="D744" s="209" t="str">
        <f t="shared" si="3"/>
        <v>
</v>
      </c>
      <c r="E744" s="209"/>
      <c r="F744" s="209"/>
      <c r="G744" s="209"/>
      <c r="H744" s="209"/>
      <c r="I744" s="209"/>
      <c r="J744" s="209"/>
      <c r="K744" s="147"/>
      <c r="L744" s="147"/>
      <c r="M744" s="209"/>
      <c r="N744" s="209"/>
      <c r="O744" s="209"/>
      <c r="P744" s="209"/>
      <c r="Q744" s="209"/>
      <c r="R744" s="209"/>
      <c r="S744" s="209"/>
      <c r="T744" s="209"/>
      <c r="U744" s="209"/>
      <c r="V744" s="209"/>
      <c r="W744" s="209"/>
      <c r="X744" s="209"/>
      <c r="Y744" s="209"/>
      <c r="Z744" s="209"/>
      <c r="AA744" s="209"/>
      <c r="AB744" s="209"/>
      <c r="AC744" s="209"/>
      <c r="AD744" s="209"/>
      <c r="AE744" s="209"/>
    </row>
    <row r="745">
      <c r="A745" s="209"/>
      <c r="B745" s="209"/>
      <c r="C745" s="209"/>
      <c r="D745" s="209" t="str">
        <f t="shared" si="3"/>
        <v>
</v>
      </c>
      <c r="E745" s="209"/>
      <c r="F745" s="209"/>
      <c r="G745" s="209"/>
      <c r="H745" s="209"/>
      <c r="I745" s="209"/>
      <c r="J745" s="209"/>
      <c r="K745" s="147"/>
      <c r="L745" s="147"/>
      <c r="M745" s="209"/>
      <c r="N745" s="209"/>
      <c r="O745" s="209"/>
      <c r="P745" s="209"/>
      <c r="Q745" s="209"/>
      <c r="R745" s="209"/>
      <c r="S745" s="209"/>
      <c r="T745" s="209"/>
      <c r="U745" s="209"/>
      <c r="V745" s="209"/>
      <c r="W745" s="209"/>
      <c r="X745" s="209"/>
      <c r="Y745" s="209"/>
      <c r="Z745" s="209"/>
      <c r="AA745" s="209"/>
      <c r="AB745" s="209"/>
      <c r="AC745" s="209"/>
      <c r="AD745" s="209"/>
      <c r="AE745" s="209"/>
    </row>
    <row r="746">
      <c r="A746" s="209"/>
      <c r="B746" s="209"/>
      <c r="C746" s="209"/>
      <c r="D746" s="209" t="str">
        <f t="shared" si="3"/>
        <v>
</v>
      </c>
      <c r="E746" s="209"/>
      <c r="F746" s="209"/>
      <c r="G746" s="209"/>
      <c r="H746" s="209"/>
      <c r="I746" s="209"/>
      <c r="J746" s="209"/>
      <c r="K746" s="147"/>
      <c r="L746" s="147"/>
      <c r="M746" s="209"/>
      <c r="N746" s="209"/>
      <c r="O746" s="209"/>
      <c r="P746" s="209"/>
      <c r="Q746" s="209"/>
      <c r="R746" s="209"/>
      <c r="S746" s="209"/>
      <c r="T746" s="209"/>
      <c r="U746" s="209"/>
      <c r="V746" s="209"/>
      <c r="W746" s="209"/>
      <c r="X746" s="209"/>
      <c r="Y746" s="209"/>
      <c r="Z746" s="209"/>
      <c r="AA746" s="209"/>
      <c r="AB746" s="209"/>
      <c r="AC746" s="209"/>
      <c r="AD746" s="209"/>
      <c r="AE746" s="209"/>
    </row>
    <row r="747">
      <c r="A747" s="209"/>
      <c r="B747" s="209"/>
      <c r="C747" s="209"/>
      <c r="D747" s="209" t="str">
        <f t="shared" si="3"/>
        <v>
</v>
      </c>
      <c r="E747" s="209"/>
      <c r="F747" s="209"/>
      <c r="G747" s="209"/>
      <c r="H747" s="209"/>
      <c r="I747" s="209"/>
      <c r="J747" s="209"/>
      <c r="K747" s="147"/>
      <c r="L747" s="147"/>
      <c r="M747" s="209"/>
      <c r="N747" s="209"/>
      <c r="O747" s="209"/>
      <c r="P747" s="209"/>
      <c r="Q747" s="209"/>
      <c r="R747" s="209"/>
      <c r="S747" s="209"/>
      <c r="T747" s="209"/>
      <c r="U747" s="209"/>
      <c r="V747" s="209"/>
      <c r="W747" s="209"/>
      <c r="X747" s="209"/>
      <c r="Y747" s="209"/>
      <c r="Z747" s="209"/>
      <c r="AA747" s="209"/>
      <c r="AB747" s="209"/>
      <c r="AC747" s="209"/>
      <c r="AD747" s="209"/>
      <c r="AE747" s="209"/>
    </row>
    <row r="748">
      <c r="A748" s="209"/>
      <c r="B748" s="209"/>
      <c r="C748" s="209"/>
      <c r="D748" s="209" t="str">
        <f t="shared" si="3"/>
        <v>
</v>
      </c>
      <c r="E748" s="209"/>
      <c r="F748" s="209"/>
      <c r="G748" s="209"/>
      <c r="H748" s="209"/>
      <c r="I748" s="209"/>
      <c r="J748" s="209"/>
      <c r="K748" s="147"/>
      <c r="L748" s="147"/>
      <c r="M748" s="209"/>
      <c r="N748" s="209"/>
      <c r="O748" s="209"/>
      <c r="P748" s="209"/>
      <c r="Q748" s="209"/>
      <c r="R748" s="209"/>
      <c r="S748" s="209"/>
      <c r="T748" s="209"/>
      <c r="U748" s="209"/>
      <c r="V748" s="209"/>
      <c r="W748" s="209"/>
      <c r="X748" s="209"/>
      <c r="Y748" s="209"/>
      <c r="Z748" s="209"/>
      <c r="AA748" s="209"/>
      <c r="AB748" s="209"/>
      <c r="AC748" s="209"/>
      <c r="AD748" s="209"/>
      <c r="AE748" s="209"/>
    </row>
    <row r="749">
      <c r="A749" s="209"/>
      <c r="B749" s="209"/>
      <c r="C749" s="209"/>
      <c r="D749" s="209" t="str">
        <f t="shared" si="3"/>
        <v>
</v>
      </c>
      <c r="E749" s="209"/>
      <c r="F749" s="209"/>
      <c r="G749" s="209"/>
      <c r="H749" s="209"/>
      <c r="I749" s="209"/>
      <c r="J749" s="209"/>
      <c r="K749" s="147"/>
      <c r="L749" s="147"/>
      <c r="M749" s="209"/>
      <c r="N749" s="209"/>
      <c r="O749" s="209"/>
      <c r="P749" s="209"/>
      <c r="Q749" s="209"/>
      <c r="R749" s="209"/>
      <c r="S749" s="209"/>
      <c r="T749" s="209"/>
      <c r="U749" s="209"/>
      <c r="V749" s="209"/>
      <c r="W749" s="209"/>
      <c r="X749" s="209"/>
      <c r="Y749" s="209"/>
      <c r="Z749" s="209"/>
      <c r="AA749" s="209"/>
      <c r="AB749" s="209"/>
      <c r="AC749" s="209"/>
      <c r="AD749" s="209"/>
      <c r="AE749" s="209"/>
    </row>
    <row r="750">
      <c r="A750" s="209"/>
      <c r="B750" s="209"/>
      <c r="C750" s="209"/>
      <c r="D750" s="209" t="str">
        <f t="shared" si="3"/>
        <v>
</v>
      </c>
      <c r="E750" s="209"/>
      <c r="F750" s="209"/>
      <c r="G750" s="209"/>
      <c r="H750" s="209"/>
      <c r="I750" s="209"/>
      <c r="J750" s="209"/>
      <c r="K750" s="147"/>
      <c r="L750" s="147"/>
      <c r="M750" s="209"/>
      <c r="N750" s="209"/>
      <c r="O750" s="209"/>
      <c r="P750" s="209"/>
      <c r="Q750" s="209"/>
      <c r="R750" s="209"/>
      <c r="S750" s="209"/>
      <c r="T750" s="209"/>
      <c r="U750" s="209"/>
      <c r="V750" s="209"/>
      <c r="W750" s="209"/>
      <c r="X750" s="209"/>
      <c r="Y750" s="209"/>
      <c r="Z750" s="209"/>
      <c r="AA750" s="209"/>
      <c r="AB750" s="209"/>
      <c r="AC750" s="209"/>
      <c r="AD750" s="209"/>
      <c r="AE750" s="209"/>
    </row>
    <row r="751">
      <c r="A751" s="209"/>
      <c r="B751" s="209"/>
      <c r="C751" s="209"/>
      <c r="D751" s="209" t="str">
        <f t="shared" si="3"/>
        <v>
</v>
      </c>
      <c r="E751" s="209"/>
      <c r="F751" s="209"/>
      <c r="G751" s="209"/>
      <c r="H751" s="209"/>
      <c r="I751" s="209"/>
      <c r="J751" s="209"/>
      <c r="K751" s="147"/>
      <c r="L751" s="147"/>
      <c r="M751" s="209"/>
      <c r="N751" s="209"/>
      <c r="O751" s="209"/>
      <c r="P751" s="209"/>
      <c r="Q751" s="209"/>
      <c r="R751" s="209"/>
      <c r="S751" s="209"/>
      <c r="T751" s="209"/>
      <c r="U751" s="209"/>
      <c r="V751" s="209"/>
      <c r="W751" s="209"/>
      <c r="X751" s="209"/>
      <c r="Y751" s="209"/>
      <c r="Z751" s="209"/>
      <c r="AA751" s="209"/>
      <c r="AB751" s="209"/>
      <c r="AC751" s="209"/>
      <c r="AD751" s="209"/>
      <c r="AE751" s="209"/>
    </row>
    <row r="752">
      <c r="A752" s="209"/>
      <c r="B752" s="209"/>
      <c r="C752" s="209"/>
      <c r="D752" s="209" t="str">
        <f t="shared" si="3"/>
        <v>
</v>
      </c>
      <c r="E752" s="209"/>
      <c r="F752" s="209"/>
      <c r="G752" s="209"/>
      <c r="H752" s="209"/>
      <c r="I752" s="209"/>
      <c r="J752" s="209"/>
      <c r="K752" s="147"/>
      <c r="L752" s="147"/>
      <c r="M752" s="209"/>
      <c r="N752" s="209"/>
      <c r="O752" s="209"/>
      <c r="P752" s="209"/>
      <c r="Q752" s="209"/>
      <c r="R752" s="209"/>
      <c r="S752" s="209"/>
      <c r="T752" s="209"/>
      <c r="U752" s="209"/>
      <c r="V752" s="209"/>
      <c r="W752" s="209"/>
      <c r="X752" s="209"/>
      <c r="Y752" s="209"/>
      <c r="Z752" s="209"/>
      <c r="AA752" s="209"/>
      <c r="AB752" s="209"/>
      <c r="AC752" s="209"/>
      <c r="AD752" s="209"/>
      <c r="AE752" s="209"/>
    </row>
    <row r="753">
      <c r="A753" s="209"/>
      <c r="B753" s="209"/>
      <c r="C753" s="209"/>
      <c r="D753" s="209" t="str">
        <f t="shared" si="3"/>
        <v>
</v>
      </c>
      <c r="E753" s="209"/>
      <c r="F753" s="209"/>
      <c r="G753" s="209"/>
      <c r="H753" s="209"/>
      <c r="I753" s="209"/>
      <c r="J753" s="209"/>
      <c r="K753" s="147"/>
      <c r="L753" s="147"/>
      <c r="M753" s="209"/>
      <c r="N753" s="209"/>
      <c r="O753" s="209"/>
      <c r="P753" s="209"/>
      <c r="Q753" s="209"/>
      <c r="R753" s="209"/>
      <c r="S753" s="209"/>
      <c r="T753" s="209"/>
      <c r="U753" s="209"/>
      <c r="V753" s="209"/>
      <c r="W753" s="209"/>
      <c r="X753" s="209"/>
      <c r="Y753" s="209"/>
      <c r="Z753" s="209"/>
      <c r="AA753" s="209"/>
      <c r="AB753" s="209"/>
      <c r="AC753" s="209"/>
      <c r="AD753" s="209"/>
      <c r="AE753" s="209"/>
    </row>
    <row r="754">
      <c r="A754" s="209"/>
      <c r="B754" s="209"/>
      <c r="C754" s="209"/>
      <c r="D754" s="209" t="str">
        <f t="shared" si="3"/>
        <v>
</v>
      </c>
      <c r="E754" s="209"/>
      <c r="F754" s="209"/>
      <c r="G754" s="209"/>
      <c r="H754" s="209"/>
      <c r="I754" s="209"/>
      <c r="J754" s="209"/>
      <c r="K754" s="147"/>
      <c r="L754" s="147"/>
      <c r="M754" s="209"/>
      <c r="N754" s="209"/>
      <c r="O754" s="209"/>
      <c r="P754" s="209"/>
      <c r="Q754" s="209"/>
      <c r="R754" s="209"/>
      <c r="S754" s="209"/>
      <c r="T754" s="209"/>
      <c r="U754" s="209"/>
      <c r="V754" s="209"/>
      <c r="W754" s="209"/>
      <c r="X754" s="209"/>
      <c r="Y754" s="209"/>
      <c r="Z754" s="209"/>
      <c r="AA754" s="209"/>
      <c r="AB754" s="209"/>
      <c r="AC754" s="209"/>
      <c r="AD754" s="209"/>
      <c r="AE754" s="209"/>
    </row>
    <row r="755">
      <c r="A755" s="209"/>
      <c r="B755" s="209"/>
      <c r="C755" s="209"/>
      <c r="D755" s="209" t="str">
        <f t="shared" si="3"/>
        <v>
</v>
      </c>
      <c r="E755" s="209"/>
      <c r="F755" s="209"/>
      <c r="G755" s="209"/>
      <c r="H755" s="209"/>
      <c r="I755" s="209"/>
      <c r="J755" s="209"/>
      <c r="K755" s="147"/>
      <c r="L755" s="147"/>
      <c r="M755" s="209"/>
      <c r="N755" s="209"/>
      <c r="O755" s="209"/>
      <c r="P755" s="209"/>
      <c r="Q755" s="209"/>
      <c r="R755" s="209"/>
      <c r="S755" s="209"/>
      <c r="T755" s="209"/>
      <c r="U755" s="209"/>
      <c r="V755" s="209"/>
      <c r="W755" s="209"/>
      <c r="X755" s="209"/>
      <c r="Y755" s="209"/>
      <c r="Z755" s="209"/>
      <c r="AA755" s="209"/>
      <c r="AB755" s="209"/>
      <c r="AC755" s="209"/>
      <c r="AD755" s="209"/>
      <c r="AE755" s="209"/>
    </row>
    <row r="756">
      <c r="A756" s="209"/>
      <c r="B756" s="209"/>
      <c r="C756" s="209"/>
      <c r="D756" s="209" t="str">
        <f t="shared" si="3"/>
        <v>
</v>
      </c>
      <c r="E756" s="209"/>
      <c r="F756" s="209"/>
      <c r="G756" s="209"/>
      <c r="H756" s="209"/>
      <c r="I756" s="209"/>
      <c r="J756" s="209"/>
      <c r="K756" s="147"/>
      <c r="L756" s="147"/>
      <c r="M756" s="209"/>
      <c r="N756" s="209"/>
      <c r="O756" s="209"/>
      <c r="P756" s="209"/>
      <c r="Q756" s="209"/>
      <c r="R756" s="209"/>
      <c r="S756" s="209"/>
      <c r="T756" s="209"/>
      <c r="U756" s="209"/>
      <c r="V756" s="209"/>
      <c r="W756" s="209"/>
      <c r="X756" s="209"/>
      <c r="Y756" s="209"/>
      <c r="Z756" s="209"/>
      <c r="AA756" s="209"/>
      <c r="AB756" s="209"/>
      <c r="AC756" s="209"/>
      <c r="AD756" s="209"/>
      <c r="AE756" s="209"/>
    </row>
    <row r="757">
      <c r="A757" s="209"/>
      <c r="B757" s="209"/>
      <c r="C757" s="209"/>
      <c r="D757" s="209" t="str">
        <f t="shared" si="3"/>
        <v>
</v>
      </c>
      <c r="E757" s="209"/>
      <c r="F757" s="209"/>
      <c r="G757" s="209"/>
      <c r="H757" s="209"/>
      <c r="I757" s="209"/>
      <c r="J757" s="209"/>
      <c r="K757" s="147"/>
      <c r="L757" s="147"/>
      <c r="M757" s="209"/>
      <c r="N757" s="209"/>
      <c r="O757" s="209"/>
      <c r="P757" s="209"/>
      <c r="Q757" s="209"/>
      <c r="R757" s="209"/>
      <c r="S757" s="209"/>
      <c r="T757" s="209"/>
      <c r="U757" s="209"/>
      <c r="V757" s="209"/>
      <c r="W757" s="209"/>
      <c r="X757" s="209"/>
      <c r="Y757" s="209"/>
      <c r="Z757" s="209"/>
      <c r="AA757" s="209"/>
      <c r="AB757" s="209"/>
      <c r="AC757" s="209"/>
      <c r="AD757" s="209"/>
      <c r="AE757" s="209"/>
    </row>
    <row r="758">
      <c r="A758" s="209"/>
      <c r="B758" s="209"/>
      <c r="C758" s="209"/>
      <c r="D758" s="209" t="str">
        <f t="shared" si="3"/>
        <v>
</v>
      </c>
      <c r="E758" s="209"/>
      <c r="F758" s="209"/>
      <c r="G758" s="209"/>
      <c r="H758" s="209"/>
      <c r="I758" s="209"/>
      <c r="J758" s="209"/>
      <c r="K758" s="147"/>
      <c r="L758" s="147"/>
      <c r="M758" s="209"/>
      <c r="N758" s="209"/>
      <c r="O758" s="209"/>
      <c r="P758" s="209"/>
      <c r="Q758" s="209"/>
      <c r="R758" s="209"/>
      <c r="S758" s="209"/>
      <c r="T758" s="209"/>
      <c r="U758" s="209"/>
      <c r="V758" s="209"/>
      <c r="W758" s="209"/>
      <c r="X758" s="209"/>
      <c r="Y758" s="209"/>
      <c r="Z758" s="209"/>
      <c r="AA758" s="209"/>
      <c r="AB758" s="209"/>
      <c r="AC758" s="209"/>
      <c r="AD758" s="209"/>
      <c r="AE758" s="209"/>
    </row>
    <row r="759">
      <c r="A759" s="209"/>
      <c r="B759" s="209"/>
      <c r="C759" s="209"/>
      <c r="D759" s="209" t="str">
        <f t="shared" si="3"/>
        <v>
</v>
      </c>
      <c r="E759" s="209"/>
      <c r="F759" s="209"/>
      <c r="G759" s="209"/>
      <c r="H759" s="209"/>
      <c r="I759" s="209"/>
      <c r="J759" s="209"/>
      <c r="K759" s="147"/>
      <c r="L759" s="147"/>
      <c r="M759" s="209"/>
      <c r="N759" s="209"/>
      <c r="O759" s="209"/>
      <c r="P759" s="209"/>
      <c r="Q759" s="209"/>
      <c r="R759" s="209"/>
      <c r="S759" s="209"/>
      <c r="T759" s="209"/>
      <c r="U759" s="209"/>
      <c r="V759" s="209"/>
      <c r="W759" s="209"/>
      <c r="X759" s="209"/>
      <c r="Y759" s="209"/>
      <c r="Z759" s="209"/>
      <c r="AA759" s="209"/>
      <c r="AB759" s="209"/>
      <c r="AC759" s="209"/>
      <c r="AD759" s="209"/>
      <c r="AE759" s="209"/>
    </row>
    <row r="760">
      <c r="A760" s="209"/>
      <c r="B760" s="209"/>
      <c r="C760" s="209"/>
      <c r="D760" s="209" t="str">
        <f t="shared" si="3"/>
        <v>
</v>
      </c>
      <c r="E760" s="209"/>
      <c r="F760" s="209"/>
      <c r="G760" s="209"/>
      <c r="H760" s="209"/>
      <c r="I760" s="209"/>
      <c r="J760" s="209"/>
      <c r="K760" s="147"/>
      <c r="L760" s="147"/>
      <c r="M760" s="209"/>
      <c r="N760" s="209"/>
      <c r="O760" s="209"/>
      <c r="P760" s="209"/>
      <c r="Q760" s="209"/>
      <c r="R760" s="209"/>
      <c r="S760" s="209"/>
      <c r="T760" s="209"/>
      <c r="U760" s="209"/>
      <c r="V760" s="209"/>
      <c r="W760" s="209"/>
      <c r="X760" s="209"/>
      <c r="Y760" s="209"/>
      <c r="Z760" s="209"/>
      <c r="AA760" s="209"/>
      <c r="AB760" s="209"/>
      <c r="AC760" s="209"/>
      <c r="AD760" s="209"/>
      <c r="AE760" s="209"/>
    </row>
    <row r="761">
      <c r="A761" s="209"/>
      <c r="B761" s="209"/>
      <c r="C761" s="209"/>
      <c r="D761" s="209" t="str">
        <f t="shared" si="3"/>
        <v>
</v>
      </c>
      <c r="E761" s="209"/>
      <c r="F761" s="209"/>
      <c r="G761" s="209"/>
      <c r="H761" s="209"/>
      <c r="I761" s="209"/>
      <c r="J761" s="209"/>
      <c r="K761" s="147"/>
      <c r="L761" s="147"/>
      <c r="M761" s="209"/>
      <c r="N761" s="209"/>
      <c r="O761" s="209"/>
      <c r="P761" s="209"/>
      <c r="Q761" s="209"/>
      <c r="R761" s="209"/>
      <c r="S761" s="209"/>
      <c r="T761" s="209"/>
      <c r="U761" s="209"/>
      <c r="V761" s="209"/>
      <c r="W761" s="209"/>
      <c r="X761" s="209"/>
      <c r="Y761" s="209"/>
      <c r="Z761" s="209"/>
      <c r="AA761" s="209"/>
      <c r="AB761" s="209"/>
      <c r="AC761" s="209"/>
      <c r="AD761" s="209"/>
      <c r="AE761" s="209"/>
    </row>
    <row r="762">
      <c r="A762" s="209"/>
      <c r="B762" s="209"/>
      <c r="C762" s="209"/>
      <c r="D762" s="209" t="str">
        <f t="shared" si="3"/>
        <v>
</v>
      </c>
      <c r="E762" s="209"/>
      <c r="F762" s="209"/>
      <c r="G762" s="209"/>
      <c r="H762" s="209"/>
      <c r="I762" s="209"/>
      <c r="J762" s="209"/>
      <c r="K762" s="147"/>
      <c r="L762" s="147"/>
      <c r="M762" s="209"/>
      <c r="N762" s="209"/>
      <c r="O762" s="209"/>
      <c r="P762" s="209"/>
      <c r="Q762" s="209"/>
      <c r="R762" s="209"/>
      <c r="S762" s="209"/>
      <c r="T762" s="209"/>
      <c r="U762" s="209"/>
      <c r="V762" s="209"/>
      <c r="W762" s="209"/>
      <c r="X762" s="209"/>
      <c r="Y762" s="209"/>
      <c r="Z762" s="209"/>
      <c r="AA762" s="209"/>
      <c r="AB762" s="209"/>
      <c r="AC762" s="209"/>
      <c r="AD762" s="209"/>
      <c r="AE762" s="209"/>
    </row>
    <row r="763">
      <c r="A763" s="209"/>
      <c r="B763" s="209"/>
      <c r="C763" s="209"/>
      <c r="D763" s="209" t="str">
        <f t="shared" si="3"/>
        <v>
</v>
      </c>
      <c r="E763" s="209"/>
      <c r="F763" s="209"/>
      <c r="G763" s="209"/>
      <c r="H763" s="209"/>
      <c r="I763" s="209"/>
      <c r="J763" s="209"/>
      <c r="K763" s="147"/>
      <c r="L763" s="147"/>
      <c r="M763" s="209"/>
      <c r="N763" s="209"/>
      <c r="O763" s="209"/>
      <c r="P763" s="209"/>
      <c r="Q763" s="209"/>
      <c r="R763" s="209"/>
      <c r="S763" s="209"/>
      <c r="T763" s="209"/>
      <c r="U763" s="209"/>
      <c r="V763" s="209"/>
      <c r="W763" s="209"/>
      <c r="X763" s="209"/>
      <c r="Y763" s="209"/>
      <c r="Z763" s="209"/>
      <c r="AA763" s="209"/>
      <c r="AB763" s="209"/>
      <c r="AC763" s="209"/>
      <c r="AD763" s="209"/>
      <c r="AE763" s="209"/>
    </row>
    <row r="764">
      <c r="A764" s="209"/>
      <c r="B764" s="209"/>
      <c r="C764" s="209"/>
      <c r="D764" s="209" t="str">
        <f t="shared" si="3"/>
        <v>
</v>
      </c>
      <c r="E764" s="209"/>
      <c r="F764" s="209"/>
      <c r="G764" s="209"/>
      <c r="H764" s="209"/>
      <c r="I764" s="209"/>
      <c r="J764" s="209"/>
      <c r="K764" s="147"/>
      <c r="L764" s="147"/>
      <c r="M764" s="209"/>
      <c r="N764" s="209"/>
      <c r="O764" s="209"/>
      <c r="P764" s="209"/>
      <c r="Q764" s="209"/>
      <c r="R764" s="209"/>
      <c r="S764" s="209"/>
      <c r="T764" s="209"/>
      <c r="U764" s="209"/>
      <c r="V764" s="209"/>
      <c r="W764" s="209"/>
      <c r="X764" s="209"/>
      <c r="Y764" s="209"/>
      <c r="Z764" s="209"/>
      <c r="AA764" s="209"/>
      <c r="AB764" s="209"/>
      <c r="AC764" s="209"/>
      <c r="AD764" s="209"/>
      <c r="AE764" s="209"/>
    </row>
    <row r="765">
      <c r="A765" s="209"/>
      <c r="B765" s="209"/>
      <c r="C765" s="209"/>
      <c r="D765" s="209" t="str">
        <f t="shared" si="3"/>
        <v>
</v>
      </c>
      <c r="E765" s="209"/>
      <c r="F765" s="209"/>
      <c r="G765" s="209"/>
      <c r="H765" s="209"/>
      <c r="I765" s="209"/>
      <c r="J765" s="209"/>
      <c r="K765" s="147"/>
      <c r="L765" s="147"/>
      <c r="M765" s="209"/>
      <c r="N765" s="209"/>
      <c r="O765" s="209"/>
      <c r="P765" s="209"/>
      <c r="Q765" s="209"/>
      <c r="R765" s="209"/>
      <c r="S765" s="209"/>
      <c r="T765" s="209"/>
      <c r="U765" s="209"/>
      <c r="V765" s="209"/>
      <c r="W765" s="209"/>
      <c r="X765" s="209"/>
      <c r="Y765" s="209"/>
      <c r="Z765" s="209"/>
      <c r="AA765" s="209"/>
      <c r="AB765" s="209"/>
      <c r="AC765" s="209"/>
      <c r="AD765" s="209"/>
      <c r="AE765" s="209"/>
    </row>
    <row r="766">
      <c r="A766" s="209"/>
      <c r="B766" s="209"/>
      <c r="C766" s="209"/>
      <c r="D766" s="209" t="str">
        <f t="shared" si="3"/>
        <v>
</v>
      </c>
      <c r="E766" s="209"/>
      <c r="F766" s="209"/>
      <c r="G766" s="209"/>
      <c r="H766" s="209"/>
      <c r="I766" s="209"/>
      <c r="J766" s="209"/>
      <c r="K766" s="147"/>
      <c r="L766" s="147"/>
      <c r="M766" s="209"/>
      <c r="N766" s="209"/>
      <c r="O766" s="209"/>
      <c r="P766" s="209"/>
      <c r="Q766" s="209"/>
      <c r="R766" s="209"/>
      <c r="S766" s="209"/>
      <c r="T766" s="209"/>
      <c r="U766" s="209"/>
      <c r="V766" s="209"/>
      <c r="W766" s="209"/>
      <c r="X766" s="209"/>
      <c r="Y766" s="209"/>
      <c r="Z766" s="209"/>
      <c r="AA766" s="209"/>
      <c r="AB766" s="209"/>
      <c r="AC766" s="209"/>
      <c r="AD766" s="209"/>
      <c r="AE766" s="209"/>
    </row>
    <row r="767">
      <c r="A767" s="209"/>
      <c r="B767" s="209"/>
      <c r="C767" s="209"/>
      <c r="D767" s="209" t="str">
        <f t="shared" si="3"/>
        <v>
</v>
      </c>
      <c r="E767" s="209"/>
      <c r="F767" s="209"/>
      <c r="G767" s="209"/>
      <c r="H767" s="209"/>
      <c r="I767" s="209"/>
      <c r="J767" s="209"/>
      <c r="K767" s="147"/>
      <c r="L767" s="147"/>
      <c r="M767" s="209"/>
      <c r="N767" s="209"/>
      <c r="O767" s="209"/>
      <c r="P767" s="209"/>
      <c r="Q767" s="209"/>
      <c r="R767" s="209"/>
      <c r="S767" s="209"/>
      <c r="T767" s="209"/>
      <c r="U767" s="209"/>
      <c r="V767" s="209"/>
      <c r="W767" s="209"/>
      <c r="X767" s="209"/>
      <c r="Y767" s="209"/>
      <c r="Z767" s="209"/>
      <c r="AA767" s="209"/>
      <c r="AB767" s="209"/>
      <c r="AC767" s="209"/>
      <c r="AD767" s="209"/>
      <c r="AE767" s="209"/>
    </row>
    <row r="768">
      <c r="A768" s="209"/>
      <c r="B768" s="209"/>
      <c r="C768" s="209"/>
      <c r="D768" s="209" t="str">
        <f t="shared" si="3"/>
        <v>
</v>
      </c>
      <c r="E768" s="209"/>
      <c r="F768" s="209"/>
      <c r="G768" s="209"/>
      <c r="H768" s="209"/>
      <c r="I768" s="209"/>
      <c r="J768" s="209"/>
      <c r="K768" s="147"/>
      <c r="L768" s="147"/>
      <c r="M768" s="209"/>
      <c r="N768" s="209"/>
      <c r="O768" s="209"/>
      <c r="P768" s="209"/>
      <c r="Q768" s="209"/>
      <c r="R768" s="209"/>
      <c r="S768" s="209"/>
      <c r="T768" s="209"/>
      <c r="U768" s="209"/>
      <c r="V768" s="209"/>
      <c r="W768" s="209"/>
      <c r="X768" s="209"/>
      <c r="Y768" s="209"/>
      <c r="Z768" s="209"/>
      <c r="AA768" s="209"/>
      <c r="AB768" s="209"/>
      <c r="AC768" s="209"/>
      <c r="AD768" s="209"/>
      <c r="AE768" s="209"/>
    </row>
    <row r="769">
      <c r="A769" s="209"/>
      <c r="B769" s="209"/>
      <c r="C769" s="209"/>
      <c r="D769" s="209" t="str">
        <f t="shared" si="3"/>
        <v>
</v>
      </c>
      <c r="E769" s="209"/>
      <c r="F769" s="209"/>
      <c r="G769" s="209"/>
      <c r="H769" s="209"/>
      <c r="I769" s="209"/>
      <c r="J769" s="209"/>
      <c r="K769" s="147"/>
      <c r="L769" s="147"/>
      <c r="M769" s="209"/>
      <c r="N769" s="209"/>
      <c r="O769" s="209"/>
      <c r="P769" s="209"/>
      <c r="Q769" s="209"/>
      <c r="R769" s="209"/>
      <c r="S769" s="209"/>
      <c r="T769" s="209"/>
      <c r="U769" s="209"/>
      <c r="V769" s="209"/>
      <c r="W769" s="209"/>
      <c r="X769" s="209"/>
      <c r="Y769" s="209"/>
      <c r="Z769" s="209"/>
      <c r="AA769" s="209"/>
      <c r="AB769" s="209"/>
      <c r="AC769" s="209"/>
      <c r="AD769" s="209"/>
      <c r="AE769" s="209"/>
    </row>
    <row r="770">
      <c r="A770" s="209"/>
      <c r="B770" s="209"/>
      <c r="C770" s="209"/>
      <c r="D770" s="209" t="str">
        <f t="shared" si="3"/>
        <v>
</v>
      </c>
      <c r="E770" s="209"/>
      <c r="F770" s="209"/>
      <c r="G770" s="209"/>
      <c r="H770" s="209"/>
      <c r="I770" s="209"/>
      <c r="J770" s="209"/>
      <c r="K770" s="147"/>
      <c r="L770" s="147"/>
      <c r="M770" s="209"/>
      <c r="N770" s="209"/>
      <c r="O770" s="209"/>
      <c r="P770" s="209"/>
      <c r="Q770" s="209"/>
      <c r="R770" s="209"/>
      <c r="S770" s="209"/>
      <c r="T770" s="209"/>
      <c r="U770" s="209"/>
      <c r="V770" s="209"/>
      <c r="W770" s="209"/>
      <c r="X770" s="209"/>
      <c r="Y770" s="209"/>
      <c r="Z770" s="209"/>
      <c r="AA770" s="209"/>
      <c r="AB770" s="209"/>
      <c r="AC770" s="209"/>
      <c r="AD770" s="209"/>
      <c r="AE770" s="209"/>
    </row>
    <row r="771">
      <c r="A771" s="209"/>
      <c r="B771" s="209"/>
      <c r="C771" s="209"/>
      <c r="D771" s="209" t="str">
        <f t="shared" si="3"/>
        <v>
</v>
      </c>
      <c r="E771" s="209"/>
      <c r="F771" s="209"/>
      <c r="G771" s="209"/>
      <c r="H771" s="209"/>
      <c r="I771" s="209"/>
      <c r="J771" s="209"/>
      <c r="K771" s="147"/>
      <c r="L771" s="147"/>
      <c r="M771" s="209"/>
      <c r="N771" s="209"/>
      <c r="O771" s="209"/>
      <c r="P771" s="209"/>
      <c r="Q771" s="209"/>
      <c r="R771" s="209"/>
      <c r="S771" s="209"/>
      <c r="T771" s="209"/>
      <c r="U771" s="209"/>
      <c r="V771" s="209"/>
      <c r="W771" s="209"/>
      <c r="X771" s="209"/>
      <c r="Y771" s="209"/>
      <c r="Z771" s="209"/>
      <c r="AA771" s="209"/>
      <c r="AB771" s="209"/>
      <c r="AC771" s="209"/>
      <c r="AD771" s="209"/>
      <c r="AE771" s="209"/>
    </row>
    <row r="772">
      <c r="A772" s="209"/>
      <c r="B772" s="209"/>
      <c r="C772" s="209"/>
      <c r="D772" s="209" t="str">
        <f t="shared" si="3"/>
        <v>
</v>
      </c>
      <c r="E772" s="209"/>
      <c r="F772" s="209"/>
      <c r="G772" s="209"/>
      <c r="H772" s="209"/>
      <c r="I772" s="209"/>
      <c r="J772" s="209"/>
      <c r="K772" s="147"/>
      <c r="L772" s="147"/>
      <c r="M772" s="209"/>
      <c r="N772" s="209"/>
      <c r="O772" s="209"/>
      <c r="P772" s="209"/>
      <c r="Q772" s="209"/>
      <c r="R772" s="209"/>
      <c r="S772" s="209"/>
      <c r="T772" s="209"/>
      <c r="U772" s="209"/>
      <c r="V772" s="209"/>
      <c r="W772" s="209"/>
      <c r="X772" s="209"/>
      <c r="Y772" s="209"/>
      <c r="Z772" s="209"/>
      <c r="AA772" s="209"/>
      <c r="AB772" s="209"/>
      <c r="AC772" s="209"/>
      <c r="AD772" s="209"/>
      <c r="AE772" s="209"/>
    </row>
    <row r="773">
      <c r="A773" s="209"/>
      <c r="B773" s="209"/>
      <c r="C773" s="209"/>
      <c r="D773" s="209" t="str">
        <f t="shared" si="3"/>
        <v>
</v>
      </c>
      <c r="E773" s="209"/>
      <c r="F773" s="209"/>
      <c r="G773" s="209"/>
      <c r="H773" s="209"/>
      <c r="I773" s="209"/>
      <c r="J773" s="209"/>
      <c r="K773" s="147"/>
      <c r="L773" s="147"/>
      <c r="M773" s="209"/>
      <c r="N773" s="209"/>
      <c r="O773" s="209"/>
      <c r="P773" s="209"/>
      <c r="Q773" s="209"/>
      <c r="R773" s="209"/>
      <c r="S773" s="209"/>
      <c r="T773" s="209"/>
      <c r="U773" s="209"/>
      <c r="V773" s="209"/>
      <c r="W773" s="209"/>
      <c r="X773" s="209"/>
      <c r="Y773" s="209"/>
      <c r="Z773" s="209"/>
      <c r="AA773" s="209"/>
      <c r="AB773" s="209"/>
      <c r="AC773" s="209"/>
      <c r="AD773" s="209"/>
      <c r="AE773" s="209"/>
    </row>
    <row r="774">
      <c r="A774" s="209"/>
      <c r="B774" s="209"/>
      <c r="C774" s="209"/>
      <c r="D774" s="209" t="str">
        <f t="shared" si="3"/>
        <v>
</v>
      </c>
      <c r="E774" s="209"/>
      <c r="F774" s="209"/>
      <c r="G774" s="209"/>
      <c r="H774" s="209"/>
      <c r="I774" s="209"/>
      <c r="J774" s="209"/>
      <c r="K774" s="147"/>
      <c r="L774" s="147"/>
      <c r="M774" s="209"/>
      <c r="N774" s="209"/>
      <c r="O774" s="209"/>
      <c r="P774" s="209"/>
      <c r="Q774" s="209"/>
      <c r="R774" s="209"/>
      <c r="S774" s="209"/>
      <c r="T774" s="209"/>
      <c r="U774" s="209"/>
      <c r="V774" s="209"/>
      <c r="W774" s="209"/>
      <c r="X774" s="209"/>
      <c r="Y774" s="209"/>
      <c r="Z774" s="209"/>
      <c r="AA774" s="209"/>
      <c r="AB774" s="209"/>
      <c r="AC774" s="209"/>
      <c r="AD774" s="209"/>
      <c r="AE774" s="209"/>
    </row>
    <row r="775">
      <c r="A775" s="209"/>
      <c r="B775" s="209"/>
      <c r="C775" s="209"/>
      <c r="D775" s="209" t="str">
        <f t="shared" si="3"/>
        <v>
</v>
      </c>
      <c r="E775" s="209"/>
      <c r="F775" s="209"/>
      <c r="G775" s="209"/>
      <c r="H775" s="209"/>
      <c r="I775" s="209"/>
      <c r="J775" s="209"/>
      <c r="K775" s="147"/>
      <c r="L775" s="147"/>
      <c r="M775" s="209"/>
      <c r="N775" s="209"/>
      <c r="O775" s="209"/>
      <c r="P775" s="209"/>
      <c r="Q775" s="209"/>
      <c r="R775" s="209"/>
      <c r="S775" s="209"/>
      <c r="T775" s="209"/>
      <c r="U775" s="209"/>
      <c r="V775" s="209"/>
      <c r="W775" s="209"/>
      <c r="X775" s="209"/>
      <c r="Y775" s="209"/>
      <c r="Z775" s="209"/>
      <c r="AA775" s="209"/>
      <c r="AB775" s="209"/>
      <c r="AC775" s="209"/>
      <c r="AD775" s="209"/>
      <c r="AE775" s="209"/>
    </row>
    <row r="776">
      <c r="A776" s="209"/>
      <c r="B776" s="209"/>
      <c r="C776" s="209"/>
      <c r="D776" s="209" t="str">
        <f t="shared" si="3"/>
        <v>
</v>
      </c>
      <c r="E776" s="209"/>
      <c r="F776" s="209"/>
      <c r="G776" s="209"/>
      <c r="H776" s="209"/>
      <c r="I776" s="209"/>
      <c r="J776" s="209"/>
      <c r="K776" s="147"/>
      <c r="L776" s="147"/>
      <c r="M776" s="209"/>
      <c r="N776" s="209"/>
      <c r="O776" s="209"/>
      <c r="P776" s="209"/>
      <c r="Q776" s="209"/>
      <c r="R776" s="209"/>
      <c r="S776" s="209"/>
      <c r="T776" s="209"/>
      <c r="U776" s="209"/>
      <c r="V776" s="209"/>
      <c r="W776" s="209"/>
      <c r="X776" s="209"/>
      <c r="Y776" s="209"/>
      <c r="Z776" s="209"/>
      <c r="AA776" s="209"/>
      <c r="AB776" s="209"/>
      <c r="AC776" s="209"/>
      <c r="AD776" s="209"/>
      <c r="AE776" s="209"/>
    </row>
    <row r="777">
      <c r="A777" s="209"/>
      <c r="B777" s="209"/>
      <c r="C777" s="209"/>
      <c r="D777" s="209" t="str">
        <f t="shared" si="3"/>
        <v>
</v>
      </c>
      <c r="E777" s="209"/>
      <c r="F777" s="209"/>
      <c r="G777" s="209"/>
      <c r="H777" s="209"/>
      <c r="I777" s="209"/>
      <c r="J777" s="209"/>
      <c r="K777" s="147"/>
      <c r="L777" s="147"/>
      <c r="M777" s="209"/>
      <c r="N777" s="209"/>
      <c r="O777" s="209"/>
      <c r="P777" s="209"/>
      <c r="Q777" s="209"/>
      <c r="R777" s="209"/>
      <c r="S777" s="209"/>
      <c r="T777" s="209"/>
      <c r="U777" s="209"/>
      <c r="V777" s="209"/>
      <c r="W777" s="209"/>
      <c r="X777" s="209"/>
      <c r="Y777" s="209"/>
      <c r="Z777" s="209"/>
      <c r="AA777" s="209"/>
      <c r="AB777" s="209"/>
      <c r="AC777" s="209"/>
      <c r="AD777" s="209"/>
      <c r="AE777" s="209"/>
    </row>
    <row r="778">
      <c r="A778" s="209"/>
      <c r="B778" s="209"/>
      <c r="C778" s="209"/>
      <c r="D778" s="209" t="str">
        <f t="shared" si="3"/>
        <v>
</v>
      </c>
      <c r="E778" s="209"/>
      <c r="F778" s="209"/>
      <c r="G778" s="209"/>
      <c r="H778" s="209"/>
      <c r="I778" s="209"/>
      <c r="J778" s="209"/>
      <c r="K778" s="147"/>
      <c r="L778" s="147"/>
      <c r="M778" s="209"/>
      <c r="N778" s="209"/>
      <c r="O778" s="209"/>
      <c r="P778" s="209"/>
      <c r="Q778" s="209"/>
      <c r="R778" s="209"/>
      <c r="S778" s="209"/>
      <c r="T778" s="209"/>
      <c r="U778" s="209"/>
      <c r="V778" s="209"/>
      <c r="W778" s="209"/>
      <c r="X778" s="209"/>
      <c r="Y778" s="209"/>
      <c r="Z778" s="209"/>
      <c r="AA778" s="209"/>
      <c r="AB778" s="209"/>
      <c r="AC778" s="209"/>
      <c r="AD778" s="209"/>
      <c r="AE778" s="209"/>
    </row>
    <row r="779">
      <c r="A779" s="209"/>
      <c r="B779" s="209"/>
      <c r="C779" s="209"/>
      <c r="D779" s="209" t="str">
        <f t="shared" si="3"/>
        <v>
</v>
      </c>
      <c r="E779" s="209"/>
      <c r="F779" s="209"/>
      <c r="G779" s="209"/>
      <c r="H779" s="209"/>
      <c r="I779" s="209"/>
      <c r="J779" s="209"/>
      <c r="K779" s="147"/>
      <c r="L779" s="147"/>
      <c r="M779" s="209"/>
      <c r="N779" s="209"/>
      <c r="O779" s="209"/>
      <c r="P779" s="209"/>
      <c r="Q779" s="209"/>
      <c r="R779" s="209"/>
      <c r="S779" s="209"/>
      <c r="T779" s="209"/>
      <c r="U779" s="209"/>
      <c r="V779" s="209"/>
      <c r="W779" s="209"/>
      <c r="X779" s="209"/>
      <c r="Y779" s="209"/>
      <c r="Z779" s="209"/>
      <c r="AA779" s="209"/>
      <c r="AB779" s="209"/>
      <c r="AC779" s="209"/>
      <c r="AD779" s="209"/>
      <c r="AE779" s="209"/>
    </row>
    <row r="780">
      <c r="A780" s="209"/>
      <c r="B780" s="209"/>
      <c r="C780" s="209"/>
      <c r="D780" s="209" t="str">
        <f t="shared" si="3"/>
        <v>
</v>
      </c>
      <c r="E780" s="209"/>
      <c r="F780" s="209"/>
      <c r="G780" s="209"/>
      <c r="H780" s="209"/>
      <c r="I780" s="209"/>
      <c r="J780" s="209"/>
      <c r="K780" s="147"/>
      <c r="L780" s="147"/>
      <c r="M780" s="209"/>
      <c r="N780" s="209"/>
      <c r="O780" s="209"/>
      <c r="P780" s="209"/>
      <c r="Q780" s="209"/>
      <c r="R780" s="209"/>
      <c r="S780" s="209"/>
      <c r="T780" s="209"/>
      <c r="U780" s="209"/>
      <c r="V780" s="209"/>
      <c r="W780" s="209"/>
      <c r="X780" s="209"/>
      <c r="Y780" s="209"/>
      <c r="Z780" s="209"/>
      <c r="AA780" s="209"/>
      <c r="AB780" s="209"/>
      <c r="AC780" s="209"/>
      <c r="AD780" s="209"/>
      <c r="AE780" s="209"/>
    </row>
    <row r="781">
      <c r="A781" s="209"/>
      <c r="B781" s="209"/>
      <c r="C781" s="209"/>
      <c r="D781" s="209" t="str">
        <f t="shared" si="3"/>
        <v>
</v>
      </c>
      <c r="E781" s="209"/>
      <c r="F781" s="209"/>
      <c r="G781" s="209"/>
      <c r="H781" s="209"/>
      <c r="I781" s="209"/>
      <c r="J781" s="209"/>
      <c r="K781" s="147"/>
      <c r="L781" s="147"/>
      <c r="M781" s="209"/>
      <c r="N781" s="209"/>
      <c r="O781" s="209"/>
      <c r="P781" s="209"/>
      <c r="Q781" s="209"/>
      <c r="R781" s="209"/>
      <c r="S781" s="209"/>
      <c r="T781" s="209"/>
      <c r="U781" s="209"/>
      <c r="V781" s="209"/>
      <c r="W781" s="209"/>
      <c r="X781" s="209"/>
      <c r="Y781" s="209"/>
      <c r="Z781" s="209"/>
      <c r="AA781" s="209"/>
      <c r="AB781" s="209"/>
      <c r="AC781" s="209"/>
      <c r="AD781" s="209"/>
      <c r="AE781" s="209"/>
    </row>
    <row r="782">
      <c r="A782" s="209"/>
      <c r="B782" s="209"/>
      <c r="C782" s="209"/>
      <c r="D782" s="209" t="str">
        <f t="shared" si="3"/>
        <v>
</v>
      </c>
      <c r="E782" s="209"/>
      <c r="F782" s="209"/>
      <c r="G782" s="209"/>
      <c r="H782" s="209"/>
      <c r="I782" s="209"/>
      <c r="J782" s="209"/>
      <c r="K782" s="147"/>
      <c r="L782" s="147"/>
      <c r="M782" s="209"/>
      <c r="N782" s="209"/>
      <c r="O782" s="209"/>
      <c r="P782" s="209"/>
      <c r="Q782" s="209"/>
      <c r="R782" s="209"/>
      <c r="S782" s="209"/>
      <c r="T782" s="209"/>
      <c r="U782" s="209"/>
      <c r="V782" s="209"/>
      <c r="W782" s="209"/>
      <c r="X782" s="209"/>
      <c r="Y782" s="209"/>
      <c r="Z782" s="209"/>
      <c r="AA782" s="209"/>
      <c r="AB782" s="209"/>
      <c r="AC782" s="209"/>
      <c r="AD782" s="209"/>
      <c r="AE782" s="209"/>
    </row>
    <row r="783">
      <c r="A783" s="209"/>
      <c r="B783" s="209"/>
      <c r="C783" s="209"/>
      <c r="D783" s="209" t="str">
        <f t="shared" si="3"/>
        <v>
</v>
      </c>
      <c r="E783" s="209"/>
      <c r="F783" s="209"/>
      <c r="G783" s="209"/>
      <c r="H783" s="209"/>
      <c r="I783" s="209"/>
      <c r="J783" s="209"/>
      <c r="K783" s="147"/>
      <c r="L783" s="147"/>
      <c r="M783" s="209"/>
      <c r="N783" s="209"/>
      <c r="O783" s="209"/>
      <c r="P783" s="209"/>
      <c r="Q783" s="209"/>
      <c r="R783" s="209"/>
      <c r="S783" s="209"/>
      <c r="T783" s="209"/>
      <c r="U783" s="209"/>
      <c r="V783" s="209"/>
      <c r="W783" s="209"/>
      <c r="X783" s="209"/>
      <c r="Y783" s="209"/>
      <c r="Z783" s="209"/>
      <c r="AA783" s="209"/>
      <c r="AB783" s="209"/>
      <c r="AC783" s="209"/>
      <c r="AD783" s="209"/>
      <c r="AE783" s="209"/>
    </row>
    <row r="784">
      <c r="A784" s="209"/>
      <c r="B784" s="209"/>
      <c r="C784" s="209"/>
      <c r="D784" s="209" t="str">
        <f t="shared" si="3"/>
        <v>
</v>
      </c>
      <c r="E784" s="209"/>
      <c r="F784" s="209"/>
      <c r="G784" s="209"/>
      <c r="H784" s="209"/>
      <c r="I784" s="209"/>
      <c r="J784" s="209"/>
      <c r="K784" s="147"/>
      <c r="L784" s="147"/>
      <c r="M784" s="209"/>
      <c r="N784" s="209"/>
      <c r="O784" s="209"/>
      <c r="P784" s="209"/>
      <c r="Q784" s="209"/>
      <c r="R784" s="209"/>
      <c r="S784" s="209"/>
      <c r="T784" s="209"/>
      <c r="U784" s="209"/>
      <c r="V784" s="209"/>
      <c r="W784" s="209"/>
      <c r="X784" s="209"/>
      <c r="Y784" s="209"/>
      <c r="Z784" s="209"/>
      <c r="AA784" s="209"/>
      <c r="AB784" s="209"/>
      <c r="AC784" s="209"/>
      <c r="AD784" s="209"/>
      <c r="AE784" s="209"/>
    </row>
    <row r="785">
      <c r="A785" s="209"/>
      <c r="B785" s="209"/>
      <c r="C785" s="209"/>
      <c r="D785" s="209" t="str">
        <f t="shared" si="3"/>
        <v>
</v>
      </c>
      <c r="E785" s="209"/>
      <c r="F785" s="209"/>
      <c r="G785" s="209"/>
      <c r="H785" s="209"/>
      <c r="I785" s="209"/>
      <c r="J785" s="209"/>
      <c r="K785" s="147"/>
      <c r="L785" s="147"/>
      <c r="M785" s="209"/>
      <c r="N785" s="209"/>
      <c r="O785" s="209"/>
      <c r="P785" s="209"/>
      <c r="Q785" s="209"/>
      <c r="R785" s="209"/>
      <c r="S785" s="209"/>
      <c r="T785" s="209"/>
      <c r="U785" s="209"/>
      <c r="V785" s="209"/>
      <c r="W785" s="209"/>
      <c r="X785" s="209"/>
      <c r="Y785" s="209"/>
      <c r="Z785" s="209"/>
      <c r="AA785" s="209"/>
      <c r="AB785" s="209"/>
      <c r="AC785" s="209"/>
      <c r="AD785" s="209"/>
      <c r="AE785" s="209"/>
    </row>
    <row r="786">
      <c r="A786" s="209"/>
      <c r="B786" s="209"/>
      <c r="C786" s="209"/>
      <c r="D786" s="209" t="str">
        <f t="shared" si="3"/>
        <v>
</v>
      </c>
      <c r="E786" s="209"/>
      <c r="F786" s="209"/>
      <c r="G786" s="209"/>
      <c r="H786" s="209"/>
      <c r="I786" s="209"/>
      <c r="J786" s="209"/>
      <c r="K786" s="147"/>
      <c r="L786" s="147"/>
      <c r="M786" s="209"/>
      <c r="N786" s="209"/>
      <c r="O786" s="209"/>
      <c r="P786" s="209"/>
      <c r="Q786" s="209"/>
      <c r="R786" s="209"/>
      <c r="S786" s="209"/>
      <c r="T786" s="209"/>
      <c r="U786" s="209"/>
      <c r="V786" s="209"/>
      <c r="W786" s="209"/>
      <c r="X786" s="209"/>
      <c r="Y786" s="209"/>
      <c r="Z786" s="209"/>
      <c r="AA786" s="209"/>
      <c r="AB786" s="209"/>
      <c r="AC786" s="209"/>
      <c r="AD786" s="209"/>
      <c r="AE786" s="209"/>
    </row>
    <row r="787">
      <c r="A787" s="209"/>
      <c r="B787" s="209"/>
      <c r="C787" s="209"/>
      <c r="D787" s="209" t="str">
        <f t="shared" si="3"/>
        <v>
</v>
      </c>
      <c r="E787" s="209"/>
      <c r="F787" s="209"/>
      <c r="G787" s="209"/>
      <c r="H787" s="209"/>
      <c r="I787" s="209"/>
      <c r="J787" s="209"/>
      <c r="K787" s="147"/>
      <c r="L787" s="147"/>
      <c r="M787" s="209"/>
      <c r="N787" s="209"/>
      <c r="O787" s="209"/>
      <c r="P787" s="209"/>
      <c r="Q787" s="209"/>
      <c r="R787" s="209"/>
      <c r="S787" s="209"/>
      <c r="T787" s="209"/>
      <c r="U787" s="209"/>
      <c r="V787" s="209"/>
      <c r="W787" s="209"/>
      <c r="X787" s="209"/>
      <c r="Y787" s="209"/>
      <c r="Z787" s="209"/>
      <c r="AA787" s="209"/>
      <c r="AB787" s="209"/>
      <c r="AC787" s="209"/>
      <c r="AD787" s="209"/>
      <c r="AE787" s="209"/>
    </row>
    <row r="788">
      <c r="A788" s="209"/>
      <c r="B788" s="209"/>
      <c r="C788" s="209"/>
      <c r="D788" s="209" t="str">
        <f t="shared" si="3"/>
        <v>
</v>
      </c>
      <c r="E788" s="209"/>
      <c r="F788" s="209"/>
      <c r="G788" s="209"/>
      <c r="H788" s="209"/>
      <c r="I788" s="209"/>
      <c r="J788" s="209"/>
      <c r="K788" s="147"/>
      <c r="L788" s="147"/>
      <c r="M788" s="209"/>
      <c r="N788" s="209"/>
      <c r="O788" s="209"/>
      <c r="P788" s="209"/>
      <c r="Q788" s="209"/>
      <c r="R788" s="209"/>
      <c r="S788" s="209"/>
      <c r="T788" s="209"/>
      <c r="U788" s="209"/>
      <c r="V788" s="209"/>
      <c r="W788" s="209"/>
      <c r="X788" s="209"/>
      <c r="Y788" s="209"/>
      <c r="Z788" s="209"/>
      <c r="AA788" s="209"/>
      <c r="AB788" s="209"/>
      <c r="AC788" s="209"/>
      <c r="AD788" s="209"/>
      <c r="AE788" s="209"/>
    </row>
    <row r="789">
      <c r="A789" s="209"/>
      <c r="B789" s="209"/>
      <c r="C789" s="209"/>
      <c r="D789" s="209" t="str">
        <f t="shared" si="3"/>
        <v>
</v>
      </c>
      <c r="E789" s="209"/>
      <c r="F789" s="209"/>
      <c r="G789" s="209"/>
      <c r="H789" s="209"/>
      <c r="I789" s="209"/>
      <c r="J789" s="209"/>
      <c r="K789" s="147"/>
      <c r="L789" s="147"/>
      <c r="M789" s="209"/>
      <c r="N789" s="209"/>
      <c r="O789" s="209"/>
      <c r="P789" s="209"/>
      <c r="Q789" s="209"/>
      <c r="R789" s="209"/>
      <c r="S789" s="209"/>
      <c r="T789" s="209"/>
      <c r="U789" s="209"/>
      <c r="V789" s="209"/>
      <c r="W789" s="209"/>
      <c r="X789" s="209"/>
      <c r="Y789" s="209"/>
      <c r="Z789" s="209"/>
      <c r="AA789" s="209"/>
      <c r="AB789" s="209"/>
      <c r="AC789" s="209"/>
      <c r="AD789" s="209"/>
      <c r="AE789" s="209"/>
    </row>
    <row r="790">
      <c r="A790" s="209"/>
      <c r="B790" s="209"/>
      <c r="C790" s="209"/>
      <c r="D790" s="209" t="str">
        <f t="shared" si="3"/>
        <v>
</v>
      </c>
      <c r="E790" s="209"/>
      <c r="F790" s="209"/>
      <c r="G790" s="209"/>
      <c r="H790" s="209"/>
      <c r="I790" s="209"/>
      <c r="J790" s="209"/>
      <c r="K790" s="147"/>
      <c r="L790" s="147"/>
      <c r="M790" s="209"/>
      <c r="N790" s="209"/>
      <c r="O790" s="209"/>
      <c r="P790" s="209"/>
      <c r="Q790" s="209"/>
      <c r="R790" s="209"/>
      <c r="S790" s="209"/>
      <c r="T790" s="209"/>
      <c r="U790" s="209"/>
      <c r="V790" s="209"/>
      <c r="W790" s="209"/>
      <c r="X790" s="209"/>
      <c r="Y790" s="209"/>
      <c r="Z790" s="209"/>
      <c r="AA790" s="209"/>
      <c r="AB790" s="209"/>
      <c r="AC790" s="209"/>
      <c r="AD790" s="209"/>
      <c r="AE790" s="209"/>
    </row>
    <row r="791">
      <c r="A791" s="209"/>
      <c r="B791" s="209"/>
      <c r="C791" s="209"/>
      <c r="D791" s="209" t="str">
        <f t="shared" si="3"/>
        <v>
</v>
      </c>
      <c r="E791" s="209"/>
      <c r="F791" s="209"/>
      <c r="G791" s="209"/>
      <c r="H791" s="209"/>
      <c r="I791" s="209"/>
      <c r="J791" s="209"/>
      <c r="K791" s="147"/>
      <c r="L791" s="147"/>
      <c r="M791" s="209"/>
      <c r="N791" s="209"/>
      <c r="O791" s="209"/>
      <c r="P791" s="209"/>
      <c r="Q791" s="209"/>
      <c r="R791" s="209"/>
      <c r="S791" s="209"/>
      <c r="T791" s="209"/>
      <c r="U791" s="209"/>
      <c r="V791" s="209"/>
      <c r="W791" s="209"/>
      <c r="X791" s="209"/>
      <c r="Y791" s="209"/>
      <c r="Z791" s="209"/>
      <c r="AA791" s="209"/>
      <c r="AB791" s="209"/>
      <c r="AC791" s="209"/>
      <c r="AD791" s="209"/>
      <c r="AE791" s="209"/>
    </row>
    <row r="792">
      <c r="A792" s="209"/>
      <c r="B792" s="209"/>
      <c r="C792" s="209"/>
      <c r="D792" s="209" t="str">
        <f t="shared" si="3"/>
        <v>
</v>
      </c>
      <c r="E792" s="209"/>
      <c r="F792" s="209"/>
      <c r="G792" s="209"/>
      <c r="H792" s="209"/>
      <c r="I792" s="209"/>
      <c r="J792" s="209"/>
      <c r="K792" s="147"/>
      <c r="L792" s="147"/>
      <c r="M792" s="209"/>
      <c r="N792" s="209"/>
      <c r="O792" s="209"/>
      <c r="P792" s="209"/>
      <c r="Q792" s="209"/>
      <c r="R792" s="209"/>
      <c r="S792" s="209"/>
      <c r="T792" s="209"/>
      <c r="U792" s="209"/>
      <c r="V792" s="209"/>
      <c r="W792" s="209"/>
      <c r="X792" s="209"/>
      <c r="Y792" s="209"/>
      <c r="Z792" s="209"/>
      <c r="AA792" s="209"/>
      <c r="AB792" s="209"/>
      <c r="AC792" s="209"/>
      <c r="AD792" s="209"/>
      <c r="AE792" s="209"/>
    </row>
    <row r="793">
      <c r="A793" s="209"/>
      <c r="B793" s="209"/>
      <c r="C793" s="209"/>
      <c r="D793" s="209" t="str">
        <f t="shared" si="3"/>
        <v>
</v>
      </c>
      <c r="E793" s="209"/>
      <c r="F793" s="209"/>
      <c r="G793" s="209"/>
      <c r="H793" s="209"/>
      <c r="I793" s="209"/>
      <c r="J793" s="209"/>
      <c r="K793" s="147"/>
      <c r="L793" s="147"/>
      <c r="M793" s="209"/>
      <c r="N793" s="209"/>
      <c r="O793" s="209"/>
      <c r="P793" s="209"/>
      <c r="Q793" s="209"/>
      <c r="R793" s="209"/>
      <c r="S793" s="209"/>
      <c r="T793" s="209"/>
      <c r="U793" s="209"/>
      <c r="V793" s="209"/>
      <c r="W793" s="209"/>
      <c r="X793" s="209"/>
      <c r="Y793" s="209"/>
      <c r="Z793" s="209"/>
      <c r="AA793" s="209"/>
      <c r="AB793" s="209"/>
      <c r="AC793" s="209"/>
      <c r="AD793" s="209"/>
      <c r="AE793" s="209"/>
    </row>
    <row r="794">
      <c r="A794" s="209"/>
      <c r="B794" s="209"/>
      <c r="C794" s="209"/>
      <c r="D794" s="209" t="str">
        <f t="shared" si="3"/>
        <v>
</v>
      </c>
      <c r="E794" s="209"/>
      <c r="F794" s="209"/>
      <c r="G794" s="209"/>
      <c r="H794" s="209"/>
      <c r="I794" s="209"/>
      <c r="J794" s="209"/>
      <c r="K794" s="147"/>
      <c r="L794" s="147"/>
      <c r="M794" s="209"/>
      <c r="N794" s="209"/>
      <c r="O794" s="209"/>
      <c r="P794" s="209"/>
      <c r="Q794" s="209"/>
      <c r="R794" s="209"/>
      <c r="S794" s="209"/>
      <c r="T794" s="209"/>
      <c r="U794" s="209"/>
      <c r="V794" s="209"/>
      <c r="W794" s="209"/>
      <c r="X794" s="209"/>
      <c r="Y794" s="209"/>
      <c r="Z794" s="209"/>
      <c r="AA794" s="209"/>
      <c r="AB794" s="209"/>
      <c r="AC794" s="209"/>
      <c r="AD794" s="209"/>
      <c r="AE794" s="209"/>
    </row>
    <row r="795">
      <c r="A795" s="209"/>
      <c r="B795" s="209"/>
      <c r="C795" s="209"/>
      <c r="D795" s="209" t="str">
        <f t="shared" si="3"/>
        <v>
</v>
      </c>
      <c r="E795" s="209"/>
      <c r="F795" s="209"/>
      <c r="G795" s="209"/>
      <c r="H795" s="209"/>
      <c r="I795" s="209"/>
      <c r="J795" s="209"/>
      <c r="K795" s="147"/>
      <c r="L795" s="147"/>
      <c r="M795" s="209"/>
      <c r="N795" s="209"/>
      <c r="O795" s="209"/>
      <c r="P795" s="209"/>
      <c r="Q795" s="209"/>
      <c r="R795" s="209"/>
      <c r="S795" s="209"/>
      <c r="T795" s="209"/>
      <c r="U795" s="209"/>
      <c r="V795" s="209"/>
      <c r="W795" s="209"/>
      <c r="X795" s="209"/>
      <c r="Y795" s="209"/>
      <c r="Z795" s="209"/>
      <c r="AA795" s="209"/>
      <c r="AB795" s="209"/>
      <c r="AC795" s="209"/>
      <c r="AD795" s="209"/>
      <c r="AE795" s="209"/>
    </row>
    <row r="796">
      <c r="A796" s="209"/>
      <c r="B796" s="209"/>
      <c r="C796" s="209"/>
      <c r="D796" s="209" t="str">
        <f t="shared" si="3"/>
        <v>
</v>
      </c>
      <c r="E796" s="209"/>
      <c r="F796" s="209"/>
      <c r="G796" s="209"/>
      <c r="H796" s="209"/>
      <c r="I796" s="209"/>
      <c r="J796" s="209"/>
      <c r="K796" s="147"/>
      <c r="L796" s="147"/>
      <c r="M796" s="209"/>
      <c r="N796" s="209"/>
      <c r="O796" s="209"/>
      <c r="P796" s="209"/>
      <c r="Q796" s="209"/>
      <c r="R796" s="209"/>
      <c r="S796" s="209"/>
      <c r="T796" s="209"/>
      <c r="U796" s="209"/>
      <c r="V796" s="209"/>
      <c r="W796" s="209"/>
      <c r="X796" s="209"/>
      <c r="Y796" s="209"/>
      <c r="Z796" s="209"/>
      <c r="AA796" s="209"/>
      <c r="AB796" s="209"/>
      <c r="AC796" s="209"/>
      <c r="AD796" s="209"/>
      <c r="AE796" s="209"/>
    </row>
    <row r="797">
      <c r="A797" s="209"/>
      <c r="B797" s="209"/>
      <c r="C797" s="209"/>
      <c r="D797" s="209" t="str">
        <f t="shared" si="3"/>
        <v>
</v>
      </c>
      <c r="E797" s="209"/>
      <c r="F797" s="209"/>
      <c r="G797" s="209"/>
      <c r="H797" s="209"/>
      <c r="I797" s="209"/>
      <c r="J797" s="209"/>
      <c r="K797" s="147"/>
      <c r="L797" s="147"/>
      <c r="M797" s="209"/>
      <c r="N797" s="209"/>
      <c r="O797" s="209"/>
      <c r="P797" s="209"/>
      <c r="Q797" s="209"/>
      <c r="R797" s="209"/>
      <c r="S797" s="209"/>
      <c r="T797" s="209"/>
      <c r="U797" s="209"/>
      <c r="V797" s="209"/>
      <c r="W797" s="209"/>
      <c r="X797" s="209"/>
      <c r="Y797" s="209"/>
      <c r="Z797" s="209"/>
      <c r="AA797" s="209"/>
      <c r="AB797" s="209"/>
      <c r="AC797" s="209"/>
      <c r="AD797" s="209"/>
      <c r="AE797" s="209"/>
    </row>
    <row r="798">
      <c r="A798" s="209"/>
      <c r="B798" s="209"/>
      <c r="C798" s="209"/>
      <c r="D798" s="209" t="str">
        <f t="shared" si="3"/>
        <v>
</v>
      </c>
      <c r="E798" s="209"/>
      <c r="F798" s="209"/>
      <c r="G798" s="209"/>
      <c r="H798" s="209"/>
      <c r="I798" s="209"/>
      <c r="J798" s="209"/>
      <c r="K798" s="147"/>
      <c r="L798" s="147"/>
      <c r="M798" s="209"/>
      <c r="N798" s="209"/>
      <c r="O798" s="209"/>
      <c r="P798" s="209"/>
      <c r="Q798" s="209"/>
      <c r="R798" s="209"/>
      <c r="S798" s="209"/>
      <c r="T798" s="209"/>
      <c r="U798" s="209"/>
      <c r="V798" s="209"/>
      <c r="W798" s="209"/>
      <c r="X798" s="209"/>
      <c r="Y798" s="209"/>
      <c r="Z798" s="209"/>
      <c r="AA798" s="209"/>
      <c r="AB798" s="209"/>
      <c r="AC798" s="209"/>
      <c r="AD798" s="209"/>
      <c r="AE798" s="209"/>
    </row>
    <row r="799">
      <c r="A799" s="209"/>
      <c r="B799" s="209"/>
      <c r="C799" s="209"/>
      <c r="D799" s="209" t="str">
        <f t="shared" si="3"/>
        <v>
</v>
      </c>
      <c r="E799" s="209"/>
      <c r="F799" s="209"/>
      <c r="G799" s="209"/>
      <c r="H799" s="209"/>
      <c r="I799" s="209"/>
      <c r="J799" s="209"/>
      <c r="K799" s="147"/>
      <c r="L799" s="147"/>
      <c r="M799" s="209"/>
      <c r="N799" s="209"/>
      <c r="O799" s="209"/>
      <c r="P799" s="209"/>
      <c r="Q799" s="209"/>
      <c r="R799" s="209"/>
      <c r="S799" s="209"/>
      <c r="T799" s="209"/>
      <c r="U799" s="209"/>
      <c r="V799" s="209"/>
      <c r="W799" s="209"/>
      <c r="X799" s="209"/>
      <c r="Y799" s="209"/>
      <c r="Z799" s="209"/>
      <c r="AA799" s="209"/>
      <c r="AB799" s="209"/>
      <c r="AC799" s="209"/>
      <c r="AD799" s="209"/>
      <c r="AE799" s="209"/>
    </row>
    <row r="800">
      <c r="A800" s="209"/>
      <c r="B800" s="209"/>
      <c r="C800" s="209"/>
      <c r="D800" s="209" t="str">
        <f t="shared" si="3"/>
        <v>
</v>
      </c>
      <c r="E800" s="209"/>
      <c r="F800" s="209"/>
      <c r="G800" s="209"/>
      <c r="H800" s="209"/>
      <c r="I800" s="209"/>
      <c r="J800" s="209"/>
      <c r="K800" s="147"/>
      <c r="L800" s="147"/>
      <c r="M800" s="209"/>
      <c r="N800" s="209"/>
      <c r="O800" s="209"/>
      <c r="P800" s="209"/>
      <c r="Q800" s="209"/>
      <c r="R800" s="209"/>
      <c r="S800" s="209"/>
      <c r="T800" s="209"/>
      <c r="U800" s="209"/>
      <c r="V800" s="209"/>
      <c r="W800" s="209"/>
      <c r="X800" s="209"/>
      <c r="Y800" s="209"/>
      <c r="Z800" s="209"/>
      <c r="AA800" s="209"/>
      <c r="AB800" s="209"/>
      <c r="AC800" s="209"/>
      <c r="AD800" s="209"/>
      <c r="AE800" s="209"/>
    </row>
    <row r="801">
      <c r="A801" s="209"/>
      <c r="B801" s="209"/>
      <c r="C801" s="209"/>
      <c r="D801" s="209" t="str">
        <f t="shared" si="3"/>
        <v>
</v>
      </c>
      <c r="E801" s="209"/>
      <c r="F801" s="209"/>
      <c r="G801" s="209"/>
      <c r="H801" s="209"/>
      <c r="I801" s="209"/>
      <c r="J801" s="209"/>
      <c r="K801" s="147"/>
      <c r="L801" s="147"/>
      <c r="M801" s="209"/>
      <c r="N801" s="209"/>
      <c r="O801" s="209"/>
      <c r="P801" s="209"/>
      <c r="Q801" s="209"/>
      <c r="R801" s="209"/>
      <c r="S801" s="209"/>
      <c r="T801" s="209"/>
      <c r="U801" s="209"/>
      <c r="V801" s="209"/>
      <c r="W801" s="209"/>
      <c r="X801" s="209"/>
      <c r="Y801" s="209"/>
      <c r="Z801" s="209"/>
      <c r="AA801" s="209"/>
      <c r="AB801" s="209"/>
      <c r="AC801" s="209"/>
      <c r="AD801" s="209"/>
      <c r="AE801" s="209"/>
    </row>
    <row r="802">
      <c r="A802" s="209"/>
      <c r="B802" s="209"/>
      <c r="C802" s="209"/>
      <c r="D802" s="209" t="str">
        <f t="shared" si="3"/>
        <v>
</v>
      </c>
      <c r="E802" s="209"/>
      <c r="F802" s="209"/>
      <c r="G802" s="209"/>
      <c r="H802" s="209"/>
      <c r="I802" s="209"/>
      <c r="J802" s="209"/>
      <c r="K802" s="147"/>
      <c r="L802" s="147"/>
      <c r="M802" s="209"/>
      <c r="N802" s="209"/>
      <c r="O802" s="209"/>
      <c r="P802" s="209"/>
      <c r="Q802" s="209"/>
      <c r="R802" s="209"/>
      <c r="S802" s="209"/>
      <c r="T802" s="209"/>
      <c r="U802" s="209"/>
      <c r="V802" s="209"/>
      <c r="W802" s="209"/>
      <c r="X802" s="209"/>
      <c r="Y802" s="209"/>
      <c r="Z802" s="209"/>
      <c r="AA802" s="209"/>
      <c r="AB802" s="209"/>
      <c r="AC802" s="209"/>
      <c r="AD802" s="209"/>
      <c r="AE802" s="209"/>
    </row>
    <row r="803">
      <c r="A803" s="209"/>
      <c r="B803" s="209"/>
      <c r="C803" s="209"/>
      <c r="D803" s="209" t="str">
        <f t="shared" si="3"/>
        <v>
</v>
      </c>
      <c r="E803" s="209"/>
      <c r="F803" s="209"/>
      <c r="G803" s="209"/>
      <c r="H803" s="209"/>
      <c r="I803" s="209"/>
      <c r="J803" s="209"/>
      <c r="K803" s="147"/>
      <c r="L803" s="147"/>
      <c r="M803" s="209"/>
      <c r="N803" s="209"/>
      <c r="O803" s="209"/>
      <c r="P803" s="209"/>
      <c r="Q803" s="209"/>
      <c r="R803" s="209"/>
      <c r="S803" s="209"/>
      <c r="T803" s="209"/>
      <c r="U803" s="209"/>
      <c r="V803" s="209"/>
      <c r="W803" s="209"/>
      <c r="X803" s="209"/>
      <c r="Y803" s="209"/>
      <c r="Z803" s="209"/>
      <c r="AA803" s="209"/>
      <c r="AB803" s="209"/>
      <c r="AC803" s="209"/>
      <c r="AD803" s="209"/>
      <c r="AE803" s="209"/>
    </row>
    <row r="804">
      <c r="A804" s="209"/>
      <c r="B804" s="209"/>
      <c r="C804" s="209"/>
      <c r="D804" s="209" t="str">
        <f t="shared" si="3"/>
        <v>
</v>
      </c>
      <c r="E804" s="209"/>
      <c r="F804" s="209"/>
      <c r="G804" s="209"/>
      <c r="H804" s="209"/>
      <c r="I804" s="209"/>
      <c r="J804" s="209"/>
      <c r="K804" s="147"/>
      <c r="L804" s="147"/>
      <c r="M804" s="209"/>
      <c r="N804" s="209"/>
      <c r="O804" s="209"/>
      <c r="P804" s="209"/>
      <c r="Q804" s="209"/>
      <c r="R804" s="209"/>
      <c r="S804" s="209"/>
      <c r="T804" s="209"/>
      <c r="U804" s="209"/>
      <c r="V804" s="209"/>
      <c r="W804" s="209"/>
      <c r="X804" s="209"/>
      <c r="Y804" s="209"/>
      <c r="Z804" s="209"/>
      <c r="AA804" s="209"/>
      <c r="AB804" s="209"/>
      <c r="AC804" s="209"/>
      <c r="AD804" s="209"/>
      <c r="AE804" s="209"/>
    </row>
    <row r="805">
      <c r="A805" s="209"/>
      <c r="B805" s="209"/>
      <c r="C805" s="209"/>
      <c r="D805" s="209" t="str">
        <f t="shared" si="3"/>
        <v>
</v>
      </c>
      <c r="E805" s="209"/>
      <c r="F805" s="209"/>
      <c r="G805" s="209"/>
      <c r="H805" s="209"/>
      <c r="I805" s="209"/>
      <c r="J805" s="209"/>
      <c r="K805" s="147"/>
      <c r="L805" s="147"/>
      <c r="M805" s="209"/>
      <c r="N805" s="209"/>
      <c r="O805" s="209"/>
      <c r="P805" s="209"/>
      <c r="Q805" s="209"/>
      <c r="R805" s="209"/>
      <c r="S805" s="209"/>
      <c r="T805" s="209"/>
      <c r="U805" s="209"/>
      <c r="V805" s="209"/>
      <c r="W805" s="209"/>
      <c r="X805" s="209"/>
      <c r="Y805" s="209"/>
      <c r="Z805" s="209"/>
      <c r="AA805" s="209"/>
      <c r="AB805" s="209"/>
      <c r="AC805" s="209"/>
      <c r="AD805" s="209"/>
      <c r="AE805" s="209"/>
    </row>
    <row r="806">
      <c r="A806" s="209"/>
      <c r="B806" s="209"/>
      <c r="C806" s="209"/>
      <c r="D806" s="209" t="str">
        <f t="shared" si="3"/>
        <v>
</v>
      </c>
      <c r="E806" s="209"/>
      <c r="F806" s="209"/>
      <c r="G806" s="209"/>
      <c r="H806" s="209"/>
      <c r="I806" s="209"/>
      <c r="J806" s="209"/>
      <c r="K806" s="147"/>
      <c r="L806" s="147"/>
      <c r="M806" s="209"/>
      <c r="N806" s="209"/>
      <c r="O806" s="209"/>
      <c r="P806" s="209"/>
      <c r="Q806" s="209"/>
      <c r="R806" s="209"/>
      <c r="S806" s="209"/>
      <c r="T806" s="209"/>
      <c r="U806" s="209"/>
      <c r="V806" s="209"/>
      <c r="W806" s="209"/>
      <c r="X806" s="209"/>
      <c r="Y806" s="209"/>
      <c r="Z806" s="209"/>
      <c r="AA806" s="209"/>
      <c r="AB806" s="209"/>
      <c r="AC806" s="209"/>
      <c r="AD806" s="209"/>
      <c r="AE806" s="209"/>
    </row>
    <row r="807">
      <c r="A807" s="209"/>
      <c r="B807" s="209"/>
      <c r="C807" s="209"/>
      <c r="D807" s="209" t="str">
        <f t="shared" si="3"/>
        <v>
</v>
      </c>
      <c r="E807" s="209"/>
      <c r="F807" s="209"/>
      <c r="G807" s="209"/>
      <c r="H807" s="209"/>
      <c r="I807" s="209"/>
      <c r="J807" s="209"/>
      <c r="K807" s="147"/>
      <c r="L807" s="147"/>
      <c r="M807" s="209"/>
      <c r="N807" s="209"/>
      <c r="O807" s="209"/>
      <c r="P807" s="209"/>
      <c r="Q807" s="209"/>
      <c r="R807" s="209"/>
      <c r="S807" s="209"/>
      <c r="T807" s="209"/>
      <c r="U807" s="209"/>
      <c r="V807" s="209"/>
      <c r="W807" s="209"/>
      <c r="X807" s="209"/>
      <c r="Y807" s="209"/>
      <c r="Z807" s="209"/>
      <c r="AA807" s="209"/>
      <c r="AB807" s="209"/>
      <c r="AC807" s="209"/>
      <c r="AD807" s="209"/>
      <c r="AE807" s="209"/>
    </row>
    <row r="808">
      <c r="A808" s="209"/>
      <c r="B808" s="209"/>
      <c r="C808" s="209"/>
      <c r="D808" s="209" t="str">
        <f t="shared" si="3"/>
        <v>
</v>
      </c>
      <c r="E808" s="209"/>
      <c r="F808" s="209"/>
      <c r="G808" s="209"/>
      <c r="H808" s="209"/>
      <c r="I808" s="209"/>
      <c r="J808" s="209"/>
      <c r="K808" s="147"/>
      <c r="L808" s="147"/>
      <c r="M808" s="209"/>
      <c r="N808" s="209"/>
      <c r="O808" s="209"/>
      <c r="P808" s="209"/>
      <c r="Q808" s="209"/>
      <c r="R808" s="209"/>
      <c r="S808" s="209"/>
      <c r="T808" s="209"/>
      <c r="U808" s="209"/>
      <c r="V808" s="209"/>
      <c r="W808" s="209"/>
      <c r="X808" s="209"/>
      <c r="Y808" s="209"/>
      <c r="Z808" s="209"/>
      <c r="AA808" s="209"/>
      <c r="AB808" s="209"/>
      <c r="AC808" s="209"/>
      <c r="AD808" s="209"/>
      <c r="AE808" s="209"/>
    </row>
    <row r="809">
      <c r="A809" s="209"/>
      <c r="B809" s="209"/>
      <c r="C809" s="209"/>
      <c r="D809" s="209" t="str">
        <f t="shared" si="3"/>
        <v>
</v>
      </c>
      <c r="E809" s="209"/>
      <c r="F809" s="209"/>
      <c r="G809" s="209"/>
      <c r="H809" s="209"/>
      <c r="I809" s="209"/>
      <c r="J809" s="209"/>
      <c r="K809" s="147"/>
      <c r="L809" s="147"/>
      <c r="M809" s="209"/>
      <c r="N809" s="209"/>
      <c r="O809" s="209"/>
      <c r="P809" s="209"/>
      <c r="Q809" s="209"/>
      <c r="R809" s="209"/>
      <c r="S809" s="209"/>
      <c r="T809" s="209"/>
      <c r="U809" s="209"/>
      <c r="V809" s="209"/>
      <c r="W809" s="209"/>
      <c r="X809" s="209"/>
      <c r="Y809" s="209"/>
      <c r="Z809" s="209"/>
      <c r="AA809" s="209"/>
      <c r="AB809" s="209"/>
      <c r="AC809" s="209"/>
      <c r="AD809" s="209"/>
      <c r="AE809" s="209"/>
    </row>
    <row r="810">
      <c r="A810" s="209"/>
      <c r="B810" s="209"/>
      <c r="C810" s="209"/>
      <c r="D810" s="209" t="str">
        <f t="shared" si="3"/>
        <v>
</v>
      </c>
      <c r="E810" s="209"/>
      <c r="F810" s="209"/>
      <c r="G810" s="209"/>
      <c r="H810" s="209"/>
      <c r="I810" s="209"/>
      <c r="J810" s="209"/>
      <c r="K810" s="147"/>
      <c r="L810" s="147"/>
      <c r="M810" s="209"/>
      <c r="N810" s="209"/>
      <c r="O810" s="209"/>
      <c r="P810" s="209"/>
      <c r="Q810" s="209"/>
      <c r="R810" s="209"/>
      <c r="S810" s="209"/>
      <c r="T810" s="209"/>
      <c r="U810" s="209"/>
      <c r="V810" s="209"/>
      <c r="W810" s="209"/>
      <c r="X810" s="209"/>
      <c r="Y810" s="209"/>
      <c r="Z810" s="209"/>
      <c r="AA810" s="209"/>
      <c r="AB810" s="209"/>
      <c r="AC810" s="209"/>
      <c r="AD810" s="209"/>
      <c r="AE810" s="209"/>
    </row>
    <row r="811">
      <c r="A811" s="209"/>
      <c r="B811" s="209"/>
      <c r="C811" s="209"/>
      <c r="D811" s="209" t="str">
        <f t="shared" si="3"/>
        <v>
</v>
      </c>
      <c r="E811" s="209"/>
      <c r="F811" s="209"/>
      <c r="G811" s="209"/>
      <c r="H811" s="209"/>
      <c r="I811" s="209"/>
      <c r="J811" s="209"/>
      <c r="K811" s="147"/>
      <c r="L811" s="147"/>
      <c r="M811" s="209"/>
      <c r="N811" s="209"/>
      <c r="O811" s="209"/>
      <c r="P811" s="209"/>
      <c r="Q811" s="209"/>
      <c r="R811" s="209"/>
      <c r="S811" s="209"/>
      <c r="T811" s="209"/>
      <c r="U811" s="209"/>
      <c r="V811" s="209"/>
      <c r="W811" s="209"/>
      <c r="X811" s="209"/>
      <c r="Y811" s="209"/>
      <c r="Z811" s="209"/>
      <c r="AA811" s="209"/>
      <c r="AB811" s="209"/>
      <c r="AC811" s="209"/>
      <c r="AD811" s="209"/>
      <c r="AE811" s="209"/>
    </row>
    <row r="812">
      <c r="A812" s="209"/>
      <c r="B812" s="209"/>
      <c r="C812" s="209"/>
      <c r="D812" s="209" t="str">
        <f t="shared" si="3"/>
        <v>
</v>
      </c>
      <c r="E812" s="209"/>
      <c r="F812" s="209"/>
      <c r="G812" s="209"/>
      <c r="H812" s="209"/>
      <c r="I812" s="209"/>
      <c r="J812" s="209"/>
      <c r="K812" s="147"/>
      <c r="L812" s="147"/>
      <c r="M812" s="209"/>
      <c r="N812" s="209"/>
      <c r="O812" s="209"/>
      <c r="P812" s="209"/>
      <c r="Q812" s="209"/>
      <c r="R812" s="209"/>
      <c r="S812" s="209"/>
      <c r="T812" s="209"/>
      <c r="U812" s="209"/>
      <c r="V812" s="209"/>
      <c r="W812" s="209"/>
      <c r="X812" s="209"/>
      <c r="Y812" s="209"/>
      <c r="Z812" s="209"/>
      <c r="AA812" s="209"/>
      <c r="AB812" s="209"/>
      <c r="AC812" s="209"/>
      <c r="AD812" s="209"/>
      <c r="AE812" s="209"/>
    </row>
    <row r="813">
      <c r="A813" s="209"/>
      <c r="B813" s="209"/>
      <c r="C813" s="209"/>
      <c r="D813" s="209" t="str">
        <f t="shared" si="3"/>
        <v>
</v>
      </c>
      <c r="E813" s="209"/>
      <c r="F813" s="209"/>
      <c r="G813" s="209"/>
      <c r="H813" s="209"/>
      <c r="I813" s="209"/>
      <c r="J813" s="209"/>
      <c r="K813" s="147"/>
      <c r="L813" s="147"/>
      <c r="M813" s="209"/>
      <c r="N813" s="209"/>
      <c r="O813" s="209"/>
      <c r="P813" s="209"/>
      <c r="Q813" s="209"/>
      <c r="R813" s="209"/>
      <c r="S813" s="209"/>
      <c r="T813" s="209"/>
      <c r="U813" s="209"/>
      <c r="V813" s="209"/>
      <c r="W813" s="209"/>
      <c r="X813" s="209"/>
      <c r="Y813" s="209"/>
      <c r="Z813" s="209"/>
      <c r="AA813" s="209"/>
      <c r="AB813" s="209"/>
      <c r="AC813" s="209"/>
      <c r="AD813" s="209"/>
      <c r="AE813" s="209"/>
    </row>
    <row r="814">
      <c r="A814" s="209"/>
      <c r="B814" s="209"/>
      <c r="C814" s="209"/>
      <c r="D814" s="209" t="str">
        <f t="shared" si="3"/>
        <v>
</v>
      </c>
      <c r="E814" s="209"/>
      <c r="F814" s="209"/>
      <c r="G814" s="209"/>
      <c r="H814" s="209"/>
      <c r="I814" s="209"/>
      <c r="J814" s="209"/>
      <c r="K814" s="147"/>
      <c r="L814" s="147"/>
      <c r="M814" s="209"/>
      <c r="N814" s="209"/>
      <c r="O814" s="209"/>
      <c r="P814" s="209"/>
      <c r="Q814" s="209"/>
      <c r="R814" s="209"/>
      <c r="S814" s="209"/>
      <c r="T814" s="209"/>
      <c r="U814" s="209"/>
      <c r="V814" s="209"/>
      <c r="W814" s="209"/>
      <c r="X814" s="209"/>
      <c r="Y814" s="209"/>
      <c r="Z814" s="209"/>
      <c r="AA814" s="209"/>
      <c r="AB814" s="209"/>
      <c r="AC814" s="209"/>
      <c r="AD814" s="209"/>
      <c r="AE814" s="209"/>
    </row>
    <row r="815">
      <c r="A815" s="209"/>
      <c r="B815" s="209"/>
      <c r="C815" s="209"/>
      <c r="D815" s="209" t="str">
        <f t="shared" si="3"/>
        <v>
</v>
      </c>
      <c r="E815" s="209"/>
      <c r="F815" s="209"/>
      <c r="G815" s="209"/>
      <c r="H815" s="209"/>
      <c r="I815" s="209"/>
      <c r="J815" s="209"/>
      <c r="K815" s="147"/>
      <c r="L815" s="147"/>
      <c r="M815" s="209"/>
      <c r="N815" s="209"/>
      <c r="O815" s="209"/>
      <c r="P815" s="209"/>
      <c r="Q815" s="209"/>
      <c r="R815" s="209"/>
      <c r="S815" s="209"/>
      <c r="T815" s="209"/>
      <c r="U815" s="209"/>
      <c r="V815" s="209"/>
      <c r="W815" s="209"/>
      <c r="X815" s="209"/>
      <c r="Y815" s="209"/>
      <c r="Z815" s="209"/>
      <c r="AA815" s="209"/>
      <c r="AB815" s="209"/>
      <c r="AC815" s="209"/>
      <c r="AD815" s="209"/>
      <c r="AE815" s="209"/>
    </row>
    <row r="816">
      <c r="A816" s="209"/>
      <c r="B816" s="209"/>
      <c r="C816" s="209"/>
      <c r="D816" s="209" t="str">
        <f t="shared" si="3"/>
        <v>
</v>
      </c>
      <c r="E816" s="209"/>
      <c r="F816" s="209"/>
      <c r="G816" s="209"/>
      <c r="H816" s="209"/>
      <c r="I816" s="209"/>
      <c r="J816" s="209"/>
      <c r="K816" s="147"/>
      <c r="L816" s="147"/>
      <c r="M816" s="209"/>
      <c r="N816" s="209"/>
      <c r="O816" s="209"/>
      <c r="P816" s="209"/>
      <c r="Q816" s="209"/>
      <c r="R816" s="209"/>
      <c r="S816" s="209"/>
      <c r="T816" s="209"/>
      <c r="U816" s="209"/>
      <c r="V816" s="209"/>
      <c r="W816" s="209"/>
      <c r="X816" s="209"/>
      <c r="Y816" s="209"/>
      <c r="Z816" s="209"/>
      <c r="AA816" s="209"/>
      <c r="AB816" s="209"/>
      <c r="AC816" s="209"/>
      <c r="AD816" s="209"/>
      <c r="AE816" s="209"/>
    </row>
    <row r="817">
      <c r="A817" s="209"/>
      <c r="B817" s="209"/>
      <c r="C817" s="209"/>
      <c r="D817" s="209" t="str">
        <f t="shared" si="3"/>
        <v>
</v>
      </c>
      <c r="E817" s="209"/>
      <c r="F817" s="209"/>
      <c r="G817" s="209"/>
      <c r="H817" s="209"/>
      <c r="I817" s="209"/>
      <c r="J817" s="209"/>
      <c r="K817" s="147"/>
      <c r="L817" s="147"/>
      <c r="M817" s="209"/>
      <c r="N817" s="209"/>
      <c r="O817" s="209"/>
      <c r="P817" s="209"/>
      <c r="Q817" s="209"/>
      <c r="R817" s="209"/>
      <c r="S817" s="209"/>
      <c r="T817" s="209"/>
      <c r="U817" s="209"/>
      <c r="V817" s="209"/>
      <c r="W817" s="209"/>
      <c r="X817" s="209"/>
      <c r="Y817" s="209"/>
      <c r="Z817" s="209"/>
      <c r="AA817" s="209"/>
      <c r="AB817" s="209"/>
      <c r="AC817" s="209"/>
      <c r="AD817" s="209"/>
      <c r="AE817" s="209"/>
    </row>
    <row r="818">
      <c r="A818" s="209"/>
      <c r="B818" s="209"/>
      <c r="C818" s="209"/>
      <c r="D818" s="209" t="str">
        <f t="shared" si="3"/>
        <v>
</v>
      </c>
      <c r="E818" s="209"/>
      <c r="F818" s="209"/>
      <c r="G818" s="209"/>
      <c r="H818" s="209"/>
      <c r="I818" s="209"/>
      <c r="J818" s="209"/>
      <c r="K818" s="147"/>
      <c r="L818" s="147"/>
      <c r="M818" s="209"/>
      <c r="N818" s="209"/>
      <c r="O818" s="209"/>
      <c r="P818" s="209"/>
      <c r="Q818" s="209"/>
      <c r="R818" s="209"/>
      <c r="S818" s="209"/>
      <c r="T818" s="209"/>
      <c r="U818" s="209"/>
      <c r="V818" s="209"/>
      <c r="W818" s="209"/>
      <c r="X818" s="209"/>
      <c r="Y818" s="209"/>
      <c r="Z818" s="209"/>
      <c r="AA818" s="209"/>
      <c r="AB818" s="209"/>
      <c r="AC818" s="209"/>
      <c r="AD818" s="209"/>
      <c r="AE818" s="209"/>
    </row>
    <row r="819">
      <c r="A819" s="209"/>
      <c r="B819" s="209"/>
      <c r="C819" s="209"/>
      <c r="D819" s="209" t="str">
        <f t="shared" si="3"/>
        <v>
</v>
      </c>
      <c r="E819" s="209"/>
      <c r="F819" s="209"/>
      <c r="G819" s="209"/>
      <c r="H819" s="209"/>
      <c r="I819" s="209"/>
      <c r="J819" s="209"/>
      <c r="K819" s="147"/>
      <c r="L819" s="147"/>
      <c r="M819" s="209"/>
      <c r="N819" s="209"/>
      <c r="O819" s="209"/>
      <c r="P819" s="209"/>
      <c r="Q819" s="209"/>
      <c r="R819" s="209"/>
      <c r="S819" s="209"/>
      <c r="T819" s="209"/>
      <c r="U819" s="209"/>
      <c r="V819" s="209"/>
      <c r="W819" s="209"/>
      <c r="X819" s="209"/>
      <c r="Y819" s="209"/>
      <c r="Z819" s="209"/>
      <c r="AA819" s="209"/>
      <c r="AB819" s="209"/>
      <c r="AC819" s="209"/>
      <c r="AD819" s="209"/>
      <c r="AE819" s="209"/>
    </row>
    <row r="820">
      <c r="A820" s="209"/>
      <c r="B820" s="209"/>
      <c r="C820" s="209"/>
      <c r="D820" s="209" t="str">
        <f t="shared" si="3"/>
        <v>
</v>
      </c>
      <c r="E820" s="209"/>
      <c r="F820" s="209"/>
      <c r="G820" s="209"/>
      <c r="H820" s="209"/>
      <c r="I820" s="209"/>
      <c r="J820" s="209"/>
      <c r="K820" s="147"/>
      <c r="L820" s="147"/>
      <c r="M820" s="209"/>
      <c r="N820" s="209"/>
      <c r="O820" s="209"/>
      <c r="P820" s="209"/>
      <c r="Q820" s="209"/>
      <c r="R820" s="209"/>
      <c r="S820" s="209"/>
      <c r="T820" s="209"/>
      <c r="U820" s="209"/>
      <c r="V820" s="209"/>
      <c r="W820" s="209"/>
      <c r="X820" s="209"/>
      <c r="Y820" s="209"/>
      <c r="Z820" s="209"/>
      <c r="AA820" s="209"/>
      <c r="AB820" s="209"/>
      <c r="AC820" s="209"/>
      <c r="AD820" s="209"/>
      <c r="AE820" s="209"/>
    </row>
    <row r="821">
      <c r="A821" s="209"/>
      <c r="B821" s="209"/>
      <c r="C821" s="209"/>
      <c r="D821" s="209" t="str">
        <f t="shared" si="3"/>
        <v>
</v>
      </c>
      <c r="E821" s="209"/>
      <c r="F821" s="209"/>
      <c r="G821" s="209"/>
      <c r="H821" s="209"/>
      <c r="I821" s="209"/>
      <c r="J821" s="209"/>
      <c r="K821" s="147"/>
      <c r="L821" s="147"/>
      <c r="M821" s="209"/>
      <c r="N821" s="209"/>
      <c r="O821" s="209"/>
      <c r="P821" s="209"/>
      <c r="Q821" s="209"/>
      <c r="R821" s="209"/>
      <c r="S821" s="209"/>
      <c r="T821" s="209"/>
      <c r="U821" s="209"/>
      <c r="V821" s="209"/>
      <c r="W821" s="209"/>
      <c r="X821" s="209"/>
      <c r="Y821" s="209"/>
      <c r="Z821" s="209"/>
      <c r="AA821" s="209"/>
      <c r="AB821" s="209"/>
      <c r="AC821" s="209"/>
      <c r="AD821" s="209"/>
      <c r="AE821" s="209"/>
    </row>
    <row r="822">
      <c r="A822" s="209"/>
      <c r="B822" s="209"/>
      <c r="C822" s="209"/>
      <c r="D822" s="209" t="str">
        <f t="shared" si="3"/>
        <v>
</v>
      </c>
      <c r="E822" s="209"/>
      <c r="F822" s="209"/>
      <c r="G822" s="209"/>
      <c r="H822" s="209"/>
      <c r="I822" s="209"/>
      <c r="J822" s="209"/>
      <c r="K822" s="147"/>
      <c r="L822" s="147"/>
      <c r="M822" s="209"/>
      <c r="N822" s="209"/>
      <c r="O822" s="209"/>
      <c r="P822" s="209"/>
      <c r="Q822" s="209"/>
      <c r="R822" s="209"/>
      <c r="S822" s="209"/>
      <c r="T822" s="209"/>
      <c r="U822" s="209"/>
      <c r="V822" s="209"/>
      <c r="W822" s="209"/>
      <c r="X822" s="209"/>
      <c r="Y822" s="209"/>
      <c r="Z822" s="209"/>
      <c r="AA822" s="209"/>
      <c r="AB822" s="209"/>
      <c r="AC822" s="209"/>
      <c r="AD822" s="209"/>
      <c r="AE822" s="209"/>
    </row>
    <row r="823">
      <c r="A823" s="209"/>
      <c r="B823" s="209"/>
      <c r="C823" s="209"/>
      <c r="D823" s="209" t="str">
        <f t="shared" si="3"/>
        <v>
</v>
      </c>
      <c r="E823" s="209"/>
      <c r="F823" s="209"/>
      <c r="G823" s="209"/>
      <c r="H823" s="209"/>
      <c r="I823" s="209"/>
      <c r="J823" s="209"/>
      <c r="K823" s="147"/>
      <c r="L823" s="147"/>
      <c r="M823" s="209"/>
      <c r="N823" s="209"/>
      <c r="O823" s="209"/>
      <c r="P823" s="209"/>
      <c r="Q823" s="209"/>
      <c r="R823" s="209"/>
      <c r="S823" s="209"/>
      <c r="T823" s="209"/>
      <c r="U823" s="209"/>
      <c r="V823" s="209"/>
      <c r="W823" s="209"/>
      <c r="X823" s="209"/>
      <c r="Y823" s="209"/>
      <c r="Z823" s="209"/>
      <c r="AA823" s="209"/>
      <c r="AB823" s="209"/>
      <c r="AC823" s="209"/>
      <c r="AD823" s="209"/>
      <c r="AE823" s="209"/>
    </row>
    <row r="824">
      <c r="A824" s="209"/>
      <c r="B824" s="209"/>
      <c r="C824" s="209"/>
      <c r="D824" s="209" t="str">
        <f t="shared" si="3"/>
        <v>
</v>
      </c>
      <c r="E824" s="209"/>
      <c r="F824" s="209"/>
      <c r="G824" s="209"/>
      <c r="H824" s="209"/>
      <c r="I824" s="209"/>
      <c r="J824" s="209"/>
      <c r="K824" s="147"/>
      <c r="L824" s="147"/>
      <c r="M824" s="209"/>
      <c r="N824" s="209"/>
      <c r="O824" s="209"/>
      <c r="P824" s="209"/>
      <c r="Q824" s="209"/>
      <c r="R824" s="209"/>
      <c r="S824" s="209"/>
      <c r="T824" s="209"/>
      <c r="U824" s="209"/>
      <c r="V824" s="209"/>
      <c r="W824" s="209"/>
      <c r="X824" s="209"/>
      <c r="Y824" s="209"/>
      <c r="Z824" s="209"/>
      <c r="AA824" s="209"/>
      <c r="AB824" s="209"/>
      <c r="AC824" s="209"/>
      <c r="AD824" s="209"/>
      <c r="AE824" s="209"/>
    </row>
    <row r="825">
      <c r="A825" s="209"/>
      <c r="B825" s="209"/>
      <c r="C825" s="209"/>
      <c r="D825" s="209" t="str">
        <f t="shared" si="3"/>
        <v>
</v>
      </c>
      <c r="E825" s="209"/>
      <c r="F825" s="209"/>
      <c r="G825" s="209"/>
      <c r="H825" s="209"/>
      <c r="I825" s="209"/>
      <c r="J825" s="209"/>
      <c r="K825" s="147"/>
      <c r="L825" s="147"/>
      <c r="M825" s="209"/>
      <c r="N825" s="209"/>
      <c r="O825" s="209"/>
      <c r="P825" s="209"/>
      <c r="Q825" s="209"/>
      <c r="R825" s="209"/>
      <c r="S825" s="209"/>
      <c r="T825" s="209"/>
      <c r="U825" s="209"/>
      <c r="V825" s="209"/>
      <c r="W825" s="209"/>
      <c r="X825" s="209"/>
      <c r="Y825" s="209"/>
      <c r="Z825" s="209"/>
      <c r="AA825" s="209"/>
      <c r="AB825" s="209"/>
      <c r="AC825" s="209"/>
      <c r="AD825" s="209"/>
      <c r="AE825" s="209"/>
    </row>
    <row r="826">
      <c r="A826" s="209"/>
      <c r="B826" s="209"/>
      <c r="C826" s="209"/>
      <c r="D826" s="209" t="str">
        <f t="shared" si="3"/>
        <v>
</v>
      </c>
      <c r="E826" s="209"/>
      <c r="F826" s="209"/>
      <c r="G826" s="209"/>
      <c r="H826" s="209"/>
      <c r="I826" s="209"/>
      <c r="J826" s="209"/>
      <c r="K826" s="147"/>
      <c r="L826" s="147"/>
      <c r="M826" s="209"/>
      <c r="N826" s="209"/>
      <c r="O826" s="209"/>
      <c r="P826" s="209"/>
      <c r="Q826" s="209"/>
      <c r="R826" s="209"/>
      <c r="S826" s="209"/>
      <c r="T826" s="209"/>
      <c r="U826" s="209"/>
      <c r="V826" s="209"/>
      <c r="W826" s="209"/>
      <c r="X826" s="209"/>
      <c r="Y826" s="209"/>
      <c r="Z826" s="209"/>
      <c r="AA826" s="209"/>
      <c r="AB826" s="209"/>
      <c r="AC826" s="209"/>
      <c r="AD826" s="209"/>
      <c r="AE826" s="209"/>
    </row>
    <row r="827">
      <c r="A827" s="209"/>
      <c r="B827" s="209"/>
      <c r="C827" s="209"/>
      <c r="D827" s="209" t="str">
        <f t="shared" si="3"/>
        <v>
</v>
      </c>
      <c r="E827" s="209"/>
      <c r="F827" s="209"/>
      <c r="G827" s="209"/>
      <c r="H827" s="209"/>
      <c r="I827" s="209"/>
      <c r="J827" s="209"/>
      <c r="K827" s="147"/>
      <c r="L827" s="147"/>
      <c r="M827" s="209"/>
      <c r="N827" s="209"/>
      <c r="O827" s="209"/>
      <c r="P827" s="209"/>
      <c r="Q827" s="209"/>
      <c r="R827" s="209"/>
      <c r="S827" s="209"/>
      <c r="T827" s="209"/>
      <c r="U827" s="209"/>
      <c r="V827" s="209"/>
      <c r="W827" s="209"/>
      <c r="X827" s="209"/>
      <c r="Y827" s="209"/>
      <c r="Z827" s="209"/>
      <c r="AA827" s="209"/>
      <c r="AB827" s="209"/>
      <c r="AC827" s="209"/>
      <c r="AD827" s="209"/>
      <c r="AE827" s="209"/>
    </row>
    <row r="828">
      <c r="A828" s="209"/>
      <c r="B828" s="209"/>
      <c r="C828" s="209"/>
      <c r="D828" s="209" t="str">
        <f t="shared" si="3"/>
        <v>
</v>
      </c>
      <c r="E828" s="209"/>
      <c r="F828" s="209"/>
      <c r="G828" s="209"/>
      <c r="H828" s="209"/>
      <c r="I828" s="209"/>
      <c r="J828" s="209"/>
      <c r="K828" s="147"/>
      <c r="L828" s="147"/>
      <c r="M828" s="209"/>
      <c r="N828" s="209"/>
      <c r="O828" s="209"/>
      <c r="P828" s="209"/>
      <c r="Q828" s="209"/>
      <c r="R828" s="209"/>
      <c r="S828" s="209"/>
      <c r="T828" s="209"/>
      <c r="U828" s="209"/>
      <c r="V828" s="209"/>
      <c r="W828" s="209"/>
      <c r="X828" s="209"/>
      <c r="Y828" s="209"/>
      <c r="Z828" s="209"/>
      <c r="AA828" s="209"/>
      <c r="AB828" s="209"/>
      <c r="AC828" s="209"/>
      <c r="AD828" s="209"/>
      <c r="AE828" s="209"/>
    </row>
    <row r="829">
      <c r="A829" s="209"/>
      <c r="B829" s="209"/>
      <c r="C829" s="209"/>
      <c r="D829" s="209" t="str">
        <f t="shared" si="3"/>
        <v>
</v>
      </c>
      <c r="E829" s="209"/>
      <c r="F829" s="209"/>
      <c r="G829" s="209"/>
      <c r="H829" s="209"/>
      <c r="I829" s="209"/>
      <c r="J829" s="209"/>
      <c r="K829" s="147"/>
      <c r="L829" s="147"/>
      <c r="M829" s="209"/>
      <c r="N829" s="209"/>
      <c r="O829" s="209"/>
      <c r="P829" s="209"/>
      <c r="Q829" s="209"/>
      <c r="R829" s="209"/>
      <c r="S829" s="209"/>
      <c r="T829" s="209"/>
      <c r="U829" s="209"/>
      <c r="V829" s="209"/>
      <c r="W829" s="209"/>
      <c r="X829" s="209"/>
      <c r="Y829" s="209"/>
      <c r="Z829" s="209"/>
      <c r="AA829" s="209"/>
      <c r="AB829" s="209"/>
      <c r="AC829" s="209"/>
      <c r="AD829" s="209"/>
      <c r="AE829" s="209"/>
    </row>
    <row r="830">
      <c r="A830" s="209"/>
      <c r="B830" s="209"/>
      <c r="C830" s="209"/>
      <c r="D830" s="209" t="str">
        <f t="shared" si="3"/>
        <v>
</v>
      </c>
      <c r="E830" s="209"/>
      <c r="F830" s="209"/>
      <c r="G830" s="209"/>
      <c r="H830" s="209"/>
      <c r="I830" s="209"/>
      <c r="J830" s="209"/>
      <c r="K830" s="147"/>
      <c r="L830" s="147"/>
      <c r="M830" s="209"/>
      <c r="N830" s="209"/>
      <c r="O830" s="209"/>
      <c r="P830" s="209"/>
      <c r="Q830" s="209"/>
      <c r="R830" s="209"/>
      <c r="S830" s="209"/>
      <c r="T830" s="209"/>
      <c r="U830" s="209"/>
      <c r="V830" s="209"/>
      <c r="W830" s="209"/>
      <c r="X830" s="209"/>
      <c r="Y830" s="209"/>
      <c r="Z830" s="209"/>
      <c r="AA830" s="209"/>
      <c r="AB830" s="209"/>
      <c r="AC830" s="209"/>
      <c r="AD830" s="209"/>
      <c r="AE830" s="209"/>
    </row>
    <row r="831">
      <c r="A831" s="209"/>
      <c r="B831" s="209"/>
      <c r="C831" s="209"/>
      <c r="D831" s="209" t="str">
        <f t="shared" si="3"/>
        <v>
</v>
      </c>
      <c r="E831" s="209"/>
      <c r="F831" s="209"/>
      <c r="G831" s="209"/>
      <c r="H831" s="209"/>
      <c r="I831" s="209"/>
      <c r="J831" s="209"/>
      <c r="K831" s="147"/>
      <c r="L831" s="147"/>
      <c r="M831" s="209"/>
      <c r="N831" s="209"/>
      <c r="O831" s="209"/>
      <c r="P831" s="209"/>
      <c r="Q831" s="209"/>
      <c r="R831" s="209"/>
      <c r="S831" s="209"/>
      <c r="T831" s="209"/>
      <c r="U831" s="209"/>
      <c r="V831" s="209"/>
      <c r="W831" s="209"/>
      <c r="X831" s="209"/>
      <c r="Y831" s="209"/>
      <c r="Z831" s="209"/>
      <c r="AA831" s="209"/>
      <c r="AB831" s="209"/>
      <c r="AC831" s="209"/>
      <c r="AD831" s="209"/>
      <c r="AE831" s="209"/>
    </row>
    <row r="832">
      <c r="A832" s="209"/>
      <c r="B832" s="209"/>
      <c r="C832" s="209"/>
      <c r="D832" s="209" t="str">
        <f t="shared" si="3"/>
        <v>
</v>
      </c>
      <c r="E832" s="209"/>
      <c r="F832" s="209"/>
      <c r="G832" s="209"/>
      <c r="H832" s="209"/>
      <c r="I832" s="209"/>
      <c r="J832" s="209"/>
      <c r="K832" s="147"/>
      <c r="L832" s="147"/>
      <c r="M832" s="209"/>
      <c r="N832" s="209"/>
      <c r="O832" s="209"/>
      <c r="P832" s="209"/>
      <c r="Q832" s="209"/>
      <c r="R832" s="209"/>
      <c r="S832" s="209"/>
      <c r="T832" s="209"/>
      <c r="U832" s="209"/>
      <c r="V832" s="209"/>
      <c r="W832" s="209"/>
      <c r="X832" s="209"/>
      <c r="Y832" s="209"/>
      <c r="Z832" s="209"/>
      <c r="AA832" s="209"/>
      <c r="AB832" s="209"/>
      <c r="AC832" s="209"/>
      <c r="AD832" s="209"/>
      <c r="AE832" s="209"/>
    </row>
    <row r="833">
      <c r="A833" s="209"/>
      <c r="B833" s="209"/>
      <c r="C833" s="209"/>
      <c r="D833" s="209" t="str">
        <f t="shared" si="3"/>
        <v>
</v>
      </c>
      <c r="E833" s="209"/>
      <c r="F833" s="209"/>
      <c r="G833" s="209"/>
      <c r="H833" s="209"/>
      <c r="I833" s="209"/>
      <c r="J833" s="209"/>
      <c r="K833" s="147"/>
      <c r="L833" s="147"/>
      <c r="M833" s="209"/>
      <c r="N833" s="209"/>
      <c r="O833" s="209"/>
      <c r="P833" s="209"/>
      <c r="Q833" s="209"/>
      <c r="R833" s="209"/>
      <c r="S833" s="209"/>
      <c r="T833" s="209"/>
      <c r="U833" s="209"/>
      <c r="V833" s="209"/>
      <c r="W833" s="209"/>
      <c r="X833" s="209"/>
      <c r="Y833" s="209"/>
      <c r="Z833" s="209"/>
      <c r="AA833" s="209"/>
      <c r="AB833" s="209"/>
      <c r="AC833" s="209"/>
      <c r="AD833" s="209"/>
      <c r="AE833" s="209"/>
    </row>
    <row r="834">
      <c r="A834" s="209"/>
      <c r="B834" s="209"/>
      <c r="C834" s="209"/>
      <c r="D834" s="209" t="str">
        <f t="shared" si="3"/>
        <v>
</v>
      </c>
      <c r="E834" s="209"/>
      <c r="F834" s="209"/>
      <c r="G834" s="209"/>
      <c r="H834" s="209"/>
      <c r="I834" s="209"/>
      <c r="J834" s="209"/>
      <c r="K834" s="147"/>
      <c r="L834" s="147"/>
      <c r="M834" s="209"/>
      <c r="N834" s="209"/>
      <c r="O834" s="209"/>
      <c r="P834" s="209"/>
      <c r="Q834" s="209"/>
      <c r="R834" s="209"/>
      <c r="S834" s="209"/>
      <c r="T834" s="209"/>
      <c r="U834" s="209"/>
      <c r="V834" s="209"/>
      <c r="W834" s="209"/>
      <c r="X834" s="209"/>
      <c r="Y834" s="209"/>
      <c r="Z834" s="209"/>
      <c r="AA834" s="209"/>
      <c r="AB834" s="209"/>
      <c r="AC834" s="209"/>
      <c r="AD834" s="209"/>
      <c r="AE834" s="209"/>
    </row>
    <row r="835">
      <c r="A835" s="209"/>
      <c r="B835" s="209"/>
      <c r="C835" s="209"/>
      <c r="D835" s="209" t="str">
        <f t="shared" si="3"/>
        <v>
</v>
      </c>
      <c r="E835" s="209"/>
      <c r="F835" s="209"/>
      <c r="G835" s="209"/>
      <c r="H835" s="209"/>
      <c r="I835" s="209"/>
      <c r="J835" s="209"/>
      <c r="K835" s="147"/>
      <c r="L835" s="147"/>
      <c r="M835" s="209"/>
      <c r="N835" s="209"/>
      <c r="O835" s="209"/>
      <c r="P835" s="209"/>
      <c r="Q835" s="209"/>
      <c r="R835" s="209"/>
      <c r="S835" s="209"/>
      <c r="T835" s="209"/>
      <c r="U835" s="209"/>
      <c r="V835" s="209"/>
      <c r="W835" s="209"/>
      <c r="X835" s="209"/>
      <c r="Y835" s="209"/>
      <c r="Z835" s="209"/>
      <c r="AA835" s="209"/>
      <c r="AB835" s="209"/>
      <c r="AC835" s="209"/>
      <c r="AD835" s="209"/>
      <c r="AE835" s="209"/>
    </row>
    <row r="836">
      <c r="A836" s="209"/>
      <c r="B836" s="209"/>
      <c r="C836" s="209"/>
      <c r="D836" s="209" t="str">
        <f t="shared" si="3"/>
        <v>
</v>
      </c>
      <c r="E836" s="209"/>
      <c r="F836" s="209"/>
      <c r="G836" s="209"/>
      <c r="H836" s="209"/>
      <c r="I836" s="209"/>
      <c r="J836" s="209"/>
      <c r="K836" s="147"/>
      <c r="L836" s="147"/>
      <c r="M836" s="209"/>
      <c r="N836" s="209"/>
      <c r="O836" s="209"/>
      <c r="P836" s="209"/>
      <c r="Q836" s="209"/>
      <c r="R836" s="209"/>
      <c r="S836" s="209"/>
      <c r="T836" s="209"/>
      <c r="U836" s="209"/>
      <c r="V836" s="209"/>
      <c r="W836" s="209"/>
      <c r="X836" s="209"/>
      <c r="Y836" s="209"/>
      <c r="Z836" s="209"/>
      <c r="AA836" s="209"/>
      <c r="AB836" s="209"/>
      <c r="AC836" s="209"/>
      <c r="AD836" s="209"/>
      <c r="AE836" s="209"/>
    </row>
    <row r="837">
      <c r="A837" s="209"/>
      <c r="B837" s="209"/>
      <c r="C837" s="209"/>
      <c r="D837" s="209" t="str">
        <f t="shared" si="3"/>
        <v>
</v>
      </c>
      <c r="E837" s="209"/>
      <c r="F837" s="209"/>
      <c r="G837" s="209"/>
      <c r="H837" s="209"/>
      <c r="I837" s="209"/>
      <c r="J837" s="209"/>
      <c r="K837" s="147"/>
      <c r="L837" s="147"/>
      <c r="M837" s="209"/>
      <c r="N837" s="209"/>
      <c r="O837" s="209"/>
      <c r="P837" s="209"/>
      <c r="Q837" s="209"/>
      <c r="R837" s="209"/>
      <c r="S837" s="209"/>
      <c r="T837" s="209"/>
      <c r="U837" s="209"/>
      <c r="V837" s="209"/>
      <c r="W837" s="209"/>
      <c r="X837" s="209"/>
      <c r="Y837" s="209"/>
      <c r="Z837" s="209"/>
      <c r="AA837" s="209"/>
      <c r="AB837" s="209"/>
      <c r="AC837" s="209"/>
      <c r="AD837" s="209"/>
      <c r="AE837" s="209"/>
    </row>
    <row r="838">
      <c r="A838" s="209"/>
      <c r="B838" s="209"/>
      <c r="C838" s="209"/>
      <c r="D838" s="209" t="str">
        <f t="shared" si="3"/>
        <v>
</v>
      </c>
      <c r="E838" s="209"/>
      <c r="F838" s="209"/>
      <c r="G838" s="209"/>
      <c r="H838" s="209"/>
      <c r="I838" s="209"/>
      <c r="J838" s="209"/>
      <c r="K838" s="147"/>
      <c r="L838" s="147"/>
      <c r="M838" s="209"/>
      <c r="N838" s="209"/>
      <c r="O838" s="209"/>
      <c r="P838" s="209"/>
      <c r="Q838" s="209"/>
      <c r="R838" s="209"/>
      <c r="S838" s="209"/>
      <c r="T838" s="209"/>
      <c r="U838" s="209"/>
      <c r="V838" s="209"/>
      <c r="W838" s="209"/>
      <c r="X838" s="209"/>
      <c r="Y838" s="209"/>
      <c r="Z838" s="209"/>
      <c r="AA838" s="209"/>
      <c r="AB838" s="209"/>
      <c r="AC838" s="209"/>
      <c r="AD838" s="209"/>
      <c r="AE838" s="209"/>
    </row>
    <row r="839">
      <c r="A839" s="209"/>
      <c r="B839" s="209"/>
      <c r="C839" s="209"/>
      <c r="D839" s="209" t="str">
        <f t="shared" si="3"/>
        <v>
</v>
      </c>
      <c r="E839" s="209"/>
      <c r="F839" s="209"/>
      <c r="G839" s="209"/>
      <c r="H839" s="209"/>
      <c r="I839" s="209"/>
      <c r="J839" s="209"/>
      <c r="K839" s="147"/>
      <c r="L839" s="147"/>
      <c r="M839" s="209"/>
      <c r="N839" s="209"/>
      <c r="O839" s="209"/>
      <c r="P839" s="209"/>
      <c r="Q839" s="209"/>
      <c r="R839" s="209"/>
      <c r="S839" s="209"/>
      <c r="T839" s="209"/>
      <c r="U839" s="209"/>
      <c r="V839" s="209"/>
      <c r="W839" s="209"/>
      <c r="X839" s="209"/>
      <c r="Y839" s="209"/>
      <c r="Z839" s="209"/>
      <c r="AA839" s="209"/>
      <c r="AB839" s="209"/>
      <c r="AC839" s="209"/>
      <c r="AD839" s="209"/>
      <c r="AE839" s="209"/>
    </row>
    <row r="840">
      <c r="A840" s="209"/>
      <c r="B840" s="209"/>
      <c r="C840" s="209"/>
      <c r="D840" s="209" t="str">
        <f t="shared" si="3"/>
        <v>
</v>
      </c>
      <c r="E840" s="209"/>
      <c r="F840" s="209"/>
      <c r="G840" s="209"/>
      <c r="H840" s="209"/>
      <c r="I840" s="209"/>
      <c r="J840" s="209"/>
      <c r="K840" s="147"/>
      <c r="L840" s="147"/>
      <c r="M840" s="209"/>
      <c r="N840" s="209"/>
      <c r="O840" s="209"/>
      <c r="P840" s="209"/>
      <c r="Q840" s="209"/>
      <c r="R840" s="209"/>
      <c r="S840" s="209"/>
      <c r="T840" s="209"/>
      <c r="U840" s="209"/>
      <c r="V840" s="209"/>
      <c r="W840" s="209"/>
      <c r="X840" s="209"/>
      <c r="Y840" s="209"/>
      <c r="Z840" s="209"/>
      <c r="AA840" s="209"/>
      <c r="AB840" s="209"/>
      <c r="AC840" s="209"/>
      <c r="AD840" s="209"/>
      <c r="AE840" s="209"/>
    </row>
    <row r="841">
      <c r="A841" s="209"/>
      <c r="B841" s="209"/>
      <c r="C841" s="209"/>
      <c r="D841" s="209" t="str">
        <f t="shared" si="3"/>
        <v>
</v>
      </c>
      <c r="E841" s="209"/>
      <c r="F841" s="209"/>
      <c r="G841" s="209"/>
      <c r="H841" s="209"/>
      <c r="I841" s="209"/>
      <c r="J841" s="209"/>
      <c r="K841" s="147"/>
      <c r="L841" s="147"/>
      <c r="M841" s="209"/>
      <c r="N841" s="209"/>
      <c r="O841" s="209"/>
      <c r="P841" s="209"/>
      <c r="Q841" s="209"/>
      <c r="R841" s="209"/>
      <c r="S841" s="209"/>
      <c r="T841" s="209"/>
      <c r="U841" s="209"/>
      <c r="V841" s="209"/>
      <c r="W841" s="209"/>
      <c r="X841" s="209"/>
      <c r="Y841" s="209"/>
      <c r="Z841" s="209"/>
      <c r="AA841" s="209"/>
      <c r="AB841" s="209"/>
      <c r="AC841" s="209"/>
      <c r="AD841" s="209"/>
      <c r="AE841" s="209"/>
    </row>
    <row r="842">
      <c r="A842" s="209"/>
      <c r="B842" s="209"/>
      <c r="C842" s="209"/>
      <c r="D842" s="209" t="str">
        <f t="shared" si="3"/>
        <v>
</v>
      </c>
      <c r="E842" s="209"/>
      <c r="F842" s="209"/>
      <c r="G842" s="209"/>
      <c r="H842" s="209"/>
      <c r="I842" s="209"/>
      <c r="J842" s="209"/>
      <c r="K842" s="147"/>
      <c r="L842" s="147"/>
      <c r="M842" s="209"/>
      <c r="N842" s="209"/>
      <c r="O842" s="209"/>
      <c r="P842" s="209"/>
      <c r="Q842" s="209"/>
      <c r="R842" s="209"/>
      <c r="S842" s="209"/>
      <c r="T842" s="209"/>
      <c r="U842" s="209"/>
      <c r="V842" s="209"/>
      <c r="W842" s="209"/>
      <c r="X842" s="209"/>
      <c r="Y842" s="209"/>
      <c r="Z842" s="209"/>
      <c r="AA842" s="209"/>
      <c r="AB842" s="209"/>
      <c r="AC842" s="209"/>
      <c r="AD842" s="209"/>
      <c r="AE842" s="209"/>
    </row>
    <row r="843">
      <c r="A843" s="209"/>
      <c r="B843" s="209"/>
      <c r="C843" s="209"/>
      <c r="D843" s="209" t="str">
        <f t="shared" si="3"/>
        <v>
</v>
      </c>
      <c r="E843" s="209"/>
      <c r="F843" s="209"/>
      <c r="G843" s="209"/>
      <c r="H843" s="209"/>
      <c r="I843" s="209"/>
      <c r="J843" s="209"/>
      <c r="K843" s="147"/>
      <c r="L843" s="147"/>
      <c r="M843" s="209"/>
      <c r="N843" s="209"/>
      <c r="O843" s="209"/>
      <c r="P843" s="209"/>
      <c r="Q843" s="209"/>
      <c r="R843" s="209"/>
      <c r="S843" s="209"/>
      <c r="T843" s="209"/>
      <c r="U843" s="209"/>
      <c r="V843" s="209"/>
      <c r="W843" s="209"/>
      <c r="X843" s="209"/>
      <c r="Y843" s="209"/>
      <c r="Z843" s="209"/>
      <c r="AA843" s="209"/>
      <c r="AB843" s="209"/>
      <c r="AC843" s="209"/>
      <c r="AD843" s="209"/>
      <c r="AE843" s="209"/>
    </row>
    <row r="844">
      <c r="A844" s="209"/>
      <c r="B844" s="209"/>
      <c r="C844" s="209"/>
      <c r="D844" s="209" t="str">
        <f t="shared" si="3"/>
        <v>
</v>
      </c>
      <c r="E844" s="209"/>
      <c r="F844" s="209"/>
      <c r="G844" s="209"/>
      <c r="H844" s="209"/>
      <c r="I844" s="209"/>
      <c r="J844" s="209"/>
      <c r="K844" s="147"/>
      <c r="L844" s="147"/>
      <c r="M844" s="209"/>
      <c r="N844" s="209"/>
      <c r="O844" s="209"/>
      <c r="P844" s="209"/>
      <c r="Q844" s="209"/>
      <c r="R844" s="209"/>
      <c r="S844" s="209"/>
      <c r="T844" s="209"/>
      <c r="U844" s="209"/>
      <c r="V844" s="209"/>
      <c r="W844" s="209"/>
      <c r="X844" s="209"/>
      <c r="Y844" s="209"/>
      <c r="Z844" s="209"/>
      <c r="AA844" s="209"/>
      <c r="AB844" s="209"/>
      <c r="AC844" s="209"/>
      <c r="AD844" s="209"/>
      <c r="AE844" s="209"/>
    </row>
    <row r="845">
      <c r="A845" s="209"/>
      <c r="B845" s="209"/>
      <c r="C845" s="209"/>
      <c r="D845" s="209" t="str">
        <f t="shared" si="3"/>
        <v>
</v>
      </c>
      <c r="E845" s="209"/>
      <c r="F845" s="209"/>
      <c r="G845" s="209"/>
      <c r="H845" s="209"/>
      <c r="I845" s="209"/>
      <c r="J845" s="209"/>
      <c r="K845" s="147"/>
      <c r="L845" s="147"/>
      <c r="M845" s="209"/>
      <c r="N845" s="209"/>
      <c r="O845" s="209"/>
      <c r="P845" s="209"/>
      <c r="Q845" s="209"/>
      <c r="R845" s="209"/>
      <c r="S845" s="209"/>
      <c r="T845" s="209"/>
      <c r="U845" s="209"/>
      <c r="V845" s="209"/>
      <c r="W845" s="209"/>
      <c r="X845" s="209"/>
      <c r="Y845" s="209"/>
      <c r="Z845" s="209"/>
      <c r="AA845" s="209"/>
      <c r="AB845" s="209"/>
      <c r="AC845" s="209"/>
      <c r="AD845" s="209"/>
      <c r="AE845" s="209"/>
    </row>
    <row r="846">
      <c r="A846" s="209"/>
      <c r="B846" s="209"/>
      <c r="C846" s="209"/>
      <c r="D846" s="209" t="str">
        <f t="shared" si="3"/>
        <v>
</v>
      </c>
      <c r="E846" s="209"/>
      <c r="F846" s="209"/>
      <c r="G846" s="209"/>
      <c r="H846" s="209"/>
      <c r="I846" s="209"/>
      <c r="J846" s="209"/>
      <c r="K846" s="147"/>
      <c r="L846" s="147"/>
      <c r="M846" s="209"/>
      <c r="N846" s="209"/>
      <c r="O846" s="209"/>
      <c r="P846" s="209"/>
      <c r="Q846" s="209"/>
      <c r="R846" s="209"/>
      <c r="S846" s="209"/>
      <c r="T846" s="209"/>
      <c r="U846" s="209"/>
      <c r="V846" s="209"/>
      <c r="W846" s="209"/>
      <c r="X846" s="209"/>
      <c r="Y846" s="209"/>
      <c r="Z846" s="209"/>
      <c r="AA846" s="209"/>
      <c r="AB846" s="209"/>
      <c r="AC846" s="209"/>
      <c r="AD846" s="209"/>
      <c r="AE846" s="209"/>
    </row>
    <row r="847">
      <c r="A847" s="209"/>
      <c r="B847" s="209"/>
      <c r="C847" s="209"/>
      <c r="D847" s="209" t="str">
        <f t="shared" si="3"/>
        <v>
</v>
      </c>
      <c r="E847" s="209"/>
      <c r="F847" s="209"/>
      <c r="G847" s="209"/>
      <c r="H847" s="209"/>
      <c r="I847" s="209"/>
      <c r="J847" s="209"/>
      <c r="K847" s="147"/>
      <c r="L847" s="147"/>
      <c r="M847" s="209"/>
      <c r="N847" s="209"/>
      <c r="O847" s="209"/>
      <c r="P847" s="209"/>
      <c r="Q847" s="209"/>
      <c r="R847" s="209"/>
      <c r="S847" s="209"/>
      <c r="T847" s="209"/>
      <c r="U847" s="209"/>
      <c r="V847" s="209"/>
      <c r="W847" s="209"/>
      <c r="X847" s="209"/>
      <c r="Y847" s="209"/>
      <c r="Z847" s="209"/>
      <c r="AA847" s="209"/>
      <c r="AB847" s="209"/>
      <c r="AC847" s="209"/>
      <c r="AD847" s="209"/>
      <c r="AE847" s="209"/>
    </row>
    <row r="848">
      <c r="A848" s="209"/>
      <c r="B848" s="209"/>
      <c r="C848" s="209"/>
      <c r="D848" s="209" t="str">
        <f t="shared" si="3"/>
        <v>
</v>
      </c>
      <c r="E848" s="209"/>
      <c r="F848" s="209"/>
      <c r="G848" s="209"/>
      <c r="H848" s="209"/>
      <c r="I848" s="209"/>
      <c r="J848" s="209"/>
      <c r="K848" s="147"/>
      <c r="L848" s="147"/>
      <c r="M848" s="209"/>
      <c r="N848" s="209"/>
      <c r="O848" s="209"/>
      <c r="P848" s="209"/>
      <c r="Q848" s="209"/>
      <c r="R848" s="209"/>
      <c r="S848" s="209"/>
      <c r="T848" s="209"/>
      <c r="U848" s="209"/>
      <c r="V848" s="209"/>
      <c r="W848" s="209"/>
      <c r="X848" s="209"/>
      <c r="Y848" s="209"/>
      <c r="Z848" s="209"/>
      <c r="AA848" s="209"/>
      <c r="AB848" s="209"/>
      <c r="AC848" s="209"/>
      <c r="AD848" s="209"/>
      <c r="AE848" s="209"/>
    </row>
    <row r="849">
      <c r="A849" s="209"/>
      <c r="B849" s="209"/>
      <c r="C849" s="209"/>
      <c r="D849" s="209" t="str">
        <f t="shared" si="3"/>
        <v>
</v>
      </c>
      <c r="E849" s="209"/>
      <c r="F849" s="209"/>
      <c r="G849" s="209"/>
      <c r="H849" s="209"/>
      <c r="I849" s="209"/>
      <c r="J849" s="209"/>
      <c r="K849" s="147"/>
      <c r="L849" s="147"/>
      <c r="M849" s="209"/>
      <c r="N849" s="209"/>
      <c r="O849" s="209"/>
      <c r="P849" s="209"/>
      <c r="Q849" s="209"/>
      <c r="R849" s="209"/>
      <c r="S849" s="209"/>
      <c r="T849" s="209"/>
      <c r="U849" s="209"/>
      <c r="V849" s="209"/>
      <c r="W849" s="209"/>
      <c r="X849" s="209"/>
      <c r="Y849" s="209"/>
      <c r="Z849" s="209"/>
      <c r="AA849" s="209"/>
      <c r="AB849" s="209"/>
      <c r="AC849" s="209"/>
      <c r="AD849" s="209"/>
      <c r="AE849" s="209"/>
    </row>
    <row r="850">
      <c r="A850" s="209"/>
      <c r="B850" s="209"/>
      <c r="C850" s="209"/>
      <c r="D850" s="209" t="str">
        <f t="shared" si="3"/>
        <v>
</v>
      </c>
      <c r="E850" s="209"/>
      <c r="F850" s="209"/>
      <c r="G850" s="209"/>
      <c r="H850" s="209"/>
      <c r="I850" s="209"/>
      <c r="J850" s="209"/>
      <c r="K850" s="147"/>
      <c r="L850" s="147"/>
      <c r="M850" s="209"/>
      <c r="N850" s="209"/>
      <c r="O850" s="209"/>
      <c r="P850" s="209"/>
      <c r="Q850" s="209"/>
      <c r="R850" s="209"/>
      <c r="S850" s="209"/>
      <c r="T850" s="209"/>
      <c r="U850" s="209"/>
      <c r="V850" s="209"/>
      <c r="W850" s="209"/>
      <c r="X850" s="209"/>
      <c r="Y850" s="209"/>
      <c r="Z850" s="209"/>
      <c r="AA850" s="209"/>
      <c r="AB850" s="209"/>
      <c r="AC850" s="209"/>
      <c r="AD850" s="209"/>
      <c r="AE850" s="209"/>
    </row>
    <row r="851">
      <c r="A851" s="209"/>
      <c r="B851" s="209"/>
      <c r="C851" s="209"/>
      <c r="D851" s="209" t="str">
        <f t="shared" si="3"/>
        <v>
</v>
      </c>
      <c r="E851" s="209"/>
      <c r="F851" s="209"/>
      <c r="G851" s="209"/>
      <c r="H851" s="209"/>
      <c r="I851" s="209"/>
      <c r="J851" s="209"/>
      <c r="K851" s="147"/>
      <c r="L851" s="147"/>
      <c r="M851" s="209"/>
      <c r="N851" s="209"/>
      <c r="O851" s="209"/>
      <c r="P851" s="209"/>
      <c r="Q851" s="209"/>
      <c r="R851" s="209"/>
      <c r="S851" s="209"/>
      <c r="T851" s="209"/>
      <c r="U851" s="209"/>
      <c r="V851" s="209"/>
      <c r="W851" s="209"/>
      <c r="X851" s="209"/>
      <c r="Y851" s="209"/>
      <c r="Z851" s="209"/>
      <c r="AA851" s="209"/>
      <c r="AB851" s="209"/>
      <c r="AC851" s="209"/>
      <c r="AD851" s="209"/>
      <c r="AE851" s="209"/>
    </row>
    <row r="852">
      <c r="A852" s="209"/>
      <c r="B852" s="209"/>
      <c r="C852" s="209"/>
      <c r="D852" s="209" t="str">
        <f t="shared" si="3"/>
        <v>
</v>
      </c>
      <c r="E852" s="209"/>
      <c r="F852" s="209"/>
      <c r="G852" s="209"/>
      <c r="H852" s="209"/>
      <c r="I852" s="209"/>
      <c r="J852" s="209"/>
      <c r="K852" s="147"/>
      <c r="L852" s="147"/>
      <c r="M852" s="209"/>
      <c r="N852" s="209"/>
      <c r="O852" s="209"/>
      <c r="P852" s="209"/>
      <c r="Q852" s="209"/>
      <c r="R852" s="209"/>
      <c r="S852" s="209"/>
      <c r="T852" s="209"/>
      <c r="U852" s="209"/>
      <c r="V852" s="209"/>
      <c r="W852" s="209"/>
      <c r="X852" s="209"/>
      <c r="Y852" s="209"/>
      <c r="Z852" s="209"/>
      <c r="AA852" s="209"/>
      <c r="AB852" s="209"/>
      <c r="AC852" s="209"/>
      <c r="AD852" s="209"/>
      <c r="AE852" s="209"/>
    </row>
    <row r="853">
      <c r="A853" s="209"/>
      <c r="B853" s="209"/>
      <c r="C853" s="209"/>
      <c r="D853" s="209" t="str">
        <f t="shared" si="3"/>
        <v>
</v>
      </c>
      <c r="E853" s="209"/>
      <c r="F853" s="209"/>
      <c r="G853" s="209"/>
      <c r="H853" s="209"/>
      <c r="I853" s="209"/>
      <c r="J853" s="209"/>
      <c r="K853" s="147"/>
      <c r="L853" s="147"/>
      <c r="M853" s="209"/>
      <c r="N853" s="209"/>
      <c r="O853" s="209"/>
      <c r="P853" s="209"/>
      <c r="Q853" s="209"/>
      <c r="R853" s="209"/>
      <c r="S853" s="209"/>
      <c r="T853" s="209"/>
      <c r="U853" s="209"/>
      <c r="V853" s="209"/>
      <c r="W853" s="209"/>
      <c r="X853" s="209"/>
      <c r="Y853" s="209"/>
      <c r="Z853" s="209"/>
      <c r="AA853" s="209"/>
      <c r="AB853" s="209"/>
      <c r="AC853" s="209"/>
      <c r="AD853" s="209"/>
      <c r="AE853" s="209"/>
    </row>
    <row r="854">
      <c r="A854" s="209"/>
      <c r="B854" s="209"/>
      <c r="C854" s="209"/>
      <c r="D854" s="209" t="str">
        <f t="shared" si="3"/>
        <v>
</v>
      </c>
      <c r="E854" s="209"/>
      <c r="F854" s="209"/>
      <c r="G854" s="209"/>
      <c r="H854" s="209"/>
      <c r="I854" s="209"/>
      <c r="J854" s="209"/>
      <c r="K854" s="147"/>
      <c r="L854" s="147"/>
      <c r="M854" s="209"/>
      <c r="N854" s="209"/>
      <c r="O854" s="209"/>
      <c r="P854" s="209"/>
      <c r="Q854" s="209"/>
      <c r="R854" s="209"/>
      <c r="S854" s="209"/>
      <c r="T854" s="209"/>
      <c r="U854" s="209"/>
      <c r="V854" s="209"/>
      <c r="W854" s="209"/>
      <c r="X854" s="209"/>
      <c r="Y854" s="209"/>
      <c r="Z854" s="209"/>
      <c r="AA854" s="209"/>
      <c r="AB854" s="209"/>
      <c r="AC854" s="209"/>
      <c r="AD854" s="209"/>
      <c r="AE854" s="209"/>
    </row>
    <row r="855">
      <c r="A855" s="209"/>
      <c r="B855" s="209"/>
      <c r="C855" s="209"/>
      <c r="D855" s="209" t="str">
        <f t="shared" si="3"/>
        <v>
</v>
      </c>
      <c r="E855" s="209"/>
      <c r="F855" s="209"/>
      <c r="G855" s="209"/>
      <c r="H855" s="209"/>
      <c r="I855" s="209"/>
      <c r="J855" s="209"/>
      <c r="K855" s="147"/>
      <c r="L855" s="147"/>
      <c r="M855" s="209"/>
      <c r="N855" s="209"/>
      <c r="O855" s="209"/>
      <c r="P855" s="209"/>
      <c r="Q855" s="209"/>
      <c r="R855" s="209"/>
      <c r="S855" s="209"/>
      <c r="T855" s="209"/>
      <c r="U855" s="209"/>
      <c r="V855" s="209"/>
      <c r="W855" s="209"/>
      <c r="X855" s="209"/>
      <c r="Y855" s="209"/>
      <c r="Z855" s="209"/>
      <c r="AA855" s="209"/>
      <c r="AB855" s="209"/>
      <c r="AC855" s="209"/>
      <c r="AD855" s="209"/>
      <c r="AE855" s="209"/>
    </row>
    <row r="856">
      <c r="A856" s="209"/>
      <c r="B856" s="209"/>
      <c r="C856" s="209"/>
      <c r="D856" s="209" t="str">
        <f t="shared" si="3"/>
        <v>
</v>
      </c>
      <c r="E856" s="209"/>
      <c r="F856" s="209"/>
      <c r="G856" s="209"/>
      <c r="H856" s="209"/>
      <c r="I856" s="209"/>
      <c r="J856" s="209"/>
      <c r="K856" s="147"/>
      <c r="L856" s="147"/>
      <c r="M856" s="209"/>
      <c r="N856" s="209"/>
      <c r="O856" s="209"/>
      <c r="P856" s="209"/>
      <c r="Q856" s="209"/>
      <c r="R856" s="209"/>
      <c r="S856" s="209"/>
      <c r="T856" s="209"/>
      <c r="U856" s="209"/>
      <c r="V856" s="209"/>
      <c r="W856" s="209"/>
      <c r="X856" s="209"/>
      <c r="Y856" s="209"/>
      <c r="Z856" s="209"/>
      <c r="AA856" s="209"/>
      <c r="AB856" s="209"/>
      <c r="AC856" s="209"/>
      <c r="AD856" s="209"/>
      <c r="AE856" s="209"/>
    </row>
    <row r="857">
      <c r="A857" s="209"/>
      <c r="B857" s="209"/>
      <c r="C857" s="209"/>
      <c r="D857" s="209" t="str">
        <f t="shared" si="3"/>
        <v>
</v>
      </c>
      <c r="E857" s="209"/>
      <c r="F857" s="209"/>
      <c r="G857" s="209"/>
      <c r="H857" s="209"/>
      <c r="I857" s="209"/>
      <c r="J857" s="209"/>
      <c r="K857" s="147"/>
      <c r="L857" s="147"/>
      <c r="M857" s="209"/>
      <c r="N857" s="209"/>
      <c r="O857" s="209"/>
      <c r="P857" s="209"/>
      <c r="Q857" s="209"/>
      <c r="R857" s="209"/>
      <c r="S857" s="209"/>
      <c r="T857" s="209"/>
      <c r="U857" s="209"/>
      <c r="V857" s="209"/>
      <c r="W857" s="209"/>
      <c r="X857" s="209"/>
      <c r="Y857" s="209"/>
      <c r="Z857" s="209"/>
      <c r="AA857" s="209"/>
      <c r="AB857" s="209"/>
      <c r="AC857" s="209"/>
      <c r="AD857" s="209"/>
      <c r="AE857" s="209"/>
    </row>
    <row r="858">
      <c r="A858" s="209"/>
      <c r="B858" s="209"/>
      <c r="C858" s="209"/>
      <c r="D858" s="209" t="str">
        <f t="shared" si="3"/>
        <v>
</v>
      </c>
      <c r="E858" s="209"/>
      <c r="F858" s="209"/>
      <c r="G858" s="209"/>
      <c r="H858" s="209"/>
      <c r="I858" s="209"/>
      <c r="J858" s="209"/>
      <c r="K858" s="147"/>
      <c r="L858" s="147"/>
      <c r="M858" s="209"/>
      <c r="N858" s="209"/>
      <c r="O858" s="209"/>
      <c r="P858" s="209"/>
      <c r="Q858" s="209"/>
      <c r="R858" s="209"/>
      <c r="S858" s="209"/>
      <c r="T858" s="209"/>
      <c r="U858" s="209"/>
      <c r="V858" s="209"/>
      <c r="W858" s="209"/>
      <c r="X858" s="209"/>
      <c r="Y858" s="209"/>
      <c r="Z858" s="209"/>
      <c r="AA858" s="209"/>
      <c r="AB858" s="209"/>
      <c r="AC858" s="209"/>
      <c r="AD858" s="209"/>
      <c r="AE858" s="209"/>
    </row>
    <row r="859">
      <c r="A859" s="209"/>
      <c r="B859" s="209"/>
      <c r="C859" s="209"/>
      <c r="D859" s="209" t="str">
        <f t="shared" si="3"/>
        <v>
</v>
      </c>
      <c r="E859" s="209"/>
      <c r="F859" s="209"/>
      <c r="G859" s="209"/>
      <c r="H859" s="209"/>
      <c r="I859" s="209"/>
      <c r="J859" s="209"/>
      <c r="K859" s="147"/>
      <c r="L859" s="147"/>
      <c r="M859" s="209"/>
      <c r="N859" s="209"/>
      <c r="O859" s="209"/>
      <c r="P859" s="209"/>
      <c r="Q859" s="209"/>
      <c r="R859" s="209"/>
      <c r="S859" s="209"/>
      <c r="T859" s="209"/>
      <c r="U859" s="209"/>
      <c r="V859" s="209"/>
      <c r="W859" s="209"/>
      <c r="X859" s="209"/>
      <c r="Y859" s="209"/>
      <c r="Z859" s="209"/>
      <c r="AA859" s="209"/>
      <c r="AB859" s="209"/>
      <c r="AC859" s="209"/>
      <c r="AD859" s="209"/>
      <c r="AE859" s="209"/>
    </row>
    <row r="860">
      <c r="A860" s="209"/>
      <c r="B860" s="209"/>
      <c r="C860" s="209"/>
      <c r="D860" s="209" t="str">
        <f t="shared" si="3"/>
        <v>
</v>
      </c>
      <c r="E860" s="209"/>
      <c r="F860" s="209"/>
      <c r="G860" s="209"/>
      <c r="H860" s="209"/>
      <c r="I860" s="209"/>
      <c r="J860" s="209"/>
      <c r="K860" s="147"/>
      <c r="L860" s="147"/>
      <c r="M860" s="209"/>
      <c r="N860" s="209"/>
      <c r="O860" s="209"/>
      <c r="P860" s="209"/>
      <c r="Q860" s="209"/>
      <c r="R860" s="209"/>
      <c r="S860" s="209"/>
      <c r="T860" s="209"/>
      <c r="U860" s="209"/>
      <c r="V860" s="209"/>
      <c r="W860" s="209"/>
      <c r="X860" s="209"/>
      <c r="Y860" s="209"/>
      <c r="Z860" s="209"/>
      <c r="AA860" s="209"/>
      <c r="AB860" s="209"/>
      <c r="AC860" s="209"/>
      <c r="AD860" s="209"/>
      <c r="AE860" s="209"/>
    </row>
    <row r="861">
      <c r="A861" s="209"/>
      <c r="B861" s="209"/>
      <c r="C861" s="209"/>
      <c r="D861" s="209" t="str">
        <f t="shared" si="3"/>
        <v>
</v>
      </c>
      <c r="E861" s="209"/>
      <c r="F861" s="209"/>
      <c r="G861" s="209"/>
      <c r="H861" s="209"/>
      <c r="I861" s="209"/>
      <c r="J861" s="209"/>
      <c r="K861" s="147"/>
      <c r="L861" s="147"/>
      <c r="M861" s="209"/>
      <c r="N861" s="209"/>
      <c r="O861" s="209"/>
      <c r="P861" s="209"/>
      <c r="Q861" s="209"/>
      <c r="R861" s="209"/>
      <c r="S861" s="209"/>
      <c r="T861" s="209"/>
      <c r="U861" s="209"/>
      <c r="V861" s="209"/>
      <c r="W861" s="209"/>
      <c r="X861" s="209"/>
      <c r="Y861" s="209"/>
      <c r="Z861" s="209"/>
      <c r="AA861" s="209"/>
      <c r="AB861" s="209"/>
      <c r="AC861" s="209"/>
      <c r="AD861" s="209"/>
      <c r="AE861" s="209"/>
    </row>
    <row r="862">
      <c r="A862" s="209"/>
      <c r="B862" s="209"/>
      <c r="C862" s="209"/>
      <c r="D862" s="209" t="str">
        <f t="shared" si="3"/>
        <v>
</v>
      </c>
      <c r="E862" s="209"/>
      <c r="F862" s="209"/>
      <c r="G862" s="209"/>
      <c r="H862" s="209"/>
      <c r="I862" s="209"/>
      <c r="J862" s="209"/>
      <c r="K862" s="147"/>
      <c r="L862" s="147"/>
      <c r="M862" s="209"/>
      <c r="N862" s="209"/>
      <c r="O862" s="209"/>
      <c r="P862" s="209"/>
      <c r="Q862" s="209"/>
      <c r="R862" s="209"/>
      <c r="S862" s="209"/>
      <c r="T862" s="209"/>
      <c r="U862" s="209"/>
      <c r="V862" s="209"/>
      <c r="W862" s="209"/>
      <c r="X862" s="209"/>
      <c r="Y862" s="209"/>
      <c r="Z862" s="209"/>
      <c r="AA862" s="209"/>
      <c r="AB862" s="209"/>
      <c r="AC862" s="209"/>
      <c r="AD862" s="209"/>
      <c r="AE862" s="209"/>
    </row>
    <row r="863">
      <c r="A863" s="209"/>
      <c r="B863" s="209"/>
      <c r="C863" s="209"/>
      <c r="D863" s="209" t="str">
        <f t="shared" si="3"/>
        <v>
</v>
      </c>
      <c r="E863" s="209"/>
      <c r="F863" s="209"/>
      <c r="G863" s="209"/>
      <c r="H863" s="209"/>
      <c r="I863" s="209"/>
      <c r="J863" s="209"/>
      <c r="K863" s="147"/>
      <c r="L863" s="147"/>
      <c r="M863" s="209"/>
      <c r="N863" s="209"/>
      <c r="O863" s="209"/>
      <c r="P863" s="209"/>
      <c r="Q863" s="209"/>
      <c r="R863" s="209"/>
      <c r="S863" s="209"/>
      <c r="T863" s="209"/>
      <c r="U863" s="209"/>
      <c r="V863" s="209"/>
      <c r="W863" s="209"/>
      <c r="X863" s="209"/>
      <c r="Y863" s="209"/>
      <c r="Z863" s="209"/>
      <c r="AA863" s="209"/>
      <c r="AB863" s="209"/>
      <c r="AC863" s="209"/>
      <c r="AD863" s="209"/>
      <c r="AE863" s="209"/>
    </row>
    <row r="864">
      <c r="A864" s="209"/>
      <c r="B864" s="209"/>
      <c r="C864" s="209"/>
      <c r="D864" s="209" t="str">
        <f t="shared" si="3"/>
        <v>
</v>
      </c>
      <c r="E864" s="209"/>
      <c r="F864" s="209"/>
      <c r="G864" s="209"/>
      <c r="H864" s="209"/>
      <c r="I864" s="209"/>
      <c r="J864" s="209"/>
      <c r="K864" s="147"/>
      <c r="L864" s="147"/>
      <c r="M864" s="209"/>
      <c r="N864" s="209"/>
      <c r="O864" s="209"/>
      <c r="P864" s="209"/>
      <c r="Q864" s="209"/>
      <c r="R864" s="209"/>
      <c r="S864" s="209"/>
      <c r="T864" s="209"/>
      <c r="U864" s="209"/>
      <c r="V864" s="209"/>
      <c r="W864" s="209"/>
      <c r="X864" s="209"/>
      <c r="Y864" s="209"/>
      <c r="Z864" s="209"/>
      <c r="AA864" s="209"/>
      <c r="AB864" s="209"/>
      <c r="AC864" s="209"/>
      <c r="AD864" s="209"/>
      <c r="AE864" s="209"/>
    </row>
    <row r="865">
      <c r="A865" s="209"/>
      <c r="B865" s="209"/>
      <c r="C865" s="209"/>
      <c r="D865" s="209" t="str">
        <f t="shared" si="3"/>
        <v>
</v>
      </c>
      <c r="E865" s="209"/>
      <c r="F865" s="209"/>
      <c r="G865" s="209"/>
      <c r="H865" s="209"/>
      <c r="I865" s="209"/>
      <c r="J865" s="209"/>
      <c r="K865" s="147"/>
      <c r="L865" s="147"/>
      <c r="M865" s="209"/>
      <c r="N865" s="209"/>
      <c r="O865" s="209"/>
      <c r="P865" s="209"/>
      <c r="Q865" s="209"/>
      <c r="R865" s="209"/>
      <c r="S865" s="209"/>
      <c r="T865" s="209"/>
      <c r="U865" s="209"/>
      <c r="V865" s="209"/>
      <c r="W865" s="209"/>
      <c r="X865" s="209"/>
      <c r="Y865" s="209"/>
      <c r="Z865" s="209"/>
      <c r="AA865" s="209"/>
      <c r="AB865" s="209"/>
      <c r="AC865" s="209"/>
      <c r="AD865" s="209"/>
      <c r="AE865" s="209"/>
    </row>
    <row r="866">
      <c r="A866" s="209"/>
      <c r="B866" s="209"/>
      <c r="C866" s="209"/>
      <c r="D866" s="209" t="str">
        <f t="shared" si="3"/>
        <v>
</v>
      </c>
      <c r="E866" s="209"/>
      <c r="F866" s="209"/>
      <c r="G866" s="209"/>
      <c r="H866" s="209"/>
      <c r="I866" s="209"/>
      <c r="J866" s="209"/>
      <c r="K866" s="147"/>
      <c r="L866" s="147"/>
      <c r="M866" s="209"/>
      <c r="N866" s="209"/>
      <c r="O866" s="209"/>
      <c r="P866" s="209"/>
      <c r="Q866" s="209"/>
      <c r="R866" s="209"/>
      <c r="S866" s="209"/>
      <c r="T866" s="209"/>
      <c r="U866" s="209"/>
      <c r="V866" s="209"/>
      <c r="W866" s="209"/>
      <c r="X866" s="209"/>
      <c r="Y866" s="209"/>
      <c r="Z866" s="209"/>
      <c r="AA866" s="209"/>
      <c r="AB866" s="209"/>
      <c r="AC866" s="209"/>
      <c r="AD866" s="209"/>
      <c r="AE866" s="209"/>
    </row>
    <row r="867">
      <c r="A867" s="209"/>
      <c r="B867" s="209"/>
      <c r="C867" s="209"/>
      <c r="D867" s="209" t="str">
        <f t="shared" si="3"/>
        <v>
</v>
      </c>
      <c r="E867" s="209"/>
      <c r="F867" s="209"/>
      <c r="G867" s="209"/>
      <c r="H867" s="209"/>
      <c r="I867" s="209"/>
      <c r="J867" s="209"/>
      <c r="K867" s="147"/>
      <c r="L867" s="147"/>
      <c r="M867" s="209"/>
      <c r="N867" s="209"/>
      <c r="O867" s="209"/>
      <c r="P867" s="209"/>
      <c r="Q867" s="209"/>
      <c r="R867" s="209"/>
      <c r="S867" s="209"/>
      <c r="T867" s="209"/>
      <c r="U867" s="209"/>
      <c r="V867" s="209"/>
      <c r="W867" s="209"/>
      <c r="X867" s="209"/>
      <c r="Y867" s="209"/>
      <c r="Z867" s="209"/>
      <c r="AA867" s="209"/>
      <c r="AB867" s="209"/>
      <c r="AC867" s="209"/>
      <c r="AD867" s="209"/>
      <c r="AE867" s="209"/>
    </row>
    <row r="868">
      <c r="A868" s="209"/>
      <c r="B868" s="209"/>
      <c r="C868" s="209"/>
      <c r="D868" s="209" t="str">
        <f t="shared" si="3"/>
        <v>
</v>
      </c>
      <c r="E868" s="209"/>
      <c r="F868" s="209"/>
      <c r="G868" s="209"/>
      <c r="H868" s="209"/>
      <c r="I868" s="209"/>
      <c r="J868" s="209"/>
      <c r="K868" s="147"/>
      <c r="L868" s="147"/>
      <c r="M868" s="209"/>
      <c r="N868" s="209"/>
      <c r="O868" s="209"/>
      <c r="P868" s="209"/>
      <c r="Q868" s="209"/>
      <c r="R868" s="209"/>
      <c r="S868" s="209"/>
      <c r="T868" s="209"/>
      <c r="U868" s="209"/>
      <c r="V868" s="209"/>
      <c r="W868" s="209"/>
      <c r="X868" s="209"/>
      <c r="Y868" s="209"/>
      <c r="Z868" s="209"/>
      <c r="AA868" s="209"/>
      <c r="AB868" s="209"/>
      <c r="AC868" s="209"/>
      <c r="AD868" s="209"/>
      <c r="AE868" s="209"/>
    </row>
    <row r="869">
      <c r="A869" s="209"/>
      <c r="B869" s="209"/>
      <c r="C869" s="209"/>
      <c r="D869" s="209" t="str">
        <f t="shared" si="3"/>
        <v>
</v>
      </c>
      <c r="E869" s="209"/>
      <c r="F869" s="209"/>
      <c r="G869" s="209"/>
      <c r="H869" s="209"/>
      <c r="I869" s="209"/>
      <c r="J869" s="209"/>
      <c r="K869" s="147"/>
      <c r="L869" s="147"/>
      <c r="M869" s="209"/>
      <c r="N869" s="209"/>
      <c r="O869" s="209"/>
      <c r="P869" s="209"/>
      <c r="Q869" s="209"/>
      <c r="R869" s="209"/>
      <c r="S869" s="209"/>
      <c r="T869" s="209"/>
      <c r="U869" s="209"/>
      <c r="V869" s="209"/>
      <c r="W869" s="209"/>
      <c r="X869" s="209"/>
      <c r="Y869" s="209"/>
      <c r="Z869" s="209"/>
      <c r="AA869" s="209"/>
      <c r="AB869" s="209"/>
      <c r="AC869" s="209"/>
      <c r="AD869" s="209"/>
      <c r="AE869" s="209"/>
    </row>
    <row r="870">
      <c r="A870" s="209"/>
      <c r="B870" s="209"/>
      <c r="C870" s="209"/>
      <c r="D870" s="209" t="str">
        <f t="shared" si="3"/>
        <v>
</v>
      </c>
      <c r="E870" s="209"/>
      <c r="F870" s="209"/>
      <c r="G870" s="209"/>
      <c r="H870" s="209"/>
      <c r="I870" s="209"/>
      <c r="J870" s="209"/>
      <c r="K870" s="147"/>
      <c r="L870" s="147"/>
      <c r="M870" s="209"/>
      <c r="N870" s="209"/>
      <c r="O870" s="209"/>
      <c r="P870" s="209"/>
      <c r="Q870" s="209"/>
      <c r="R870" s="209"/>
      <c r="S870" s="209"/>
      <c r="T870" s="209"/>
      <c r="U870" s="209"/>
      <c r="V870" s="209"/>
      <c r="W870" s="209"/>
      <c r="X870" s="209"/>
      <c r="Y870" s="209"/>
      <c r="Z870" s="209"/>
      <c r="AA870" s="209"/>
      <c r="AB870" s="209"/>
      <c r="AC870" s="209"/>
      <c r="AD870" s="209"/>
      <c r="AE870" s="209"/>
    </row>
    <row r="871">
      <c r="A871" s="209"/>
      <c r="B871" s="209"/>
      <c r="C871" s="209"/>
      <c r="D871" s="209" t="str">
        <f t="shared" si="3"/>
        <v>
</v>
      </c>
      <c r="E871" s="209"/>
      <c r="F871" s="209"/>
      <c r="G871" s="209"/>
      <c r="H871" s="209"/>
      <c r="I871" s="209"/>
      <c r="J871" s="209"/>
      <c r="K871" s="147"/>
      <c r="L871" s="147"/>
      <c r="M871" s="209"/>
      <c r="N871" s="209"/>
      <c r="O871" s="209"/>
      <c r="P871" s="209"/>
      <c r="Q871" s="209"/>
      <c r="R871" s="209"/>
      <c r="S871" s="209"/>
      <c r="T871" s="209"/>
      <c r="U871" s="209"/>
      <c r="V871" s="209"/>
      <c r="W871" s="209"/>
      <c r="X871" s="209"/>
      <c r="Y871" s="209"/>
      <c r="Z871" s="209"/>
      <c r="AA871" s="209"/>
      <c r="AB871" s="209"/>
      <c r="AC871" s="209"/>
      <c r="AD871" s="209"/>
      <c r="AE871" s="209"/>
    </row>
    <row r="872">
      <c r="A872" s="209"/>
      <c r="B872" s="209"/>
      <c r="C872" s="209"/>
      <c r="D872" s="209" t="str">
        <f t="shared" si="3"/>
        <v>
</v>
      </c>
      <c r="E872" s="209"/>
      <c r="F872" s="209"/>
      <c r="G872" s="209"/>
      <c r="H872" s="209"/>
      <c r="I872" s="209"/>
      <c r="J872" s="209"/>
      <c r="K872" s="147"/>
      <c r="L872" s="147"/>
      <c r="M872" s="209"/>
      <c r="N872" s="209"/>
      <c r="O872" s="209"/>
      <c r="P872" s="209"/>
      <c r="Q872" s="209"/>
      <c r="R872" s="209"/>
      <c r="S872" s="209"/>
      <c r="T872" s="209"/>
      <c r="U872" s="209"/>
      <c r="V872" s="209"/>
      <c r="W872" s="209"/>
      <c r="X872" s="209"/>
      <c r="Y872" s="209"/>
      <c r="Z872" s="209"/>
      <c r="AA872" s="209"/>
      <c r="AB872" s="209"/>
      <c r="AC872" s="209"/>
      <c r="AD872" s="209"/>
      <c r="AE872" s="209"/>
    </row>
    <row r="873">
      <c r="A873" s="209"/>
      <c r="B873" s="209"/>
      <c r="C873" s="209"/>
      <c r="D873" s="209" t="str">
        <f t="shared" si="3"/>
        <v>
</v>
      </c>
      <c r="E873" s="209"/>
      <c r="F873" s="209"/>
      <c r="G873" s="209"/>
      <c r="H873" s="209"/>
      <c r="I873" s="209"/>
      <c r="J873" s="209"/>
      <c r="K873" s="147"/>
      <c r="L873" s="147"/>
      <c r="M873" s="209"/>
      <c r="N873" s="209"/>
      <c r="O873" s="209"/>
      <c r="P873" s="209"/>
      <c r="Q873" s="209"/>
      <c r="R873" s="209"/>
      <c r="S873" s="209"/>
      <c r="T873" s="209"/>
      <c r="U873" s="209"/>
      <c r="V873" s="209"/>
      <c r="W873" s="209"/>
      <c r="X873" s="209"/>
      <c r="Y873" s="209"/>
      <c r="Z873" s="209"/>
      <c r="AA873" s="209"/>
      <c r="AB873" s="209"/>
      <c r="AC873" s="209"/>
      <c r="AD873" s="209"/>
      <c r="AE873" s="209"/>
    </row>
    <row r="874">
      <c r="A874" s="209"/>
      <c r="B874" s="209"/>
      <c r="C874" s="209"/>
      <c r="D874" s="209" t="str">
        <f t="shared" si="3"/>
        <v>
</v>
      </c>
      <c r="E874" s="209"/>
      <c r="F874" s="209"/>
      <c r="G874" s="209"/>
      <c r="H874" s="209"/>
      <c r="I874" s="209"/>
      <c r="J874" s="209"/>
      <c r="K874" s="147"/>
      <c r="L874" s="147"/>
      <c r="M874" s="209"/>
      <c r="N874" s="209"/>
      <c r="O874" s="209"/>
      <c r="P874" s="209"/>
      <c r="Q874" s="209"/>
      <c r="R874" s="209"/>
      <c r="S874" s="209"/>
      <c r="T874" s="209"/>
      <c r="U874" s="209"/>
      <c r="V874" s="209"/>
      <c r="W874" s="209"/>
      <c r="X874" s="209"/>
      <c r="Y874" s="209"/>
      <c r="Z874" s="209"/>
      <c r="AA874" s="209"/>
      <c r="AB874" s="209"/>
      <c r="AC874" s="209"/>
      <c r="AD874" s="209"/>
      <c r="AE874" s="209"/>
    </row>
    <row r="875">
      <c r="A875" s="209"/>
      <c r="B875" s="209"/>
      <c r="C875" s="209"/>
      <c r="D875" s="209" t="str">
        <f t="shared" si="3"/>
        <v>
</v>
      </c>
      <c r="E875" s="209"/>
      <c r="F875" s="209"/>
      <c r="G875" s="209"/>
      <c r="H875" s="209"/>
      <c r="I875" s="209"/>
      <c r="J875" s="209"/>
      <c r="K875" s="147"/>
      <c r="L875" s="147"/>
      <c r="M875" s="209"/>
      <c r="N875" s="209"/>
      <c r="O875" s="209"/>
      <c r="P875" s="209"/>
      <c r="Q875" s="209"/>
      <c r="R875" s="209"/>
      <c r="S875" s="209"/>
      <c r="T875" s="209"/>
      <c r="U875" s="209"/>
      <c r="V875" s="209"/>
      <c r="W875" s="209"/>
      <c r="X875" s="209"/>
      <c r="Y875" s="209"/>
      <c r="Z875" s="209"/>
      <c r="AA875" s="209"/>
      <c r="AB875" s="209"/>
      <c r="AC875" s="209"/>
      <c r="AD875" s="209"/>
      <c r="AE875" s="209"/>
    </row>
    <row r="876">
      <c r="A876" s="209"/>
      <c r="B876" s="209"/>
      <c r="C876" s="209"/>
      <c r="D876" s="209" t="str">
        <f t="shared" si="3"/>
        <v>
</v>
      </c>
      <c r="E876" s="209"/>
      <c r="F876" s="209"/>
      <c r="G876" s="209"/>
      <c r="H876" s="209"/>
      <c r="I876" s="209"/>
      <c r="J876" s="209"/>
      <c r="K876" s="147"/>
      <c r="L876" s="147"/>
      <c r="M876" s="209"/>
      <c r="N876" s="209"/>
      <c r="O876" s="209"/>
      <c r="P876" s="209"/>
      <c r="Q876" s="209"/>
      <c r="R876" s="209"/>
      <c r="S876" s="209"/>
      <c r="T876" s="209"/>
      <c r="U876" s="209"/>
      <c r="V876" s="209"/>
      <c r="W876" s="209"/>
      <c r="X876" s="209"/>
      <c r="Y876" s="209"/>
      <c r="Z876" s="209"/>
      <c r="AA876" s="209"/>
      <c r="AB876" s="209"/>
      <c r="AC876" s="209"/>
      <c r="AD876" s="209"/>
      <c r="AE876" s="209"/>
    </row>
    <row r="877">
      <c r="A877" s="209"/>
      <c r="B877" s="209"/>
      <c r="C877" s="209"/>
      <c r="D877" s="209" t="str">
        <f t="shared" si="3"/>
        <v>
</v>
      </c>
      <c r="E877" s="209"/>
      <c r="F877" s="209"/>
      <c r="G877" s="209"/>
      <c r="H877" s="209"/>
      <c r="I877" s="209"/>
      <c r="J877" s="209"/>
      <c r="K877" s="147"/>
      <c r="L877" s="147"/>
      <c r="M877" s="209"/>
      <c r="N877" s="209"/>
      <c r="O877" s="209"/>
      <c r="P877" s="209"/>
      <c r="Q877" s="209"/>
      <c r="R877" s="209"/>
      <c r="S877" s="209"/>
      <c r="T877" s="209"/>
      <c r="U877" s="209"/>
      <c r="V877" s="209"/>
      <c r="W877" s="209"/>
      <c r="X877" s="209"/>
      <c r="Y877" s="209"/>
      <c r="Z877" s="209"/>
      <c r="AA877" s="209"/>
      <c r="AB877" s="209"/>
      <c r="AC877" s="209"/>
      <c r="AD877" s="209"/>
      <c r="AE877" s="209"/>
    </row>
    <row r="878">
      <c r="A878" s="209"/>
      <c r="B878" s="209"/>
      <c r="C878" s="209"/>
      <c r="D878" s="209" t="str">
        <f t="shared" si="3"/>
        <v>
</v>
      </c>
      <c r="E878" s="209"/>
      <c r="F878" s="209"/>
      <c r="G878" s="209"/>
      <c r="H878" s="209"/>
      <c r="I878" s="209"/>
      <c r="J878" s="209"/>
      <c r="K878" s="147"/>
      <c r="L878" s="147"/>
      <c r="M878" s="209"/>
      <c r="N878" s="209"/>
      <c r="O878" s="209"/>
      <c r="P878" s="209"/>
      <c r="Q878" s="209"/>
      <c r="R878" s="209"/>
      <c r="S878" s="209"/>
      <c r="T878" s="209"/>
      <c r="U878" s="209"/>
      <c r="V878" s="209"/>
      <c r="W878" s="209"/>
      <c r="X878" s="209"/>
      <c r="Y878" s="209"/>
      <c r="Z878" s="209"/>
      <c r="AA878" s="209"/>
      <c r="AB878" s="209"/>
      <c r="AC878" s="209"/>
      <c r="AD878" s="209"/>
      <c r="AE878" s="209"/>
    </row>
    <row r="879">
      <c r="A879" s="209"/>
      <c r="B879" s="209"/>
      <c r="C879" s="209"/>
      <c r="D879" s="209" t="str">
        <f t="shared" si="3"/>
        <v>
</v>
      </c>
      <c r="E879" s="209"/>
      <c r="F879" s="209"/>
      <c r="G879" s="209"/>
      <c r="H879" s="209"/>
      <c r="I879" s="209"/>
      <c r="J879" s="209"/>
      <c r="K879" s="147"/>
      <c r="L879" s="147"/>
      <c r="M879" s="209"/>
      <c r="N879" s="209"/>
      <c r="O879" s="209"/>
      <c r="P879" s="209"/>
      <c r="Q879" s="209"/>
      <c r="R879" s="209"/>
      <c r="S879" s="209"/>
      <c r="T879" s="209"/>
      <c r="U879" s="209"/>
      <c r="V879" s="209"/>
      <c r="W879" s="209"/>
      <c r="X879" s="209"/>
      <c r="Y879" s="209"/>
      <c r="Z879" s="209"/>
      <c r="AA879" s="209"/>
      <c r="AB879" s="209"/>
      <c r="AC879" s="209"/>
      <c r="AD879" s="209"/>
      <c r="AE879" s="209"/>
    </row>
    <row r="880">
      <c r="A880" s="209"/>
      <c r="B880" s="209"/>
      <c r="C880" s="209"/>
      <c r="D880" s="209" t="str">
        <f t="shared" si="3"/>
        <v>
</v>
      </c>
      <c r="E880" s="209"/>
      <c r="F880" s="209"/>
      <c r="G880" s="209"/>
      <c r="H880" s="209"/>
      <c r="I880" s="209"/>
      <c r="J880" s="209"/>
      <c r="K880" s="147"/>
      <c r="L880" s="147"/>
      <c r="M880" s="209"/>
      <c r="N880" s="209"/>
      <c r="O880" s="209"/>
      <c r="P880" s="209"/>
      <c r="Q880" s="209"/>
      <c r="R880" s="209"/>
      <c r="S880" s="209"/>
      <c r="T880" s="209"/>
      <c r="U880" s="209"/>
      <c r="V880" s="209"/>
      <c r="W880" s="209"/>
      <c r="X880" s="209"/>
      <c r="Y880" s="209"/>
      <c r="Z880" s="209"/>
      <c r="AA880" s="209"/>
      <c r="AB880" s="209"/>
      <c r="AC880" s="209"/>
      <c r="AD880" s="209"/>
      <c r="AE880" s="209"/>
    </row>
    <row r="881">
      <c r="A881" s="209"/>
      <c r="B881" s="209"/>
      <c r="C881" s="209"/>
      <c r="D881" s="209" t="str">
        <f t="shared" si="3"/>
        <v>
</v>
      </c>
      <c r="E881" s="209"/>
      <c r="F881" s="209"/>
      <c r="G881" s="209"/>
      <c r="H881" s="209"/>
      <c r="I881" s="209"/>
      <c r="J881" s="209"/>
      <c r="K881" s="147"/>
      <c r="L881" s="147"/>
      <c r="M881" s="209"/>
      <c r="N881" s="209"/>
      <c r="O881" s="209"/>
      <c r="P881" s="209"/>
      <c r="Q881" s="209"/>
      <c r="R881" s="209"/>
      <c r="S881" s="209"/>
      <c r="T881" s="209"/>
      <c r="U881" s="209"/>
      <c r="V881" s="209"/>
      <c r="W881" s="209"/>
      <c r="X881" s="209"/>
      <c r="Y881" s="209"/>
      <c r="Z881" s="209"/>
      <c r="AA881" s="209"/>
      <c r="AB881" s="209"/>
      <c r="AC881" s="209"/>
      <c r="AD881" s="209"/>
      <c r="AE881" s="209"/>
    </row>
    <row r="882">
      <c r="A882" s="209"/>
      <c r="B882" s="209"/>
      <c r="C882" s="209"/>
      <c r="D882" s="209" t="str">
        <f t="shared" si="3"/>
        <v>
</v>
      </c>
      <c r="E882" s="209"/>
      <c r="F882" s="209"/>
      <c r="G882" s="209"/>
      <c r="H882" s="209"/>
      <c r="I882" s="209"/>
      <c r="J882" s="209"/>
      <c r="K882" s="147"/>
      <c r="L882" s="147"/>
      <c r="M882" s="209"/>
      <c r="N882" s="209"/>
      <c r="O882" s="209"/>
      <c r="P882" s="209"/>
      <c r="Q882" s="209"/>
      <c r="R882" s="209"/>
      <c r="S882" s="209"/>
      <c r="T882" s="209"/>
      <c r="U882" s="209"/>
      <c r="V882" s="209"/>
      <c r="W882" s="209"/>
      <c r="X882" s="209"/>
      <c r="Y882" s="209"/>
      <c r="Z882" s="209"/>
      <c r="AA882" s="209"/>
      <c r="AB882" s="209"/>
      <c r="AC882" s="209"/>
      <c r="AD882" s="209"/>
      <c r="AE882" s="209"/>
    </row>
    <row r="883">
      <c r="A883" s="209"/>
      <c r="B883" s="209"/>
      <c r="C883" s="209"/>
      <c r="D883" s="209" t="str">
        <f t="shared" si="3"/>
        <v>
</v>
      </c>
      <c r="E883" s="209"/>
      <c r="F883" s="209"/>
      <c r="G883" s="209"/>
      <c r="H883" s="209"/>
      <c r="I883" s="209"/>
      <c r="J883" s="209"/>
      <c r="K883" s="147"/>
      <c r="L883" s="147"/>
      <c r="M883" s="209"/>
      <c r="N883" s="209"/>
      <c r="O883" s="209"/>
      <c r="P883" s="209"/>
      <c r="Q883" s="209"/>
      <c r="R883" s="209"/>
      <c r="S883" s="209"/>
      <c r="T883" s="209"/>
      <c r="U883" s="209"/>
      <c r="V883" s="209"/>
      <c r="W883" s="209"/>
      <c r="X883" s="209"/>
      <c r="Y883" s="209"/>
      <c r="Z883" s="209"/>
      <c r="AA883" s="209"/>
      <c r="AB883" s="209"/>
      <c r="AC883" s="209"/>
      <c r="AD883" s="209"/>
      <c r="AE883" s="209"/>
    </row>
    <row r="884">
      <c r="A884" s="209"/>
      <c r="B884" s="209"/>
      <c r="C884" s="209"/>
      <c r="D884" s="209" t="str">
        <f t="shared" si="3"/>
        <v>
</v>
      </c>
      <c r="E884" s="209"/>
      <c r="F884" s="209"/>
      <c r="G884" s="209"/>
      <c r="H884" s="209"/>
      <c r="I884" s="209"/>
      <c r="J884" s="209"/>
      <c r="K884" s="147"/>
      <c r="L884" s="147"/>
      <c r="M884" s="209"/>
      <c r="N884" s="209"/>
      <c r="O884" s="209"/>
      <c r="P884" s="209"/>
      <c r="Q884" s="209"/>
      <c r="R884" s="209"/>
      <c r="S884" s="209"/>
      <c r="T884" s="209"/>
      <c r="U884" s="209"/>
      <c r="V884" s="209"/>
      <c r="W884" s="209"/>
      <c r="X884" s="209"/>
      <c r="Y884" s="209"/>
      <c r="Z884" s="209"/>
      <c r="AA884" s="209"/>
      <c r="AB884" s="209"/>
      <c r="AC884" s="209"/>
      <c r="AD884" s="209"/>
      <c r="AE884" s="209"/>
    </row>
    <row r="885">
      <c r="A885" s="209"/>
      <c r="B885" s="209"/>
      <c r="C885" s="209"/>
      <c r="D885" s="209" t="str">
        <f t="shared" si="3"/>
        <v>
</v>
      </c>
      <c r="E885" s="209"/>
      <c r="F885" s="209"/>
      <c r="G885" s="209"/>
      <c r="H885" s="209"/>
      <c r="I885" s="209"/>
      <c r="J885" s="209"/>
      <c r="K885" s="147"/>
      <c r="L885" s="147"/>
      <c r="M885" s="209"/>
      <c r="N885" s="209"/>
      <c r="O885" s="209"/>
      <c r="P885" s="209"/>
      <c r="Q885" s="209"/>
      <c r="R885" s="209"/>
      <c r="S885" s="209"/>
      <c r="T885" s="209"/>
      <c r="U885" s="209"/>
      <c r="V885" s="209"/>
      <c r="W885" s="209"/>
      <c r="X885" s="209"/>
      <c r="Y885" s="209"/>
      <c r="Z885" s="209"/>
      <c r="AA885" s="209"/>
      <c r="AB885" s="209"/>
      <c r="AC885" s="209"/>
      <c r="AD885" s="209"/>
      <c r="AE885" s="209"/>
    </row>
    <row r="886">
      <c r="A886" s="209"/>
      <c r="B886" s="209"/>
      <c r="C886" s="209"/>
      <c r="D886" s="209" t="str">
        <f t="shared" si="3"/>
        <v>
</v>
      </c>
      <c r="E886" s="209"/>
      <c r="F886" s="209"/>
      <c r="G886" s="209"/>
      <c r="H886" s="209"/>
      <c r="I886" s="209"/>
      <c r="J886" s="209"/>
      <c r="K886" s="147"/>
      <c r="L886" s="147"/>
      <c r="M886" s="209"/>
      <c r="N886" s="209"/>
      <c r="O886" s="209"/>
      <c r="P886" s="209"/>
      <c r="Q886" s="209"/>
      <c r="R886" s="209"/>
      <c r="S886" s="209"/>
      <c r="T886" s="209"/>
      <c r="U886" s="209"/>
      <c r="V886" s="209"/>
      <c r="W886" s="209"/>
      <c r="X886" s="209"/>
      <c r="Y886" s="209"/>
      <c r="Z886" s="209"/>
      <c r="AA886" s="209"/>
      <c r="AB886" s="209"/>
      <c r="AC886" s="209"/>
      <c r="AD886" s="209"/>
      <c r="AE886" s="209"/>
    </row>
    <row r="887">
      <c r="A887" s="209"/>
      <c r="B887" s="209"/>
      <c r="C887" s="209"/>
      <c r="D887" s="209" t="str">
        <f t="shared" si="3"/>
        <v>
</v>
      </c>
      <c r="E887" s="209"/>
      <c r="F887" s="209"/>
      <c r="G887" s="209"/>
      <c r="H887" s="209"/>
      <c r="I887" s="209"/>
      <c r="J887" s="209"/>
      <c r="K887" s="147"/>
      <c r="L887" s="147"/>
      <c r="M887" s="209"/>
      <c r="N887" s="209"/>
      <c r="O887" s="209"/>
      <c r="P887" s="209"/>
      <c r="Q887" s="209"/>
      <c r="R887" s="209"/>
      <c r="S887" s="209"/>
      <c r="T887" s="209"/>
      <c r="U887" s="209"/>
      <c r="V887" s="209"/>
      <c r="W887" s="209"/>
      <c r="X887" s="209"/>
      <c r="Y887" s="209"/>
      <c r="Z887" s="209"/>
      <c r="AA887" s="209"/>
      <c r="AB887" s="209"/>
      <c r="AC887" s="209"/>
      <c r="AD887" s="209"/>
      <c r="AE887" s="209"/>
    </row>
    <row r="888">
      <c r="A888" s="209"/>
      <c r="B888" s="209"/>
      <c r="C888" s="209"/>
      <c r="D888" s="209" t="str">
        <f t="shared" si="3"/>
        <v>
</v>
      </c>
      <c r="E888" s="209"/>
      <c r="F888" s="209"/>
      <c r="G888" s="209"/>
      <c r="H888" s="209"/>
      <c r="I888" s="209"/>
      <c r="J888" s="209"/>
      <c r="K888" s="147"/>
      <c r="L888" s="147"/>
      <c r="M888" s="209"/>
      <c r="N888" s="209"/>
      <c r="O888" s="209"/>
      <c r="P888" s="209"/>
      <c r="Q888" s="209"/>
      <c r="R888" s="209"/>
      <c r="S888" s="209"/>
      <c r="T888" s="209"/>
      <c r="U888" s="209"/>
      <c r="V888" s="209"/>
      <c r="W888" s="209"/>
      <c r="X888" s="209"/>
      <c r="Y888" s="209"/>
      <c r="Z888" s="209"/>
      <c r="AA888" s="209"/>
      <c r="AB888" s="209"/>
      <c r="AC888" s="209"/>
      <c r="AD888" s="209"/>
      <c r="AE888" s="209"/>
    </row>
    <row r="889">
      <c r="A889" s="209"/>
      <c r="B889" s="209"/>
      <c r="C889" s="209"/>
      <c r="D889" s="209" t="str">
        <f t="shared" si="3"/>
        <v>
</v>
      </c>
      <c r="E889" s="209"/>
      <c r="F889" s="209"/>
      <c r="G889" s="209"/>
      <c r="H889" s="209"/>
      <c r="I889" s="209"/>
      <c r="J889" s="209"/>
      <c r="K889" s="147"/>
      <c r="L889" s="147"/>
      <c r="M889" s="209"/>
      <c r="N889" s="209"/>
      <c r="O889" s="209"/>
      <c r="P889" s="209"/>
      <c r="Q889" s="209"/>
      <c r="R889" s="209"/>
      <c r="S889" s="209"/>
      <c r="T889" s="209"/>
      <c r="U889" s="209"/>
      <c r="V889" s="209"/>
      <c r="W889" s="209"/>
      <c r="X889" s="209"/>
      <c r="Y889" s="209"/>
      <c r="Z889" s="209"/>
      <c r="AA889" s="209"/>
      <c r="AB889" s="209"/>
      <c r="AC889" s="209"/>
      <c r="AD889" s="209"/>
      <c r="AE889" s="209"/>
    </row>
    <row r="890">
      <c r="A890" s="209"/>
      <c r="B890" s="209"/>
      <c r="C890" s="209"/>
      <c r="D890" s="209" t="str">
        <f t="shared" si="3"/>
        <v>
</v>
      </c>
      <c r="E890" s="209"/>
      <c r="F890" s="209"/>
      <c r="G890" s="209"/>
      <c r="H890" s="209"/>
      <c r="I890" s="209"/>
      <c r="J890" s="209"/>
      <c r="K890" s="147"/>
      <c r="L890" s="147"/>
      <c r="M890" s="209"/>
      <c r="N890" s="209"/>
      <c r="O890" s="209"/>
      <c r="P890" s="209"/>
      <c r="Q890" s="209"/>
      <c r="R890" s="209"/>
      <c r="S890" s="209"/>
      <c r="T890" s="209"/>
      <c r="U890" s="209"/>
      <c r="V890" s="209"/>
      <c r="W890" s="209"/>
      <c r="X890" s="209"/>
      <c r="Y890" s="209"/>
      <c r="Z890" s="209"/>
      <c r="AA890" s="209"/>
      <c r="AB890" s="209"/>
      <c r="AC890" s="209"/>
      <c r="AD890" s="209"/>
      <c r="AE890" s="209"/>
    </row>
    <row r="891">
      <c r="A891" s="209"/>
      <c r="B891" s="209"/>
      <c r="C891" s="209"/>
      <c r="D891" s="209" t="str">
        <f t="shared" si="3"/>
        <v>
</v>
      </c>
      <c r="E891" s="209"/>
      <c r="F891" s="209"/>
      <c r="G891" s="209"/>
      <c r="H891" s="209"/>
      <c r="I891" s="209"/>
      <c r="J891" s="209"/>
      <c r="K891" s="147"/>
      <c r="L891" s="147"/>
      <c r="M891" s="209"/>
      <c r="N891" s="209"/>
      <c r="O891" s="209"/>
      <c r="P891" s="209"/>
      <c r="Q891" s="209"/>
      <c r="R891" s="209"/>
      <c r="S891" s="209"/>
      <c r="T891" s="209"/>
      <c r="U891" s="209"/>
      <c r="V891" s="209"/>
      <c r="W891" s="209"/>
      <c r="X891" s="209"/>
      <c r="Y891" s="209"/>
      <c r="Z891" s="209"/>
      <c r="AA891" s="209"/>
      <c r="AB891" s="209"/>
      <c r="AC891" s="209"/>
      <c r="AD891" s="209"/>
      <c r="AE891" s="209"/>
    </row>
    <row r="892">
      <c r="A892" s="209"/>
      <c r="B892" s="209"/>
      <c r="C892" s="209"/>
      <c r="D892" s="209" t="str">
        <f t="shared" si="3"/>
        <v>
</v>
      </c>
      <c r="E892" s="209"/>
      <c r="F892" s="209"/>
      <c r="G892" s="209"/>
      <c r="H892" s="209"/>
      <c r="I892" s="209"/>
      <c r="J892" s="209"/>
      <c r="K892" s="147"/>
      <c r="L892" s="147"/>
      <c r="M892" s="209"/>
      <c r="N892" s="209"/>
      <c r="O892" s="209"/>
      <c r="P892" s="209"/>
      <c r="Q892" s="209"/>
      <c r="R892" s="209"/>
      <c r="S892" s="209"/>
      <c r="T892" s="209"/>
      <c r="U892" s="209"/>
      <c r="V892" s="209"/>
      <c r="W892" s="209"/>
      <c r="X892" s="209"/>
      <c r="Y892" s="209"/>
      <c r="Z892" s="209"/>
      <c r="AA892" s="209"/>
      <c r="AB892" s="209"/>
      <c r="AC892" s="209"/>
      <c r="AD892" s="209"/>
      <c r="AE892" s="209"/>
    </row>
    <row r="893">
      <c r="A893" s="209"/>
      <c r="B893" s="209"/>
      <c r="C893" s="209"/>
      <c r="D893" s="209" t="str">
        <f t="shared" si="3"/>
        <v>
</v>
      </c>
      <c r="E893" s="209"/>
      <c r="F893" s="209"/>
      <c r="G893" s="209"/>
      <c r="H893" s="209"/>
      <c r="I893" s="209"/>
      <c r="J893" s="209"/>
      <c r="K893" s="147"/>
      <c r="L893" s="147"/>
      <c r="M893" s="209"/>
      <c r="N893" s="209"/>
      <c r="O893" s="209"/>
      <c r="P893" s="209"/>
      <c r="Q893" s="209"/>
      <c r="R893" s="209"/>
      <c r="S893" s="209"/>
      <c r="T893" s="209"/>
      <c r="U893" s="209"/>
      <c r="V893" s="209"/>
      <c r="W893" s="209"/>
      <c r="X893" s="209"/>
      <c r="Y893" s="209"/>
      <c r="Z893" s="209"/>
      <c r="AA893" s="209"/>
      <c r="AB893" s="209"/>
      <c r="AC893" s="209"/>
      <c r="AD893" s="209"/>
      <c r="AE893" s="209"/>
    </row>
    <row r="894">
      <c r="A894" s="209"/>
      <c r="B894" s="209"/>
      <c r="C894" s="209"/>
      <c r="D894" s="209" t="str">
        <f t="shared" si="3"/>
        <v>
</v>
      </c>
      <c r="E894" s="209"/>
      <c r="F894" s="209"/>
      <c r="G894" s="209"/>
      <c r="H894" s="209"/>
      <c r="I894" s="209"/>
      <c r="J894" s="209"/>
      <c r="K894" s="147"/>
      <c r="L894" s="147"/>
      <c r="M894" s="209"/>
      <c r="N894" s="209"/>
      <c r="O894" s="209"/>
      <c r="P894" s="209"/>
      <c r="Q894" s="209"/>
      <c r="R894" s="209"/>
      <c r="S894" s="209"/>
      <c r="T894" s="209"/>
      <c r="U894" s="209"/>
      <c r="V894" s="209"/>
      <c r="W894" s="209"/>
      <c r="X894" s="209"/>
      <c r="Y894" s="209"/>
      <c r="Z894" s="209"/>
      <c r="AA894" s="209"/>
      <c r="AB894" s="209"/>
      <c r="AC894" s="209"/>
      <c r="AD894" s="209"/>
      <c r="AE894" s="209"/>
    </row>
    <row r="895">
      <c r="A895" s="209"/>
      <c r="B895" s="209"/>
      <c r="C895" s="209"/>
      <c r="D895" s="209" t="str">
        <f t="shared" si="3"/>
        <v>
</v>
      </c>
      <c r="E895" s="209"/>
      <c r="F895" s="209"/>
      <c r="G895" s="209"/>
      <c r="H895" s="209"/>
      <c r="I895" s="209"/>
      <c r="J895" s="209"/>
      <c r="K895" s="147"/>
      <c r="L895" s="147"/>
      <c r="M895" s="209"/>
      <c r="N895" s="209"/>
      <c r="O895" s="209"/>
      <c r="P895" s="209"/>
      <c r="Q895" s="209"/>
      <c r="R895" s="209"/>
      <c r="S895" s="209"/>
      <c r="T895" s="209"/>
      <c r="U895" s="209"/>
      <c r="V895" s="209"/>
      <c r="W895" s="209"/>
      <c r="X895" s="209"/>
      <c r="Y895" s="209"/>
      <c r="Z895" s="209"/>
      <c r="AA895" s="209"/>
      <c r="AB895" s="209"/>
      <c r="AC895" s="209"/>
      <c r="AD895" s="209"/>
      <c r="AE895" s="209"/>
    </row>
    <row r="896">
      <c r="A896" s="209"/>
      <c r="B896" s="209"/>
      <c r="C896" s="209"/>
      <c r="D896" s="209" t="str">
        <f t="shared" si="3"/>
        <v>
</v>
      </c>
      <c r="E896" s="209"/>
      <c r="F896" s="209"/>
      <c r="G896" s="209"/>
      <c r="H896" s="209"/>
      <c r="I896" s="209"/>
      <c r="J896" s="209"/>
      <c r="K896" s="147"/>
      <c r="L896" s="147"/>
      <c r="M896" s="209"/>
      <c r="N896" s="209"/>
      <c r="O896" s="209"/>
      <c r="P896" s="209"/>
      <c r="Q896" s="209"/>
      <c r="R896" s="209"/>
      <c r="S896" s="209"/>
      <c r="T896" s="209"/>
      <c r="U896" s="209"/>
      <c r="V896" s="209"/>
      <c r="W896" s="209"/>
      <c r="X896" s="209"/>
      <c r="Y896" s="209"/>
      <c r="Z896" s="209"/>
      <c r="AA896" s="209"/>
      <c r="AB896" s="209"/>
      <c r="AC896" s="209"/>
      <c r="AD896" s="209"/>
      <c r="AE896" s="209"/>
    </row>
    <row r="897">
      <c r="A897" s="209"/>
      <c r="B897" s="209"/>
      <c r="C897" s="209"/>
      <c r="D897" s="209" t="str">
        <f t="shared" si="3"/>
        <v>
</v>
      </c>
      <c r="E897" s="209"/>
      <c r="F897" s="209"/>
      <c r="G897" s="209"/>
      <c r="H897" s="209"/>
      <c r="I897" s="209"/>
      <c r="J897" s="209"/>
      <c r="K897" s="147"/>
      <c r="L897" s="147"/>
      <c r="M897" s="209"/>
      <c r="N897" s="209"/>
      <c r="O897" s="209"/>
      <c r="P897" s="209"/>
      <c r="Q897" s="209"/>
      <c r="R897" s="209"/>
      <c r="S897" s="209"/>
      <c r="T897" s="209"/>
      <c r="U897" s="209"/>
      <c r="V897" s="209"/>
      <c r="W897" s="209"/>
      <c r="X897" s="209"/>
      <c r="Y897" s="209"/>
      <c r="Z897" s="209"/>
      <c r="AA897" s="209"/>
      <c r="AB897" s="209"/>
      <c r="AC897" s="209"/>
      <c r="AD897" s="209"/>
      <c r="AE897" s="209"/>
    </row>
    <row r="898">
      <c r="A898" s="209"/>
      <c r="B898" s="209"/>
      <c r="C898" s="209"/>
      <c r="D898" s="209" t="str">
        <f t="shared" si="3"/>
        <v>
</v>
      </c>
      <c r="E898" s="209"/>
      <c r="F898" s="209"/>
      <c r="G898" s="209"/>
      <c r="H898" s="209"/>
      <c r="I898" s="209"/>
      <c r="J898" s="209"/>
      <c r="K898" s="147"/>
      <c r="L898" s="147"/>
      <c r="M898" s="209"/>
      <c r="N898" s="209"/>
      <c r="O898" s="209"/>
      <c r="P898" s="209"/>
      <c r="Q898" s="209"/>
      <c r="R898" s="209"/>
      <c r="S898" s="209"/>
      <c r="T898" s="209"/>
      <c r="U898" s="209"/>
      <c r="V898" s="209"/>
      <c r="W898" s="209"/>
      <c r="X898" s="209"/>
      <c r="Y898" s="209"/>
      <c r="Z898" s="209"/>
      <c r="AA898" s="209"/>
      <c r="AB898" s="209"/>
      <c r="AC898" s="209"/>
      <c r="AD898" s="209"/>
      <c r="AE898" s="209"/>
    </row>
    <row r="899">
      <c r="A899" s="209"/>
      <c r="B899" s="209"/>
      <c r="C899" s="209"/>
      <c r="D899" s="209" t="str">
        <f t="shared" si="3"/>
        <v>
</v>
      </c>
      <c r="E899" s="209"/>
      <c r="F899" s="209"/>
      <c r="G899" s="209"/>
      <c r="H899" s="209"/>
      <c r="I899" s="209"/>
      <c r="J899" s="209"/>
      <c r="K899" s="147"/>
      <c r="L899" s="147"/>
      <c r="M899" s="209"/>
      <c r="N899" s="209"/>
      <c r="O899" s="209"/>
      <c r="P899" s="209"/>
      <c r="Q899" s="209"/>
      <c r="R899" s="209"/>
      <c r="S899" s="209"/>
      <c r="T899" s="209"/>
      <c r="U899" s="209"/>
      <c r="V899" s="209"/>
      <c r="W899" s="209"/>
      <c r="X899" s="209"/>
      <c r="Y899" s="209"/>
      <c r="Z899" s="209"/>
      <c r="AA899" s="209"/>
      <c r="AB899" s="209"/>
      <c r="AC899" s="209"/>
      <c r="AD899" s="209"/>
      <c r="AE899" s="209"/>
    </row>
    <row r="900">
      <c r="A900" s="209"/>
      <c r="B900" s="209"/>
      <c r="C900" s="209"/>
      <c r="D900" s="209" t="str">
        <f t="shared" si="3"/>
        <v>
</v>
      </c>
      <c r="E900" s="209"/>
      <c r="F900" s="209"/>
      <c r="G900" s="209"/>
      <c r="H900" s="209"/>
      <c r="I900" s="209"/>
      <c r="J900" s="209"/>
      <c r="K900" s="147"/>
      <c r="L900" s="147"/>
      <c r="M900" s="209"/>
      <c r="N900" s="209"/>
      <c r="O900" s="209"/>
      <c r="P900" s="209"/>
      <c r="Q900" s="209"/>
      <c r="R900" s="209"/>
      <c r="S900" s="209"/>
      <c r="T900" s="209"/>
      <c r="U900" s="209"/>
      <c r="V900" s="209"/>
      <c r="W900" s="209"/>
      <c r="X900" s="209"/>
      <c r="Y900" s="209"/>
      <c r="Z900" s="209"/>
      <c r="AA900" s="209"/>
      <c r="AB900" s="209"/>
      <c r="AC900" s="209"/>
      <c r="AD900" s="209"/>
      <c r="AE900" s="209"/>
    </row>
    <row r="901">
      <c r="A901" s="209"/>
      <c r="B901" s="209"/>
      <c r="C901" s="209"/>
      <c r="D901" s="209" t="str">
        <f t="shared" si="3"/>
        <v>
</v>
      </c>
      <c r="E901" s="209"/>
      <c r="F901" s="209"/>
      <c r="G901" s="209"/>
      <c r="H901" s="209"/>
      <c r="I901" s="209"/>
      <c r="J901" s="209"/>
      <c r="K901" s="147"/>
      <c r="L901" s="147"/>
      <c r="M901" s="209"/>
      <c r="N901" s="209"/>
      <c r="O901" s="209"/>
      <c r="P901" s="209"/>
      <c r="Q901" s="209"/>
      <c r="R901" s="209"/>
      <c r="S901" s="209"/>
      <c r="T901" s="209"/>
      <c r="U901" s="209"/>
      <c r="V901" s="209"/>
      <c r="W901" s="209"/>
      <c r="X901" s="209"/>
      <c r="Y901" s="209"/>
      <c r="Z901" s="209"/>
      <c r="AA901" s="209"/>
      <c r="AB901" s="209"/>
      <c r="AC901" s="209"/>
      <c r="AD901" s="209"/>
      <c r="AE901" s="209"/>
    </row>
    <row r="902">
      <c r="A902" s="209"/>
      <c r="B902" s="209"/>
      <c r="C902" s="209"/>
      <c r="D902" s="209" t="str">
        <f t="shared" si="3"/>
        <v>
</v>
      </c>
      <c r="E902" s="209"/>
      <c r="F902" s="209"/>
      <c r="G902" s="209"/>
      <c r="H902" s="209"/>
      <c r="I902" s="209"/>
      <c r="J902" s="209"/>
      <c r="K902" s="147"/>
      <c r="L902" s="147"/>
      <c r="M902" s="209"/>
      <c r="N902" s="209"/>
      <c r="O902" s="209"/>
      <c r="P902" s="209"/>
      <c r="Q902" s="209"/>
      <c r="R902" s="209"/>
      <c r="S902" s="209"/>
      <c r="T902" s="209"/>
      <c r="U902" s="209"/>
      <c r="V902" s="209"/>
      <c r="W902" s="209"/>
      <c r="X902" s="209"/>
      <c r="Y902" s="209"/>
      <c r="Z902" s="209"/>
      <c r="AA902" s="209"/>
      <c r="AB902" s="209"/>
      <c r="AC902" s="209"/>
      <c r="AD902" s="209"/>
      <c r="AE902" s="209"/>
    </row>
    <row r="903">
      <c r="A903" s="209"/>
      <c r="B903" s="209"/>
      <c r="C903" s="209"/>
      <c r="D903" s="209" t="str">
        <f t="shared" si="3"/>
        <v>
</v>
      </c>
      <c r="E903" s="209"/>
      <c r="F903" s="209"/>
      <c r="G903" s="209"/>
      <c r="H903" s="209"/>
      <c r="I903" s="209"/>
      <c r="J903" s="209"/>
      <c r="K903" s="147"/>
      <c r="L903" s="147"/>
      <c r="M903" s="209"/>
      <c r="N903" s="209"/>
      <c r="O903" s="209"/>
      <c r="P903" s="209"/>
      <c r="Q903" s="209"/>
      <c r="R903" s="209"/>
      <c r="S903" s="209"/>
      <c r="T903" s="209"/>
      <c r="U903" s="209"/>
      <c r="V903" s="209"/>
      <c r="W903" s="209"/>
      <c r="X903" s="209"/>
      <c r="Y903" s="209"/>
      <c r="Z903" s="209"/>
      <c r="AA903" s="209"/>
      <c r="AB903" s="209"/>
      <c r="AC903" s="209"/>
      <c r="AD903" s="209"/>
      <c r="AE903" s="209"/>
    </row>
    <row r="904">
      <c r="A904" s="209"/>
      <c r="B904" s="209"/>
      <c r="C904" s="209"/>
      <c r="D904" s="209" t="str">
        <f t="shared" si="3"/>
        <v>
</v>
      </c>
      <c r="E904" s="209"/>
      <c r="F904" s="209"/>
      <c r="G904" s="209"/>
      <c r="H904" s="209"/>
      <c r="I904" s="209"/>
      <c r="J904" s="209"/>
      <c r="K904" s="147"/>
      <c r="L904" s="147"/>
      <c r="M904" s="209"/>
      <c r="N904" s="209"/>
      <c r="O904" s="209"/>
      <c r="P904" s="209"/>
      <c r="Q904" s="209"/>
      <c r="R904" s="209"/>
      <c r="S904" s="209"/>
      <c r="T904" s="209"/>
      <c r="U904" s="209"/>
      <c r="V904" s="209"/>
      <c r="W904" s="209"/>
      <c r="X904" s="209"/>
      <c r="Y904" s="209"/>
      <c r="Z904" s="209"/>
      <c r="AA904" s="209"/>
      <c r="AB904" s="209"/>
      <c r="AC904" s="209"/>
      <c r="AD904" s="209"/>
      <c r="AE904" s="209"/>
    </row>
    <row r="905">
      <c r="A905" s="209"/>
      <c r="B905" s="209"/>
      <c r="C905" s="209"/>
      <c r="D905" s="209" t="str">
        <f t="shared" si="3"/>
        <v>
</v>
      </c>
      <c r="E905" s="209"/>
      <c r="F905" s="209"/>
      <c r="G905" s="209"/>
      <c r="H905" s="209"/>
      <c r="I905" s="209"/>
      <c r="J905" s="209"/>
      <c r="K905" s="147"/>
      <c r="L905" s="147"/>
      <c r="M905" s="209"/>
      <c r="N905" s="209"/>
      <c r="O905" s="209"/>
      <c r="P905" s="209"/>
      <c r="Q905" s="209"/>
      <c r="R905" s="209"/>
      <c r="S905" s="209"/>
      <c r="T905" s="209"/>
      <c r="U905" s="209"/>
      <c r="V905" s="209"/>
      <c r="W905" s="209"/>
      <c r="X905" s="209"/>
      <c r="Y905" s="209"/>
      <c r="Z905" s="209"/>
      <c r="AA905" s="209"/>
      <c r="AB905" s="209"/>
      <c r="AC905" s="209"/>
      <c r="AD905" s="209"/>
      <c r="AE905" s="209"/>
    </row>
    <row r="906">
      <c r="A906" s="209"/>
      <c r="B906" s="209"/>
      <c r="C906" s="209"/>
      <c r="D906" s="209" t="str">
        <f t="shared" si="3"/>
        <v>
</v>
      </c>
      <c r="E906" s="209"/>
      <c r="F906" s="209"/>
      <c r="G906" s="209"/>
      <c r="H906" s="209"/>
      <c r="I906" s="209"/>
      <c r="J906" s="209"/>
      <c r="K906" s="147"/>
      <c r="L906" s="147"/>
      <c r="M906" s="209"/>
      <c r="N906" s="209"/>
      <c r="O906" s="209"/>
      <c r="P906" s="209"/>
      <c r="Q906" s="209"/>
      <c r="R906" s="209"/>
      <c r="S906" s="209"/>
      <c r="T906" s="209"/>
      <c r="U906" s="209"/>
      <c r="V906" s="209"/>
      <c r="W906" s="209"/>
      <c r="X906" s="209"/>
      <c r="Y906" s="209"/>
      <c r="Z906" s="209"/>
      <c r="AA906" s="209"/>
      <c r="AB906" s="209"/>
      <c r="AC906" s="209"/>
      <c r="AD906" s="209"/>
      <c r="AE906" s="209"/>
    </row>
    <row r="907">
      <c r="A907" s="209"/>
      <c r="B907" s="209"/>
      <c r="C907" s="209"/>
      <c r="D907" s="209" t="str">
        <f t="shared" si="3"/>
        <v>
</v>
      </c>
      <c r="E907" s="209"/>
      <c r="F907" s="209"/>
      <c r="G907" s="209"/>
      <c r="H907" s="209"/>
      <c r="I907" s="209"/>
      <c r="J907" s="209"/>
      <c r="K907" s="147"/>
      <c r="L907" s="147"/>
      <c r="M907" s="209"/>
      <c r="N907" s="209"/>
      <c r="O907" s="209"/>
      <c r="P907" s="209"/>
      <c r="Q907" s="209"/>
      <c r="R907" s="209"/>
      <c r="S907" s="209"/>
      <c r="T907" s="209"/>
      <c r="U907" s="209"/>
      <c r="V907" s="209"/>
      <c r="W907" s="209"/>
      <c r="X907" s="209"/>
      <c r="Y907" s="209"/>
      <c r="Z907" s="209"/>
      <c r="AA907" s="209"/>
      <c r="AB907" s="209"/>
      <c r="AC907" s="209"/>
      <c r="AD907" s="209"/>
      <c r="AE907" s="209"/>
    </row>
    <row r="908">
      <c r="A908" s="209"/>
      <c r="B908" s="209"/>
      <c r="C908" s="209"/>
      <c r="D908" s="209" t="str">
        <f t="shared" si="3"/>
        <v>
</v>
      </c>
      <c r="E908" s="209"/>
      <c r="F908" s="209"/>
      <c r="G908" s="209"/>
      <c r="H908" s="209"/>
      <c r="I908" s="209"/>
      <c r="J908" s="209"/>
      <c r="K908" s="147"/>
      <c r="L908" s="147"/>
      <c r="M908" s="209"/>
      <c r="N908" s="209"/>
      <c r="O908" s="209"/>
      <c r="P908" s="209"/>
      <c r="Q908" s="209"/>
      <c r="R908" s="209"/>
      <c r="S908" s="209"/>
      <c r="T908" s="209"/>
      <c r="U908" s="209"/>
      <c r="V908" s="209"/>
      <c r="W908" s="209"/>
      <c r="X908" s="209"/>
      <c r="Y908" s="209"/>
      <c r="Z908" s="209"/>
      <c r="AA908" s="209"/>
      <c r="AB908" s="209"/>
      <c r="AC908" s="209"/>
      <c r="AD908" s="209"/>
      <c r="AE908" s="209"/>
    </row>
    <row r="909">
      <c r="A909" s="209"/>
      <c r="B909" s="209"/>
      <c r="C909" s="209"/>
      <c r="D909" s="209" t="str">
        <f t="shared" si="3"/>
        <v>
</v>
      </c>
      <c r="E909" s="209"/>
      <c r="F909" s="209"/>
      <c r="G909" s="209"/>
      <c r="H909" s="209"/>
      <c r="I909" s="209"/>
      <c r="J909" s="209"/>
      <c r="K909" s="147"/>
      <c r="L909" s="147"/>
      <c r="M909" s="209"/>
      <c r="N909" s="209"/>
      <c r="O909" s="209"/>
      <c r="P909" s="209"/>
      <c r="Q909" s="209"/>
      <c r="R909" s="209"/>
      <c r="S909" s="209"/>
      <c r="T909" s="209"/>
      <c r="U909" s="209"/>
      <c r="V909" s="209"/>
      <c r="W909" s="209"/>
      <c r="X909" s="209"/>
      <c r="Y909" s="209"/>
      <c r="Z909" s="209"/>
      <c r="AA909" s="209"/>
      <c r="AB909" s="209"/>
      <c r="AC909" s="209"/>
      <c r="AD909" s="209"/>
      <c r="AE909" s="209"/>
    </row>
    <row r="910">
      <c r="A910" s="209"/>
      <c r="B910" s="209"/>
      <c r="C910" s="209"/>
      <c r="D910" s="209" t="str">
        <f t="shared" si="3"/>
        <v>
</v>
      </c>
      <c r="E910" s="209"/>
      <c r="F910" s="209"/>
      <c r="G910" s="209"/>
      <c r="H910" s="209"/>
      <c r="I910" s="209"/>
      <c r="J910" s="209"/>
      <c r="K910" s="147"/>
      <c r="L910" s="147"/>
      <c r="M910" s="209"/>
      <c r="N910" s="209"/>
      <c r="O910" s="209"/>
      <c r="P910" s="209"/>
      <c r="Q910" s="209"/>
      <c r="R910" s="209"/>
      <c r="S910" s="209"/>
      <c r="T910" s="209"/>
      <c r="U910" s="209"/>
      <c r="V910" s="209"/>
      <c r="W910" s="209"/>
      <c r="X910" s="209"/>
      <c r="Y910" s="209"/>
      <c r="Z910" s="209"/>
      <c r="AA910" s="209"/>
      <c r="AB910" s="209"/>
      <c r="AC910" s="209"/>
      <c r="AD910" s="209"/>
      <c r="AE910" s="209"/>
    </row>
    <row r="911">
      <c r="A911" s="209"/>
      <c r="B911" s="209"/>
      <c r="C911" s="209"/>
      <c r="D911" s="209" t="str">
        <f t="shared" si="3"/>
        <v>
</v>
      </c>
      <c r="E911" s="209"/>
      <c r="F911" s="209"/>
      <c r="G911" s="209"/>
      <c r="H911" s="209"/>
      <c r="I911" s="209"/>
      <c r="J911" s="209"/>
      <c r="K911" s="147"/>
      <c r="L911" s="147"/>
      <c r="M911" s="209"/>
      <c r="N911" s="209"/>
      <c r="O911" s="209"/>
      <c r="P911" s="209"/>
      <c r="Q911" s="209"/>
      <c r="R911" s="209"/>
      <c r="S911" s="209"/>
      <c r="T911" s="209"/>
      <c r="U911" s="209"/>
      <c r="V911" s="209"/>
      <c r="W911" s="209"/>
      <c r="X911" s="209"/>
      <c r="Y911" s="209"/>
      <c r="Z911" s="209"/>
      <c r="AA911" s="209"/>
      <c r="AB911" s="209"/>
      <c r="AC911" s="209"/>
      <c r="AD911" s="209"/>
      <c r="AE911" s="209"/>
    </row>
    <row r="912">
      <c r="A912" s="209"/>
      <c r="B912" s="209"/>
      <c r="C912" s="209"/>
      <c r="D912" s="209" t="str">
        <f t="shared" si="3"/>
        <v>
</v>
      </c>
      <c r="E912" s="209"/>
      <c r="F912" s="209"/>
      <c r="G912" s="209"/>
      <c r="H912" s="209"/>
      <c r="I912" s="209"/>
      <c r="J912" s="209"/>
      <c r="K912" s="147"/>
      <c r="L912" s="147"/>
      <c r="M912" s="209"/>
      <c r="N912" s="209"/>
      <c r="O912" s="209"/>
      <c r="P912" s="209"/>
      <c r="Q912" s="209"/>
      <c r="R912" s="209"/>
      <c r="S912" s="209"/>
      <c r="T912" s="209"/>
      <c r="U912" s="209"/>
      <c r="V912" s="209"/>
      <c r="W912" s="209"/>
      <c r="X912" s="209"/>
      <c r="Y912" s="209"/>
      <c r="Z912" s="209"/>
      <c r="AA912" s="209"/>
      <c r="AB912" s="209"/>
      <c r="AC912" s="209"/>
      <c r="AD912" s="209"/>
      <c r="AE912" s="209"/>
    </row>
    <row r="913">
      <c r="A913" s="209"/>
      <c r="B913" s="209"/>
      <c r="C913" s="209"/>
      <c r="D913" s="209" t="str">
        <f t="shared" si="3"/>
        <v>
</v>
      </c>
      <c r="E913" s="209"/>
      <c r="F913" s="209"/>
      <c r="G913" s="209"/>
      <c r="H913" s="209"/>
      <c r="I913" s="209"/>
      <c r="J913" s="209"/>
      <c r="K913" s="147"/>
      <c r="L913" s="147"/>
      <c r="M913" s="209"/>
      <c r="N913" s="209"/>
      <c r="O913" s="209"/>
      <c r="P913" s="209"/>
      <c r="Q913" s="209"/>
      <c r="R913" s="209"/>
      <c r="S913" s="209"/>
      <c r="T913" s="209"/>
      <c r="U913" s="209"/>
      <c r="V913" s="209"/>
      <c r="W913" s="209"/>
      <c r="X913" s="209"/>
      <c r="Y913" s="209"/>
      <c r="Z913" s="209"/>
      <c r="AA913" s="209"/>
      <c r="AB913" s="209"/>
      <c r="AC913" s="209"/>
      <c r="AD913" s="209"/>
      <c r="AE913" s="209"/>
    </row>
    <row r="914">
      <c r="A914" s="209"/>
      <c r="B914" s="209"/>
      <c r="C914" s="209"/>
      <c r="D914" s="209" t="str">
        <f t="shared" si="3"/>
        <v>
</v>
      </c>
      <c r="E914" s="209"/>
      <c r="F914" s="209"/>
      <c r="G914" s="209"/>
      <c r="H914" s="209"/>
      <c r="I914" s="209"/>
      <c r="J914" s="209"/>
      <c r="K914" s="147"/>
      <c r="L914" s="147"/>
      <c r="M914" s="209"/>
      <c r="N914" s="209"/>
      <c r="O914" s="209"/>
      <c r="P914" s="209"/>
      <c r="Q914" s="209"/>
      <c r="R914" s="209"/>
      <c r="S914" s="209"/>
      <c r="T914" s="209"/>
      <c r="U914" s="209"/>
      <c r="V914" s="209"/>
      <c r="W914" s="209"/>
      <c r="X914" s="209"/>
      <c r="Y914" s="209"/>
      <c r="Z914" s="209"/>
      <c r="AA914" s="209"/>
      <c r="AB914" s="209"/>
      <c r="AC914" s="209"/>
      <c r="AD914" s="209"/>
      <c r="AE914" s="209"/>
    </row>
    <row r="915">
      <c r="A915" s="209"/>
      <c r="B915" s="209"/>
      <c r="C915" s="209"/>
      <c r="D915" s="209" t="str">
        <f t="shared" si="3"/>
        <v>
</v>
      </c>
      <c r="E915" s="209"/>
      <c r="F915" s="209"/>
      <c r="G915" s="209"/>
      <c r="H915" s="209"/>
      <c r="I915" s="209"/>
      <c r="J915" s="209"/>
      <c r="K915" s="147"/>
      <c r="L915" s="147"/>
      <c r="M915" s="209"/>
      <c r="N915" s="209"/>
      <c r="O915" s="209"/>
      <c r="P915" s="209"/>
      <c r="Q915" s="209"/>
      <c r="R915" s="209"/>
      <c r="S915" s="209"/>
      <c r="T915" s="209"/>
      <c r="U915" s="209"/>
      <c r="V915" s="209"/>
      <c r="W915" s="209"/>
      <c r="X915" s="209"/>
      <c r="Y915" s="209"/>
      <c r="Z915" s="209"/>
      <c r="AA915" s="209"/>
      <c r="AB915" s="209"/>
      <c r="AC915" s="209"/>
      <c r="AD915" s="209"/>
      <c r="AE915" s="209"/>
    </row>
    <row r="916">
      <c r="A916" s="209"/>
      <c r="B916" s="209"/>
      <c r="C916" s="209"/>
      <c r="D916" s="209" t="str">
        <f t="shared" si="3"/>
        <v>
</v>
      </c>
      <c r="E916" s="209"/>
      <c r="F916" s="209"/>
      <c r="G916" s="209"/>
      <c r="H916" s="209"/>
      <c r="I916" s="209"/>
      <c r="J916" s="209"/>
      <c r="K916" s="147"/>
      <c r="L916" s="147"/>
      <c r="M916" s="209"/>
      <c r="N916" s="209"/>
      <c r="O916" s="209"/>
      <c r="P916" s="209"/>
      <c r="Q916" s="209"/>
      <c r="R916" s="209"/>
      <c r="S916" s="209"/>
      <c r="T916" s="209"/>
      <c r="U916" s="209"/>
      <c r="V916" s="209"/>
      <c r="W916" s="209"/>
      <c r="X916" s="209"/>
      <c r="Y916" s="209"/>
      <c r="Z916" s="209"/>
      <c r="AA916" s="209"/>
      <c r="AB916" s="209"/>
      <c r="AC916" s="209"/>
      <c r="AD916" s="209"/>
      <c r="AE916" s="209"/>
    </row>
    <row r="917">
      <c r="A917" s="209"/>
      <c r="B917" s="209"/>
      <c r="C917" s="209"/>
      <c r="D917" s="209" t="str">
        <f t="shared" si="3"/>
        <v>
</v>
      </c>
      <c r="E917" s="209"/>
      <c r="F917" s="209"/>
      <c r="G917" s="209"/>
      <c r="H917" s="209"/>
      <c r="I917" s="209"/>
      <c r="J917" s="209"/>
      <c r="K917" s="147"/>
      <c r="L917" s="147"/>
      <c r="M917" s="209"/>
      <c r="N917" s="209"/>
      <c r="O917" s="209"/>
      <c r="P917" s="209"/>
      <c r="Q917" s="209"/>
      <c r="R917" s="209"/>
      <c r="S917" s="209"/>
      <c r="T917" s="209"/>
      <c r="U917" s="209"/>
      <c r="V917" s="209"/>
      <c r="W917" s="209"/>
      <c r="X917" s="209"/>
      <c r="Y917" s="209"/>
      <c r="Z917" s="209"/>
      <c r="AA917" s="209"/>
      <c r="AB917" s="209"/>
      <c r="AC917" s="209"/>
      <c r="AD917" s="209"/>
      <c r="AE917" s="209"/>
    </row>
    <row r="918">
      <c r="A918" s="209"/>
      <c r="B918" s="209"/>
      <c r="C918" s="209"/>
      <c r="D918" s="209" t="str">
        <f t="shared" si="3"/>
        <v>
</v>
      </c>
      <c r="E918" s="209"/>
      <c r="F918" s="209"/>
      <c r="G918" s="209"/>
      <c r="H918" s="209"/>
      <c r="I918" s="209"/>
      <c r="J918" s="209"/>
      <c r="K918" s="147"/>
      <c r="L918" s="147"/>
      <c r="M918" s="209"/>
      <c r="N918" s="209"/>
      <c r="O918" s="209"/>
      <c r="P918" s="209"/>
      <c r="Q918" s="209"/>
      <c r="R918" s="209"/>
      <c r="S918" s="209"/>
      <c r="T918" s="209"/>
      <c r="U918" s="209"/>
      <c r="V918" s="209"/>
      <c r="W918" s="209"/>
      <c r="X918" s="209"/>
      <c r="Y918" s="209"/>
      <c r="Z918" s="209"/>
      <c r="AA918" s="209"/>
      <c r="AB918" s="209"/>
      <c r="AC918" s="209"/>
      <c r="AD918" s="209"/>
      <c r="AE918" s="209"/>
    </row>
    <row r="919">
      <c r="A919" s="209"/>
      <c r="B919" s="209"/>
      <c r="C919" s="209"/>
      <c r="D919" s="209" t="str">
        <f t="shared" si="3"/>
        <v>
</v>
      </c>
      <c r="E919" s="209"/>
      <c r="F919" s="209"/>
      <c r="G919" s="209"/>
      <c r="H919" s="209"/>
      <c r="I919" s="209"/>
      <c r="J919" s="209"/>
      <c r="K919" s="147"/>
      <c r="L919" s="147"/>
      <c r="M919" s="209"/>
      <c r="N919" s="209"/>
      <c r="O919" s="209"/>
      <c r="P919" s="209"/>
      <c r="Q919" s="209"/>
      <c r="R919" s="209"/>
      <c r="S919" s="209"/>
      <c r="T919" s="209"/>
      <c r="U919" s="209"/>
      <c r="V919" s="209"/>
      <c r="W919" s="209"/>
      <c r="X919" s="209"/>
      <c r="Y919" s="209"/>
      <c r="Z919" s="209"/>
      <c r="AA919" s="209"/>
      <c r="AB919" s="209"/>
      <c r="AC919" s="209"/>
      <c r="AD919" s="209"/>
      <c r="AE919" s="209"/>
    </row>
    <row r="920">
      <c r="A920" s="209"/>
      <c r="B920" s="209"/>
      <c r="C920" s="209"/>
      <c r="D920" s="209" t="str">
        <f t="shared" si="3"/>
        <v>
</v>
      </c>
      <c r="E920" s="209"/>
      <c r="F920" s="209"/>
      <c r="G920" s="209"/>
      <c r="H920" s="209"/>
      <c r="I920" s="209"/>
      <c r="J920" s="209"/>
      <c r="K920" s="147"/>
      <c r="L920" s="147"/>
      <c r="M920" s="209"/>
      <c r="N920" s="209"/>
      <c r="O920" s="209"/>
      <c r="P920" s="209"/>
      <c r="Q920" s="209"/>
      <c r="R920" s="209"/>
      <c r="S920" s="209"/>
      <c r="T920" s="209"/>
      <c r="U920" s="209"/>
      <c r="V920" s="209"/>
      <c r="W920" s="209"/>
      <c r="X920" s="209"/>
      <c r="Y920" s="209"/>
      <c r="Z920" s="209"/>
      <c r="AA920" s="209"/>
      <c r="AB920" s="209"/>
      <c r="AC920" s="209"/>
      <c r="AD920" s="209"/>
      <c r="AE920" s="209"/>
    </row>
    <row r="921">
      <c r="A921" s="209"/>
      <c r="B921" s="209"/>
      <c r="C921" s="209"/>
      <c r="D921" s="209" t="str">
        <f t="shared" si="3"/>
        <v>
</v>
      </c>
      <c r="E921" s="209"/>
      <c r="F921" s="209"/>
      <c r="G921" s="209"/>
      <c r="H921" s="209"/>
      <c r="I921" s="209"/>
      <c r="J921" s="209"/>
      <c r="K921" s="147"/>
      <c r="L921" s="147"/>
      <c r="M921" s="209"/>
      <c r="N921" s="209"/>
      <c r="O921" s="209"/>
      <c r="P921" s="209"/>
      <c r="Q921" s="209"/>
      <c r="R921" s="209"/>
      <c r="S921" s="209"/>
      <c r="T921" s="209"/>
      <c r="U921" s="209"/>
      <c r="V921" s="209"/>
      <c r="W921" s="209"/>
      <c r="X921" s="209"/>
      <c r="Y921" s="209"/>
      <c r="Z921" s="209"/>
      <c r="AA921" s="209"/>
      <c r="AB921" s="209"/>
      <c r="AC921" s="209"/>
      <c r="AD921" s="209"/>
      <c r="AE921" s="209"/>
    </row>
    <row r="922">
      <c r="A922" s="209"/>
      <c r="B922" s="209"/>
      <c r="C922" s="209"/>
      <c r="D922" s="209" t="str">
        <f t="shared" si="3"/>
        <v>
</v>
      </c>
      <c r="E922" s="209"/>
      <c r="F922" s="209"/>
      <c r="G922" s="209"/>
      <c r="H922" s="209"/>
      <c r="I922" s="209"/>
      <c r="J922" s="209"/>
      <c r="K922" s="147"/>
      <c r="L922" s="147"/>
      <c r="M922" s="209"/>
      <c r="N922" s="209"/>
      <c r="O922" s="209"/>
      <c r="P922" s="209"/>
      <c r="Q922" s="209"/>
      <c r="R922" s="209"/>
      <c r="S922" s="209"/>
      <c r="T922" s="209"/>
      <c r="U922" s="209"/>
      <c r="V922" s="209"/>
      <c r="W922" s="209"/>
      <c r="X922" s="209"/>
      <c r="Y922" s="209"/>
      <c r="Z922" s="209"/>
      <c r="AA922" s="209"/>
      <c r="AB922" s="209"/>
      <c r="AC922" s="209"/>
      <c r="AD922" s="209"/>
      <c r="AE922" s="209"/>
    </row>
    <row r="923">
      <c r="A923" s="209"/>
      <c r="B923" s="209"/>
      <c r="C923" s="209"/>
      <c r="D923" s="209" t="str">
        <f t="shared" si="3"/>
        <v>
</v>
      </c>
      <c r="E923" s="209"/>
      <c r="F923" s="209"/>
      <c r="G923" s="209"/>
      <c r="H923" s="209"/>
      <c r="I923" s="209"/>
      <c r="J923" s="209"/>
      <c r="K923" s="147"/>
      <c r="L923" s="147"/>
      <c r="M923" s="209"/>
      <c r="N923" s="209"/>
      <c r="O923" s="209"/>
      <c r="P923" s="209"/>
      <c r="Q923" s="209"/>
      <c r="R923" s="209"/>
      <c r="S923" s="209"/>
      <c r="T923" s="209"/>
      <c r="U923" s="209"/>
      <c r="V923" s="209"/>
      <c r="W923" s="209"/>
      <c r="X923" s="209"/>
      <c r="Y923" s="209"/>
      <c r="Z923" s="209"/>
      <c r="AA923" s="209"/>
      <c r="AB923" s="209"/>
      <c r="AC923" s="209"/>
      <c r="AD923" s="209"/>
      <c r="AE923" s="209"/>
    </row>
    <row r="924">
      <c r="A924" s="209"/>
      <c r="B924" s="209"/>
      <c r="C924" s="209"/>
      <c r="D924" s="209" t="str">
        <f t="shared" si="3"/>
        <v>
</v>
      </c>
      <c r="E924" s="209"/>
      <c r="F924" s="209"/>
      <c r="G924" s="209"/>
      <c r="H924" s="209"/>
      <c r="I924" s="209"/>
      <c r="J924" s="209"/>
      <c r="K924" s="147"/>
      <c r="L924" s="147"/>
      <c r="M924" s="209"/>
      <c r="N924" s="209"/>
      <c r="O924" s="209"/>
      <c r="P924" s="209"/>
      <c r="Q924" s="209"/>
      <c r="R924" s="209"/>
      <c r="S924" s="209"/>
      <c r="T924" s="209"/>
      <c r="U924" s="209"/>
      <c r="V924" s="209"/>
      <c r="W924" s="209"/>
      <c r="X924" s="209"/>
      <c r="Y924" s="209"/>
      <c r="Z924" s="209"/>
      <c r="AA924" s="209"/>
      <c r="AB924" s="209"/>
      <c r="AC924" s="209"/>
      <c r="AD924" s="209"/>
      <c r="AE924" s="209"/>
    </row>
    <row r="925">
      <c r="A925" s="209"/>
      <c r="B925" s="209"/>
      <c r="C925" s="209"/>
      <c r="D925" s="209" t="str">
        <f t="shared" si="3"/>
        <v>
</v>
      </c>
      <c r="E925" s="209"/>
      <c r="F925" s="209"/>
      <c r="G925" s="209"/>
      <c r="H925" s="209"/>
      <c r="I925" s="209"/>
      <c r="J925" s="209"/>
      <c r="K925" s="147"/>
      <c r="L925" s="147"/>
      <c r="M925" s="209"/>
      <c r="N925" s="209"/>
      <c r="O925" s="209"/>
      <c r="P925" s="209"/>
      <c r="Q925" s="209"/>
      <c r="R925" s="209"/>
      <c r="S925" s="209"/>
      <c r="T925" s="209"/>
      <c r="U925" s="209"/>
      <c r="V925" s="209"/>
      <c r="W925" s="209"/>
      <c r="X925" s="209"/>
      <c r="Y925" s="209"/>
      <c r="Z925" s="209"/>
      <c r="AA925" s="209"/>
      <c r="AB925" s="209"/>
      <c r="AC925" s="209"/>
      <c r="AD925" s="209"/>
      <c r="AE925" s="209"/>
    </row>
    <row r="926">
      <c r="A926" s="209"/>
      <c r="B926" s="209"/>
      <c r="C926" s="209"/>
      <c r="D926" s="209" t="str">
        <f t="shared" si="3"/>
        <v>
</v>
      </c>
      <c r="E926" s="209"/>
      <c r="F926" s="209"/>
      <c r="G926" s="209"/>
      <c r="H926" s="209"/>
      <c r="I926" s="209"/>
      <c r="J926" s="209"/>
      <c r="K926" s="147"/>
      <c r="L926" s="147"/>
      <c r="M926" s="209"/>
      <c r="N926" s="209"/>
      <c r="O926" s="209"/>
      <c r="P926" s="209"/>
      <c r="Q926" s="209"/>
      <c r="R926" s="209"/>
      <c r="S926" s="209"/>
      <c r="T926" s="209"/>
      <c r="U926" s="209"/>
      <c r="V926" s="209"/>
      <c r="W926" s="209"/>
      <c r="X926" s="209"/>
      <c r="Y926" s="209"/>
      <c r="Z926" s="209"/>
      <c r="AA926" s="209"/>
      <c r="AB926" s="209"/>
      <c r="AC926" s="209"/>
      <c r="AD926" s="209"/>
      <c r="AE926" s="209"/>
    </row>
    <row r="927">
      <c r="A927" s="209"/>
      <c r="B927" s="209"/>
      <c r="C927" s="209"/>
      <c r="D927" s="209" t="str">
        <f t="shared" si="3"/>
        <v>
</v>
      </c>
      <c r="E927" s="209"/>
      <c r="F927" s="209"/>
      <c r="G927" s="209"/>
      <c r="H927" s="209"/>
      <c r="I927" s="209"/>
      <c r="J927" s="209"/>
      <c r="K927" s="147"/>
      <c r="L927" s="147"/>
      <c r="M927" s="209"/>
      <c r="N927" s="209"/>
      <c r="O927" s="209"/>
      <c r="P927" s="209"/>
      <c r="Q927" s="209"/>
      <c r="R927" s="209"/>
      <c r="S927" s="209"/>
      <c r="T927" s="209"/>
      <c r="U927" s="209"/>
      <c r="V927" s="209"/>
      <c r="W927" s="209"/>
      <c r="X927" s="209"/>
      <c r="Y927" s="209"/>
      <c r="Z927" s="209"/>
      <c r="AA927" s="209"/>
      <c r="AB927" s="209"/>
      <c r="AC927" s="209"/>
      <c r="AD927" s="209"/>
      <c r="AE927" s="209"/>
    </row>
    <row r="928">
      <c r="A928" s="209"/>
      <c r="B928" s="209"/>
      <c r="C928" s="209"/>
      <c r="D928" s="209" t="str">
        <f t="shared" si="3"/>
        <v>
</v>
      </c>
      <c r="E928" s="209"/>
      <c r="F928" s="209"/>
      <c r="G928" s="209"/>
      <c r="H928" s="209"/>
      <c r="I928" s="209"/>
      <c r="J928" s="209"/>
      <c r="K928" s="147"/>
      <c r="L928" s="147"/>
      <c r="M928" s="209"/>
      <c r="N928" s="209"/>
      <c r="O928" s="209"/>
      <c r="P928" s="209"/>
      <c r="Q928" s="209"/>
      <c r="R928" s="209"/>
      <c r="S928" s="209"/>
      <c r="T928" s="209"/>
      <c r="U928" s="209"/>
      <c r="V928" s="209"/>
      <c r="W928" s="209"/>
      <c r="X928" s="209"/>
      <c r="Y928" s="209"/>
      <c r="Z928" s="209"/>
      <c r="AA928" s="209"/>
      <c r="AB928" s="209"/>
      <c r="AC928" s="209"/>
      <c r="AD928" s="209"/>
      <c r="AE928" s="209"/>
    </row>
    <row r="929">
      <c r="A929" s="209"/>
      <c r="B929" s="209"/>
      <c r="C929" s="209"/>
      <c r="D929" s="209" t="str">
        <f t="shared" si="3"/>
        <v>
</v>
      </c>
      <c r="E929" s="209"/>
      <c r="F929" s="209"/>
      <c r="G929" s="209"/>
      <c r="H929" s="209"/>
      <c r="I929" s="209"/>
      <c r="J929" s="209"/>
      <c r="K929" s="147"/>
      <c r="L929" s="147"/>
      <c r="M929" s="209"/>
      <c r="N929" s="209"/>
      <c r="O929" s="209"/>
      <c r="P929" s="209"/>
      <c r="Q929" s="209"/>
      <c r="R929" s="209"/>
      <c r="S929" s="209"/>
      <c r="T929" s="209"/>
      <c r="U929" s="209"/>
      <c r="V929" s="209"/>
      <c r="W929" s="209"/>
      <c r="X929" s="209"/>
      <c r="Y929" s="209"/>
      <c r="Z929" s="209"/>
      <c r="AA929" s="209"/>
      <c r="AB929" s="209"/>
      <c r="AC929" s="209"/>
      <c r="AD929" s="209"/>
      <c r="AE929" s="209"/>
    </row>
    <row r="930">
      <c r="A930" s="209"/>
      <c r="B930" s="209"/>
      <c r="C930" s="209"/>
      <c r="D930" s="209" t="str">
        <f t="shared" si="3"/>
        <v>
</v>
      </c>
      <c r="E930" s="209"/>
      <c r="F930" s="209"/>
      <c r="G930" s="209"/>
      <c r="H930" s="209"/>
      <c r="I930" s="209"/>
      <c r="J930" s="209"/>
      <c r="K930" s="147"/>
      <c r="L930" s="147"/>
      <c r="M930" s="209"/>
      <c r="N930" s="209"/>
      <c r="O930" s="209"/>
      <c r="P930" s="209"/>
      <c r="Q930" s="209"/>
      <c r="R930" s="209"/>
      <c r="S930" s="209"/>
      <c r="T930" s="209"/>
      <c r="U930" s="209"/>
      <c r="V930" s="209"/>
      <c r="W930" s="209"/>
      <c r="X930" s="209"/>
      <c r="Y930" s="209"/>
      <c r="Z930" s="209"/>
      <c r="AA930" s="209"/>
      <c r="AB930" s="209"/>
      <c r="AC930" s="209"/>
      <c r="AD930" s="209"/>
      <c r="AE930" s="209"/>
    </row>
    <row r="931">
      <c r="A931" s="209"/>
      <c r="B931" s="209"/>
      <c r="C931" s="209"/>
      <c r="D931" s="209" t="str">
        <f t="shared" si="3"/>
        <v>
</v>
      </c>
      <c r="E931" s="209"/>
      <c r="F931" s="209"/>
      <c r="G931" s="209"/>
      <c r="H931" s="209"/>
      <c r="I931" s="209"/>
      <c r="J931" s="209"/>
      <c r="K931" s="147"/>
      <c r="L931" s="147"/>
      <c r="M931" s="209"/>
      <c r="N931" s="209"/>
      <c r="O931" s="209"/>
      <c r="P931" s="209"/>
      <c r="Q931" s="209"/>
      <c r="R931" s="209"/>
      <c r="S931" s="209"/>
      <c r="T931" s="209"/>
      <c r="U931" s="209"/>
      <c r="V931" s="209"/>
      <c r="W931" s="209"/>
      <c r="X931" s="209"/>
      <c r="Y931" s="209"/>
      <c r="Z931" s="209"/>
      <c r="AA931" s="209"/>
      <c r="AB931" s="209"/>
      <c r="AC931" s="209"/>
      <c r="AD931" s="209"/>
      <c r="AE931" s="209"/>
    </row>
    <row r="932">
      <c r="A932" s="209"/>
      <c r="B932" s="209"/>
      <c r="C932" s="209"/>
      <c r="D932" s="209" t="str">
        <f t="shared" si="3"/>
        <v>
</v>
      </c>
      <c r="E932" s="209"/>
      <c r="F932" s="209"/>
      <c r="G932" s="209"/>
      <c r="H932" s="209"/>
      <c r="I932" s="209"/>
      <c r="J932" s="209"/>
      <c r="K932" s="147"/>
      <c r="L932" s="147"/>
      <c r="M932" s="209"/>
      <c r="N932" s="209"/>
      <c r="O932" s="209"/>
      <c r="P932" s="209"/>
      <c r="Q932" s="209"/>
      <c r="R932" s="209"/>
      <c r="S932" s="209"/>
      <c r="T932" s="209"/>
      <c r="U932" s="209"/>
      <c r="V932" s="209"/>
      <c r="W932" s="209"/>
      <c r="X932" s="209"/>
      <c r="Y932" s="209"/>
      <c r="Z932" s="209"/>
      <c r="AA932" s="209"/>
      <c r="AB932" s="209"/>
      <c r="AC932" s="209"/>
      <c r="AD932" s="209"/>
      <c r="AE932" s="209"/>
    </row>
    <row r="933">
      <c r="A933" s="209"/>
      <c r="B933" s="209"/>
      <c r="C933" s="209"/>
      <c r="D933" s="209" t="str">
        <f t="shared" si="3"/>
        <v>
</v>
      </c>
      <c r="E933" s="209"/>
      <c r="F933" s="209"/>
      <c r="G933" s="209"/>
      <c r="H933" s="209"/>
      <c r="I933" s="209"/>
      <c r="J933" s="209"/>
      <c r="K933" s="147"/>
      <c r="L933" s="147"/>
      <c r="M933" s="209"/>
      <c r="N933" s="209"/>
      <c r="O933" s="209"/>
      <c r="P933" s="209"/>
      <c r="Q933" s="209"/>
      <c r="R933" s="209"/>
      <c r="S933" s="209"/>
      <c r="T933" s="209"/>
      <c r="U933" s="209"/>
      <c r="V933" s="209"/>
      <c r="W933" s="209"/>
      <c r="X933" s="209"/>
      <c r="Y933" s="209"/>
      <c r="Z933" s="209"/>
      <c r="AA933" s="209"/>
      <c r="AB933" s="209"/>
      <c r="AC933" s="209"/>
      <c r="AD933" s="209"/>
      <c r="AE933" s="209"/>
    </row>
    <row r="934">
      <c r="A934" s="209"/>
      <c r="B934" s="209"/>
      <c r="C934" s="209"/>
      <c r="D934" s="209" t="str">
        <f t="shared" si="3"/>
        <v>
</v>
      </c>
      <c r="E934" s="209"/>
      <c r="F934" s="209"/>
      <c r="G934" s="209"/>
      <c r="H934" s="209"/>
      <c r="I934" s="209"/>
      <c r="J934" s="209"/>
      <c r="K934" s="147"/>
      <c r="L934" s="147"/>
      <c r="M934" s="209"/>
      <c r="N934" s="209"/>
      <c r="O934" s="209"/>
      <c r="P934" s="209"/>
      <c r="Q934" s="209"/>
      <c r="R934" s="209"/>
      <c r="S934" s="209"/>
      <c r="T934" s="209"/>
      <c r="U934" s="209"/>
      <c r="V934" s="209"/>
      <c r="W934" s="209"/>
      <c r="X934" s="209"/>
      <c r="Y934" s="209"/>
      <c r="Z934" s="209"/>
      <c r="AA934" s="209"/>
      <c r="AB934" s="209"/>
      <c r="AC934" s="209"/>
      <c r="AD934" s="209"/>
      <c r="AE934" s="209"/>
    </row>
    <row r="935">
      <c r="A935" s="209"/>
      <c r="B935" s="209"/>
      <c r="C935" s="209"/>
      <c r="D935" s="209" t="str">
        <f t="shared" si="3"/>
        <v>
</v>
      </c>
      <c r="E935" s="209"/>
      <c r="F935" s="209"/>
      <c r="G935" s="209"/>
      <c r="H935" s="209"/>
      <c r="I935" s="209"/>
      <c r="J935" s="209"/>
      <c r="K935" s="147"/>
      <c r="L935" s="147"/>
      <c r="M935" s="209"/>
      <c r="N935" s="209"/>
      <c r="O935" s="209"/>
      <c r="P935" s="209"/>
      <c r="Q935" s="209"/>
      <c r="R935" s="209"/>
      <c r="S935" s="209"/>
      <c r="T935" s="209"/>
      <c r="U935" s="209"/>
      <c r="V935" s="209"/>
      <c r="W935" s="209"/>
      <c r="X935" s="209"/>
      <c r="Y935" s="209"/>
      <c r="Z935" s="209"/>
      <c r="AA935" s="209"/>
      <c r="AB935" s="209"/>
      <c r="AC935" s="209"/>
      <c r="AD935" s="209"/>
      <c r="AE935" s="209"/>
    </row>
    <row r="936">
      <c r="A936" s="209"/>
      <c r="B936" s="209"/>
      <c r="C936" s="209"/>
      <c r="D936" s="209" t="str">
        <f t="shared" si="3"/>
        <v>
</v>
      </c>
      <c r="E936" s="209"/>
      <c r="F936" s="209"/>
      <c r="G936" s="209"/>
      <c r="H936" s="209"/>
      <c r="I936" s="209"/>
      <c r="J936" s="209"/>
      <c r="K936" s="147"/>
      <c r="L936" s="147"/>
      <c r="M936" s="209"/>
      <c r="N936" s="209"/>
      <c r="O936" s="209"/>
      <c r="P936" s="209"/>
      <c r="Q936" s="209"/>
      <c r="R936" s="209"/>
      <c r="S936" s="209"/>
      <c r="T936" s="209"/>
      <c r="U936" s="209"/>
      <c r="V936" s="209"/>
      <c r="W936" s="209"/>
      <c r="X936" s="209"/>
      <c r="Y936" s="209"/>
      <c r="Z936" s="209"/>
      <c r="AA936" s="209"/>
      <c r="AB936" s="209"/>
      <c r="AC936" s="209"/>
      <c r="AD936" s="209"/>
      <c r="AE936" s="209"/>
    </row>
    <row r="937">
      <c r="A937" s="209"/>
      <c r="B937" s="209"/>
      <c r="C937" s="209"/>
      <c r="D937" s="209" t="str">
        <f t="shared" si="3"/>
        <v>
</v>
      </c>
      <c r="E937" s="209"/>
      <c r="F937" s="209"/>
      <c r="G937" s="209"/>
      <c r="H937" s="209"/>
      <c r="I937" s="209"/>
      <c r="J937" s="209"/>
      <c r="K937" s="147"/>
      <c r="L937" s="147"/>
      <c r="M937" s="209"/>
      <c r="N937" s="209"/>
      <c r="O937" s="209"/>
      <c r="P937" s="209"/>
      <c r="Q937" s="209"/>
      <c r="R937" s="209"/>
      <c r="S937" s="209"/>
      <c r="T937" s="209"/>
      <c r="U937" s="209"/>
      <c r="V937" s="209"/>
      <c r="W937" s="209"/>
      <c r="X937" s="209"/>
      <c r="Y937" s="209"/>
      <c r="Z937" s="209"/>
      <c r="AA937" s="209"/>
      <c r="AB937" s="209"/>
      <c r="AC937" s="209"/>
      <c r="AD937" s="209"/>
      <c r="AE937" s="209"/>
    </row>
    <row r="938">
      <c r="A938" s="209"/>
      <c r="B938" s="209"/>
      <c r="C938" s="209"/>
      <c r="D938" s="209" t="str">
        <f t="shared" si="3"/>
        <v>
</v>
      </c>
      <c r="E938" s="209"/>
      <c r="F938" s="209"/>
      <c r="G938" s="209"/>
      <c r="H938" s="209"/>
      <c r="I938" s="209"/>
      <c r="J938" s="209"/>
      <c r="K938" s="147"/>
      <c r="L938" s="147"/>
      <c r="M938" s="209"/>
      <c r="N938" s="209"/>
      <c r="O938" s="209"/>
      <c r="P938" s="209"/>
      <c r="Q938" s="209"/>
      <c r="R938" s="209"/>
      <c r="S938" s="209"/>
      <c r="T938" s="209"/>
      <c r="U938" s="209"/>
      <c r="V938" s="209"/>
      <c r="W938" s="209"/>
      <c r="X938" s="209"/>
      <c r="Y938" s="209"/>
      <c r="Z938" s="209"/>
      <c r="AA938" s="209"/>
      <c r="AB938" s="209"/>
      <c r="AC938" s="209"/>
      <c r="AD938" s="209"/>
      <c r="AE938" s="209"/>
    </row>
    <row r="939">
      <c r="A939" s="209"/>
      <c r="B939" s="209"/>
      <c r="C939" s="209"/>
      <c r="D939" s="209" t="str">
        <f t="shared" si="3"/>
        <v>
</v>
      </c>
      <c r="E939" s="209"/>
      <c r="F939" s="209"/>
      <c r="G939" s="209"/>
      <c r="H939" s="209"/>
      <c r="I939" s="209"/>
      <c r="J939" s="209"/>
      <c r="K939" s="147"/>
      <c r="L939" s="147"/>
      <c r="M939" s="209"/>
      <c r="N939" s="209"/>
      <c r="O939" s="209"/>
      <c r="P939" s="209"/>
      <c r="Q939" s="209"/>
      <c r="R939" s="209"/>
      <c r="S939" s="209"/>
      <c r="T939" s="209"/>
      <c r="U939" s="209"/>
      <c r="V939" s="209"/>
      <c r="W939" s="209"/>
      <c r="X939" s="209"/>
      <c r="Y939" s="209"/>
      <c r="Z939" s="209"/>
      <c r="AA939" s="209"/>
      <c r="AB939" s="209"/>
      <c r="AC939" s="209"/>
      <c r="AD939" s="209"/>
      <c r="AE939" s="209"/>
    </row>
    <row r="940">
      <c r="A940" s="209"/>
      <c r="B940" s="209"/>
      <c r="C940" s="209"/>
      <c r="D940" s="209" t="str">
        <f t="shared" si="3"/>
        <v>
</v>
      </c>
      <c r="E940" s="209"/>
      <c r="F940" s="209"/>
      <c r="G940" s="209"/>
      <c r="H940" s="209"/>
      <c r="I940" s="209"/>
      <c r="J940" s="209"/>
      <c r="K940" s="147"/>
      <c r="L940" s="147"/>
      <c r="M940" s="209"/>
      <c r="N940" s="209"/>
      <c r="O940" s="209"/>
      <c r="P940" s="209"/>
      <c r="Q940" s="209"/>
      <c r="R940" s="209"/>
      <c r="S940" s="209"/>
      <c r="T940" s="209"/>
      <c r="U940" s="209"/>
      <c r="V940" s="209"/>
      <c r="W940" s="209"/>
      <c r="X940" s="209"/>
      <c r="Y940" s="209"/>
      <c r="Z940" s="209"/>
      <c r="AA940" s="209"/>
      <c r="AB940" s="209"/>
      <c r="AC940" s="209"/>
      <c r="AD940" s="209"/>
      <c r="AE940" s="209"/>
    </row>
    <row r="941">
      <c r="A941" s="209"/>
      <c r="B941" s="209"/>
      <c r="C941" s="209"/>
      <c r="D941" s="209" t="str">
        <f t="shared" si="3"/>
        <v>
</v>
      </c>
      <c r="E941" s="209"/>
      <c r="F941" s="209"/>
      <c r="G941" s="209"/>
      <c r="H941" s="209"/>
      <c r="I941" s="209"/>
      <c r="J941" s="209"/>
      <c r="K941" s="147"/>
      <c r="L941" s="147"/>
      <c r="M941" s="209"/>
      <c r="N941" s="209"/>
      <c r="O941" s="209"/>
      <c r="P941" s="209"/>
      <c r="Q941" s="209"/>
      <c r="R941" s="209"/>
      <c r="S941" s="209"/>
      <c r="T941" s="209"/>
      <c r="U941" s="209"/>
      <c r="V941" s="209"/>
      <c r="W941" s="209"/>
      <c r="X941" s="209"/>
      <c r="Y941" s="209"/>
      <c r="Z941" s="209"/>
      <c r="AA941" s="209"/>
      <c r="AB941" s="209"/>
      <c r="AC941" s="209"/>
      <c r="AD941" s="209"/>
      <c r="AE941" s="209"/>
    </row>
    <row r="942">
      <c r="A942" s="209"/>
      <c r="B942" s="209"/>
      <c r="C942" s="209"/>
      <c r="D942" s="209" t="str">
        <f t="shared" si="3"/>
        <v>
</v>
      </c>
      <c r="E942" s="209"/>
      <c r="F942" s="209"/>
      <c r="G942" s="209"/>
      <c r="H942" s="209"/>
      <c r="I942" s="209"/>
      <c r="J942" s="209"/>
      <c r="K942" s="147"/>
      <c r="L942" s="147"/>
      <c r="M942" s="209"/>
      <c r="N942" s="209"/>
      <c r="O942" s="209"/>
      <c r="P942" s="209"/>
      <c r="Q942" s="209"/>
      <c r="R942" s="209"/>
      <c r="S942" s="209"/>
      <c r="T942" s="209"/>
      <c r="U942" s="209"/>
      <c r="V942" s="209"/>
      <c r="W942" s="209"/>
      <c r="X942" s="209"/>
      <c r="Y942" s="209"/>
      <c r="Z942" s="209"/>
      <c r="AA942" s="209"/>
      <c r="AB942" s="209"/>
      <c r="AC942" s="209"/>
      <c r="AD942" s="209"/>
      <c r="AE942" s="209"/>
    </row>
    <row r="943">
      <c r="A943" s="209"/>
      <c r="B943" s="209"/>
      <c r="C943" s="209"/>
      <c r="D943" s="209" t="str">
        <f t="shared" si="3"/>
        <v>
</v>
      </c>
      <c r="E943" s="209"/>
      <c r="F943" s="209"/>
      <c r="G943" s="209"/>
      <c r="H943" s="209"/>
      <c r="I943" s="209"/>
      <c r="J943" s="209"/>
      <c r="K943" s="147"/>
      <c r="L943" s="147"/>
      <c r="M943" s="209"/>
      <c r="N943" s="209"/>
      <c r="O943" s="209"/>
      <c r="P943" s="209"/>
      <c r="Q943" s="209"/>
      <c r="R943" s="209"/>
      <c r="S943" s="209"/>
      <c r="T943" s="209"/>
      <c r="U943" s="209"/>
      <c r="V943" s="209"/>
      <c r="W943" s="209"/>
      <c r="X943" s="209"/>
      <c r="Y943" s="209"/>
      <c r="Z943" s="209"/>
      <c r="AA943" s="209"/>
      <c r="AB943" s="209"/>
      <c r="AC943" s="209"/>
      <c r="AD943" s="209"/>
      <c r="AE943" s="209"/>
    </row>
    <row r="944">
      <c r="A944" s="209"/>
      <c r="B944" s="209"/>
      <c r="C944" s="209"/>
      <c r="D944" s="209" t="str">
        <f t="shared" si="3"/>
        <v>
</v>
      </c>
      <c r="E944" s="209"/>
      <c r="F944" s="209"/>
      <c r="G944" s="209"/>
      <c r="H944" s="209"/>
      <c r="I944" s="209"/>
      <c r="J944" s="209"/>
      <c r="K944" s="147"/>
      <c r="L944" s="147"/>
      <c r="M944" s="209"/>
      <c r="N944" s="209"/>
      <c r="O944" s="209"/>
      <c r="P944" s="209"/>
      <c r="Q944" s="209"/>
      <c r="R944" s="209"/>
      <c r="S944" s="209"/>
      <c r="T944" s="209"/>
      <c r="U944" s="209"/>
      <c r="V944" s="209"/>
      <c r="W944" s="209"/>
      <c r="X944" s="209"/>
      <c r="Y944" s="209"/>
      <c r="Z944" s="209"/>
      <c r="AA944" s="209"/>
      <c r="AB944" s="209"/>
      <c r="AC944" s="209"/>
      <c r="AD944" s="209"/>
      <c r="AE944" s="209"/>
    </row>
    <row r="945">
      <c r="A945" s="209"/>
      <c r="B945" s="209"/>
      <c r="C945" s="209"/>
      <c r="D945" s="209" t="str">
        <f t="shared" si="3"/>
        <v>
</v>
      </c>
      <c r="E945" s="209"/>
      <c r="F945" s="209"/>
      <c r="G945" s="209"/>
      <c r="H945" s="209"/>
      <c r="I945" s="209"/>
      <c r="J945" s="209"/>
      <c r="K945" s="147"/>
      <c r="L945" s="147"/>
      <c r="M945" s="209"/>
      <c r="N945" s="209"/>
      <c r="O945" s="209"/>
      <c r="P945" s="209"/>
      <c r="Q945" s="209"/>
      <c r="R945" s="209"/>
      <c r="S945" s="209"/>
      <c r="T945" s="209"/>
      <c r="U945" s="209"/>
      <c r="V945" s="209"/>
      <c r="W945" s="209"/>
      <c r="X945" s="209"/>
      <c r="Y945" s="209"/>
      <c r="Z945" s="209"/>
      <c r="AA945" s="209"/>
      <c r="AB945" s="209"/>
      <c r="AC945" s="209"/>
      <c r="AD945" s="209"/>
      <c r="AE945" s="209"/>
    </row>
    <row r="946">
      <c r="A946" s="209"/>
      <c r="B946" s="209"/>
      <c r="C946" s="209"/>
      <c r="D946" s="209" t="str">
        <f t="shared" si="3"/>
        <v>
</v>
      </c>
      <c r="E946" s="209"/>
      <c r="F946" s="209"/>
      <c r="G946" s="209"/>
      <c r="H946" s="209"/>
      <c r="I946" s="209"/>
      <c r="J946" s="209"/>
      <c r="K946" s="147"/>
      <c r="L946" s="147"/>
      <c r="M946" s="209"/>
      <c r="N946" s="209"/>
      <c r="O946" s="209"/>
      <c r="P946" s="209"/>
      <c r="Q946" s="209"/>
      <c r="R946" s="209"/>
      <c r="S946" s="209"/>
      <c r="T946" s="209"/>
      <c r="U946" s="209"/>
      <c r="V946" s="209"/>
      <c r="W946" s="209"/>
      <c r="X946" s="209"/>
      <c r="Y946" s="209"/>
      <c r="Z946" s="209"/>
      <c r="AA946" s="209"/>
      <c r="AB946" s="209"/>
      <c r="AC946" s="209"/>
      <c r="AD946" s="209"/>
      <c r="AE946" s="209"/>
    </row>
    <row r="947">
      <c r="A947" s="209"/>
      <c r="B947" s="209"/>
      <c r="C947" s="209"/>
      <c r="D947" s="209" t="str">
        <f t="shared" si="3"/>
        <v>
</v>
      </c>
      <c r="E947" s="209"/>
      <c r="F947" s="209"/>
      <c r="G947" s="209"/>
      <c r="H947" s="209"/>
      <c r="I947" s="209"/>
      <c r="J947" s="209"/>
      <c r="K947" s="147"/>
      <c r="L947" s="147"/>
      <c r="M947" s="209"/>
      <c r="N947" s="209"/>
      <c r="O947" s="209"/>
      <c r="P947" s="209"/>
      <c r="Q947" s="209"/>
      <c r="R947" s="209"/>
      <c r="S947" s="209"/>
      <c r="T947" s="209"/>
      <c r="U947" s="209"/>
      <c r="V947" s="209"/>
      <c r="W947" s="209"/>
      <c r="X947" s="209"/>
      <c r="Y947" s="209"/>
      <c r="Z947" s="209"/>
      <c r="AA947" s="209"/>
      <c r="AB947" s="209"/>
      <c r="AC947" s="209"/>
      <c r="AD947" s="209"/>
      <c r="AE947" s="209"/>
    </row>
    <row r="948">
      <c r="A948" s="209"/>
      <c r="B948" s="209"/>
      <c r="C948" s="209"/>
      <c r="D948" s="209" t="str">
        <f t="shared" si="3"/>
        <v>
</v>
      </c>
      <c r="E948" s="209"/>
      <c r="F948" s="209"/>
      <c r="G948" s="209"/>
      <c r="H948" s="209"/>
      <c r="I948" s="209"/>
      <c r="J948" s="209"/>
      <c r="K948" s="147"/>
      <c r="L948" s="147"/>
      <c r="M948" s="209"/>
      <c r="N948" s="209"/>
      <c r="O948" s="209"/>
      <c r="P948" s="209"/>
      <c r="Q948" s="209"/>
      <c r="R948" s="209"/>
      <c r="S948" s="209"/>
      <c r="T948" s="209"/>
      <c r="U948" s="209"/>
      <c r="V948" s="209"/>
      <c r="W948" s="209"/>
      <c r="X948" s="209"/>
      <c r="Y948" s="209"/>
      <c r="Z948" s="209"/>
      <c r="AA948" s="209"/>
      <c r="AB948" s="209"/>
      <c r="AC948" s="209"/>
      <c r="AD948" s="209"/>
      <c r="AE948" s="209"/>
    </row>
    <row r="949">
      <c r="A949" s="209"/>
      <c r="B949" s="209"/>
      <c r="C949" s="209"/>
      <c r="D949" s="209" t="str">
        <f t="shared" si="3"/>
        <v>
</v>
      </c>
      <c r="E949" s="209"/>
      <c r="F949" s="209"/>
      <c r="G949" s="209"/>
      <c r="H949" s="209"/>
      <c r="I949" s="209"/>
      <c r="J949" s="209"/>
      <c r="K949" s="147"/>
      <c r="L949" s="147"/>
      <c r="M949" s="209"/>
      <c r="N949" s="209"/>
      <c r="O949" s="209"/>
      <c r="P949" s="209"/>
      <c r="Q949" s="209"/>
      <c r="R949" s="209"/>
      <c r="S949" s="209"/>
      <c r="T949" s="209"/>
      <c r="U949" s="209"/>
      <c r="V949" s="209"/>
      <c r="W949" s="209"/>
      <c r="X949" s="209"/>
      <c r="Y949" s="209"/>
      <c r="Z949" s="209"/>
      <c r="AA949" s="209"/>
      <c r="AB949" s="209"/>
      <c r="AC949" s="209"/>
      <c r="AD949" s="209"/>
      <c r="AE949" s="209"/>
    </row>
    <row r="950">
      <c r="A950" s="209"/>
      <c r="B950" s="209"/>
      <c r="C950" s="209"/>
      <c r="D950" s="209" t="str">
        <f t="shared" si="3"/>
        <v>
</v>
      </c>
      <c r="E950" s="209"/>
      <c r="F950" s="209"/>
      <c r="G950" s="209"/>
      <c r="H950" s="209"/>
      <c r="I950" s="209"/>
      <c r="J950" s="209"/>
      <c r="K950" s="147"/>
      <c r="L950" s="147"/>
      <c r="M950" s="209"/>
      <c r="N950" s="209"/>
      <c r="O950" s="209"/>
      <c r="P950" s="209"/>
      <c r="Q950" s="209"/>
      <c r="R950" s="209"/>
      <c r="S950" s="209"/>
      <c r="T950" s="209"/>
      <c r="U950" s="209"/>
      <c r="V950" s="209"/>
      <c r="W950" s="209"/>
      <c r="X950" s="209"/>
      <c r="Y950" s="209"/>
      <c r="Z950" s="209"/>
      <c r="AA950" s="209"/>
      <c r="AB950" s="209"/>
      <c r="AC950" s="209"/>
      <c r="AD950" s="209"/>
      <c r="AE950" s="209"/>
    </row>
    <row r="951">
      <c r="A951" s="209"/>
      <c r="B951" s="209"/>
      <c r="C951" s="209"/>
      <c r="D951" s="209" t="str">
        <f t="shared" si="3"/>
        <v>
</v>
      </c>
      <c r="E951" s="209"/>
      <c r="F951" s="209"/>
      <c r="G951" s="209"/>
      <c r="H951" s="209"/>
      <c r="I951" s="209"/>
      <c r="J951" s="209"/>
      <c r="K951" s="147"/>
      <c r="L951" s="147"/>
      <c r="M951" s="209"/>
      <c r="N951" s="209"/>
      <c r="O951" s="209"/>
      <c r="P951" s="209"/>
      <c r="Q951" s="209"/>
      <c r="R951" s="209"/>
      <c r="S951" s="209"/>
      <c r="T951" s="209"/>
      <c r="U951" s="209"/>
      <c r="V951" s="209"/>
      <c r="W951" s="209"/>
      <c r="X951" s="209"/>
      <c r="Y951" s="209"/>
      <c r="Z951" s="209"/>
      <c r="AA951" s="209"/>
      <c r="AB951" s="209"/>
      <c r="AC951" s="209"/>
      <c r="AD951" s="209"/>
      <c r="AE951" s="209"/>
    </row>
    <row r="952">
      <c r="A952" s="209"/>
      <c r="B952" s="209"/>
      <c r="C952" s="209"/>
      <c r="D952" s="209" t="str">
        <f t="shared" si="3"/>
        <v>
</v>
      </c>
      <c r="E952" s="209"/>
      <c r="F952" s="209"/>
      <c r="G952" s="209"/>
      <c r="H952" s="209"/>
      <c r="I952" s="209"/>
      <c r="J952" s="209"/>
      <c r="K952" s="147"/>
      <c r="L952" s="147"/>
      <c r="M952" s="209"/>
      <c r="N952" s="209"/>
      <c r="O952" s="209"/>
      <c r="P952" s="209"/>
      <c r="Q952" s="209"/>
      <c r="R952" s="209"/>
      <c r="S952" s="209"/>
      <c r="T952" s="209"/>
      <c r="U952" s="209"/>
      <c r="V952" s="209"/>
      <c r="W952" s="209"/>
      <c r="X952" s="209"/>
      <c r="Y952" s="209"/>
      <c r="Z952" s="209"/>
      <c r="AA952" s="209"/>
      <c r="AB952" s="209"/>
      <c r="AC952" s="209"/>
      <c r="AD952" s="209"/>
      <c r="AE952" s="209"/>
    </row>
    <row r="953">
      <c r="A953" s="209"/>
      <c r="B953" s="209"/>
      <c r="C953" s="209"/>
      <c r="D953" s="209" t="str">
        <f t="shared" si="3"/>
        <v>
</v>
      </c>
      <c r="E953" s="209"/>
      <c r="F953" s="209"/>
      <c r="G953" s="209"/>
      <c r="H953" s="209"/>
      <c r="I953" s="209"/>
      <c r="J953" s="209"/>
      <c r="K953" s="147"/>
      <c r="L953" s="147"/>
      <c r="M953" s="209"/>
      <c r="N953" s="209"/>
      <c r="O953" s="209"/>
      <c r="P953" s="209"/>
      <c r="Q953" s="209"/>
      <c r="R953" s="209"/>
      <c r="S953" s="209"/>
      <c r="T953" s="209"/>
      <c r="U953" s="209"/>
      <c r="V953" s="209"/>
      <c r="W953" s="209"/>
      <c r="X953" s="209"/>
      <c r="Y953" s="209"/>
      <c r="Z953" s="209"/>
      <c r="AA953" s="209"/>
      <c r="AB953" s="209"/>
      <c r="AC953" s="209"/>
      <c r="AD953" s="209"/>
      <c r="AE953" s="209"/>
    </row>
    <row r="954">
      <c r="A954" s="209"/>
      <c r="B954" s="209"/>
      <c r="C954" s="209"/>
      <c r="D954" s="209" t="str">
        <f t="shared" si="3"/>
        <v>
</v>
      </c>
      <c r="E954" s="209"/>
      <c r="F954" s="209"/>
      <c r="G954" s="209"/>
      <c r="H954" s="209"/>
      <c r="I954" s="209"/>
      <c r="J954" s="209"/>
      <c r="K954" s="147"/>
      <c r="L954" s="147"/>
      <c r="M954" s="209"/>
      <c r="N954" s="209"/>
      <c r="O954" s="209"/>
      <c r="P954" s="209"/>
      <c r="Q954" s="209"/>
      <c r="R954" s="209"/>
      <c r="S954" s="209"/>
      <c r="T954" s="209"/>
      <c r="U954" s="209"/>
      <c r="V954" s="209"/>
      <c r="W954" s="209"/>
      <c r="X954" s="209"/>
      <c r="Y954" s="209"/>
      <c r="Z954" s="209"/>
      <c r="AA954" s="209"/>
      <c r="AB954" s="209"/>
      <c r="AC954" s="209"/>
      <c r="AD954" s="209"/>
      <c r="AE954" s="209"/>
    </row>
    <row r="955">
      <c r="A955" s="209"/>
      <c r="B955" s="209"/>
      <c r="C955" s="209"/>
      <c r="D955" s="209" t="str">
        <f t="shared" si="3"/>
        <v>
</v>
      </c>
      <c r="E955" s="209"/>
      <c r="F955" s="209"/>
      <c r="G955" s="209"/>
      <c r="H955" s="209"/>
      <c r="I955" s="209"/>
      <c r="J955" s="209"/>
      <c r="K955" s="147"/>
      <c r="L955" s="147"/>
      <c r="M955" s="209"/>
      <c r="N955" s="209"/>
      <c r="O955" s="209"/>
      <c r="P955" s="209"/>
      <c r="Q955" s="209"/>
      <c r="R955" s="209"/>
      <c r="S955" s="209"/>
      <c r="T955" s="209"/>
      <c r="U955" s="209"/>
      <c r="V955" s="209"/>
      <c r="W955" s="209"/>
      <c r="X955" s="209"/>
      <c r="Y955" s="209"/>
      <c r="Z955" s="209"/>
      <c r="AA955" s="209"/>
      <c r="AB955" s="209"/>
      <c r="AC955" s="209"/>
      <c r="AD955" s="209"/>
      <c r="AE955" s="209"/>
    </row>
    <row r="956">
      <c r="A956" s="209"/>
      <c r="B956" s="209"/>
      <c r="C956" s="209"/>
      <c r="D956" s="209" t="str">
        <f t="shared" si="3"/>
        <v>
</v>
      </c>
      <c r="E956" s="209"/>
      <c r="F956" s="209"/>
      <c r="G956" s="209"/>
      <c r="H956" s="209"/>
      <c r="I956" s="209"/>
      <c r="J956" s="209"/>
      <c r="K956" s="147"/>
      <c r="L956" s="147"/>
      <c r="M956" s="209"/>
      <c r="N956" s="209"/>
      <c r="O956" s="209"/>
      <c r="P956" s="209"/>
      <c r="Q956" s="209"/>
      <c r="R956" s="209"/>
      <c r="S956" s="209"/>
      <c r="T956" s="209"/>
      <c r="U956" s="209"/>
      <c r="V956" s="209"/>
      <c r="W956" s="209"/>
      <c r="X956" s="209"/>
      <c r="Y956" s="209"/>
      <c r="Z956" s="209"/>
      <c r="AA956" s="209"/>
      <c r="AB956" s="209"/>
      <c r="AC956" s="209"/>
      <c r="AD956" s="209"/>
      <c r="AE956" s="209"/>
    </row>
    <row r="957">
      <c r="A957" s="209"/>
      <c r="B957" s="209"/>
      <c r="C957" s="209"/>
      <c r="D957" s="209" t="str">
        <f t="shared" si="3"/>
        <v>
</v>
      </c>
      <c r="E957" s="209"/>
      <c r="F957" s="209"/>
      <c r="G957" s="209"/>
      <c r="H957" s="209"/>
      <c r="I957" s="209"/>
      <c r="J957" s="209"/>
      <c r="K957" s="147"/>
      <c r="L957" s="147"/>
      <c r="M957" s="209"/>
      <c r="N957" s="209"/>
      <c r="O957" s="209"/>
      <c r="P957" s="209"/>
      <c r="Q957" s="209"/>
      <c r="R957" s="209"/>
      <c r="S957" s="209"/>
      <c r="T957" s="209"/>
      <c r="U957" s="209"/>
      <c r="V957" s="209"/>
      <c r="W957" s="209"/>
      <c r="X957" s="209"/>
      <c r="Y957" s="209"/>
      <c r="Z957" s="209"/>
      <c r="AA957" s="209"/>
      <c r="AB957" s="209"/>
      <c r="AC957" s="209"/>
      <c r="AD957" s="209"/>
      <c r="AE957" s="209"/>
    </row>
    <row r="958">
      <c r="A958" s="209"/>
      <c r="B958" s="209"/>
      <c r="C958" s="209"/>
      <c r="D958" s="209" t="str">
        <f t="shared" si="3"/>
        <v>
</v>
      </c>
      <c r="E958" s="209"/>
      <c r="F958" s="209"/>
      <c r="G958" s="209"/>
      <c r="H958" s="209"/>
      <c r="I958" s="209"/>
      <c r="J958" s="209"/>
      <c r="K958" s="147"/>
      <c r="L958" s="147"/>
      <c r="M958" s="209"/>
      <c r="N958" s="209"/>
      <c r="O958" s="209"/>
      <c r="P958" s="209"/>
      <c r="Q958" s="209"/>
      <c r="R958" s="209"/>
      <c r="S958" s="209"/>
      <c r="T958" s="209"/>
      <c r="U958" s="209"/>
      <c r="V958" s="209"/>
      <c r="W958" s="209"/>
      <c r="X958" s="209"/>
      <c r="Y958" s="209"/>
      <c r="Z958" s="209"/>
      <c r="AA958" s="209"/>
      <c r="AB958" s="209"/>
      <c r="AC958" s="209"/>
      <c r="AD958" s="209"/>
      <c r="AE958" s="209"/>
    </row>
    <row r="959">
      <c r="A959" s="209"/>
      <c r="B959" s="209"/>
      <c r="C959" s="209"/>
      <c r="D959" s="209" t="str">
        <f t="shared" si="3"/>
        <v>
</v>
      </c>
      <c r="E959" s="209"/>
      <c r="F959" s="209"/>
      <c r="G959" s="209"/>
      <c r="H959" s="209"/>
      <c r="I959" s="209"/>
      <c r="J959" s="209"/>
      <c r="K959" s="147"/>
      <c r="L959" s="147"/>
      <c r="M959" s="209"/>
      <c r="N959" s="209"/>
      <c r="O959" s="209"/>
      <c r="P959" s="209"/>
      <c r="Q959" s="209"/>
      <c r="R959" s="209"/>
      <c r="S959" s="209"/>
      <c r="T959" s="209"/>
      <c r="U959" s="209"/>
      <c r="V959" s="209"/>
      <c r="W959" s="209"/>
      <c r="X959" s="209"/>
      <c r="Y959" s="209"/>
      <c r="Z959" s="209"/>
      <c r="AA959" s="209"/>
      <c r="AB959" s="209"/>
      <c r="AC959" s="209"/>
      <c r="AD959" s="209"/>
      <c r="AE959" s="209"/>
    </row>
    <row r="960">
      <c r="A960" s="209"/>
      <c r="B960" s="209"/>
      <c r="C960" s="209"/>
      <c r="D960" s="209" t="str">
        <f t="shared" si="3"/>
        <v>
</v>
      </c>
      <c r="E960" s="209"/>
      <c r="F960" s="209"/>
      <c r="G960" s="209"/>
      <c r="H960" s="209"/>
      <c r="I960" s="209"/>
      <c r="J960" s="209"/>
      <c r="K960" s="147"/>
      <c r="L960" s="147"/>
      <c r="M960" s="209"/>
      <c r="N960" s="209"/>
      <c r="O960" s="209"/>
      <c r="P960" s="209"/>
      <c r="Q960" s="209"/>
      <c r="R960" s="209"/>
      <c r="S960" s="209"/>
      <c r="T960" s="209"/>
      <c r="U960" s="209"/>
      <c r="V960" s="209"/>
      <c r="W960" s="209"/>
      <c r="X960" s="209"/>
      <c r="Y960" s="209"/>
      <c r="Z960" s="209"/>
      <c r="AA960" s="209"/>
      <c r="AB960" s="209"/>
      <c r="AC960" s="209"/>
      <c r="AD960" s="209"/>
      <c r="AE960" s="209"/>
    </row>
    <row r="961">
      <c r="A961" s="209"/>
      <c r="B961" s="209"/>
      <c r="C961" s="209"/>
      <c r="D961" s="209" t="str">
        <f t="shared" si="3"/>
        <v>
</v>
      </c>
      <c r="E961" s="209"/>
      <c r="F961" s="209"/>
      <c r="G961" s="209"/>
      <c r="H961" s="209"/>
      <c r="I961" s="209"/>
      <c r="J961" s="209"/>
      <c r="K961" s="147"/>
      <c r="L961" s="147"/>
      <c r="M961" s="209"/>
      <c r="N961" s="209"/>
      <c r="O961" s="209"/>
      <c r="P961" s="209"/>
      <c r="Q961" s="209"/>
      <c r="R961" s="209"/>
      <c r="S961" s="209"/>
      <c r="T961" s="209"/>
      <c r="U961" s="209"/>
      <c r="V961" s="209"/>
      <c r="W961" s="209"/>
      <c r="X961" s="209"/>
      <c r="Y961" s="209"/>
      <c r="Z961" s="209"/>
      <c r="AA961" s="209"/>
      <c r="AB961" s="209"/>
      <c r="AC961" s="209"/>
      <c r="AD961" s="209"/>
      <c r="AE961" s="209"/>
    </row>
    <row r="962">
      <c r="A962" s="209"/>
      <c r="B962" s="209"/>
      <c r="C962" s="209"/>
      <c r="D962" s="209" t="str">
        <f t="shared" si="3"/>
        <v>
</v>
      </c>
      <c r="E962" s="209"/>
      <c r="F962" s="209"/>
      <c r="G962" s="209"/>
      <c r="H962" s="209"/>
      <c r="I962" s="209"/>
      <c r="J962" s="209"/>
      <c r="K962" s="147"/>
      <c r="L962" s="147"/>
      <c r="M962" s="209"/>
      <c r="N962" s="209"/>
      <c r="O962" s="209"/>
      <c r="P962" s="209"/>
      <c r="Q962" s="209"/>
      <c r="R962" s="209"/>
      <c r="S962" s="209"/>
      <c r="T962" s="209"/>
      <c r="U962" s="209"/>
      <c r="V962" s="209"/>
      <c r="W962" s="209"/>
      <c r="X962" s="209"/>
      <c r="Y962" s="209"/>
      <c r="Z962" s="209"/>
      <c r="AA962" s="209"/>
      <c r="AB962" s="209"/>
      <c r="AC962" s="209"/>
      <c r="AD962" s="209"/>
      <c r="AE962" s="209"/>
    </row>
    <row r="963">
      <c r="A963" s="209"/>
      <c r="B963" s="209"/>
      <c r="C963" s="209"/>
      <c r="D963" s="209" t="str">
        <f t="shared" si="3"/>
        <v>
</v>
      </c>
      <c r="E963" s="209"/>
      <c r="F963" s="209"/>
      <c r="G963" s="209"/>
      <c r="H963" s="209"/>
      <c r="I963" s="209"/>
      <c r="J963" s="209"/>
      <c r="K963" s="147"/>
      <c r="L963" s="147"/>
      <c r="M963" s="209"/>
      <c r="N963" s="209"/>
      <c r="O963" s="209"/>
      <c r="P963" s="209"/>
      <c r="Q963" s="209"/>
      <c r="R963" s="209"/>
      <c r="S963" s="209"/>
      <c r="T963" s="209"/>
      <c r="U963" s="209"/>
      <c r="V963" s="209"/>
      <c r="W963" s="209"/>
      <c r="X963" s="209"/>
      <c r="Y963" s="209"/>
      <c r="Z963" s="209"/>
      <c r="AA963" s="209"/>
      <c r="AB963" s="209"/>
      <c r="AC963" s="209"/>
      <c r="AD963" s="209"/>
      <c r="AE963" s="209"/>
    </row>
    <row r="964">
      <c r="A964" s="209"/>
      <c r="B964" s="209"/>
      <c r="C964" s="209"/>
      <c r="D964" s="209" t="str">
        <f t="shared" si="3"/>
        <v>
</v>
      </c>
      <c r="E964" s="209"/>
      <c r="F964" s="209"/>
      <c r="G964" s="209"/>
      <c r="H964" s="209"/>
      <c r="I964" s="209"/>
      <c r="J964" s="209"/>
      <c r="K964" s="147"/>
      <c r="L964" s="147"/>
      <c r="M964" s="209"/>
      <c r="N964" s="209"/>
      <c r="O964" s="209"/>
      <c r="P964" s="209"/>
      <c r="Q964" s="209"/>
      <c r="R964" s="209"/>
      <c r="S964" s="209"/>
      <c r="T964" s="209"/>
      <c r="U964" s="209"/>
      <c r="V964" s="209"/>
      <c r="W964" s="209"/>
      <c r="X964" s="209"/>
      <c r="Y964" s="209"/>
      <c r="Z964" s="209"/>
      <c r="AA964" s="209"/>
      <c r="AB964" s="209"/>
      <c r="AC964" s="209"/>
      <c r="AD964" s="209"/>
      <c r="AE964" s="209"/>
    </row>
    <row r="965">
      <c r="A965" s="209"/>
      <c r="B965" s="209"/>
      <c r="C965" s="209"/>
      <c r="D965" s="209" t="str">
        <f t="shared" si="3"/>
        <v>
</v>
      </c>
      <c r="E965" s="209"/>
      <c r="F965" s="209"/>
      <c r="G965" s="209"/>
      <c r="H965" s="209"/>
      <c r="I965" s="209"/>
      <c r="J965" s="209"/>
      <c r="K965" s="147"/>
      <c r="L965" s="147"/>
      <c r="M965" s="209"/>
      <c r="N965" s="209"/>
      <c r="O965" s="209"/>
      <c r="P965" s="209"/>
      <c r="Q965" s="209"/>
      <c r="R965" s="209"/>
      <c r="S965" s="209"/>
      <c r="T965" s="209"/>
      <c r="U965" s="209"/>
      <c r="V965" s="209"/>
      <c r="W965" s="209"/>
      <c r="X965" s="209"/>
      <c r="Y965" s="209"/>
      <c r="Z965" s="209"/>
      <c r="AA965" s="209"/>
      <c r="AB965" s="209"/>
      <c r="AC965" s="209"/>
      <c r="AD965" s="209"/>
      <c r="AE965" s="209"/>
    </row>
    <row r="966">
      <c r="A966" s="209"/>
      <c r="B966" s="209"/>
      <c r="C966" s="209"/>
      <c r="D966" s="209" t="str">
        <f t="shared" si="3"/>
        <v>
</v>
      </c>
      <c r="E966" s="209"/>
      <c r="F966" s="209"/>
      <c r="G966" s="209"/>
      <c r="H966" s="209"/>
      <c r="I966" s="209"/>
      <c r="J966" s="209"/>
      <c r="K966" s="147"/>
      <c r="L966" s="147"/>
      <c r="M966" s="209"/>
      <c r="N966" s="209"/>
      <c r="O966" s="209"/>
      <c r="P966" s="209"/>
      <c r="Q966" s="209"/>
      <c r="R966" s="209"/>
      <c r="S966" s="209"/>
      <c r="T966" s="209"/>
      <c r="U966" s="209"/>
      <c r="V966" s="209"/>
      <c r="W966" s="209"/>
      <c r="X966" s="209"/>
      <c r="Y966" s="209"/>
      <c r="Z966" s="209"/>
      <c r="AA966" s="209"/>
      <c r="AB966" s="209"/>
      <c r="AC966" s="209"/>
      <c r="AD966" s="209"/>
      <c r="AE966" s="209"/>
    </row>
    <row r="967">
      <c r="A967" s="209"/>
      <c r="B967" s="209"/>
      <c r="C967" s="209"/>
      <c r="D967" s="209" t="str">
        <f t="shared" si="3"/>
        <v>
</v>
      </c>
      <c r="E967" s="209"/>
      <c r="F967" s="209"/>
      <c r="G967" s="209"/>
      <c r="H967" s="209"/>
      <c r="I967" s="209"/>
      <c r="J967" s="209"/>
      <c r="K967" s="147"/>
      <c r="L967" s="147"/>
      <c r="M967" s="209"/>
      <c r="N967" s="209"/>
      <c r="O967" s="209"/>
      <c r="P967" s="209"/>
      <c r="Q967" s="209"/>
      <c r="R967" s="209"/>
      <c r="S967" s="209"/>
      <c r="T967" s="209"/>
      <c r="U967" s="209"/>
      <c r="V967" s="209"/>
      <c r="W967" s="209"/>
      <c r="X967" s="209"/>
      <c r="Y967" s="209"/>
      <c r="Z967" s="209"/>
      <c r="AA967" s="209"/>
      <c r="AB967" s="209"/>
      <c r="AC967" s="209"/>
      <c r="AD967" s="209"/>
      <c r="AE967" s="209"/>
    </row>
    <row r="968">
      <c r="A968" s="209"/>
      <c r="B968" s="209"/>
      <c r="C968" s="209"/>
      <c r="D968" s="209" t="str">
        <f t="shared" si="3"/>
        <v>
</v>
      </c>
      <c r="E968" s="209"/>
      <c r="F968" s="209"/>
      <c r="G968" s="209"/>
      <c r="H968" s="209"/>
      <c r="I968" s="209"/>
      <c r="J968" s="209"/>
      <c r="K968" s="147"/>
      <c r="L968" s="147"/>
      <c r="M968" s="209"/>
      <c r="N968" s="209"/>
      <c r="O968" s="209"/>
      <c r="P968" s="209"/>
      <c r="Q968" s="209"/>
      <c r="R968" s="209"/>
      <c r="S968" s="209"/>
      <c r="T968" s="209"/>
      <c r="U968" s="209"/>
      <c r="V968" s="209"/>
      <c r="W968" s="209"/>
      <c r="X968" s="209"/>
      <c r="Y968" s="209"/>
      <c r="Z968" s="209"/>
      <c r="AA968" s="209"/>
      <c r="AB968" s="209"/>
      <c r="AC968" s="209"/>
      <c r="AD968" s="209"/>
      <c r="AE968" s="209"/>
    </row>
    <row r="969">
      <c r="A969" s="209"/>
      <c r="B969" s="209"/>
      <c r="C969" s="209"/>
      <c r="D969" s="209" t="str">
        <f t="shared" si="3"/>
        <v>
</v>
      </c>
      <c r="E969" s="209"/>
      <c r="F969" s="209"/>
      <c r="G969" s="209"/>
      <c r="H969" s="209"/>
      <c r="I969" s="209"/>
      <c r="J969" s="209"/>
      <c r="K969" s="147"/>
      <c r="L969" s="147"/>
      <c r="M969" s="209"/>
      <c r="N969" s="209"/>
      <c r="O969" s="209"/>
      <c r="P969" s="209"/>
      <c r="Q969" s="209"/>
      <c r="R969" s="209"/>
      <c r="S969" s="209"/>
      <c r="T969" s="209"/>
      <c r="U969" s="209"/>
      <c r="V969" s="209"/>
      <c r="W969" s="209"/>
      <c r="X969" s="209"/>
      <c r="Y969" s="209"/>
      <c r="Z969" s="209"/>
      <c r="AA969" s="209"/>
      <c r="AB969" s="209"/>
      <c r="AC969" s="209"/>
      <c r="AD969" s="209"/>
      <c r="AE969" s="209"/>
    </row>
    <row r="970">
      <c r="A970" s="209"/>
      <c r="B970" s="209"/>
      <c r="C970" s="209"/>
      <c r="D970" s="209" t="str">
        <f t="shared" si="3"/>
        <v>
</v>
      </c>
      <c r="E970" s="209"/>
      <c r="F970" s="209"/>
      <c r="G970" s="209"/>
      <c r="H970" s="209"/>
      <c r="I970" s="209"/>
      <c r="J970" s="209"/>
      <c r="K970" s="147"/>
      <c r="L970" s="147"/>
      <c r="M970" s="209"/>
      <c r="N970" s="209"/>
      <c r="O970" s="209"/>
      <c r="P970" s="209"/>
      <c r="Q970" s="209"/>
      <c r="R970" s="209"/>
      <c r="S970" s="209"/>
      <c r="T970" s="209"/>
      <c r="U970" s="209"/>
      <c r="V970" s="209"/>
      <c r="W970" s="209"/>
      <c r="X970" s="209"/>
      <c r="Y970" s="209"/>
      <c r="Z970" s="209"/>
      <c r="AA970" s="209"/>
      <c r="AB970" s="209"/>
      <c r="AC970" s="209"/>
      <c r="AD970" s="209"/>
      <c r="AE970" s="209"/>
    </row>
    <row r="971">
      <c r="A971" s="209"/>
      <c r="B971" s="209"/>
      <c r="C971" s="209"/>
      <c r="D971" s="209" t="str">
        <f t="shared" si="3"/>
        <v>
</v>
      </c>
      <c r="E971" s="209"/>
      <c r="F971" s="209"/>
      <c r="G971" s="209"/>
      <c r="H971" s="209"/>
      <c r="I971" s="209"/>
      <c r="J971" s="209"/>
      <c r="K971" s="147"/>
      <c r="L971" s="147"/>
      <c r="M971" s="209"/>
      <c r="N971" s="209"/>
      <c r="O971" s="209"/>
      <c r="P971" s="209"/>
      <c r="Q971" s="209"/>
      <c r="R971" s="209"/>
      <c r="S971" s="209"/>
      <c r="T971" s="209"/>
      <c r="U971" s="209"/>
      <c r="V971" s="209"/>
      <c r="W971" s="209"/>
      <c r="X971" s="209"/>
      <c r="Y971" s="209"/>
      <c r="Z971" s="209"/>
      <c r="AA971" s="209"/>
      <c r="AB971" s="209"/>
      <c r="AC971" s="209"/>
      <c r="AD971" s="209"/>
      <c r="AE971" s="209"/>
    </row>
    <row r="972">
      <c r="A972" s="209"/>
      <c r="B972" s="209"/>
      <c r="C972" s="209"/>
      <c r="D972" s="209" t="str">
        <f t="shared" si="3"/>
        <v>
</v>
      </c>
      <c r="E972" s="209"/>
      <c r="F972" s="209"/>
      <c r="G972" s="209"/>
      <c r="H972" s="209"/>
      <c r="I972" s="209"/>
      <c r="J972" s="209"/>
      <c r="K972" s="147"/>
      <c r="L972" s="147"/>
      <c r="M972" s="209"/>
      <c r="N972" s="209"/>
      <c r="O972" s="209"/>
      <c r="P972" s="209"/>
      <c r="Q972" s="209"/>
      <c r="R972" s="209"/>
      <c r="S972" s="209"/>
      <c r="T972" s="209"/>
      <c r="U972" s="209"/>
      <c r="V972" s="209"/>
      <c r="W972" s="209"/>
      <c r="X972" s="209"/>
      <c r="Y972" s="209"/>
      <c r="Z972" s="209"/>
      <c r="AA972" s="209"/>
      <c r="AB972" s="209"/>
      <c r="AC972" s="209"/>
      <c r="AD972" s="209"/>
      <c r="AE972" s="209"/>
    </row>
    <row r="973">
      <c r="A973" s="209"/>
      <c r="B973" s="209"/>
      <c r="C973" s="209"/>
      <c r="D973" s="209" t="str">
        <f t="shared" si="3"/>
        <v>
</v>
      </c>
      <c r="E973" s="209"/>
      <c r="F973" s="209"/>
      <c r="G973" s="209"/>
      <c r="H973" s="209"/>
      <c r="I973" s="209"/>
      <c r="J973" s="209"/>
      <c r="K973" s="147"/>
      <c r="L973" s="147"/>
      <c r="M973" s="209"/>
      <c r="N973" s="209"/>
      <c r="O973" s="209"/>
      <c r="P973" s="209"/>
      <c r="Q973" s="209"/>
      <c r="R973" s="209"/>
      <c r="S973" s="209"/>
      <c r="T973" s="209"/>
      <c r="U973" s="209"/>
      <c r="V973" s="209"/>
      <c r="W973" s="209"/>
      <c r="X973" s="209"/>
      <c r="Y973" s="209"/>
      <c r="Z973" s="209"/>
      <c r="AA973" s="209"/>
      <c r="AB973" s="209"/>
      <c r="AC973" s="209"/>
      <c r="AD973" s="209"/>
      <c r="AE973" s="209"/>
    </row>
    <row r="974">
      <c r="A974" s="209"/>
      <c r="B974" s="209"/>
      <c r="C974" s="209"/>
      <c r="D974" s="209" t="str">
        <f t="shared" si="3"/>
        <v>
</v>
      </c>
      <c r="E974" s="209"/>
      <c r="F974" s="209"/>
      <c r="G974" s="209"/>
      <c r="H974" s="209"/>
      <c r="I974" s="209"/>
      <c r="J974" s="209"/>
      <c r="K974" s="147"/>
      <c r="L974" s="147"/>
      <c r="M974" s="209"/>
      <c r="N974" s="209"/>
      <c r="O974" s="209"/>
      <c r="P974" s="209"/>
      <c r="Q974" s="209"/>
      <c r="R974" s="209"/>
      <c r="S974" s="209"/>
      <c r="T974" s="209"/>
      <c r="U974" s="209"/>
      <c r="V974" s="209"/>
      <c r="W974" s="209"/>
      <c r="X974" s="209"/>
      <c r="Y974" s="209"/>
      <c r="Z974" s="209"/>
      <c r="AA974" s="209"/>
      <c r="AB974" s="209"/>
      <c r="AC974" s="209"/>
      <c r="AD974" s="209"/>
      <c r="AE974" s="209"/>
    </row>
    <row r="975">
      <c r="A975" s="209"/>
      <c r="B975" s="209"/>
      <c r="C975" s="209"/>
      <c r="D975" s="209" t="str">
        <f t="shared" si="3"/>
        <v>
</v>
      </c>
      <c r="E975" s="209"/>
      <c r="F975" s="209"/>
      <c r="G975" s="209"/>
      <c r="H975" s="209"/>
      <c r="I975" s="209"/>
      <c r="J975" s="209"/>
      <c r="K975" s="147"/>
      <c r="L975" s="147"/>
      <c r="M975" s="209"/>
      <c r="N975" s="209"/>
      <c r="O975" s="209"/>
      <c r="P975" s="209"/>
      <c r="Q975" s="209"/>
      <c r="R975" s="209"/>
      <c r="S975" s="209"/>
      <c r="T975" s="209"/>
      <c r="U975" s="209"/>
      <c r="V975" s="209"/>
      <c r="W975" s="209"/>
      <c r="X975" s="209"/>
      <c r="Y975" s="209"/>
      <c r="Z975" s="209"/>
      <c r="AA975" s="209"/>
      <c r="AB975" s="209"/>
      <c r="AC975" s="209"/>
      <c r="AD975" s="209"/>
      <c r="AE975" s="209"/>
    </row>
    <row r="976">
      <c r="A976" s="209"/>
      <c r="B976" s="209"/>
      <c r="C976" s="209"/>
      <c r="D976" s="209" t="str">
        <f t="shared" si="3"/>
        <v>
</v>
      </c>
      <c r="E976" s="209"/>
      <c r="F976" s="209"/>
      <c r="G976" s="209"/>
      <c r="H976" s="209"/>
      <c r="I976" s="209"/>
      <c r="J976" s="209"/>
      <c r="K976" s="147"/>
      <c r="L976" s="147"/>
      <c r="M976" s="209"/>
      <c r="N976" s="209"/>
      <c r="O976" s="209"/>
      <c r="P976" s="209"/>
      <c r="Q976" s="209"/>
      <c r="R976" s="209"/>
      <c r="S976" s="209"/>
      <c r="T976" s="209"/>
      <c r="U976" s="209"/>
      <c r="V976" s="209"/>
      <c r="W976" s="209"/>
      <c r="X976" s="209"/>
      <c r="Y976" s="209"/>
      <c r="Z976" s="209"/>
      <c r="AA976" s="209"/>
      <c r="AB976" s="209"/>
      <c r="AC976" s="209"/>
      <c r="AD976" s="209"/>
      <c r="AE976" s="209"/>
    </row>
    <row r="977">
      <c r="A977" s="209"/>
      <c r="B977" s="209"/>
      <c r="C977" s="209"/>
      <c r="D977" s="209" t="str">
        <f t="shared" si="3"/>
        <v>
</v>
      </c>
      <c r="E977" s="209"/>
      <c r="F977" s="209"/>
      <c r="G977" s="209"/>
      <c r="H977" s="209"/>
      <c r="I977" s="209"/>
      <c r="J977" s="209"/>
      <c r="K977" s="147"/>
      <c r="L977" s="147"/>
      <c r="M977" s="209"/>
      <c r="N977" s="209"/>
      <c r="O977" s="209"/>
      <c r="P977" s="209"/>
      <c r="Q977" s="209"/>
      <c r="R977" s="209"/>
      <c r="S977" s="209"/>
      <c r="T977" s="209"/>
      <c r="U977" s="209"/>
      <c r="V977" s="209"/>
      <c r="W977" s="209"/>
      <c r="X977" s="209"/>
      <c r="Y977" s="209"/>
      <c r="Z977" s="209"/>
      <c r="AA977" s="209"/>
      <c r="AB977" s="209"/>
      <c r="AC977" s="209"/>
      <c r="AD977" s="209"/>
      <c r="AE977" s="209"/>
    </row>
    <row r="978">
      <c r="A978" s="209"/>
      <c r="B978" s="209"/>
      <c r="C978" s="209"/>
      <c r="D978" s="209" t="str">
        <f t="shared" si="3"/>
        <v>
</v>
      </c>
      <c r="E978" s="209"/>
      <c r="F978" s="209"/>
      <c r="G978" s="209"/>
      <c r="H978" s="209"/>
      <c r="I978" s="209"/>
      <c r="J978" s="209"/>
      <c r="K978" s="147"/>
      <c r="L978" s="147"/>
      <c r="M978" s="209"/>
      <c r="N978" s="209"/>
      <c r="O978" s="209"/>
      <c r="P978" s="209"/>
      <c r="Q978" s="209"/>
      <c r="R978" s="209"/>
      <c r="S978" s="209"/>
      <c r="T978" s="209"/>
      <c r="U978" s="209"/>
      <c r="V978" s="209"/>
      <c r="W978" s="209"/>
      <c r="X978" s="209"/>
      <c r="Y978" s="209"/>
      <c r="Z978" s="209"/>
      <c r="AA978" s="209"/>
      <c r="AB978" s="209"/>
      <c r="AC978" s="209"/>
      <c r="AD978" s="209"/>
      <c r="AE978" s="209"/>
    </row>
    <row r="979">
      <c r="A979" s="209"/>
      <c r="B979" s="209"/>
      <c r="C979" s="209"/>
      <c r="D979" s="209" t="str">
        <f t="shared" si="3"/>
        <v>
</v>
      </c>
      <c r="E979" s="209"/>
      <c r="F979" s="209"/>
      <c r="G979" s="209"/>
      <c r="H979" s="209"/>
      <c r="I979" s="209"/>
      <c r="J979" s="209"/>
      <c r="K979" s="147"/>
      <c r="L979" s="147"/>
      <c r="M979" s="209"/>
      <c r="N979" s="209"/>
      <c r="O979" s="209"/>
      <c r="P979" s="209"/>
      <c r="Q979" s="209"/>
      <c r="R979" s="209"/>
      <c r="S979" s="209"/>
      <c r="T979" s="209"/>
      <c r="U979" s="209"/>
      <c r="V979" s="209"/>
      <c r="W979" s="209"/>
      <c r="X979" s="209"/>
      <c r="Y979" s="209"/>
      <c r="Z979" s="209"/>
      <c r="AA979" s="209"/>
      <c r="AB979" s="209"/>
      <c r="AC979" s="209"/>
      <c r="AD979" s="209"/>
      <c r="AE979" s="209"/>
    </row>
    <row r="980">
      <c r="A980" s="209"/>
      <c r="B980" s="209"/>
      <c r="C980" s="209"/>
      <c r="D980" s="209" t="str">
        <f t="shared" si="3"/>
        <v>
</v>
      </c>
      <c r="E980" s="209"/>
      <c r="F980" s="209"/>
      <c r="G980" s="209"/>
      <c r="H980" s="209"/>
      <c r="I980" s="209"/>
      <c r="J980" s="209"/>
      <c r="K980" s="147"/>
      <c r="L980" s="147"/>
      <c r="M980" s="209"/>
      <c r="N980" s="209"/>
      <c r="O980" s="209"/>
      <c r="P980" s="209"/>
      <c r="Q980" s="209"/>
      <c r="R980" s="209"/>
      <c r="S980" s="209"/>
      <c r="T980" s="209"/>
      <c r="U980" s="209"/>
      <c r="V980" s="209"/>
      <c r="W980" s="209"/>
      <c r="X980" s="209"/>
      <c r="Y980" s="209"/>
      <c r="Z980" s="209"/>
      <c r="AA980" s="209"/>
      <c r="AB980" s="209"/>
      <c r="AC980" s="209"/>
      <c r="AD980" s="209"/>
      <c r="AE980" s="209"/>
    </row>
    <row r="981">
      <c r="A981" s="209"/>
      <c r="B981" s="209"/>
      <c r="C981" s="209"/>
      <c r="D981" s="209" t="str">
        <f t="shared" si="3"/>
        <v>
</v>
      </c>
      <c r="E981" s="209"/>
      <c r="F981" s="209"/>
      <c r="G981" s="209"/>
      <c r="H981" s="209"/>
      <c r="I981" s="209"/>
      <c r="J981" s="209"/>
      <c r="K981" s="147"/>
      <c r="L981" s="147"/>
      <c r="M981" s="209"/>
      <c r="N981" s="209"/>
      <c r="O981" s="209"/>
      <c r="P981" s="209"/>
      <c r="Q981" s="209"/>
      <c r="R981" s="209"/>
      <c r="S981" s="209"/>
      <c r="T981" s="209"/>
      <c r="U981" s="209"/>
      <c r="V981" s="209"/>
      <c r="W981" s="209"/>
      <c r="X981" s="209"/>
      <c r="Y981" s="209"/>
      <c r="Z981" s="209"/>
      <c r="AA981" s="209"/>
      <c r="AB981" s="209"/>
      <c r="AC981" s="209"/>
      <c r="AD981" s="209"/>
      <c r="AE981" s="209"/>
    </row>
    <row r="982">
      <c r="A982" s="209"/>
      <c r="B982" s="209"/>
      <c r="C982" s="209"/>
      <c r="D982" s="209" t="str">
        <f t="shared" si="3"/>
        <v>
</v>
      </c>
      <c r="E982" s="209"/>
      <c r="F982" s="209"/>
      <c r="G982" s="209"/>
      <c r="H982" s="209"/>
      <c r="I982" s="209"/>
      <c r="J982" s="209"/>
      <c r="K982" s="147"/>
      <c r="L982" s="147"/>
      <c r="M982" s="209"/>
      <c r="N982" s="209"/>
      <c r="O982" s="209"/>
      <c r="P982" s="209"/>
      <c r="Q982" s="209"/>
      <c r="R982" s="209"/>
      <c r="S982" s="209"/>
      <c r="T982" s="209"/>
      <c r="U982" s="209"/>
      <c r="V982" s="209"/>
      <c r="W982" s="209"/>
      <c r="X982" s="209"/>
      <c r="Y982" s="209"/>
      <c r="Z982" s="209"/>
      <c r="AA982" s="209"/>
      <c r="AB982" s="209"/>
      <c r="AC982" s="209"/>
      <c r="AD982" s="209"/>
      <c r="AE982" s="209"/>
    </row>
    <row r="983">
      <c r="A983" s="209"/>
      <c r="B983" s="209"/>
      <c r="C983" s="209"/>
      <c r="D983" s="209" t="str">
        <f t="shared" si="3"/>
        <v>
</v>
      </c>
      <c r="E983" s="209"/>
      <c r="F983" s="209"/>
      <c r="G983" s="209"/>
      <c r="H983" s="209"/>
      <c r="I983" s="209"/>
      <c r="J983" s="209"/>
      <c r="K983" s="147"/>
      <c r="L983" s="147"/>
      <c r="M983" s="209"/>
      <c r="N983" s="209"/>
      <c r="O983" s="209"/>
      <c r="P983" s="209"/>
      <c r="Q983" s="209"/>
      <c r="R983" s="209"/>
      <c r="S983" s="209"/>
      <c r="T983" s="209"/>
      <c r="U983" s="209"/>
      <c r="V983" s="209"/>
      <c r="W983" s="209"/>
      <c r="X983" s="209"/>
      <c r="Y983" s="209"/>
      <c r="Z983" s="209"/>
      <c r="AA983" s="209"/>
      <c r="AB983" s="209"/>
      <c r="AC983" s="209"/>
      <c r="AD983" s="209"/>
      <c r="AE983" s="209"/>
    </row>
    <row r="984">
      <c r="A984" s="209"/>
      <c r="B984" s="209"/>
      <c r="C984" s="209"/>
      <c r="D984" s="209" t="str">
        <f t="shared" si="3"/>
        <v>
</v>
      </c>
      <c r="E984" s="209"/>
      <c r="F984" s="209"/>
      <c r="G984" s="209"/>
      <c r="H984" s="209"/>
      <c r="I984" s="209"/>
      <c r="J984" s="209"/>
      <c r="K984" s="147"/>
      <c r="L984" s="147"/>
      <c r="M984" s="209"/>
      <c r="N984" s="209"/>
      <c r="O984" s="209"/>
      <c r="P984" s="209"/>
      <c r="Q984" s="209"/>
      <c r="R984" s="209"/>
      <c r="S984" s="209"/>
      <c r="T984" s="209"/>
      <c r="U984" s="209"/>
      <c r="V984" s="209"/>
      <c r="W984" s="209"/>
      <c r="X984" s="209"/>
      <c r="Y984" s="209"/>
      <c r="Z984" s="209"/>
      <c r="AA984" s="209"/>
      <c r="AB984" s="209"/>
      <c r="AC984" s="209"/>
      <c r="AD984" s="209"/>
      <c r="AE984" s="209"/>
    </row>
    <row r="985">
      <c r="A985" s="209"/>
      <c r="B985" s="209"/>
      <c r="C985" s="209"/>
      <c r="D985" s="209" t="str">
        <f t="shared" si="3"/>
        <v>
</v>
      </c>
      <c r="E985" s="209"/>
      <c r="F985" s="209"/>
      <c r="G985" s="209"/>
      <c r="H985" s="209"/>
      <c r="I985" s="209"/>
      <c r="J985" s="209"/>
      <c r="K985" s="147"/>
      <c r="L985" s="147"/>
      <c r="M985" s="209"/>
      <c r="N985" s="209"/>
      <c r="O985" s="209"/>
      <c r="P985" s="209"/>
      <c r="Q985" s="209"/>
      <c r="R985" s="209"/>
      <c r="S985" s="209"/>
      <c r="T985" s="209"/>
      <c r="U985" s="209"/>
      <c r="V985" s="209"/>
      <c r="W985" s="209"/>
      <c r="X985" s="209"/>
      <c r="Y985" s="209"/>
      <c r="Z985" s="209"/>
      <c r="AA985" s="209"/>
      <c r="AB985" s="209"/>
      <c r="AC985" s="209"/>
      <c r="AD985" s="209"/>
      <c r="AE985" s="209"/>
    </row>
    <row r="986">
      <c r="A986" s="209"/>
      <c r="B986" s="209"/>
      <c r="C986" s="209"/>
      <c r="D986" s="209" t="str">
        <f t="shared" si="3"/>
        <v>
</v>
      </c>
      <c r="E986" s="209"/>
      <c r="F986" s="209"/>
      <c r="G986" s="209"/>
      <c r="H986" s="209"/>
      <c r="I986" s="209"/>
      <c r="J986" s="209"/>
      <c r="K986" s="147"/>
      <c r="L986" s="147"/>
      <c r="M986" s="209"/>
      <c r="N986" s="209"/>
      <c r="O986" s="209"/>
      <c r="P986" s="209"/>
      <c r="Q986" s="209"/>
      <c r="R986" s="209"/>
      <c r="S986" s="209"/>
      <c r="T986" s="209"/>
      <c r="U986" s="209"/>
      <c r="V986" s="209"/>
      <c r="W986" s="209"/>
      <c r="X986" s="209"/>
      <c r="Y986" s="209"/>
      <c r="Z986" s="209"/>
      <c r="AA986" s="209"/>
      <c r="AB986" s="209"/>
      <c r="AC986" s="209"/>
      <c r="AD986" s="209"/>
      <c r="AE986" s="209"/>
    </row>
    <row r="987">
      <c r="A987" s="209"/>
      <c r="B987" s="209"/>
      <c r="C987" s="209"/>
      <c r="D987" s="209" t="str">
        <f t="shared" si="3"/>
        <v>
</v>
      </c>
      <c r="E987" s="209"/>
      <c r="F987" s="209"/>
      <c r="G987" s="209"/>
      <c r="H987" s="209"/>
      <c r="I987" s="209"/>
      <c r="J987" s="209"/>
      <c r="K987" s="147"/>
      <c r="L987" s="147"/>
      <c r="M987" s="209"/>
      <c r="N987" s="209"/>
      <c r="O987" s="209"/>
      <c r="P987" s="209"/>
      <c r="Q987" s="209"/>
      <c r="R987" s="209"/>
      <c r="S987" s="209"/>
      <c r="T987" s="209"/>
      <c r="U987" s="209"/>
      <c r="V987" s="209"/>
      <c r="W987" s="209"/>
      <c r="X987" s="209"/>
      <c r="Y987" s="209"/>
      <c r="Z987" s="209"/>
      <c r="AA987" s="209"/>
      <c r="AB987" s="209"/>
      <c r="AC987" s="209"/>
      <c r="AD987" s="209"/>
      <c r="AE987" s="209"/>
    </row>
    <row r="988">
      <c r="A988" s="209"/>
      <c r="B988" s="209"/>
      <c r="C988" s="209"/>
      <c r="D988" s="209" t="str">
        <f t="shared" si="3"/>
        <v>
</v>
      </c>
      <c r="E988" s="209"/>
      <c r="F988" s="209"/>
      <c r="G988" s="209"/>
      <c r="H988" s="209"/>
      <c r="I988" s="209"/>
      <c r="J988" s="209"/>
      <c r="K988" s="147"/>
      <c r="L988" s="147"/>
      <c r="M988" s="209"/>
      <c r="N988" s="209"/>
      <c r="O988" s="209"/>
      <c r="P988" s="209"/>
      <c r="Q988" s="209"/>
      <c r="R988" s="209"/>
      <c r="S988" s="209"/>
      <c r="T988" s="209"/>
      <c r="U988" s="209"/>
      <c r="V988" s="209"/>
      <c r="W988" s="209"/>
      <c r="X988" s="209"/>
      <c r="Y988" s="209"/>
      <c r="Z988" s="209"/>
      <c r="AA988" s="209"/>
      <c r="AB988" s="209"/>
      <c r="AC988" s="209"/>
      <c r="AD988" s="209"/>
      <c r="AE988" s="209"/>
    </row>
    <row r="989">
      <c r="A989" s="209"/>
      <c r="B989" s="209"/>
      <c r="C989" s="209"/>
      <c r="D989" s="209" t="str">
        <f t="shared" si="3"/>
        <v>
</v>
      </c>
      <c r="E989" s="209"/>
      <c r="F989" s="209"/>
      <c r="G989" s="209"/>
      <c r="H989" s="209"/>
      <c r="I989" s="209"/>
      <c r="J989" s="209"/>
      <c r="K989" s="147"/>
      <c r="L989" s="147"/>
      <c r="M989" s="209"/>
      <c r="N989" s="209"/>
      <c r="O989" s="209"/>
      <c r="P989" s="209"/>
      <c r="Q989" s="209"/>
      <c r="R989" s="209"/>
      <c r="S989" s="209"/>
      <c r="T989" s="209"/>
      <c r="U989" s="209"/>
      <c r="V989" s="209"/>
      <c r="W989" s="209"/>
      <c r="X989" s="209"/>
      <c r="Y989" s="209"/>
      <c r="Z989" s="209"/>
      <c r="AA989" s="209"/>
      <c r="AB989" s="209"/>
      <c r="AC989" s="209"/>
      <c r="AD989" s="209"/>
      <c r="AE989" s="209"/>
    </row>
    <row r="990">
      <c r="A990" s="209"/>
      <c r="B990" s="209"/>
      <c r="C990" s="209"/>
      <c r="D990" s="209" t="str">
        <f t="shared" si="3"/>
        <v>
</v>
      </c>
      <c r="E990" s="209"/>
      <c r="F990" s="209"/>
      <c r="G990" s="209"/>
      <c r="H990" s="209"/>
      <c r="I990" s="209"/>
      <c r="J990" s="209"/>
      <c r="K990" s="147"/>
      <c r="L990" s="147"/>
      <c r="M990" s="209"/>
      <c r="N990" s="209"/>
      <c r="O990" s="209"/>
      <c r="P990" s="209"/>
      <c r="Q990" s="209"/>
      <c r="R990" s="209"/>
      <c r="S990" s="209"/>
      <c r="T990" s="209"/>
      <c r="U990" s="209"/>
      <c r="V990" s="209"/>
      <c r="W990" s="209"/>
      <c r="X990" s="209"/>
      <c r="Y990" s="209"/>
      <c r="Z990" s="209"/>
      <c r="AA990" s="209"/>
      <c r="AB990" s="209"/>
      <c r="AC990" s="209"/>
      <c r="AD990" s="209"/>
      <c r="AE990" s="209"/>
    </row>
    <row r="991">
      <c r="A991" s="209"/>
      <c r="B991" s="209"/>
      <c r="C991" s="209"/>
      <c r="D991" s="209" t="str">
        <f t="shared" si="3"/>
        <v>
</v>
      </c>
      <c r="E991" s="209"/>
      <c r="F991" s="209"/>
      <c r="G991" s="209"/>
      <c r="H991" s="209"/>
      <c r="I991" s="209"/>
      <c r="J991" s="209"/>
      <c r="K991" s="147"/>
      <c r="L991" s="147"/>
      <c r="M991" s="209"/>
      <c r="N991" s="209"/>
      <c r="O991" s="209"/>
      <c r="P991" s="209"/>
      <c r="Q991" s="209"/>
      <c r="R991" s="209"/>
      <c r="S991" s="209"/>
      <c r="T991" s="209"/>
      <c r="U991" s="209"/>
      <c r="V991" s="209"/>
      <c r="W991" s="209"/>
      <c r="X991" s="209"/>
      <c r="Y991" s="209"/>
      <c r="Z991" s="209"/>
      <c r="AA991" s="209"/>
      <c r="AB991" s="209"/>
      <c r="AC991" s="209"/>
      <c r="AD991" s="209"/>
      <c r="AE991" s="209"/>
    </row>
    <row r="992">
      <c r="A992" s="209"/>
      <c r="B992" s="209"/>
      <c r="C992" s="209"/>
      <c r="D992" s="209" t="str">
        <f t="shared" si="3"/>
        <v>
</v>
      </c>
      <c r="E992" s="209"/>
      <c r="F992" s="209"/>
      <c r="G992" s="209"/>
      <c r="H992" s="209"/>
      <c r="I992" s="209"/>
      <c r="J992" s="209"/>
      <c r="K992" s="147"/>
      <c r="L992" s="147"/>
      <c r="M992" s="209"/>
      <c r="N992" s="209"/>
      <c r="O992" s="209"/>
      <c r="P992" s="209"/>
      <c r="Q992" s="209"/>
      <c r="R992" s="209"/>
      <c r="S992" s="209"/>
      <c r="T992" s="209"/>
      <c r="U992" s="209"/>
      <c r="V992" s="209"/>
      <c r="W992" s="209"/>
      <c r="X992" s="209"/>
      <c r="Y992" s="209"/>
      <c r="Z992" s="209"/>
      <c r="AA992" s="209"/>
      <c r="AB992" s="209"/>
      <c r="AC992" s="209"/>
      <c r="AD992" s="209"/>
      <c r="AE992" s="209"/>
    </row>
    <row r="993">
      <c r="A993" s="209"/>
      <c r="B993" s="209"/>
      <c r="C993" s="209"/>
      <c r="D993" s="209" t="str">
        <f t="shared" si="3"/>
        <v>
</v>
      </c>
      <c r="E993" s="209"/>
      <c r="F993" s="209"/>
      <c r="G993" s="209"/>
      <c r="H993" s="209"/>
      <c r="I993" s="209"/>
      <c r="J993" s="209"/>
      <c r="K993" s="147"/>
      <c r="L993" s="147"/>
      <c r="M993" s="209"/>
      <c r="N993" s="209"/>
      <c r="O993" s="209"/>
      <c r="P993" s="209"/>
      <c r="Q993" s="209"/>
      <c r="R993" s="209"/>
      <c r="S993" s="209"/>
      <c r="T993" s="209"/>
      <c r="U993" s="209"/>
      <c r="V993" s="209"/>
      <c r="W993" s="209"/>
      <c r="X993" s="209"/>
      <c r="Y993" s="209"/>
      <c r="Z993" s="209"/>
      <c r="AA993" s="209"/>
      <c r="AB993" s="209"/>
      <c r="AC993" s="209"/>
      <c r="AD993" s="209"/>
      <c r="AE993" s="209"/>
    </row>
  </sheetData>
  <autoFilter ref="$H$1:$H$993"/>
  <conditionalFormatting sqref="H2:H682 I17 I19:I37 I88:I136 I152:I164 I195:I224 I265:I277 I279:I305 I346:I393 I414:I435 I466:I502 F485 I554:I613 F628:G628 I630 I633:I634 I645:I682">
    <cfRule type="cellIs" dxfId="5" priority="1" operator="equal">
      <formula>"TRUE"</formula>
    </cfRule>
  </conditionalFormatting>
  <conditionalFormatting sqref="H2:H37 I17 I19:I37 H278">
    <cfRule type="cellIs" dxfId="5" priority="2" operator="equal">
      <formula>"TRUE"</formula>
    </cfRule>
  </conditionalFormatting>
  <dataValidations>
    <dataValidation type="list" allowBlank="1" showErrorMessage="1" sqref="H38:H136">
      <formula1>"Graph1,Graph2,Graph3,Graph4,Graph5,GraphPoster,Graph6,Graph7,Graph8,Graph9,Graph10"</formula1>
    </dataValidation>
    <dataValidation type="list" allowBlank="1" showErrorMessage="1" sqref="I265:I277 I279:I305">
      <formula1>"SemanticsPoster1,SemanticsPoster2,SemanticsPoster3,SemanticsPoster4,SemanticsPoster5"</formula1>
    </dataValidation>
    <dataValidation type="list" allowBlank="1" showErrorMessage="1" sqref="H306:H340 H342:H393">
      <formula1>"Security1,Security2,Security3,SecurityPoster,Security4,Security5,Security6,Security7,Security8"</formula1>
    </dataValidation>
    <dataValidation type="list" allowBlank="1" showErrorMessage="1" sqref="I17 I19:I37">
      <formula1>"EconPoster1,EconPoster2,EconPoster3"</formula1>
    </dataValidation>
    <dataValidation type="list" allowBlank="1" showErrorMessage="1" sqref="I466:I484 I486:I502">
      <formula1>"SystemsPoster1,SystemsPoster2,SystemsPoster3,SystemsPoster4,SystemsPoster5"</formula1>
    </dataValidation>
    <dataValidation type="list" allowBlank="1" showErrorMessage="1" sqref="H503:H513 H515:H613">
      <formula1>"RecSys1,RecSys2,RecSys3,RecSys4,RecSys5,RecSys6,RecSys7,RecSys8,RecSys9,RecSys10,RecSysPoster"</formula1>
    </dataValidation>
    <dataValidation type="list" allowBlank="1" showErrorMessage="1" sqref="H225:H277 H279:H305">
      <formula1>"Semantics1,Semantics2,Semantics3,Semantics4,Semantics5,Semantics6,Semantics7,Semantics8,SemanticsPoster,BPC"</formula1>
    </dataValidation>
    <dataValidation type="list" allowBlank="1" showErrorMessage="1" sqref="I152:I164">
      <formula1>"RespWebPoster4,RespWebPoster5"</formula1>
    </dataValidation>
    <dataValidation type="list" allowBlank="1" showErrorMessage="1" sqref="I346:I393">
      <formula1>"SecurityPoster1,SecurityPoster2,SecurityPoster3,SecurityPoster4,SecurityPoster5"</formula1>
    </dataValidation>
    <dataValidation type="list" allowBlank="1" showErrorMessage="1" sqref="I485">
      <formula1>"SystemsPoster1,SystemsPoster2,SystemsPoster3,SystemsPoster4,SystemsPoster5,Cancelled"</formula1>
    </dataValidation>
    <dataValidation type="list" allowBlank="1" showErrorMessage="1" sqref="H142:H148 H150:H151">
      <formula1>"RespWeb1,RespWeb2,RespWebPoster,RepWeb3"</formula1>
    </dataValidation>
    <dataValidation type="list" allowBlank="1" showErrorMessage="1" sqref="H436:H484 H486:H502">
      <formula1>"Systems1,Systems2,Systems3,SystemsPoster,Systems4,Systems5,Systems6"</formula1>
    </dataValidation>
    <dataValidation type="list" allowBlank="1" showErrorMessage="1" sqref="H2:H17 H19:H37">
      <formula1>"Econ1,Econ2,Econ3,EconPoster,BPC"</formula1>
    </dataValidation>
    <dataValidation type="list" allowBlank="1" showErrorMessage="1" sqref="I630 I633 I645 I647:I682">
      <formula1>"MiningPoster1,MiningPoster2,MiningPoster3,MiningPoster4,MiningPoster5"</formula1>
    </dataValidation>
    <dataValidation type="list" allowBlank="1" showErrorMessage="1" sqref="I88:I136">
      <formula1>"GraphPoster1,GraphPoster2,GraphPoster3,GraphPoster4,GraphPoster5"</formula1>
    </dataValidation>
    <dataValidation type="list" allowBlank="1" showErrorMessage="1" sqref="H394:H435">
      <formula1>"Social1,Social2,Social3,Social4,SocialPoster"</formula1>
    </dataValidation>
    <dataValidation type="list" allowBlank="1" showErrorMessage="1" sqref="H341">
      <formula1>"Security1,Security2,Security3,Security4,Security5,Security6,Security7,Security8,Poster"</formula1>
    </dataValidation>
    <dataValidation type="list" allowBlank="1" showErrorMessage="1" sqref="I554:I613">
      <formula1>"RecSysPoster1,RecSysPoster2,RecSysPoster3,RecSysPoster4,RecSysPoster5"</formula1>
    </dataValidation>
    <dataValidation type="list" allowBlank="1" showErrorMessage="1" sqref="H18 H165:H224 H278">
      <formula1>"Search1,Search2,SearchPoster,Search3,Search4,Search5,Search6,BPC"</formula1>
    </dataValidation>
    <dataValidation type="list" allowBlank="1" showErrorMessage="1" sqref="H137:H141 H149 H152:H164">
      <formula1>"RespWeb1,RespWeb2,RespWebPoster,RespWeb3"</formula1>
    </dataValidation>
    <dataValidation type="list" allowBlank="1" showErrorMessage="1" sqref="I195:I224">
      <formula1>"SearchPoster1,SearchPoster2,SearchPoster3,SearchPoster4,SearchPoster5"</formula1>
    </dataValidation>
    <dataValidation type="list" allowBlank="1" showErrorMessage="1" sqref="F485 H485">
      <formula1>"Systems1,Systems2,Systems3,SystemsPoster,Systems4,Systems5,Systems6,Cancelled"</formula1>
    </dataValidation>
    <dataValidation type="list" allowBlank="1" showErrorMessage="1" sqref="I414:I435">
      <formula1>"SocialPoster1,SocialPoster2,SocialPoster3,SocialPoster4"</formula1>
    </dataValidation>
    <dataValidation type="list" allowBlank="1" showErrorMessage="1" sqref="H614:H627 F628:H628 H629:H645 H647:H682">
      <formula1>"Mining1,Mining2,Mining3,Mining4,MiningPoster,Mining5,Mining6,Canceled"</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1.0" topLeftCell="A12" activePane="bottomLeft" state="frozen"/>
      <selection activeCell="B13" sqref="B13" pane="bottomLeft"/>
    </sheetView>
  </sheetViews>
  <sheetFormatPr customHeight="1" defaultColWidth="12.63" defaultRowHeight="15.75"/>
  <cols>
    <col customWidth="1" min="2" max="2" width="101.38"/>
    <col customWidth="1" min="4" max="4" width="82.0"/>
    <col customWidth="1" min="5" max="5" width="78.5"/>
    <col customWidth="1" min="6" max="7" width="38.25"/>
    <col customWidth="1" min="8" max="8" width="22.13"/>
  </cols>
  <sheetData>
    <row r="1">
      <c r="A1" s="203" t="s">
        <v>2843</v>
      </c>
      <c r="B1" s="203" t="s">
        <v>2844</v>
      </c>
      <c r="C1" s="203" t="s">
        <v>2845</v>
      </c>
      <c r="D1" s="203"/>
      <c r="E1" s="218"/>
      <c r="F1" s="218"/>
      <c r="G1" s="218"/>
      <c r="H1" s="219" t="s">
        <v>2939</v>
      </c>
      <c r="I1" s="205" t="s">
        <v>2940</v>
      </c>
      <c r="J1" s="220"/>
      <c r="K1" s="220"/>
      <c r="L1" s="220"/>
      <c r="M1" s="220"/>
      <c r="N1" s="220"/>
      <c r="O1" s="220"/>
      <c r="P1" s="220"/>
      <c r="Q1" s="220"/>
      <c r="R1" s="220"/>
      <c r="S1" s="220"/>
      <c r="T1" s="220"/>
      <c r="U1" s="220"/>
      <c r="V1" s="220"/>
      <c r="W1" s="220"/>
      <c r="X1" s="220"/>
      <c r="Y1" s="220"/>
      <c r="Z1" s="220"/>
      <c r="AA1" s="220"/>
      <c r="AB1" s="220"/>
      <c r="AC1" s="220"/>
      <c r="AD1" s="220"/>
    </row>
    <row r="2">
      <c r="A2" s="221" t="s">
        <v>84</v>
      </c>
      <c r="B2" s="221" t="s">
        <v>258</v>
      </c>
      <c r="C2" s="218">
        <v>5.0</v>
      </c>
      <c r="D2" s="218"/>
      <c r="E2" s="218"/>
      <c r="F2" s="218"/>
      <c r="G2" s="218"/>
      <c r="H2" s="222" t="s">
        <v>259</v>
      </c>
      <c r="I2" s="217"/>
      <c r="J2" s="220"/>
      <c r="K2" s="220"/>
      <c r="L2" s="220"/>
      <c r="M2" s="220"/>
      <c r="N2" s="220"/>
      <c r="O2" s="220"/>
      <c r="P2" s="220"/>
      <c r="Q2" s="220"/>
      <c r="R2" s="220"/>
      <c r="S2" s="220"/>
      <c r="T2" s="220"/>
      <c r="U2" s="220"/>
      <c r="V2" s="220"/>
      <c r="W2" s="220"/>
      <c r="X2" s="220"/>
      <c r="Y2" s="220"/>
      <c r="Z2" s="220"/>
      <c r="AA2" s="220"/>
      <c r="AB2" s="220"/>
      <c r="AC2" s="220"/>
      <c r="AD2" s="220"/>
    </row>
    <row r="3">
      <c r="A3" s="221" t="s">
        <v>85</v>
      </c>
      <c r="B3" s="221" t="s">
        <v>213</v>
      </c>
      <c r="C3" s="218">
        <v>5.0</v>
      </c>
      <c r="D3" s="218"/>
      <c r="E3" s="218"/>
      <c r="F3" s="218"/>
      <c r="G3" s="218"/>
      <c r="H3" s="222" t="s">
        <v>2941</v>
      </c>
      <c r="I3" s="217"/>
      <c r="J3" s="220"/>
      <c r="K3" s="220"/>
      <c r="L3" s="220"/>
      <c r="M3" s="220"/>
      <c r="N3" s="220"/>
      <c r="O3" s="220"/>
      <c r="P3" s="220"/>
      <c r="Q3" s="220"/>
      <c r="R3" s="220"/>
      <c r="S3" s="220"/>
      <c r="T3" s="220"/>
      <c r="U3" s="220"/>
      <c r="V3" s="220"/>
      <c r="W3" s="220"/>
      <c r="X3" s="220"/>
      <c r="Y3" s="220"/>
      <c r="Z3" s="220"/>
      <c r="AA3" s="220"/>
      <c r="AB3" s="220"/>
      <c r="AC3" s="220"/>
      <c r="AD3" s="220"/>
    </row>
    <row r="4">
      <c r="A4" s="221" t="s">
        <v>108</v>
      </c>
      <c r="B4" s="221" t="s">
        <v>261</v>
      </c>
      <c r="C4" s="218">
        <v>5.0</v>
      </c>
      <c r="D4" s="218"/>
      <c r="E4" s="218"/>
      <c r="F4" s="218"/>
      <c r="G4" s="218"/>
      <c r="H4" s="222" t="s">
        <v>262</v>
      </c>
      <c r="I4" s="217"/>
      <c r="J4" s="220"/>
      <c r="K4" s="220"/>
      <c r="L4" s="220"/>
      <c r="M4" s="220"/>
      <c r="N4" s="220"/>
      <c r="O4" s="220"/>
      <c r="P4" s="220"/>
      <c r="Q4" s="220"/>
      <c r="R4" s="220"/>
      <c r="S4" s="220"/>
      <c r="T4" s="220"/>
      <c r="U4" s="220"/>
      <c r="V4" s="220"/>
      <c r="W4" s="220"/>
      <c r="X4" s="220"/>
      <c r="Y4" s="220"/>
      <c r="Z4" s="220"/>
      <c r="AA4" s="220"/>
      <c r="AB4" s="220"/>
      <c r="AC4" s="220"/>
      <c r="AD4" s="220"/>
    </row>
    <row r="5">
      <c r="A5" s="221" t="s">
        <v>141</v>
      </c>
      <c r="B5" s="221" t="s">
        <v>264</v>
      </c>
      <c r="C5" s="218">
        <v>5.0</v>
      </c>
      <c r="D5" s="218"/>
      <c r="E5" s="218"/>
      <c r="F5" s="218"/>
      <c r="G5" s="218"/>
      <c r="H5" s="222" t="s">
        <v>265</v>
      </c>
      <c r="I5" s="217"/>
      <c r="J5" s="220"/>
      <c r="K5" s="220"/>
      <c r="L5" s="220"/>
      <c r="M5" s="220"/>
      <c r="N5" s="220"/>
      <c r="O5" s="220"/>
      <c r="P5" s="220"/>
      <c r="Q5" s="220"/>
      <c r="R5" s="220"/>
      <c r="S5" s="220"/>
      <c r="T5" s="220"/>
      <c r="U5" s="220"/>
      <c r="V5" s="220"/>
      <c r="W5" s="220"/>
      <c r="X5" s="220"/>
      <c r="Y5" s="220"/>
      <c r="Z5" s="220"/>
      <c r="AA5" s="220"/>
      <c r="AB5" s="220"/>
      <c r="AC5" s="220"/>
      <c r="AD5" s="220"/>
    </row>
    <row r="6">
      <c r="A6" s="221" t="s">
        <v>142</v>
      </c>
      <c r="B6" s="221" t="s">
        <v>267</v>
      </c>
      <c r="C6" s="218">
        <v>5.0</v>
      </c>
      <c r="D6" s="218"/>
      <c r="E6" s="218"/>
      <c r="F6" s="218"/>
      <c r="G6" s="218"/>
      <c r="H6" s="222" t="s">
        <v>268</v>
      </c>
      <c r="I6" s="217"/>
      <c r="J6" s="220"/>
      <c r="K6" s="220"/>
      <c r="L6" s="220"/>
      <c r="M6" s="220"/>
      <c r="N6" s="220"/>
      <c r="O6" s="220"/>
      <c r="P6" s="220"/>
      <c r="Q6" s="220"/>
      <c r="R6" s="220"/>
      <c r="S6" s="220"/>
      <c r="T6" s="220"/>
      <c r="U6" s="220"/>
      <c r="V6" s="220"/>
      <c r="W6" s="220"/>
      <c r="X6" s="220"/>
      <c r="Y6" s="220"/>
      <c r="Z6" s="220"/>
      <c r="AA6" s="220"/>
      <c r="AB6" s="220"/>
      <c r="AC6" s="220"/>
      <c r="AD6" s="220"/>
    </row>
    <row r="7">
      <c r="A7" s="221" t="s">
        <v>164</v>
      </c>
      <c r="B7" s="221" t="s">
        <v>270</v>
      </c>
      <c r="C7" s="218">
        <v>5.0</v>
      </c>
      <c r="D7" s="218"/>
      <c r="E7" s="218"/>
      <c r="F7" s="218"/>
      <c r="G7" s="218"/>
      <c r="H7" s="222" t="s">
        <v>2942</v>
      </c>
      <c r="I7" s="217" t="s">
        <v>2943</v>
      </c>
      <c r="J7" s="220"/>
      <c r="K7" s="220"/>
      <c r="L7" s="220"/>
      <c r="M7" s="220"/>
      <c r="N7" s="220"/>
      <c r="O7" s="220"/>
      <c r="P7" s="220"/>
      <c r="Q7" s="220"/>
      <c r="R7" s="220"/>
      <c r="S7" s="220"/>
      <c r="T7" s="220"/>
      <c r="U7" s="220"/>
      <c r="V7" s="220"/>
      <c r="W7" s="220"/>
      <c r="X7" s="220"/>
      <c r="Y7" s="220"/>
      <c r="Z7" s="220"/>
      <c r="AA7" s="220"/>
      <c r="AB7" s="220"/>
      <c r="AC7" s="220"/>
      <c r="AD7" s="220"/>
    </row>
    <row r="8">
      <c r="A8" s="221" t="s">
        <v>184</v>
      </c>
      <c r="B8" s="221" t="s">
        <v>273</v>
      </c>
      <c r="C8" s="218">
        <v>5.0</v>
      </c>
      <c r="D8" s="218"/>
      <c r="E8" s="218"/>
      <c r="F8" s="218"/>
      <c r="G8" s="218"/>
      <c r="H8" s="222" t="s">
        <v>2944</v>
      </c>
      <c r="I8" s="223" t="s">
        <v>2945</v>
      </c>
      <c r="J8" s="220"/>
      <c r="K8" s="220"/>
      <c r="L8" s="220"/>
      <c r="M8" s="220"/>
      <c r="N8" s="220"/>
      <c r="O8" s="220"/>
      <c r="P8" s="220"/>
      <c r="Q8" s="220"/>
      <c r="R8" s="220"/>
      <c r="S8" s="220"/>
      <c r="T8" s="220"/>
      <c r="U8" s="220"/>
      <c r="V8" s="220"/>
      <c r="W8" s="220"/>
      <c r="X8" s="220"/>
      <c r="Y8" s="220"/>
      <c r="Z8" s="220"/>
      <c r="AA8" s="220"/>
      <c r="AB8" s="220"/>
      <c r="AC8" s="220"/>
      <c r="AD8" s="220"/>
    </row>
    <row r="9">
      <c r="A9" s="221" t="s">
        <v>210</v>
      </c>
      <c r="B9" s="221" t="s">
        <v>276</v>
      </c>
      <c r="C9" s="218">
        <v>5.0</v>
      </c>
      <c r="D9" s="218"/>
      <c r="E9" s="218"/>
      <c r="F9" s="218"/>
      <c r="G9" s="218"/>
      <c r="H9" s="222" t="s">
        <v>274</v>
      </c>
      <c r="I9" s="223" t="s">
        <v>2946</v>
      </c>
      <c r="J9" s="220"/>
      <c r="K9" s="220"/>
      <c r="L9" s="220"/>
      <c r="M9" s="220"/>
      <c r="N9" s="220"/>
      <c r="O9" s="220"/>
      <c r="P9" s="220"/>
      <c r="Q9" s="220"/>
      <c r="R9" s="220"/>
      <c r="S9" s="220"/>
      <c r="T9" s="220"/>
      <c r="U9" s="220"/>
      <c r="V9" s="220"/>
      <c r="W9" s="220"/>
      <c r="X9" s="220"/>
      <c r="Y9" s="220"/>
      <c r="Z9" s="220"/>
      <c r="AA9" s="220"/>
      <c r="AB9" s="220"/>
      <c r="AC9" s="220"/>
      <c r="AD9" s="220"/>
    </row>
    <row r="10">
      <c r="A10" s="221" t="s">
        <v>2857</v>
      </c>
      <c r="B10" s="204"/>
      <c r="C10" s="218">
        <v>17.0</v>
      </c>
      <c r="D10" s="218"/>
      <c r="E10" s="218"/>
      <c r="F10" s="218"/>
      <c r="G10" s="218"/>
      <c r="H10" s="204"/>
      <c r="I10" s="204"/>
      <c r="J10" s="220"/>
      <c r="K10" s="220"/>
      <c r="L10" s="220"/>
      <c r="M10" s="220"/>
      <c r="N10" s="220"/>
      <c r="O10" s="220"/>
      <c r="P10" s="220"/>
      <c r="Q10" s="220"/>
      <c r="R10" s="220"/>
      <c r="S10" s="220"/>
      <c r="T10" s="220"/>
      <c r="U10" s="220"/>
      <c r="V10" s="220"/>
      <c r="W10" s="220"/>
      <c r="X10" s="220"/>
      <c r="Y10" s="220"/>
      <c r="Z10" s="220"/>
      <c r="AA10" s="220"/>
      <c r="AB10" s="220"/>
      <c r="AC10" s="220"/>
      <c r="AD10" s="220"/>
    </row>
    <row r="11">
      <c r="A11" s="203" t="s">
        <v>2947</v>
      </c>
      <c r="B11" s="203" t="s">
        <v>2948</v>
      </c>
      <c r="C11" s="203" t="s">
        <v>2949</v>
      </c>
      <c r="D11" s="203" t="s">
        <v>2950</v>
      </c>
      <c r="E11" s="224" t="s">
        <v>2927</v>
      </c>
      <c r="F11" s="203" t="s">
        <v>2928</v>
      </c>
      <c r="G11" s="203" t="s">
        <v>2951</v>
      </c>
      <c r="H11" s="203" t="s">
        <v>2952</v>
      </c>
      <c r="I11" s="204"/>
      <c r="J11" s="220"/>
      <c r="K11" s="220"/>
      <c r="L11" s="220"/>
      <c r="M11" s="220"/>
      <c r="N11" s="220"/>
      <c r="O11" s="220"/>
      <c r="P11" s="220"/>
      <c r="Q11" s="220"/>
      <c r="R11" s="220"/>
      <c r="S11" s="220"/>
      <c r="T11" s="220"/>
      <c r="U11" s="220"/>
      <c r="V11" s="220"/>
      <c r="W11" s="220"/>
      <c r="X11" s="220"/>
      <c r="Y11" s="220"/>
      <c r="Z11" s="220"/>
      <c r="AA11" s="220"/>
      <c r="AB11" s="220"/>
      <c r="AC11" s="220"/>
      <c r="AD11" s="220"/>
    </row>
    <row r="12">
      <c r="A12" s="225" t="s">
        <v>2869</v>
      </c>
      <c r="B12" s="135" t="s">
        <v>1897</v>
      </c>
      <c r="C12" s="135" t="s">
        <v>1896</v>
      </c>
      <c r="D12" s="135" t="str">
        <f t="shared" ref="D12:D68" si="1">concatenate(B12,char(10),E12,char(10))</f>
        <v>FRiskGPT: A Generative Foundation Model for Financial Risk Detection
Zhongjian Zhang, Mengmei Zhang, Dehua Xu, Rongjun Shi, Jianfeng Liu, Fuli Meng, Huajian Xu, Xiao Wang, Ruijia Wang, Junze Chen, Minwei Tang and Chuan Shi
</v>
      </c>
      <c r="E12" s="135" t="str">
        <f>IFERROR(__xludf.DUMMYFUNCTION("TEXTJOIN(CHAR(10), TRUE,FILTER('Industry Papers'!$D:$D,'Industry Papers'!$A:$A=C12))"),"Zhongjian Zhang, Mengmei Zhang, Dehua Xu, Rongjun Shi, Jianfeng Liu, Fuli Meng, Huajian Xu, Xiao Wang, Ruijia Wang, Junze Chen, Minwei Tang and Chuan Shi")</f>
        <v>Zhongjian Zhang, Mengmei Zhang, Dehua Xu, Rongjun Shi, Jianfeng Liu, Fuli Meng, Huajian Xu, Xiao Wang, Ruijia Wang, Junze Chen, Minwei Tang and Chuan Shi</v>
      </c>
      <c r="F12" s="135" t="str">
        <f>IFERROR(__xludf.DUMMYFUNCTION("TEXTJOIN(CHAR(10), TRUE,FILTER ('Sheridan Main'!E:E,'Sheridan Main'!B:B=C12))"),"zhangmengmei@bestpay.com.cn")</f>
        <v>zhangmengmei@bestpay.com.cn</v>
      </c>
      <c r="G12" s="226" t="str">
        <f>IFERROR(__xludf.DUMMYFUNCTION("CONCATENATE(""https://dl.acm.org/doi/"",INDEX(FILTER('Sheridan Main'!A:A,'Sheridan Main'!B:B=C12),1))"),"https://dl.acm.org/doi/10.1145/3774904.3792832")</f>
        <v>https://dl.acm.org/doi/10.1145/3774904.3792832</v>
      </c>
      <c r="H12" s="227" t="s">
        <v>84</v>
      </c>
      <c r="I12" s="147"/>
    </row>
    <row r="13">
      <c r="A13" s="225" t="s">
        <v>2869</v>
      </c>
      <c r="B13" s="135" t="s">
        <v>1823</v>
      </c>
      <c r="C13" s="135" t="s">
        <v>1822</v>
      </c>
      <c r="D13" s="135" t="str">
        <f t="shared" si="1"/>
        <v>VeritasFi: An Adaptable, Multi-tiered RAG Framework for Multi-modal Financial Question Answering
Zhenghan Tai, Hanwei Wu, Qingchen Hu, Jijun Chi, Hailin He, Lei Ding, Tung Sum Thomas Kwok, Bohuai Xiao, Yuchen Hua, Suyuchen Wang, Peng Lu, Muzhi Li, Yihong Wu, Liheng Ma, Jerry Huang, Jiayi Zhang, Gonghao Zhang, Chaolong Jiang, Jingrui Tian, Sicheng Lyu, Zeyu Li, Boyu Han, Fengran Mo, Xinyue Yu, Yufei Cui, Ling Zhou and Xinyu Wang
</v>
      </c>
      <c r="E13" s="135" t="str">
        <f>IFERROR(__xludf.DUMMYFUNCTION("TEXTJOIN(CHAR(10), TRUE,FILTER('Industry Papers'!$D:$D,'Industry Papers'!$A:$A=C13))"),"Zhenghan Tai, Hanwei Wu, Qingchen Hu, Jijun Chi, Hailin He, Lei Ding, Tung Sum Thomas Kwok, Bohuai Xiao, Yuchen Hua, Suyuchen Wang, Peng Lu, Muzhi Li, Yihong Wu, Liheng Ma, Jerry Huang, Jiayi Zhang, Gonghao Zhang, Chaolong Jiang, Jingrui Tian, Sicheng Lyu"&amp;", Zeyu Li, Boyu Han, Fengran Mo, Xinyue Yu, Yufei Cui, Ling Zhou and Xinyu Wang")</f>
        <v>Zhenghan Tai, Hanwei Wu, Qingchen Hu, Jijun Chi, Hailin He, Lei Ding, Tung Sum Thomas Kwok, Bohuai Xiao, Yuchen Hua, Suyuchen Wang, Peng Lu, Muzhi Li, Yihong Wu, Liheng Ma, Jerry Huang, Jiayi Zhang, Gonghao Zhang, Chaolong Jiang, Jingrui Tian, Sicheng Lyu, Zeyu Li, Boyu Han, Fengran Mo, Xinyue Yu, Yufei Cui, Ling Zhou and Xinyu Wang</v>
      </c>
      <c r="F13" s="135" t="str">
        <f>IFERROR(__xludf.DUMMYFUNCTION("TEXTJOIN(CHAR(10), TRUE,FILTER ('Sheridan Main'!E:E,'Sheridan Main'!B:B=C13))"),"xinyu.wang5@mail.mcgill.ca")</f>
        <v>xinyu.wang5@mail.mcgill.ca</v>
      </c>
      <c r="G13" s="226" t="str">
        <f>IFERROR(__xludf.DUMMYFUNCTION("CONCATENATE(""https://dl.acm.org/doi/"",INDEX(FILTER('Sheridan Main'!A:A,'Sheridan Main'!B:B=C13),1))"),"https://dl.acm.org/doi/10.1145/3774904.3792795")</f>
        <v>https://dl.acm.org/doi/10.1145/3774904.3792795</v>
      </c>
      <c r="H13" s="227" t="s">
        <v>84</v>
      </c>
      <c r="I13" s="147"/>
    </row>
    <row r="14">
      <c r="A14" s="225" t="s">
        <v>2869</v>
      </c>
      <c r="B14" s="135" t="s">
        <v>1875</v>
      </c>
      <c r="C14" s="135" t="s">
        <v>1874</v>
      </c>
      <c r="D14" s="135" t="str">
        <f t="shared" si="1"/>
        <v>When Agents Trade: Live Multi-Market Trading Arena for LLM Agents
Lingfei Qian, Xueqing Peng, Hanley Smith, Yi Han, Yueru He, Haohang Li, Yupeng Cao, Yangyang Yu, Guojun Xiong, Peng Lu, Yan Wang, Vincent Jim Zhang, Huan He, Alejandro Lopez-Lira, Jimin Huang, Jian-Yun Nie and Sophia Ananiadou
</v>
      </c>
      <c r="E14" s="135" t="str">
        <f>IFERROR(__xludf.DUMMYFUNCTION("TEXTJOIN(CHAR(10), TRUE,FILTER('Industry Papers'!$D:$D,'Industry Papers'!$A:$A=C14))"),"Lingfei Qian, Xueqing Peng, Hanley Smith, Yi Han, Yueru He, Haohang Li, Yupeng Cao, Yangyang Yu, Guojun Xiong, Peng Lu, Yan Wang, Vincent Jim Zhang, Huan He, Alejandro Lopez-Lira, Jimin Huang, Jian-Yun Nie and Sophia Ananiadou")</f>
        <v>Lingfei Qian, Xueqing Peng, Hanley Smith, Yi Han, Yueru He, Haohang Li, Yupeng Cao, Yangyang Yu, Guojun Xiong, Peng Lu, Yan Wang, Vincent Jim Zhang, Huan He, Alejandro Lopez-Lira, Jimin Huang, Jian-Yun Nie and Sophia Ananiadou</v>
      </c>
      <c r="F14" s="135" t="str">
        <f>IFERROR(__xludf.DUMMYFUNCTION("TEXTJOIN(CHAR(10), TRUE,FILTER ('Sheridan Main'!E:E,'Sheridan Main'!B:B=C14))"),"jimin.huang@thefin.ai")</f>
        <v>jimin.huang@thefin.ai</v>
      </c>
      <c r="G14" s="226" t="str">
        <f>IFERROR(__xludf.DUMMYFUNCTION("CONCATENATE(""https://dl.acm.org/doi/"",INDEX(FILTER('Sheridan Main'!A:A,'Sheridan Main'!B:B=C14),1))"),"https://dl.acm.org/doi/10.1145/3774904.3792821")</f>
        <v>https://dl.acm.org/doi/10.1145/3774904.3792821</v>
      </c>
      <c r="H14" s="227" t="s">
        <v>84</v>
      </c>
      <c r="I14" s="147"/>
    </row>
    <row r="15">
      <c r="A15" s="225" t="s">
        <v>2869</v>
      </c>
      <c r="B15" s="135" t="s">
        <v>1911</v>
      </c>
      <c r="C15" s="135" t="s">
        <v>1910</v>
      </c>
      <c r="D15" s="135" t="str">
        <f t="shared" si="1"/>
        <v>Financial Wind Tunnel: A Retrieval-Augmented Market Simulator
Bokai Cao, Xueyuan Lin, Yiyan Qi, Chengjin Xu, Cehao Yang and Jian Guo
</v>
      </c>
      <c r="E15" s="135" t="str">
        <f>IFERROR(__xludf.DUMMYFUNCTION("TEXTJOIN(CHAR(10), TRUE,FILTER('Industry Papers'!$D:$D,'Industry Papers'!$A:$A=C15))"),"Bokai Cao, Xueyuan Lin, Yiyan Qi, Chengjin Xu, Cehao Yang and Jian Guo")</f>
        <v>Bokai Cao, Xueyuan Lin, Yiyan Qi, Chengjin Xu, Cehao Yang and Jian Guo</v>
      </c>
      <c r="F15" s="135" t="str">
        <f>IFERROR(__xludf.DUMMYFUNCTION("TEXTJOIN(CHAR(10), TRUE,FILTER ('Sheridan Main'!E:E,'Sheridan Main'!B:B=C15))"),"mabkcao@connect.hkust-gz.edu.cn")</f>
        <v>mabkcao@connect.hkust-gz.edu.cn</v>
      </c>
      <c r="G15" s="226" t="str">
        <f>IFERROR(__xludf.DUMMYFUNCTION("CONCATENATE(""https://dl.acm.org/doi/"",INDEX(FILTER('Sheridan Main'!A:A,'Sheridan Main'!B:B=C15),1))"),"https://dl.acm.org/doi/10.1145/3774904.3792839")</f>
        <v>https://dl.acm.org/doi/10.1145/3774904.3792839</v>
      </c>
      <c r="H15" s="227" t="s">
        <v>84</v>
      </c>
      <c r="I15" s="147"/>
    </row>
    <row r="16">
      <c r="A16" s="225" t="s">
        <v>2869</v>
      </c>
      <c r="B16" s="135" t="s">
        <v>1899</v>
      </c>
      <c r="C16" s="135" t="s">
        <v>1898</v>
      </c>
      <c r="D16" s="135" t="str">
        <f t="shared" si="1"/>
        <v>FishFlow: A LLM-Empowered Dynamic Pricing Framework for Online Fleamarket Platform
Kakam Chong, Xu Yan, Shuai Xiao, Ming Chen, Chen Ju, Fei Huang, Yuantao Gu, Shuguang Han and Jufeng Chen
</v>
      </c>
      <c r="E16" s="135" t="str">
        <f>IFERROR(__xludf.DUMMYFUNCTION("TEXTJOIN(CHAR(10), TRUE,FILTER('Industry Papers'!$D:$D,'Industry Papers'!$A:$A=C16))"),"Kakam Chong, Xu Yan, Shuai Xiao, Ming Chen, Chen Ju, Fei Huang, Yuantao Gu, Shuguang Han and Jufeng Chen")</f>
        <v>Kakam Chong, Xu Yan, Shuai Xiao, Ming Chen, Chen Ju, Fei Huang, Yuantao Gu, Shuguang Han and Jufeng Chen</v>
      </c>
      <c r="F16" s="135" t="str">
        <f>IFERROR(__xludf.DUMMYFUNCTION("TEXTJOIN(CHAR(10), TRUE,FILTER ('Sheridan Main'!E:E,'Sheridan Main'!B:B=C16))"),"shuai.xsh@alibaba-inc.com")</f>
        <v>shuai.xsh@alibaba-inc.com</v>
      </c>
      <c r="G16" s="226" t="str">
        <f>IFERROR(__xludf.DUMMYFUNCTION("CONCATENATE(""https://dl.acm.org/doi/"",INDEX(FILTER('Sheridan Main'!A:A,'Sheridan Main'!B:B=C16),1))"),"https://dl.acm.org/doi/10.1145/3774904.3792833")</f>
        <v>https://dl.acm.org/doi/10.1145/3774904.3792833</v>
      </c>
      <c r="H16" s="227" t="s">
        <v>84</v>
      </c>
      <c r="I16" s="147"/>
    </row>
    <row r="17">
      <c r="A17" s="225" t="s">
        <v>2869</v>
      </c>
      <c r="B17" s="135" t="s">
        <v>1919</v>
      </c>
      <c r="C17" s="135" t="s">
        <v>1918</v>
      </c>
      <c r="D17" s="135" t="str">
        <f t="shared" si="1"/>
        <v>Hierarchical Semantic RL: Tackling the Problem of Dynamic Action Space for RL-based Recommendations
Minmao Wang, Xingchen Liu, Shijie Yi, Likang Wu, Hongke Zhao, Fei Pan, Qingpeng Cai and Peng Jiang
</v>
      </c>
      <c r="E17" s="135" t="str">
        <f>IFERROR(__xludf.DUMMYFUNCTION("TEXTJOIN(CHAR(10), TRUE,FILTER('Industry Papers'!$D:$D,'Industry Papers'!$A:$A=C17))"),"Minmao Wang, Xingchen Liu, Shijie Yi, Likang Wu, Hongke Zhao, Fei Pan, Qingpeng Cai and Peng Jiang")</f>
        <v>Minmao Wang, Xingchen Liu, Shijie Yi, Likang Wu, Hongke Zhao, Fei Pan, Qingpeng Cai and Peng Jiang</v>
      </c>
      <c r="F17" s="135" t="str">
        <f>IFERROR(__xludf.DUMMYFUNCTION("TEXTJOIN(CHAR(10), TRUE,FILTER ('Sheridan Main'!E:E,'Sheridan Main'!B:B=C17))"),"wulk@tju.edu.cn")</f>
        <v>wulk@tju.edu.cn</v>
      </c>
      <c r="G17" s="226" t="str">
        <f>IFERROR(__xludf.DUMMYFUNCTION("CONCATENATE(""https://dl.acm.org/doi/"",INDEX(FILTER('Sheridan Main'!A:A,'Sheridan Main'!B:B=C17),1))"),"https://dl.acm.org/doi/10.1145/3774904.3792843")</f>
        <v>https://dl.acm.org/doi/10.1145/3774904.3792843</v>
      </c>
      <c r="H17" s="227" t="s">
        <v>85</v>
      </c>
      <c r="I17" s="147"/>
    </row>
    <row r="18">
      <c r="A18" s="225" t="s">
        <v>2869</v>
      </c>
      <c r="B18" s="135" t="s">
        <v>1813</v>
      </c>
      <c r="C18" s="135" t="s">
        <v>1812</v>
      </c>
      <c r="D18" s="135" t="str">
        <f t="shared" si="1"/>
        <v>Beyond the Flat Sequence: Hierarchical and Preference-Aware Generative Recommendations
Zerui Chen, Heng Chang, Tianying Liu, Chuantian Zhou, Yi Cao, Jiandong Ding, Ming Liu and Bing Qin
</v>
      </c>
      <c r="E18" s="135" t="str">
        <f>IFERROR(__xludf.DUMMYFUNCTION("TEXTJOIN(CHAR(10), TRUE,FILTER('Industry Papers'!$D:$D,'Industry Papers'!$A:$A=C18))"),"Zerui Chen, Heng Chang, Tianying Liu, Chuantian Zhou, Yi Cao, Jiandong Ding, Ming Liu and Bing Qin")</f>
        <v>Zerui Chen, Heng Chang, Tianying Liu, Chuantian Zhou, Yi Cao, Jiandong Ding, Ming Liu and Bing Qin</v>
      </c>
      <c r="F18" s="135" t="str">
        <f>IFERROR(__xludf.DUMMYFUNCTION("TEXTJOIN(CHAR(10), TRUE,FILTER ('Sheridan Main'!E:E,'Sheridan Main'!B:B=C18))"),"mliu@ir.hit.edu.cn")</f>
        <v>mliu@ir.hit.edu.cn</v>
      </c>
      <c r="G18" s="226" t="str">
        <f>IFERROR(__xludf.DUMMYFUNCTION("CONCATENATE(""https://dl.acm.org/doi/"",INDEX(FILTER('Sheridan Main'!A:A,'Sheridan Main'!B:B=C18),1))"),"https://dl.acm.org/doi/10.1145/3774904.3792790")</f>
        <v>https://dl.acm.org/doi/10.1145/3774904.3792790</v>
      </c>
      <c r="H18" s="227" t="s">
        <v>85</v>
      </c>
      <c r="I18" s="147"/>
    </row>
    <row r="19">
      <c r="A19" s="225" t="s">
        <v>2869</v>
      </c>
      <c r="B19" s="135" t="s">
        <v>1827</v>
      </c>
      <c r="C19" s="135" t="s">
        <v>1826</v>
      </c>
      <c r="D19" s="135" t="str">
        <f t="shared" si="1"/>
        <v>NEZHA: A Zero-sacrifice and Hyperspeed Decoding Architecture for Generative Recommendations
Yejing Wang, Shengyu Zhou, Jinyu Lu, Ziwei Liu, Langming Liu, Maolin Wang, Wenlin Zhang, Feng Li, Wenbo Su, Pengjie Wang, Jian Xu and Xiangyu Zhao
</v>
      </c>
      <c r="E19" s="135" t="str">
        <f>IFERROR(__xludf.DUMMYFUNCTION("TEXTJOIN(CHAR(10), TRUE,FILTER('Industry Papers'!$D:$D,'Industry Papers'!$A:$A=C19))"),"Yejing Wang, Shengyu Zhou, Jinyu Lu, Ziwei Liu, Langming Liu, Maolin Wang, Wenlin Zhang, Feng Li, Wenbo Su, Pengjie Wang, Jian Xu and Xiangyu Zhao")</f>
        <v>Yejing Wang, Shengyu Zhou, Jinyu Lu, Ziwei Liu, Langming Liu, Maolin Wang, Wenlin Zhang, Feng Li, Wenbo Su, Pengjie Wang, Jian Xu and Xiangyu Zhao</v>
      </c>
      <c r="F19" s="135" t="str">
        <f>IFERROR(__xludf.DUMMYFUNCTION("TEXTJOIN(CHAR(10), TRUE,FILTER ('Sheridan Main'!E:E,'Sheridan Main'!B:B=C19))"),"xianzhao@cityu.edu.hk")</f>
        <v>xianzhao@cityu.edu.hk</v>
      </c>
      <c r="G19" s="226" t="str">
        <f>IFERROR(__xludf.DUMMYFUNCTION("CONCATENATE(""https://dl.acm.org/doi/"",INDEX(FILTER('Sheridan Main'!A:A,'Sheridan Main'!B:B=C19),1))"),"https://dl.acm.org/doi/10.1145/3774904.3792797")</f>
        <v>https://dl.acm.org/doi/10.1145/3774904.3792797</v>
      </c>
      <c r="H19" s="227" t="s">
        <v>85</v>
      </c>
      <c r="I19" s="147"/>
    </row>
    <row r="20">
      <c r="A20" s="225" t="s">
        <v>2869</v>
      </c>
      <c r="B20" s="135" t="s">
        <v>1909</v>
      </c>
      <c r="C20" s="135" t="s">
        <v>1908</v>
      </c>
      <c r="D20" s="135" t="str">
        <f t="shared" si="1"/>
        <v>OneTrans: Unified Feature Interaction and Sequence Modeling with One Transformer in Industrial Recommender
Zhaoqi Zhang, Haolei Pei, Jun Guo, Tianyu Wang, Yufei Feng, Hui Sun, Shaowei Liu and Aixin Sun
</v>
      </c>
      <c r="E20" s="135" t="str">
        <f>IFERROR(__xludf.DUMMYFUNCTION("TEXTJOIN(CHAR(10), TRUE,FILTER('Industry Papers'!$D:$D,'Industry Papers'!$A:$A=C20))"),"Zhaoqi Zhang, Haolei Pei, Jun Guo, Tianyu Wang, Yufei Feng, Hui Sun, Shaowei Liu and Aixin Sun")</f>
        <v>Zhaoqi Zhang, Haolei Pei, Jun Guo, Tianyu Wang, Yufei Feng, Hui Sun, Shaowei Liu and Aixin Sun</v>
      </c>
      <c r="F20" s="135" t="str">
        <f>IFERROR(__xludf.DUMMYFUNCTION("TEXTJOIN(CHAR(10), TRUE,FILTER ('Sheridan Main'!E:E,'Sheridan Main'!B:B=C20))"),"axsun@ntu.edu.sg")</f>
        <v>axsun@ntu.edu.sg</v>
      </c>
      <c r="G20" s="226" t="str">
        <f>IFERROR(__xludf.DUMMYFUNCTION("CONCATENATE(""https://dl.acm.org/doi/"",INDEX(FILTER('Sheridan Main'!A:A,'Sheridan Main'!B:B=C20),1))"),"https://dl.acm.org/doi/10.1145/3774904.3792838")</f>
        <v>https://dl.acm.org/doi/10.1145/3774904.3792838</v>
      </c>
      <c r="H20" s="227" t="s">
        <v>85</v>
      </c>
      <c r="I20" s="147"/>
    </row>
    <row r="21">
      <c r="A21" s="225" t="s">
        <v>2869</v>
      </c>
      <c r="B21" s="135" t="s">
        <v>1921</v>
      </c>
      <c r="C21" s="135" t="s">
        <v>1920</v>
      </c>
      <c r="D21" s="135" t="str">
        <f t="shared" si="1"/>
        <v>GRADE: Personalized Multi-Task Fusion via Group-Relative Reinforcement Learning with Adaptive Dirichlet Exploration
Tingfeng Hong, Pingye Ren, Xinlong Xiao, Chao Wang, Chenyi Lei, Wenwu Ou and Han Li
</v>
      </c>
      <c r="E21" s="135" t="str">
        <f>IFERROR(__xludf.DUMMYFUNCTION("TEXTJOIN(CHAR(10), TRUE,FILTER('Industry Papers'!$D:$D,'Industry Papers'!$A:$A=C21))"),"Tingfeng Hong, Pingye Ren, Xinlong Xiao, Chao Wang, Chenyi Lei, Wenwu Ou and Han Li")</f>
        <v>Tingfeng Hong, Pingye Ren, Xinlong Xiao, Chao Wang, Chenyi Lei, Wenwu Ou and Han Li</v>
      </c>
      <c r="F21" s="135" t="str">
        <f>IFERROR(__xludf.DUMMYFUNCTION("TEXTJOIN(CHAR(10), TRUE,FILTER ('Sheridan Main'!E:E,'Sheridan Main'!B:B=C21))"),"wang_chao@alumni.sjtu.edu.cn")</f>
        <v>wang_chao@alumni.sjtu.edu.cn</v>
      </c>
      <c r="G21" s="226" t="str">
        <f>IFERROR(__xludf.DUMMYFUNCTION("CONCATENATE(""https://dl.acm.org/doi/"",INDEX(FILTER('Sheridan Main'!A:A,'Sheridan Main'!B:B=C21),1))"),"https://dl.acm.org/doi/10.1145/3774904.3792844")</f>
        <v>https://dl.acm.org/doi/10.1145/3774904.3792844</v>
      </c>
      <c r="H21" s="227" t="s">
        <v>85</v>
      </c>
      <c r="I21" s="147"/>
    </row>
    <row r="22">
      <c r="A22" s="225" t="s">
        <v>2869</v>
      </c>
      <c r="B22" s="135" t="s">
        <v>1817</v>
      </c>
      <c r="C22" s="135" t="s">
        <v>1816</v>
      </c>
      <c r="D22" s="135" t="str">
        <f t="shared" si="1"/>
        <v>PI2I: A Personalized Item-Based Collaborative Filtering Retrieval Framework
Shaoqing Wang, Yingcai Ma, Kairui Fu, Ziyang Wang, Dunxian Huang, Yuliang Yan and Jian Wu
</v>
      </c>
      <c r="E22" s="135" t="str">
        <f>IFERROR(__xludf.DUMMYFUNCTION("TEXTJOIN(CHAR(10), TRUE,FILTER('Industry Papers'!$D:$D,'Industry Papers'!$A:$A=C22))"),"Shaoqing Wang, Yingcai Ma, Kairui Fu, Ziyang Wang, Dunxian Huang, Yuliang Yan and Jian Wu")</f>
        <v>Shaoqing Wang, Yingcai Ma, Kairui Fu, Ziyang Wang, Dunxian Huang, Yuliang Yan and Jian Wu</v>
      </c>
      <c r="F22" s="135" t="str">
        <f>IFERROR(__xludf.DUMMYFUNCTION("TEXTJOIN(CHAR(10), TRUE,FILTER ('Sheridan Main'!E:E,'Sheridan Main'!B:B=C22))"),"yuliang.yyl@alibaba-inc.com")</f>
        <v>yuliang.yyl@alibaba-inc.com</v>
      </c>
      <c r="G22" s="226" t="str">
        <f>IFERROR(__xludf.DUMMYFUNCTION("CONCATENATE(""https://dl.acm.org/doi/"",INDEX(FILTER('Sheridan Main'!A:A,'Sheridan Main'!B:B=C22),1))"),"https://dl.acm.org/doi/10.1145/3774904.3792792")</f>
        <v>https://dl.acm.org/doi/10.1145/3774904.3792792</v>
      </c>
      <c r="H22" s="227" t="s">
        <v>108</v>
      </c>
      <c r="I22" s="147"/>
    </row>
    <row r="23">
      <c r="A23" s="225" t="s">
        <v>2869</v>
      </c>
      <c r="B23" s="135" t="s">
        <v>1833</v>
      </c>
      <c r="C23" s="135" t="s">
        <v>1832</v>
      </c>
      <c r="D23" s="135" t="str">
        <f t="shared" si="1"/>
        <v>AliBoostV2: CTR-Growth Balanced Boosting Framework in Billion-Scale Recommendation Platform
Qijie Shen, Yuanchen Bei, Zihong Huang, Xixian Wang, Zhibo Xiao, Dimin Wang, Jialin Zhu, Yuning Jiang, Feiran Huang and Hao Chen
</v>
      </c>
      <c r="E23" s="135" t="str">
        <f>IFERROR(__xludf.DUMMYFUNCTION("TEXTJOIN(CHAR(10), TRUE,FILTER('Industry Papers'!$D:$D,'Industry Papers'!$A:$A=C23))"),"Qijie Shen, Yuanchen Bei, Zihong Huang, Xixian Wang, Zhibo Xiao, Dimin Wang, Jialin Zhu, Yuning Jiang, Feiran Huang and Hao Chen")</f>
        <v>Qijie Shen, Yuanchen Bei, Zihong Huang, Xixian Wang, Zhibo Xiao, Dimin Wang, Jialin Zhu, Yuning Jiang, Feiran Huang and Hao Chen</v>
      </c>
      <c r="F23" s="135" t="str">
        <f>IFERROR(__xludf.DUMMYFUNCTION("TEXTJOIN(CHAR(10), TRUE,FILTER ('Sheridan Main'!E:E,'Sheridan Main'!B:B=C23))"),"sundaychenhao@gmail.com")</f>
        <v>sundaychenhao@gmail.com</v>
      </c>
      <c r="G23" s="226" t="str">
        <f>IFERROR(__xludf.DUMMYFUNCTION("CONCATENATE(""https://dl.acm.org/doi/"",INDEX(FILTER('Sheridan Main'!A:A,'Sheridan Main'!B:B=C23),1))"),"https://dl.acm.org/doi/10.1145/3774904.3792800")</f>
        <v>https://dl.acm.org/doi/10.1145/3774904.3792800</v>
      </c>
      <c r="H23" s="227" t="s">
        <v>108</v>
      </c>
      <c r="I23" s="147"/>
    </row>
    <row r="24">
      <c r="A24" s="225" t="s">
        <v>2869</v>
      </c>
      <c r="B24" s="135" t="s">
        <v>1915</v>
      </c>
      <c r="C24" s="135" t="s">
        <v>1914</v>
      </c>
      <c r="D24" s="135" t="str">
        <f t="shared" si="1"/>
        <v>BanditLP: Large-Scale Stochastic Optimization for Personalized Recommendations
Phuc Nguyen, Benjamin Zelditch, Joyce Chen, Rohit K Patra and Changshuai Wei
</v>
      </c>
      <c r="E24" s="135" t="str">
        <f>IFERROR(__xludf.DUMMYFUNCTION("TEXTJOIN(CHAR(10), TRUE,FILTER('Industry Papers'!$D:$D,'Industry Papers'!$A:$A=C24))"),"Phuc Nguyen, Benjamin Zelditch, Joyce Chen, Rohit K Patra and Changshuai Wei")</f>
        <v>Phuc Nguyen, Benjamin Zelditch, Joyce Chen, Rohit K Patra and Changshuai Wei</v>
      </c>
      <c r="F24" s="135" t="str">
        <f>IFERROR(__xludf.DUMMYFUNCTION("TEXTJOIN(CHAR(10), TRUE,FILTER ('Sheridan Main'!E:E,'Sheridan Main'!B:B=C24))"),"weichangshuai@gmail.com")</f>
        <v>weichangshuai@gmail.com</v>
      </c>
      <c r="G24" s="226" t="str">
        <f>IFERROR(__xludf.DUMMYFUNCTION("CONCATENATE(""https://dl.acm.org/doi/"",INDEX(FILTER('Sheridan Main'!A:A,'Sheridan Main'!B:B=C24),1))"),"https://dl.acm.org/doi/10.1145/3774904.3792841")</f>
        <v>https://dl.acm.org/doi/10.1145/3774904.3792841</v>
      </c>
      <c r="H24" s="227" t="s">
        <v>108</v>
      </c>
      <c r="I24" s="147"/>
    </row>
    <row r="25">
      <c r="A25" s="225" t="s">
        <v>2869</v>
      </c>
      <c r="B25" s="135" t="s">
        <v>1849</v>
      </c>
      <c r="C25" s="135" t="s">
        <v>1848</v>
      </c>
      <c r="D25" s="135" t="str">
        <f t="shared" si="1"/>
        <v>Unleashing the Potential of Sparse Attention on Long-term Behaviors for CTR Prediction
Weijiang Lai, Beihong Jin, Di Zhang, Siru Chen, Jiongyan Zhang, Yuhang Gou, Jian Dong and Xingxing Wang
</v>
      </c>
      <c r="E25" s="135" t="str">
        <f>IFERROR(__xludf.DUMMYFUNCTION("TEXTJOIN(CHAR(10), TRUE,FILTER('Industry Papers'!$D:$D,'Industry Papers'!$A:$A=C25))"),"Weijiang Lai, Beihong Jin, Di Zhang, Siru Chen, Jiongyan Zhang, Yuhang Gou, Jian Dong and Xingxing Wang")</f>
        <v>Weijiang Lai, Beihong Jin, Di Zhang, Siru Chen, Jiongyan Zhang, Yuhang Gou, Jian Dong and Xingxing Wang</v>
      </c>
      <c r="F25" s="135" t="str">
        <f>IFERROR(__xludf.DUMMYFUNCTION("TEXTJOIN(CHAR(10), TRUE,FILTER ('Sheridan Main'!E:E,'Sheridan Main'!B:B=C25))"),"laiweijiang22@otcaix.iscas.ac.cn")</f>
        <v>laiweijiang22@otcaix.iscas.ac.cn</v>
      </c>
      <c r="G25" s="226" t="str">
        <f>IFERROR(__xludf.DUMMYFUNCTION("CONCATENATE(""https://dl.acm.org/doi/"",INDEX(FILTER('Sheridan Main'!A:A,'Sheridan Main'!B:B=C25),1))"),"https://dl.acm.org/doi/10.1145/3774904.3792808")</f>
        <v>https://dl.acm.org/doi/10.1145/3774904.3792808</v>
      </c>
      <c r="H25" s="227" t="s">
        <v>108</v>
      </c>
      <c r="I25" s="147"/>
    </row>
    <row r="26">
      <c r="A26" s="225" t="s">
        <v>2869</v>
      </c>
      <c r="B26" s="135" t="s">
        <v>1879</v>
      </c>
      <c r="C26" s="135" t="s">
        <v>1878</v>
      </c>
      <c r="D26" s="135" t="str">
        <f t="shared" si="1"/>
        <v>Improving Multi Task Recommendations via Cross User Learning with a Hybrid Pointwise and Pairwise Ranking Loss
Abhinav Naikawadi, Hedi Xia, Dafang He, Yichu Zhou, Xue Xia, Piyush Maheshwari, Bella Huang, Bowen Deng, James Li, Dhruvil Deven Badani and Yijie Dylan Wang
</v>
      </c>
      <c r="E26" s="135" t="str">
        <f>IFERROR(__xludf.DUMMYFUNCTION("TEXTJOIN(CHAR(10), TRUE,FILTER('Industry Papers'!$D:$D,'Industry Papers'!$A:$A=C26))"),"Abhinav Naikawadi, Hedi Xia, Dafang He, Yichu Zhou, Xue Xia, Piyush Maheshwari, Bella Huang, Bowen Deng, James Li, Dhruvil Deven Badani and Yijie Dylan Wang")</f>
        <v>Abhinav Naikawadi, Hedi Xia, Dafang He, Yichu Zhou, Xue Xia, Piyush Maheshwari, Bella Huang, Bowen Deng, James Li, Dhruvil Deven Badani and Yijie Dylan Wang</v>
      </c>
      <c r="F26" s="135" t="str">
        <f>IFERROR(__xludf.DUMMYFUNCTION("TEXTJOIN(CHAR(10), TRUE,FILTER ('Sheridan Main'!E:E,'Sheridan Main'!B:B=C26))"),"anaikawadi@pinterest.com")</f>
        <v>anaikawadi@pinterest.com</v>
      </c>
      <c r="G26" s="226" t="str">
        <f>IFERROR(__xludf.DUMMYFUNCTION("CONCATENATE(""https://dl.acm.org/doi/"",INDEX(FILTER('Sheridan Main'!A:A,'Sheridan Main'!B:B=C26),1))"),"https://dl.acm.org/doi/10.1145/3774904.3792823")</f>
        <v>https://dl.acm.org/doi/10.1145/3774904.3792823</v>
      </c>
      <c r="H26" s="227" t="s">
        <v>108</v>
      </c>
      <c r="I26" s="147"/>
    </row>
    <row r="27">
      <c r="A27" s="225" t="s">
        <v>2869</v>
      </c>
      <c r="B27" s="135" t="s">
        <v>1829</v>
      </c>
      <c r="C27" s="135" t="s">
        <v>1828</v>
      </c>
      <c r="D27" s="135" t="str">
        <f t="shared" si="1"/>
        <v>Self-Evolving LLMs via Continual Instruction Tuning
Jiazheng Kang, Le Huang, Cheng Hou, Zhe Zhao, ZhenXiang Yan and Ting Bai
</v>
      </c>
      <c r="E27" s="135" t="str">
        <f>IFERROR(__xludf.DUMMYFUNCTION("TEXTJOIN(CHAR(10), TRUE,FILTER('Industry Papers'!$D:$D,'Industry Papers'!$A:$A=C27))"),"Jiazheng Kang, Le Huang, Cheng Hou, Zhe Zhao, ZhenXiang Yan and Ting Bai")</f>
        <v>Jiazheng Kang, Le Huang, Cheng Hou, Zhe Zhao, ZhenXiang Yan and Ting Bai</v>
      </c>
      <c r="F27" s="135" t="str">
        <f>IFERROR(__xludf.DUMMYFUNCTION("TEXTJOIN(CHAR(10), TRUE,FILTER ('Sheridan Main'!E:E,'Sheridan Main'!B:B=C27))"),"baiting@bupt.edu.cn")</f>
        <v>baiting@bupt.edu.cn</v>
      </c>
      <c r="G27" s="226" t="str">
        <f>IFERROR(__xludf.DUMMYFUNCTION("CONCATENATE(""https://dl.acm.org/doi/"",INDEX(FILTER('Sheridan Main'!A:A,'Sheridan Main'!B:B=C27),1))"),"https://dl.acm.org/doi/10.1145/3774904.3792798")</f>
        <v>https://dl.acm.org/doi/10.1145/3774904.3792798</v>
      </c>
      <c r="H27" s="227" t="s">
        <v>141</v>
      </c>
      <c r="I27" s="147"/>
    </row>
    <row r="28">
      <c r="A28" s="225" t="s">
        <v>2869</v>
      </c>
      <c r="B28" s="135" t="s">
        <v>1885</v>
      </c>
      <c r="C28" s="135" t="s">
        <v>1884</v>
      </c>
      <c r="D28" s="135" t="str">
        <f t="shared" si="1"/>
        <v>Large Reasoning Embedding Models: Towards Next-Generation Dense Retrieval Paradigm
Jianting Tang, Dongshuai Li, Tao Wen, Fuyu Lv, Dan Ou and Linli Xu
</v>
      </c>
      <c r="E28" s="135" t="str">
        <f>IFERROR(__xludf.DUMMYFUNCTION("TEXTJOIN(CHAR(10), TRUE,FILTER('Industry Papers'!$D:$D,'Industry Papers'!$A:$A=C28))"),"Jianting Tang, Dongshuai Li, Tao Wen, Fuyu Lv, Dan Ou and Linli Xu")</f>
        <v>Jianting Tang, Dongshuai Li, Tao Wen, Fuyu Lv, Dan Ou and Linli Xu</v>
      </c>
      <c r="F28" s="135" t="str">
        <f>IFERROR(__xludf.DUMMYFUNCTION("TEXTJOIN(CHAR(10), TRUE,FILTER ('Sheridan Main'!E:E,'Sheridan Main'!B:B=C28))"),"linlixu@ustc.edu.cn")</f>
        <v>linlixu@ustc.edu.cn</v>
      </c>
      <c r="G28" s="226" t="str">
        <f>IFERROR(__xludf.DUMMYFUNCTION("CONCATENATE(""https://dl.acm.org/doi/"",INDEX(FILTER('Sheridan Main'!A:A,'Sheridan Main'!B:B=C28),1))"),"https://dl.acm.org/doi/10.1145/3774904.3792826")</f>
        <v>https://dl.acm.org/doi/10.1145/3774904.3792826</v>
      </c>
      <c r="H28" s="227" t="s">
        <v>141</v>
      </c>
      <c r="I28" s="147"/>
    </row>
    <row r="29">
      <c r="A29" s="225" t="s">
        <v>2869</v>
      </c>
      <c r="B29" s="135" t="s">
        <v>1821</v>
      </c>
      <c r="C29" s="135" t="s">
        <v>1820</v>
      </c>
      <c r="D29" s="135" t="str">
        <f t="shared" si="1"/>
        <v>Probe-and-Fetch: Dynamic KV Cache Pruning for Accelerated Long-Context Inference in Web-Scale AI Search
Yuchen Li, Rui Kong, Xinran Chen, Chengzhe Zhang, Jiamin Chen, Cheng Deng, Xinyu Ma, Haojie Zhang, Tianhao Peng, Hengyi Cai, Shuaiqiang Wang, Jiashu Zhao, Yongqi Zhang, Haoyi Xiong, Jimmy Xiangji Huang, Lei Chen, Jun Wang and Dawei Yin
</v>
      </c>
      <c r="E29" s="135" t="str">
        <f>IFERROR(__xludf.DUMMYFUNCTION("TEXTJOIN(CHAR(10), TRUE,FILTER('Industry Papers'!$D:$D,'Industry Papers'!$A:$A=C29))"),"Yuchen Li, Rui Kong, Xinran Chen, Chengzhe Zhang, Jiamin Chen, Cheng Deng, Xinyu Ma, Haojie Zhang, Tianhao Peng, Hengyi Cai, Shuaiqiang Wang, Jiashu Zhao, Yongqi Zhang, Haoyi Xiong, Jimmy Xiangji Huang, Lei Chen, Jun Wang and Dawei Yin")</f>
        <v>Yuchen Li, Rui Kong, Xinran Chen, Chengzhe Zhang, Jiamin Chen, Cheng Deng, Xinyu Ma, Haojie Zhang, Tianhao Peng, Hengyi Cai, Shuaiqiang Wang, Jiashu Zhao, Yongqi Zhang, Haoyi Xiong, Jimmy Xiangji Huang, Lei Chen, Jun Wang and Dawei Yin</v>
      </c>
      <c r="F29" s="135" t="str">
        <f>IFERROR(__xludf.DUMMYFUNCTION("TEXTJOIN(CHAR(10), TRUE,FILTER ('Sheridan Main'!E:E,'Sheridan Main'!B:B=C29))"),"fantastique0910@gmail.com")</f>
        <v>fantastique0910@gmail.com</v>
      </c>
      <c r="G29" s="226" t="str">
        <f>IFERROR(__xludf.DUMMYFUNCTION("CONCATENATE(""https://dl.acm.org/doi/"",INDEX(FILTER('Sheridan Main'!A:A,'Sheridan Main'!B:B=C29),1))"),"https://dl.acm.org/doi/10.1145/3774904.3792794")</f>
        <v>https://dl.acm.org/doi/10.1145/3774904.3792794</v>
      </c>
      <c r="H29" s="227" t="s">
        <v>141</v>
      </c>
      <c r="I29" s="147"/>
    </row>
    <row r="30">
      <c r="A30" s="225" t="s">
        <v>2869</v>
      </c>
      <c r="B30" s="135" t="s">
        <v>1913</v>
      </c>
      <c r="C30" s="135" t="s">
        <v>1912</v>
      </c>
      <c r="D30" s="135" t="str">
        <f t="shared" si="1"/>
        <v>DG-MCTS: Dual-Guidance Monte Carlo Tree Search for Adaptive Emotional Support Dialogue Planning
Benshuo Lin, Jiayu Ding, Yuelei Li, Peng Wu, Yun Xue and Yiping Song
</v>
      </c>
      <c r="E30" s="135" t="str">
        <f>IFERROR(__xludf.DUMMYFUNCTION("TEXTJOIN(CHAR(10), TRUE,FILTER('Industry Papers'!$D:$D,'Industry Papers'!$A:$A=C30))"),"Benshuo Lin, Jiayu Ding, Yuelei Li, Peng Wu, Yun Xue and Yiping Song")</f>
        <v>Benshuo Lin, Jiayu Ding, Yuelei Li, Peng Wu, Yun Xue and Yiping Song</v>
      </c>
      <c r="F30" s="135" t="str">
        <f>IFERROR(__xludf.DUMMYFUNCTION("TEXTJOIN(CHAR(10), TRUE,FILTER ('Sheridan Main'!E:E,'Sheridan Main'!B:B=C30))"),"songyiping@nudt.edu.cn")</f>
        <v>songyiping@nudt.edu.cn</v>
      </c>
      <c r="G30" s="226" t="str">
        <f>IFERROR(__xludf.DUMMYFUNCTION("CONCATENATE(""https://dl.acm.org/doi/"",INDEX(FILTER('Sheridan Main'!A:A,'Sheridan Main'!B:B=C30),1))"),"https://dl.acm.org/doi/10.1145/3774904.3792840")</f>
        <v>https://dl.acm.org/doi/10.1145/3774904.3792840</v>
      </c>
      <c r="H30" s="227" t="s">
        <v>141</v>
      </c>
      <c r="I30" s="147"/>
    </row>
    <row r="31">
      <c r="A31" s="225" t="s">
        <v>2869</v>
      </c>
      <c r="B31" s="135" t="s">
        <v>1819</v>
      </c>
      <c r="C31" s="135" t="s">
        <v>1818</v>
      </c>
      <c r="D31" s="135" t="str">
        <f t="shared" si="1"/>
        <v>LaV-CoT: Language-Aware Visual CoT with Multi-Aspect Reward Optimization for Multilingual Text-Centric VQA
Jing Huang, Zhiya Tan, Shutao Gong, Fanwei Zeng, Joey Tianyi Zhou, Changtao Miao, Huazhe Tan, Weibin Yao and Jianshu Li
</v>
      </c>
      <c r="E31" s="135" t="str">
        <f>IFERROR(__xludf.DUMMYFUNCTION("TEXTJOIN(CHAR(10), TRUE,FILTER('Industry Papers'!$D:$D,'Industry Papers'!$A:$A=C31))"),"Jing Huang, Zhiya Tan, Shutao Gong, Fanwei Zeng, Joey Tianyi Zhou, Changtao Miao, Huazhe Tan, Weibin Yao and Jianshu Li")</f>
        <v>Jing Huang, Zhiya Tan, Shutao Gong, Fanwei Zeng, Joey Tianyi Zhou, Changtao Miao, Huazhe Tan, Weibin Yao and Jianshu Li</v>
      </c>
      <c r="F31" s="135" t="str">
        <f>IFERROR(__xludf.DUMMYFUNCTION("TEXTJOIN(CHAR(10), TRUE,FILTER ('Sheridan Main'!E:E,'Sheridan Main'!B:B=C31))"),"jianshu.l@antgroup.com")</f>
        <v>jianshu.l@antgroup.com</v>
      </c>
      <c r="G31" s="226" t="str">
        <f>IFERROR(__xludf.DUMMYFUNCTION("CONCATENATE(""https://dl.acm.org/doi/"",INDEX(FILTER('Sheridan Main'!A:A,'Sheridan Main'!B:B=C31),1))"),"https://dl.acm.org/doi/10.1145/3774904.3792793")</f>
        <v>https://dl.acm.org/doi/10.1145/3774904.3792793</v>
      </c>
      <c r="H31" s="227" t="s">
        <v>141</v>
      </c>
      <c r="I31" s="147"/>
    </row>
    <row r="32">
      <c r="A32" s="225" t="s">
        <v>2869</v>
      </c>
      <c r="B32" s="135" t="s">
        <v>1869</v>
      </c>
      <c r="C32" s="135" t="s">
        <v>1868</v>
      </c>
      <c r="D32" s="135" t="str">
        <f t="shared" si="1"/>
        <v>A Generative Contextual Comprehension Paradigm for Takeout Ranking Model
Ziheng Ni, Congcong Liu, Cai Shang, Yiming Sun, Junjie Li, Zhiwei Fang, Guangpeng Chen, Li Jian, Zehua Zhang, Changping Peng, Zhangang Lin, Ching Law and Jingping Shao
</v>
      </c>
      <c r="E32" s="135" t="str">
        <f>IFERROR(__xludf.DUMMYFUNCTION("TEXTJOIN(CHAR(10), TRUE,FILTER('Industry Papers'!$D:$D,'Industry Papers'!$A:$A=C32))"),"Ziheng Ni, Congcong Liu, Cai Shang, Yiming Sun, Junjie Li, Zhiwei Fang, Guangpeng Chen, Li Jian, Zehua Zhang, Changping Peng, Zhangang Lin, Ching Law and Jingping Shao")</f>
        <v>Ziheng Ni, Congcong Liu, Cai Shang, Yiming Sun, Junjie Li, Zhiwei Fang, Guangpeng Chen, Li Jian, Zehua Zhang, Changping Peng, Zhangang Lin, Ching Law and Jingping Shao</v>
      </c>
      <c r="F32" s="135" t="str">
        <f>IFERROR(__xludf.DUMMYFUNCTION("TEXTJOIN(CHAR(10), TRUE,FILTER ('Sheridan Main'!E:E,'Sheridan Main'!B:B=C32))"),"cliubh@connect.ust.hk")</f>
        <v>cliubh@connect.ust.hk</v>
      </c>
      <c r="G32" s="226" t="str">
        <f>IFERROR(__xludf.DUMMYFUNCTION("CONCATENATE(""https://dl.acm.org/doi/"",INDEX(FILTER('Sheridan Main'!A:A,'Sheridan Main'!B:B=C32),1))"),"https://dl.acm.org/doi/10.1145/3774904.3792818")</f>
        <v>https://dl.acm.org/doi/10.1145/3774904.3792818</v>
      </c>
      <c r="H32" s="227" t="s">
        <v>142</v>
      </c>
      <c r="I32" s="147"/>
    </row>
    <row r="33">
      <c r="A33" s="225" t="s">
        <v>2869</v>
      </c>
      <c r="B33" s="135" t="s">
        <v>1867</v>
      </c>
      <c r="C33" s="135" t="s">
        <v>1866</v>
      </c>
      <c r="D33" s="135" t="str">
        <f t="shared" si="1"/>
        <v>ARADD: An Automatic Real-World API Discovery and Deployment Framework for AI Guide Service in Baidu Map
Fuling Wang, Le Zhang, Jingbo Zhou, Jindong Han, Ying Sun, Chuan Qin, Hengshu Zhu and Hui Xiong
</v>
      </c>
      <c r="E33" s="135" t="str">
        <f>IFERROR(__xludf.DUMMYFUNCTION("TEXTJOIN(CHAR(10), TRUE,FILTER('Industry Papers'!$D:$D,'Industry Papers'!$A:$A=C33))"),"Fuling Wang, Le Zhang, Jingbo Zhou, Jindong Han, Ying Sun, Chuan Qin, Hengshu Zhu and Hui Xiong")</f>
        <v>Fuling Wang, Le Zhang, Jingbo Zhou, Jindong Han, Ying Sun, Chuan Qin, Hengshu Zhu and Hui Xiong</v>
      </c>
      <c r="F33" s="135" t="str">
        <f>IFERROR(__xludf.DUMMYFUNCTION("TEXTJOIN(CHAR(10), TRUE,FILTER ('Sheridan Main'!E:E,'Sheridan Main'!B:B=C33))"),"xionghui@ust.hk")</f>
        <v>xionghui@ust.hk</v>
      </c>
      <c r="G33" s="226" t="str">
        <f>IFERROR(__xludf.DUMMYFUNCTION("CONCATENATE(""https://dl.acm.org/doi/"",INDEX(FILTER('Sheridan Main'!A:A,'Sheridan Main'!B:B=C33),1))"),"https://dl.acm.org/doi/10.1145/3774904.3792817")</f>
        <v>https://dl.acm.org/doi/10.1145/3774904.3792817</v>
      </c>
      <c r="H33" s="227" t="s">
        <v>142</v>
      </c>
      <c r="I33" s="147"/>
    </row>
    <row r="34">
      <c r="A34" s="225" t="s">
        <v>2869</v>
      </c>
      <c r="B34" s="135" t="s">
        <v>1903</v>
      </c>
      <c r="C34" s="135" t="s">
        <v>1902</v>
      </c>
      <c r="D34" s="135" t="str">
        <f t="shared" si="1"/>
        <v>TRABL: A Unified Framework for Travel Domain Aspect-Based Sentiment Analysis Applications of Large Language Models
Omer Madmon, Shiran Golan, Eran Fainman, Ofri Kleinfeld and Moran Beladev
</v>
      </c>
      <c r="E34" s="135" t="str">
        <f>IFERROR(__xludf.DUMMYFUNCTION("TEXTJOIN(CHAR(10), TRUE,FILTER('Industry Papers'!$D:$D,'Industry Papers'!$A:$A=C34))"),"Omer Madmon, Shiran Golan, Eran Fainman, Ofri Kleinfeld and Moran Beladev")</f>
        <v>Omer Madmon, Shiran Golan, Eran Fainman, Ofri Kleinfeld and Moran Beladev</v>
      </c>
      <c r="F34" s="135" t="str">
        <f>IFERROR(__xludf.DUMMYFUNCTION("TEXTJOIN(CHAR(10), TRUE,FILTER ('Sheridan Main'!E:E,'Sheridan Main'!B:B=C34))"),"omermadmon@campus.technion.ac.il")</f>
        <v>omermadmon@campus.technion.ac.il</v>
      </c>
      <c r="G34" s="226" t="str">
        <f>IFERROR(__xludf.DUMMYFUNCTION("CONCATENATE(""https://dl.acm.org/doi/"",INDEX(FILTER('Sheridan Main'!A:A,'Sheridan Main'!B:B=C34),1))"),"https://dl.acm.org/doi/10.1145/3774904.3792835")</f>
        <v>https://dl.acm.org/doi/10.1145/3774904.3792835</v>
      </c>
      <c r="H34" s="227" t="s">
        <v>142</v>
      </c>
      <c r="I34" s="147"/>
    </row>
    <row r="35">
      <c r="A35" s="225" t="s">
        <v>2869</v>
      </c>
      <c r="B35" s="135" t="s">
        <v>1815</v>
      </c>
      <c r="C35" s="135" t="s">
        <v>1814</v>
      </c>
      <c r="D35" s="135" t="str">
        <f t="shared" si="1"/>
        <v>From Sold-Out to Sales Uplift: Causal Inference for Intelligent Inventory Management on Online Travel Platforms
Fanwei Zhu, Zhuoran Zhuang, Detao Lv, Manwei Li and Yao Yu
</v>
      </c>
      <c r="E35" s="135" t="str">
        <f>IFERROR(__xludf.DUMMYFUNCTION("TEXTJOIN(CHAR(10), TRUE,FILTER('Industry Papers'!$D:$D,'Industry Papers'!$A:$A=C35))"),"Fanwei Zhu, Zhuoran Zhuang, Detao Lv, Manwei Li and Yao Yu")</f>
        <v>Fanwei Zhu, Zhuoran Zhuang, Detao Lv, Manwei Li and Yao Yu</v>
      </c>
      <c r="F35" s="135" t="str">
        <f>IFERROR(__xludf.DUMMYFUNCTION("TEXTJOIN(CHAR(10), TRUE,FILTER ('Sheridan Main'!E:E,'Sheridan Main'!B:B=C35))"),"detao.ldt@alibaba-inc.com")</f>
        <v>detao.ldt@alibaba-inc.com</v>
      </c>
      <c r="G35" s="226" t="str">
        <f>IFERROR(__xludf.DUMMYFUNCTION("CONCATENATE(""https://dl.acm.org/doi/"",INDEX(FILTER('Sheridan Main'!A:A,'Sheridan Main'!B:B=C35),1))"),"https://dl.acm.org/doi/10.1145/3774904.3792791")</f>
        <v>https://dl.acm.org/doi/10.1145/3774904.3792791</v>
      </c>
      <c r="H35" s="227" t="s">
        <v>142</v>
      </c>
      <c r="I35" s="147"/>
    </row>
    <row r="36">
      <c r="A36" s="225" t="s">
        <v>2869</v>
      </c>
      <c r="B36" s="135" t="s">
        <v>1811</v>
      </c>
      <c r="C36" s="135" t="s">
        <v>1810</v>
      </c>
      <c r="D36" s="135" t="str">
        <f t="shared" si="1"/>
        <v>Enhancing Ride-Hailing Forecasting at DiDi with Multi-View Geospatial Representation Learning from the Web
Xixuan Hao, Guicheng Li, Daiqiang Wu, Xusen Guo, Yumeng Zhu, Zhichao Zou, Peng Zhen, Yao Yao and Yuxuan Liang
</v>
      </c>
      <c r="E36" s="135" t="str">
        <f>IFERROR(__xludf.DUMMYFUNCTION("TEXTJOIN(CHAR(10), TRUE,FILTER('Industry Papers'!$D:$D,'Industry Papers'!$A:$A=C36))"),"Xixuan Hao, Guicheng Li, Daiqiang Wu, Xusen Guo, Yumeng Zhu, Zhichao Zou, Peng Zhen, Yao Yao and Yuxuan Liang")</f>
        <v>Xixuan Hao, Guicheng Li, Daiqiang Wu, Xusen Guo, Yumeng Zhu, Zhichao Zou, Peng Zhen, Yao Yao and Yuxuan Liang</v>
      </c>
      <c r="F36" s="135" t="str">
        <f>IFERROR(__xludf.DUMMYFUNCTION("TEXTJOIN(CHAR(10), TRUE,FILTER ('Sheridan Main'!E:E,'Sheridan Main'!B:B=C36))"),"yuxliang@outlook.com")</f>
        <v>yuxliang@outlook.com</v>
      </c>
      <c r="G36" s="226" t="str">
        <f>IFERROR(__xludf.DUMMYFUNCTION("CONCATENATE(""https://dl.acm.org/doi/"",INDEX(FILTER('Sheridan Main'!A:A,'Sheridan Main'!B:B=C36),1))"),"https://dl.acm.org/doi/10.1145/3774904.3792789")</f>
        <v>https://dl.acm.org/doi/10.1145/3774904.3792789</v>
      </c>
      <c r="H36" s="227" t="s">
        <v>142</v>
      </c>
      <c r="I36" s="147"/>
    </row>
    <row r="37">
      <c r="A37" s="225" t="s">
        <v>2869</v>
      </c>
      <c r="B37" s="135" t="s">
        <v>1871</v>
      </c>
      <c r="C37" s="135" t="s">
        <v>1870</v>
      </c>
      <c r="D37" s="135" t="str">
        <f t="shared" si="1"/>
        <v>ARCHER: Shooting Straight in Multimodal E-Commerce Search at Alibaba with Progressive Alignment
Maolin Wang, Lang Fu, Jun Chu, Kai Guo, Chenjie Qin, Xinxin Wang, Siyu Wu, Wen Jiang and Xiangyu Zhao
</v>
      </c>
      <c r="E37" s="135" t="str">
        <f>IFERROR(__xludf.DUMMYFUNCTION("TEXTJOIN(CHAR(10), TRUE,FILTER('Industry Papers'!$D:$D,'Industry Papers'!$A:$A=C37))"),"Maolin Wang, Lang Fu, Jun Chu, Kai Guo, Chenjie Qin, Xinxin Wang, Siyu Wu, Wen Jiang and Xiangyu Zhao")</f>
        <v>Maolin Wang, Lang Fu, Jun Chu, Kai Guo, Chenjie Qin, Xinxin Wang, Siyu Wu, Wen Jiang and Xiangyu Zhao</v>
      </c>
      <c r="F37" s="135" t="str">
        <f>IFERROR(__xludf.DUMMYFUNCTION("TEXTJOIN(CHAR(10), TRUE,FILTER ('Sheridan Main'!E:E,'Sheridan Main'!B:B=C37))"),"xianzhao@cityu.edu.hk")</f>
        <v>xianzhao@cityu.edu.hk</v>
      </c>
      <c r="G37" s="226" t="str">
        <f>IFERROR(__xludf.DUMMYFUNCTION("CONCATENATE(""https://dl.acm.org/doi/"",INDEX(FILTER('Sheridan Main'!A:A,'Sheridan Main'!B:B=C37),1))"),"https://dl.acm.org/doi/10.1145/3774904.3792819")</f>
        <v>https://dl.acm.org/doi/10.1145/3774904.3792819</v>
      </c>
      <c r="H37" s="227" t="s">
        <v>164</v>
      </c>
      <c r="I37" s="147"/>
    </row>
    <row r="38">
      <c r="A38" s="225" t="s">
        <v>2869</v>
      </c>
      <c r="B38" s="135" t="s">
        <v>1845</v>
      </c>
      <c r="C38" s="135" t="s">
        <v>1844</v>
      </c>
      <c r="D38" s="135" t="str">
        <f t="shared" si="1"/>
        <v>Aligning Query Rewriting with Human Cognition and Preference in E-Commerce Search
Ruize Ou, Kai Wang, Jianzhi Shao, Tao Zhang and Chengfu Huo
</v>
      </c>
      <c r="E38" s="135" t="str">
        <f>IFERROR(__xludf.DUMMYFUNCTION("TEXTJOIN(CHAR(10), TRUE,FILTER('Industry Papers'!$D:$D,'Industry Papers'!$A:$A=C38))"),"Ruize Ou, Kai Wang, Jianzhi Shao, Tao Zhang and Chengfu Huo")</f>
        <v>Ruize Ou, Kai Wang, Jianzhi Shao, Tao Zhang and Chengfu Huo</v>
      </c>
      <c r="F38" s="135" t="str">
        <f>IFERROR(__xludf.DUMMYFUNCTION("TEXTJOIN(CHAR(10), TRUE,FILTER ('Sheridan Main'!E:E,'Sheridan Main'!B:B=C38))"),"guyan.zt@alibaba-inc.com")</f>
        <v>guyan.zt@alibaba-inc.com</v>
      </c>
      <c r="G38" s="226" t="str">
        <f>IFERROR(__xludf.DUMMYFUNCTION("CONCATENATE(""https://dl.acm.org/doi/"",INDEX(FILTER('Sheridan Main'!A:A,'Sheridan Main'!B:B=C38),1))"),"https://dl.acm.org/doi/10.1145/3774904.3792806")</f>
        <v>https://dl.acm.org/doi/10.1145/3774904.3792806</v>
      </c>
      <c r="H38" s="227" t="s">
        <v>164</v>
      </c>
      <c r="I38" s="147"/>
    </row>
    <row r="39">
      <c r="A39" s="225" t="s">
        <v>2869</v>
      </c>
      <c r="B39" s="135" t="s">
        <v>1831</v>
      </c>
      <c r="C39" s="135" t="s">
        <v>1830</v>
      </c>
      <c r="D39" s="135" t="str">
        <f t="shared" si="1"/>
        <v>TaoSR-AGRL: Adaptive Guided Reinforcement Learning Framework for E-commerce Search Relevance
Jianhui Yang, Yiming Jin, Pengkun Jiao, Chenhe Dong, Zerui Huang, Shaowei Yao, Xiaojiang Zhou, Dan Ou and Haihong Tang
</v>
      </c>
      <c r="E39" s="135" t="str">
        <f>IFERROR(__xludf.DUMMYFUNCTION("TEXTJOIN(CHAR(10), TRUE,FILTER('Industry Papers'!$D:$D,'Industry Papers'!$A:$A=C39))"),"Jianhui Yang, Yiming Jin, Pengkun Jiao, Chenhe Dong, Zerui Huang, Shaowei Yao, Xiaojiang Zhou, Dan Ou and Haihong Tang")</f>
        <v>Jianhui Yang, Yiming Jin, Pengkun Jiao, Chenhe Dong, Zerui Huang, Shaowei Yao, Xiaojiang Zhou, Dan Ou and Haihong Tang</v>
      </c>
      <c r="F39" s="135" t="str">
        <f>IFERROR(__xludf.DUMMYFUNCTION("TEXTJOIN(CHAR(10), TRUE,FILTER ('Sheridan Main'!E:E,'Sheridan Main'!B:B=C39))"),"enxian@alibaba-inc.com")</f>
        <v>enxian@alibaba-inc.com</v>
      </c>
      <c r="G39" s="226" t="str">
        <f>IFERROR(__xludf.DUMMYFUNCTION("CONCATENATE(""https://dl.acm.org/doi/"",INDEX(FILTER('Sheridan Main'!A:A,'Sheridan Main'!B:B=C39),1))"),"https://dl.acm.org/doi/10.1145/3774904.3792799")</f>
        <v>https://dl.acm.org/doi/10.1145/3774904.3792799</v>
      </c>
      <c r="H39" s="227" t="s">
        <v>164</v>
      </c>
      <c r="I39" s="147"/>
    </row>
    <row r="40">
      <c r="A40" s="225" t="s">
        <v>2869</v>
      </c>
      <c r="B40" s="135" t="s">
        <v>1857</v>
      </c>
      <c r="C40" s="135" t="s">
        <v>1856</v>
      </c>
      <c r="D40" s="135" t="str">
        <f t="shared" si="1"/>
        <v>Thinking Broad, Acting Fast: Latent Reasoning Distillation from Multi-Perspective Chain-of-Thought for E-Commerce Relevance
Baopu Qiu, Hao Chen, Yuanrong Wu, Changtong Zan, Chao Wei, Weiru Zhang and Xiaoyi Zeng
</v>
      </c>
      <c r="E40" s="135" t="str">
        <f>IFERROR(__xludf.DUMMYFUNCTION("TEXTJOIN(CHAR(10), TRUE,FILTER('Industry Papers'!$D:$D,'Industry Papers'!$A:$A=C40))"),"Baopu Qiu, Hao Chen, Yuanrong Wu, Changtong Zan, Chao Wei, Weiru Zhang and Xiaoyi Zeng")</f>
        <v>Baopu Qiu, Hao Chen, Yuanrong Wu, Changtong Zan, Chao Wei, Weiru Zhang and Xiaoyi Zeng</v>
      </c>
      <c r="F40" s="135" t="str">
        <f>IFERROR(__xludf.DUMMYFUNCTION("TEXTJOIN(CHAR(10), TRUE,FILTER ('Sheridan Main'!E:E,'Sheridan Main'!B:B=C40))"),"weichao.wc@alibaba-inc.com")</f>
        <v>weichao.wc@alibaba-inc.com</v>
      </c>
      <c r="G40" s="226" t="str">
        <f>IFERROR(__xludf.DUMMYFUNCTION("CONCATENATE(""https://dl.acm.org/doi/"",INDEX(FILTER('Sheridan Main'!A:A,'Sheridan Main'!B:B=C40),1))"),"https://dl.acm.org/doi/10.1145/3774904.3792812")</f>
        <v>https://dl.acm.org/doi/10.1145/3774904.3792812</v>
      </c>
      <c r="H40" s="227" t="s">
        <v>164</v>
      </c>
      <c r="I40" s="147"/>
    </row>
    <row r="41">
      <c r="A41" s="225" t="s">
        <v>2869</v>
      </c>
      <c r="B41" s="135" t="s">
        <v>1835</v>
      </c>
      <c r="C41" s="135" t="s">
        <v>1834</v>
      </c>
      <c r="D41" s="135" t="str">
        <f t="shared" si="1"/>
        <v>From Reasoning LLMs to BERT: A Two-Stage Distillation Framework for Search Relevance
Runze Xia, Yupeng Ji, Yuxi Zhou, Haodong Liu, Teng Zhang and Piji Li
</v>
      </c>
      <c r="E41" s="135" t="str">
        <f>IFERROR(__xludf.DUMMYFUNCTION("TEXTJOIN(CHAR(10), TRUE,FILTER('Industry Papers'!$D:$D,'Industry Papers'!$A:$A=C41))"),"Runze Xia, Yupeng Ji, Yuxi Zhou, Haodong Liu, Teng Zhang and Piji Li")</f>
        <v>Runze Xia, Yupeng Ji, Yuxi Zhou, Haodong Liu, Teng Zhang and Piji Li</v>
      </c>
      <c r="F41" s="135" t="str">
        <f>IFERROR(__xludf.DUMMYFUNCTION("TEXTJOIN(CHAR(10), TRUE,FILTER ('Sheridan Main'!E:E,'Sheridan Main'!B:B=C41))"),"lipiji.pz@gmail.com")</f>
        <v>lipiji.pz@gmail.com</v>
      </c>
      <c r="G41" s="226" t="str">
        <f>IFERROR(__xludf.DUMMYFUNCTION("CONCATENATE(""https://dl.acm.org/doi/"",INDEX(FILTER('Sheridan Main'!A:A,'Sheridan Main'!B:B=C41),1))"),"https://dl.acm.org/doi/10.1145/3774904.3792801")</f>
        <v>https://dl.acm.org/doi/10.1145/3774904.3792801</v>
      </c>
      <c r="H41" s="227" t="s">
        <v>164</v>
      </c>
      <c r="I41" s="147"/>
    </row>
    <row r="42">
      <c r="A42" s="225" t="s">
        <v>2869</v>
      </c>
      <c r="B42" s="135" t="s">
        <v>1893</v>
      </c>
      <c r="C42" s="135" t="s">
        <v>1892</v>
      </c>
      <c r="D42" s="135" t="str">
        <f t="shared" si="1"/>
        <v>A Long-term Value Prediction Framework In Video Ranking
Huabin Chen, Xinao Wang, Huiping Chu, Keqin Xu, Chenhao Zhai, Chenyi Wang, Kai Meng and Yuning Jiang
</v>
      </c>
      <c r="E42" s="135" t="str">
        <f>IFERROR(__xludf.DUMMYFUNCTION("TEXTJOIN(CHAR(10), TRUE,FILTER('Industry Papers'!$D:$D,'Industry Papers'!$A:$A=C42))"),"Huabin Chen, Xinao Wang, Huiping Chu, Keqin Xu, Chenhao Zhai, Chenyi Wang, Kai Meng and Yuning Jiang")</f>
        <v>Huabin Chen, Xinao Wang, Huiping Chu, Keqin Xu, Chenhao Zhai, Chenyi Wang, Kai Meng and Yuning Jiang</v>
      </c>
      <c r="F42" s="135" t="str">
        <f>IFERROR(__xludf.DUMMYFUNCTION("TEXTJOIN(CHAR(10), TRUE,FILTER ('Sheridan Main'!E:E,'Sheridan Main'!B:B=C42))"),"mengzhu.jyn@alibaba-inc.com")</f>
        <v>mengzhu.jyn@alibaba-inc.com</v>
      </c>
      <c r="G42" s="226" t="str">
        <f>IFERROR(__xludf.DUMMYFUNCTION("CONCATENATE(""https://dl.acm.org/doi/"",INDEX(FILTER('Sheridan Main'!A:A,'Sheridan Main'!B:B=C42),1))"),"https://dl.acm.org/doi/10.1145/3774904.3792830")</f>
        <v>https://dl.acm.org/doi/10.1145/3774904.3792830</v>
      </c>
      <c r="H42" s="227" t="s">
        <v>184</v>
      </c>
      <c r="I42" s="147"/>
    </row>
    <row r="43">
      <c r="A43" s="225" t="s">
        <v>2869</v>
      </c>
      <c r="B43" s="135" t="s">
        <v>1843</v>
      </c>
      <c r="C43" s="135" t="s">
        <v>1842</v>
      </c>
      <c r="D43" s="135" t="str">
        <f t="shared" si="1"/>
        <v>GAM: A Generative Auto-Marketing Framework in Online E-commerce Platforms
Yuejia Dou, Shuai Dou, Yuchao Ma, Bingzhe Wang, Tianyu Wang, Zhilin Zhang, Chuan Yu, Jian Xu and Qi Qi
</v>
      </c>
      <c r="E43" s="135" t="str">
        <f>IFERROR(__xludf.DUMMYFUNCTION("TEXTJOIN(CHAR(10), TRUE,FILTER('Industry Papers'!$D:$D,'Industry Papers'!$A:$A=C43))"),"Yuejia Dou, Shuai Dou, Yuchao Ma, Bingzhe Wang, Tianyu Wang, Zhilin Zhang, Chuan Yu, Jian Xu and Qi Qi")</f>
        <v>Yuejia Dou, Shuai Dou, Yuchao Ma, Bingzhe Wang, Tianyu Wang, Zhilin Zhang, Chuan Yu, Jian Xu and Qi Qi</v>
      </c>
      <c r="F43" s="135" t="str">
        <f>IFERROR(__xludf.DUMMYFUNCTION("TEXTJOIN(CHAR(10), TRUE,FILTER ('Sheridan Main'!E:E,'Sheridan Main'!B:B=C43))"),"qi.qi@ruc.edu.cn")</f>
        <v>qi.qi@ruc.edu.cn</v>
      </c>
      <c r="G43" s="226" t="str">
        <f>IFERROR(__xludf.DUMMYFUNCTION("CONCATENATE(""https://dl.acm.org/doi/"",INDEX(FILTER('Sheridan Main'!A:A,'Sheridan Main'!B:B=C43),1))"),"https://dl.acm.org/doi/10.1145/3774904.3792805")</f>
        <v>https://dl.acm.org/doi/10.1145/3774904.3792805</v>
      </c>
      <c r="H43" s="227" t="s">
        <v>184</v>
      </c>
      <c r="I43" s="147"/>
    </row>
    <row r="44">
      <c r="A44" s="225" t="s">
        <v>2869</v>
      </c>
      <c r="B44" s="135" t="s">
        <v>1855</v>
      </c>
      <c r="C44" s="135" t="s">
        <v>1854</v>
      </c>
      <c r="D44" s="135" t="str">
        <f t="shared" si="1"/>
        <v>Make It Long, Keep It Fast: End-to-End 10k-Sequence Modeling at Billion Scale on Douyin
Lin Guan, Jia-Qi Yang, Zhishan Zhao, Beichuan Zhang, Bo Sun, Xuanyuan Luo, Jinan Ni, Xiaowen Li, Yuhang Qi, Zhifang Fan, Hangyu Wang, Qiwei Chen, Yi Cheng, Feng Zhang and Xiao Yang
</v>
      </c>
      <c r="E44" s="135" t="str">
        <f>IFERROR(__xludf.DUMMYFUNCTION("TEXTJOIN(CHAR(10), TRUE,FILTER('Industry Papers'!$D:$D,'Industry Papers'!$A:$A=C44))"),"Lin Guan, Jia-Qi Yang, Zhishan Zhao, Beichuan Zhang, Bo Sun, Xuanyuan Luo, Jinan Ni, Xiaowen Li, Yuhang Qi, Zhifang Fan, Hangyu Wang, Qiwei Chen, Yi Cheng, Feng Zhang and Xiao Yang")</f>
        <v>Lin Guan, Jia-Qi Yang, Zhishan Zhao, Beichuan Zhang, Bo Sun, Xuanyuan Luo, Jinan Ni, Xiaowen Li, Yuhang Qi, Zhifang Fan, Hangyu Wang, Qiwei Chen, Yi Cheng, Feng Zhang and Xiao Yang</v>
      </c>
      <c r="F44" s="135" t="str">
        <f>IFERROR(__xludf.DUMMYFUNCTION("TEXTJOIN(CHAR(10), TRUE,FILTER ('Sheridan Main'!E:E,'Sheridan Main'!B:B=C44))"),"yangjiaqi.yjq@bytedance.com")</f>
        <v>yangjiaqi.yjq@bytedance.com</v>
      </c>
      <c r="G44" s="226" t="str">
        <f>IFERROR(__xludf.DUMMYFUNCTION("CONCATENATE(""https://dl.acm.org/doi/"",INDEX(FILTER('Sheridan Main'!A:A,'Sheridan Main'!B:B=C44),1))"),"https://dl.acm.org/doi/10.1145/3774904.3792811")</f>
        <v>https://dl.acm.org/doi/10.1145/3774904.3792811</v>
      </c>
      <c r="H44" s="227" t="s">
        <v>184</v>
      </c>
      <c r="I44" s="147"/>
    </row>
    <row r="45">
      <c r="A45" s="225" t="s">
        <v>2869</v>
      </c>
      <c r="B45" s="135" t="s">
        <v>1895</v>
      </c>
      <c r="C45" s="135" t="s">
        <v>1894</v>
      </c>
      <c r="D45" s="135" t="str">
        <f t="shared" si="1"/>
        <v>When Rules Fall Short: Agent-Driven Discovery of Emerging Content Issues in Short Video Platforms
Chenghui Yu, Hongwei Wang, Junwen Chen, Zixuan Wang, Bingfeng Deng, Zhuolin Hao, Hongyu Xiong and Yang Song
</v>
      </c>
      <c r="E45" s="135" t="str">
        <f>IFERROR(__xludf.DUMMYFUNCTION("TEXTJOIN(CHAR(10), TRUE,FILTER('Industry Papers'!$D:$D,'Industry Papers'!$A:$A=C45))"),"Chenghui Yu, Hongwei Wang, Junwen Chen, Zixuan Wang, Bingfeng Deng, Zhuolin Hao, Hongyu Xiong and Yang Song")</f>
        <v>Chenghui Yu, Hongwei Wang, Junwen Chen, Zixuan Wang, Bingfeng Deng, Zhuolin Hao, Hongyu Xiong and Yang Song</v>
      </c>
      <c r="F45" s="135" t="str">
        <f>IFERROR(__xludf.DUMMYFUNCTION("TEXTJOIN(CHAR(10), TRUE,FILTER ('Sheridan Main'!E:E,'Sheridan Main'!B:B=C45))"),"hxiong2@stanford.edu")</f>
        <v>hxiong2@stanford.edu</v>
      </c>
      <c r="G45" s="226" t="str">
        <f>IFERROR(__xludf.DUMMYFUNCTION("CONCATENATE(""https://dl.acm.org/doi/"",INDEX(FILTER('Sheridan Main'!A:A,'Sheridan Main'!B:B=C45),1))"),"https://dl.acm.org/doi/10.1145/3774904.3792831")</f>
        <v>https://dl.acm.org/doi/10.1145/3774904.3792831</v>
      </c>
      <c r="H45" s="227" t="s">
        <v>184</v>
      </c>
      <c r="I45" s="147"/>
    </row>
    <row r="46">
      <c r="A46" s="225" t="s">
        <v>2869</v>
      </c>
      <c r="B46" s="135" t="s">
        <v>1825</v>
      </c>
      <c r="C46" s="135" t="s">
        <v>1824</v>
      </c>
      <c r="D46" s="135" t="str">
        <f t="shared" si="1"/>
        <v>Visual Content Moderation in Messaging Systems
Maria Ljubičić, Emanuel Lacić and Denis Helić
</v>
      </c>
      <c r="E46" s="135" t="str">
        <f>IFERROR(__xludf.DUMMYFUNCTION("TEXTJOIN(CHAR(10), TRUE,FILTER('Industry Papers'!$D:$D,'Industry Papers'!$A:$A=C46))"),"Maria Ljubičić, Emanuel Lacić and Denis Helić")</f>
        <v>Maria Ljubičić, Emanuel Lacić and Denis Helić</v>
      </c>
      <c r="F46" s="135" t="str">
        <f>IFERROR(__xludf.DUMMYFUNCTION("TEXTJOIN(CHAR(10), TRUE,FILTER ('Sheridan Main'!E:E,'Sheridan Main'!B:B=C46))"),"maria.ljubicic@infobip.com")</f>
        <v>maria.ljubicic@infobip.com</v>
      </c>
      <c r="G46" s="226" t="str">
        <f>IFERROR(__xludf.DUMMYFUNCTION("CONCATENATE(""https://dl.acm.org/doi/"",INDEX(FILTER('Sheridan Main'!A:A,'Sheridan Main'!B:B=C46),1))"),"https://dl.acm.org/doi/10.1145/3774904.3792796")</f>
        <v>https://dl.acm.org/doi/10.1145/3774904.3792796</v>
      </c>
      <c r="H46" s="227" t="s">
        <v>184</v>
      </c>
      <c r="I46" s="147"/>
    </row>
    <row r="47">
      <c r="A47" s="225" t="s">
        <v>2869</v>
      </c>
      <c r="B47" s="135" t="s">
        <v>1873</v>
      </c>
      <c r="C47" s="135" t="s">
        <v>1872</v>
      </c>
      <c r="D47" s="135" t="str">
        <f t="shared" si="1"/>
        <v>Multi-Domain Marker Aggregation for Threat Detection in Cloud Environments
Junshen Xu, Jiayun Zhang and Yi Fan
</v>
      </c>
      <c r="E47" s="135" t="str">
        <f>IFERROR(__xludf.DUMMYFUNCTION("TEXTJOIN(CHAR(10), TRUE,FILTER('Industry Papers'!$D:$D,'Industry Papers'!$A:$A=C47))"),"Junshen Xu, Jiayun Zhang and Yi Fan")</f>
        <v>Junshen Xu, Jiayun Zhang and Yi Fan</v>
      </c>
      <c r="F47" s="135" t="str">
        <f>IFERROR(__xludf.DUMMYFUNCTION("TEXTJOIN(CHAR(10), TRUE,FILTER ('Sheridan Main'!E:E,'Sheridan Main'!B:B=C47))"),"jsxu@amazon.com")</f>
        <v>jsxu@amazon.com</v>
      </c>
      <c r="G47" s="226" t="str">
        <f>IFERROR(__xludf.DUMMYFUNCTION("CONCATENATE(""https://dl.acm.org/doi/"",INDEX(FILTER('Sheridan Main'!A:A,'Sheridan Main'!B:B=C47),1))"),"https://dl.acm.org/doi/10.1145/3774904.3792820")</f>
        <v>https://dl.acm.org/doi/10.1145/3774904.3792820</v>
      </c>
      <c r="H47" s="227" t="s">
        <v>210</v>
      </c>
      <c r="I47" s="147"/>
    </row>
    <row r="48">
      <c r="A48" s="225" t="s">
        <v>2869</v>
      </c>
      <c r="B48" s="135" t="s">
        <v>1841</v>
      </c>
      <c r="C48" s="135" t="s">
        <v>1840</v>
      </c>
      <c r="D48" s="135" t="str">
        <f t="shared" si="1"/>
        <v>Smart Eye: LLM-Guided Proposer-Verifier Framework for Industrial-Scale Log Anomaly Detection
Changhua Pei, Hang Cui, Jingjing Li, Yuxuan Li, Zihan Liu, Xinyuan Liao, Cenjie Hu, Jiabao Wang, Zheyuan Li, Zexin Wang, Haotian Si, Ke Xiang, Gaogang Xie and Dan Pei
</v>
      </c>
      <c r="E48" s="135" t="str">
        <f>IFERROR(__xludf.DUMMYFUNCTION("TEXTJOIN(CHAR(10), TRUE,FILTER('Industry Papers'!$D:$D,'Industry Papers'!$A:$A=C48))"),"Changhua Pei, Hang Cui, Jingjing Li, Yuxuan Li, Zihan Liu, Xinyuan Liao, Cenjie Hu, Jiabao Wang, Zheyuan Li, Zexin Wang, Haotian Si, Ke Xiang, Gaogang Xie and Dan Pei")</f>
        <v>Changhua Pei, Hang Cui, Jingjing Li, Yuxuan Li, Zihan Liu, Xinyuan Liao, Cenjie Hu, Jiabao Wang, Zheyuan Li, Zexin Wang, Haotian Si, Ke Xiang, Gaogang Xie and Dan Pei</v>
      </c>
      <c r="F48" s="135" t="str">
        <f>IFERROR(__xludf.DUMMYFUNCTION("TEXTJOIN(CHAR(10), TRUE,FILTER ('Sheridan Main'!E:E,'Sheridan Main'!B:B=C48))"),"chpei@cnic.cn")</f>
        <v>chpei@cnic.cn</v>
      </c>
      <c r="G48" s="226" t="str">
        <f>IFERROR(__xludf.DUMMYFUNCTION("CONCATENATE(""https://dl.acm.org/doi/"",INDEX(FILTER('Sheridan Main'!A:A,'Sheridan Main'!B:B=C48),1))"),"https://dl.acm.org/doi/10.1145/3774904.3792804")</f>
        <v>https://dl.acm.org/doi/10.1145/3774904.3792804</v>
      </c>
      <c r="H48" s="227" t="s">
        <v>210</v>
      </c>
      <c r="I48" s="147"/>
    </row>
    <row r="49">
      <c r="A49" s="225" t="s">
        <v>2869</v>
      </c>
      <c r="B49" s="135" t="s">
        <v>1861</v>
      </c>
      <c r="C49" s="135" t="s">
        <v>1860</v>
      </c>
      <c r="D49" s="135" t="str">
        <f t="shared" si="1"/>
        <v>URLBank: Data-Driven URL Discovery via Temporal Link Graphs
Felipe Marineli, Valerio Cetorelli, Valter Crescenzi, Tim Furche and Xiaonan Guo
</v>
      </c>
      <c r="E49" s="135" t="str">
        <f>IFERROR(__xludf.DUMMYFUNCTION("TEXTJOIN(CHAR(10), TRUE,FILTER('Industry Papers'!$D:$D,'Industry Papers'!$A:$A=C49))"),"Felipe Marineli, Valerio Cetorelli, Valter Crescenzi, Tim Furche and Xiaonan Guo")</f>
        <v>Felipe Marineli, Valerio Cetorelli, Valter Crescenzi, Tim Furche and Xiaonan Guo</v>
      </c>
      <c r="F49" s="135" t="str">
        <f>IFERROR(__xludf.DUMMYFUNCTION("TEXTJOIN(CHAR(10), TRUE,FILTER ('Sheridan Main'!E:E,'Sheridan Main'!B:B=C49))"),"felipe.marineli@uniroma3.it")</f>
        <v>felipe.marineli@uniroma3.it</v>
      </c>
      <c r="G49" s="226" t="str">
        <f>IFERROR(__xludf.DUMMYFUNCTION("CONCATENATE(""https://dl.acm.org/doi/"",INDEX(FILTER('Sheridan Main'!A:A,'Sheridan Main'!B:B=C49),1))"),"https://dl.acm.org/doi/10.1145/3774904.3792814")</f>
        <v>https://dl.acm.org/doi/10.1145/3774904.3792814</v>
      </c>
      <c r="H49" s="227" t="s">
        <v>210</v>
      </c>
      <c r="I49" s="147"/>
    </row>
    <row r="50">
      <c r="A50" s="225" t="s">
        <v>2869</v>
      </c>
      <c r="B50" s="135" t="s">
        <v>1877</v>
      </c>
      <c r="C50" s="135" t="s">
        <v>1876</v>
      </c>
      <c r="D50" s="135" t="str">
        <f t="shared" si="1"/>
        <v>Orchestration-Free Customer Service Automation: A Privacy-Preserving and Flowchart-Guided Framework
Mengze Hong, Chen Jason Zhang, Zichang Guo, Hanlin Gu, Di Jiang and Qing Li
</v>
      </c>
      <c r="E50" s="135" t="str">
        <f>IFERROR(__xludf.DUMMYFUNCTION("TEXTJOIN(CHAR(10), TRUE,FILTER('Industry Papers'!$D:$D,'Industry Papers'!$A:$A=C50))"),"Mengze Hong, Chen Jason Zhang, Zichang Guo, Hanlin Gu, Di Jiang and Qing Li")</f>
        <v>Mengze Hong, Chen Jason Zhang, Zichang Guo, Hanlin Gu, Di Jiang and Qing Li</v>
      </c>
      <c r="F50" s="135" t="str">
        <f>IFERROR(__xludf.DUMMYFUNCTION("TEXTJOIN(CHAR(10), TRUE,FILTER ('Sheridan Main'!E:E,'Sheridan Main'!B:B=C50))"),"di-prof.jiang@polyu.edu.hk")</f>
        <v>di-prof.jiang@polyu.edu.hk</v>
      </c>
      <c r="G50" s="226" t="str">
        <f>IFERROR(__xludf.DUMMYFUNCTION("CONCATENATE(""https://dl.acm.org/doi/"",INDEX(FILTER('Sheridan Main'!A:A,'Sheridan Main'!B:B=C50),1))"),"https://dl.acm.org/doi/10.1145/3774904.3792822")</f>
        <v>https://dl.acm.org/doi/10.1145/3774904.3792822</v>
      </c>
      <c r="H50" s="227" t="s">
        <v>210</v>
      </c>
      <c r="I50" s="147"/>
    </row>
    <row r="51">
      <c r="A51" s="225" t="s">
        <v>2869</v>
      </c>
      <c r="B51" s="135" t="s">
        <v>1839</v>
      </c>
      <c r="C51" s="135" t="s">
        <v>1838</v>
      </c>
      <c r="D51" s="135" t="str">
        <f t="shared" si="1"/>
        <v>Multilingual Reference Need Assessment System for Wikipedia
Aitolkyn Baigutanova, Francisco Navas, Pablo Aragon, Mykola Trokhymovych, Muniza Aslam, Ai-Jou Chou, Miriam Redi and Diego Saez Trumper
</v>
      </c>
      <c r="E51" s="135" t="str">
        <f>IFERROR(__xludf.DUMMYFUNCTION("TEXTJOIN(CHAR(10), TRUE,FILTER('Industry Papers'!$D:$D,'Industry Papers'!$A:$A=C51))"),"Aitolkyn Baigutanova, Francisco Navas, Pablo Aragon, Mykola Trokhymovych, Muniza Aslam, Ai-Jou Chou, Miriam Redi and Diego Saez Trumper")</f>
        <v>Aitolkyn Baigutanova, Francisco Navas, Pablo Aragon, Mykola Trokhymovych, Muniza Aslam, Ai-Jou Chou, Miriam Redi and Diego Saez Trumper</v>
      </c>
      <c r="F51" s="135" t="str">
        <f>IFERROR(__xludf.DUMMYFUNCTION("TEXTJOIN(CHAR(10), TRUE,FILTER ('Sheridan Main'!E:E,'Sheridan Main'!B:B=C51))"),"diego@wikimedia.org")</f>
        <v>diego@wikimedia.org</v>
      </c>
      <c r="G51" s="226" t="str">
        <f>IFERROR(__xludf.DUMMYFUNCTION("CONCATENATE(""https://dl.acm.org/doi/"",INDEX(FILTER('Sheridan Main'!A:A,'Sheridan Main'!B:B=C51),1))"),"https://dl.acm.org/doi/10.1145/3774904.3792803")</f>
        <v>https://dl.acm.org/doi/10.1145/3774904.3792803</v>
      </c>
      <c r="H51" s="227" t="s">
        <v>210</v>
      </c>
      <c r="I51" s="147"/>
    </row>
    <row r="52">
      <c r="A52" s="225" t="s">
        <v>2869</v>
      </c>
      <c r="B52" s="135" t="s">
        <v>1847</v>
      </c>
      <c r="C52" s="135" t="s">
        <v>1846</v>
      </c>
      <c r="D52" s="135" t="str">
        <f t="shared" si="1"/>
        <v>OpenDigger: A Practical Framework for Assessing Community Health and Sustainability in Open Source Collaboration Platforms
Wei Wang, Fanyu Han, Shengyu Zhao, Xuan Zhou, Weining Qian, Aoying Zhou, Xiaoya Xia, Liyun Yang, Rong Wang, Ning Jiang and Moming Duan
</v>
      </c>
      <c r="E52" s="135" t="str">
        <f>IFERROR(__xludf.DUMMYFUNCTION("TEXTJOIN(CHAR(10), TRUE,FILTER('Industry Papers'!$D:$D,'Industry Papers'!$A:$A=C52))"),"Wei Wang, Fanyu Han, Shengyu Zhao, Xuan Zhou, Weining Qian, Aoying Zhou, Xiaoya Xia, Liyun Yang, Rong Wang, Ning Jiang and Moming Duan")</f>
        <v>Wei Wang, Fanyu Han, Shengyu Zhao, Xuan Zhou, Weining Qian, Aoying Zhou, Xiaoya Xia, Liyun Yang, Rong Wang, Ning Jiang and Moming Duan</v>
      </c>
      <c r="F52" s="135" t="str">
        <f>IFERROR(__xludf.DUMMYFUNCTION("TEXTJOIN(CHAR(10), TRUE,FILTER ('Sheridan Main'!E:E,'Sheridan Main'!B:B=C52))"),"mmduan@dase.ecnu.edu.cn")</f>
        <v>mmduan@dase.ecnu.edu.cn</v>
      </c>
      <c r="G52" s="226" t="str">
        <f>IFERROR(__xludf.DUMMYFUNCTION("CONCATENATE(""https://dl.acm.org/doi/"",INDEX(FILTER('Sheridan Main'!A:A,'Sheridan Main'!B:B=C52),1))"),"https://dl.acm.org/doi/10.1145/3774904.3792807")</f>
        <v>https://dl.acm.org/doi/10.1145/3774904.3792807</v>
      </c>
      <c r="H52" s="135" t="s">
        <v>2861</v>
      </c>
      <c r="I52" s="189" t="s">
        <v>2915</v>
      </c>
    </row>
    <row r="53">
      <c r="A53" s="225" t="s">
        <v>2869</v>
      </c>
      <c r="B53" s="135" t="s">
        <v>1809</v>
      </c>
      <c r="C53" s="135" t="s">
        <v>1808</v>
      </c>
      <c r="D53" s="135" t="str">
        <f t="shared" si="1"/>
        <v>GPU-accelerated Multi-relational Parallel Graph Retrieval for Web-scale Recommendations
Zhuoning Guo, Guangxing Chen, Qian Gao, Xiaochao Liao, Jianjia Zheng, Lu Shen and Hao Liu
</v>
      </c>
      <c r="E53" s="135" t="str">
        <f>IFERROR(__xludf.DUMMYFUNCTION("TEXTJOIN(CHAR(10), TRUE,FILTER('Industry Papers'!$D:$D,'Industry Papers'!$A:$A=C53))"),"Zhuoning Guo, Guangxing Chen, Qian Gao, Xiaochao Liao, Jianjia Zheng, Lu Shen and Hao Liu")</f>
        <v>Zhuoning Guo, Guangxing Chen, Qian Gao, Xiaochao Liao, Jianjia Zheng, Lu Shen and Hao Liu</v>
      </c>
      <c r="F53" s="135" t="str">
        <f>IFERROR(__xludf.DUMMYFUNCTION("TEXTJOIN(CHAR(10), TRUE,FILTER ('Sheridan Main'!E:E,'Sheridan Main'!B:B=C53))"),"liuh@ust.hk")</f>
        <v>liuh@ust.hk</v>
      </c>
      <c r="G53" s="226" t="str">
        <f>IFERROR(__xludf.DUMMYFUNCTION("CONCATENATE(""https://dl.acm.org/doi/"",INDEX(FILTER('Sheridan Main'!A:A,'Sheridan Main'!B:B=C53),1))"),"https://dl.acm.org/doi/10.1145/3774904.3792788")</f>
        <v>https://dl.acm.org/doi/10.1145/3774904.3792788</v>
      </c>
      <c r="H53" s="135" t="s">
        <v>2861</v>
      </c>
      <c r="I53" s="189" t="s">
        <v>123</v>
      </c>
    </row>
    <row r="54">
      <c r="A54" s="225" t="s">
        <v>2869</v>
      </c>
      <c r="B54" s="135" t="s">
        <v>1901</v>
      </c>
      <c r="C54" s="135" t="s">
        <v>1900</v>
      </c>
      <c r="D54" s="135" t="str">
        <f t="shared" si="1"/>
        <v>LSIG: Long Semantic IDs for Generative Recommendation
Zhao Li, FengYang Qi, Chuanyu Xu, Tao Zhang, Chengfu Huo and Peng Zhang
</v>
      </c>
      <c r="E54" s="135" t="str">
        <f>IFERROR(__xludf.DUMMYFUNCTION("TEXTJOIN(CHAR(10), TRUE,FILTER('Industry Papers'!$D:$D,'Industry Papers'!$A:$A=C54))"),"Zhao Li, FengYang Qi, Chuanyu Xu, Tao Zhang, Chengfu Huo and Peng Zhang")</f>
        <v>Zhao Li, FengYang Qi, Chuanyu Xu, Tao Zhang, Chengfu Huo and Peng Zhang</v>
      </c>
      <c r="F54" s="135" t="str">
        <f>IFERROR(__xludf.DUMMYFUNCTION("TEXTJOIN(CHAR(10), TRUE,FILTER ('Sheridan Main'!E:E,'Sheridan Main'!B:B=C54))"),"pengz@zju.edu.cn")</f>
        <v>pengz@zju.edu.cn</v>
      </c>
      <c r="G54" s="226" t="str">
        <f>IFERROR(__xludf.DUMMYFUNCTION("CONCATENATE(""https://dl.acm.org/doi/"",INDEX(FILTER('Sheridan Main'!A:A,'Sheridan Main'!B:B=C54),1))"),"https://dl.acm.org/doi/10.1145/3774904.3792834")</f>
        <v>https://dl.acm.org/doi/10.1145/3774904.3792834</v>
      </c>
      <c r="H54" s="135" t="s">
        <v>2861</v>
      </c>
      <c r="I54" s="189" t="s">
        <v>2916</v>
      </c>
    </row>
    <row r="55">
      <c r="A55" s="225" t="s">
        <v>2869</v>
      </c>
      <c r="B55" s="135" t="s">
        <v>1853</v>
      </c>
      <c r="C55" s="135" t="s">
        <v>1852</v>
      </c>
      <c r="D55" s="135" t="str">
        <f t="shared" si="1"/>
        <v>GRank: Towards Target-Aware and Streamlined Industrial Retrieval with a Generate-Rank Framework
Yijia Sun, Shanshan Huang, Zhiyuan Guan, Qiang Luo, Ruiming Tang, Kun Gai and Guorui Zhou
</v>
      </c>
      <c r="E55" s="135" t="str">
        <f>IFERROR(__xludf.DUMMYFUNCTION("TEXTJOIN(CHAR(10), TRUE,FILTER('Industry Papers'!$D:$D,'Industry Papers'!$A:$A=C55))"),"Yijia Sun, Shanshan Huang, Zhiyuan Guan, Qiang Luo, Ruiming Tang, Kun Gai and Guorui Zhou")</f>
        <v>Yijia Sun, Shanshan Huang, Zhiyuan Guan, Qiang Luo, Ruiming Tang, Kun Gai and Guorui Zhou</v>
      </c>
      <c r="F55" s="135" t="str">
        <f>IFERROR(__xludf.DUMMYFUNCTION("TEXTJOIN(CHAR(10), TRUE,FILTER ('Sheridan Main'!E:E,'Sheridan Main'!B:B=C55))"),"sunyijia@kuaishou.com")</f>
        <v>sunyijia@kuaishou.com</v>
      </c>
      <c r="G55" s="226" t="str">
        <f>IFERROR(__xludf.DUMMYFUNCTION("CONCATENATE(""https://dl.acm.org/doi/"",INDEX(FILTER('Sheridan Main'!A:A,'Sheridan Main'!B:B=C55),1))"),"https://dl.acm.org/doi/10.1145/3774904.3792810")</f>
        <v>https://dl.acm.org/doi/10.1145/3774904.3792810</v>
      </c>
      <c r="H55" s="135" t="s">
        <v>2861</v>
      </c>
      <c r="I55" s="189" t="s">
        <v>2917</v>
      </c>
    </row>
    <row r="56">
      <c r="A56" s="225" t="s">
        <v>2869</v>
      </c>
      <c r="B56" s="135" t="s">
        <v>1859</v>
      </c>
      <c r="C56" s="135" t="s">
        <v>1858</v>
      </c>
      <c r="D56" s="135" t="str">
        <f t="shared" si="1"/>
        <v>Data-Driven Function Calling Improvements in Large Language Model for Online Financial QA
Xing Tang, Hao Chen, Shiwei Li, Fuyuan Lyu, Weijie Shi, Lingjie Li, Dugang Liu, Weihong Luo, Xiku Du and Xiuqiang He
</v>
      </c>
      <c r="E56" s="135" t="str">
        <f>IFERROR(__xludf.DUMMYFUNCTION("TEXTJOIN(CHAR(10), TRUE,FILTER('Industry Papers'!$D:$D,'Industry Papers'!$A:$A=C56))"),"Xing Tang, Hao Chen, Shiwei Li, Fuyuan Lyu, Weijie Shi, Lingjie Li, Dugang Liu, Weihong Luo, Xiku Du and Xiuqiang He")</f>
        <v>Xing Tang, Hao Chen, Shiwei Li, Fuyuan Lyu, Weijie Shi, Lingjie Li, Dugang Liu, Weihong Luo, Xiku Du and Xiuqiang He</v>
      </c>
      <c r="F56" s="135" t="str">
        <f>IFERROR(__xludf.DUMMYFUNCTION("TEXTJOIN(CHAR(10), TRUE,FILTER ('Sheridan Main'!E:E,'Sheridan Main'!B:B=C56))"),"xing.tang@hotmail.com")</f>
        <v>xing.tang@hotmail.com</v>
      </c>
      <c r="G56" s="226" t="str">
        <f>IFERROR(__xludf.DUMMYFUNCTION("CONCATENATE(""https://dl.acm.org/doi/"",INDEX(FILTER('Sheridan Main'!A:A,'Sheridan Main'!B:B=C56),1))"),"https://dl.acm.org/doi/10.1145/3774904.3792813")</f>
        <v>https://dl.acm.org/doi/10.1145/3774904.3792813</v>
      </c>
      <c r="H56" s="135" t="s">
        <v>2861</v>
      </c>
      <c r="I56" s="189" t="s">
        <v>197</v>
      </c>
    </row>
    <row r="57">
      <c r="A57" s="225" t="s">
        <v>2869</v>
      </c>
      <c r="B57" s="135" t="s">
        <v>1887</v>
      </c>
      <c r="C57" s="135" t="s">
        <v>1886</v>
      </c>
      <c r="D57" s="135" t="str">
        <f t="shared" si="1"/>
        <v>Bridging Visual Dynamics and Narrative Reasoning: Multimodal Large Language Models for Short Drama Quality Assessment
Qingyang Liu, Jiangtong Li, Zelin Peng, Shaobo Wang, Zhaohe Liao, Shuochen Chang, Bingjie Gao, Haonan Zhao, Mu Liu, Jidong Jiang and Li Niu
</v>
      </c>
      <c r="E57" s="135" t="str">
        <f>IFERROR(__xludf.DUMMYFUNCTION("TEXTJOIN(CHAR(10), TRUE,FILTER('Industry Papers'!$D:$D,'Industry Papers'!$A:$A=C57))"),"Qingyang Liu, Jiangtong Li, Zelin Peng, Shaobo Wang, Zhaohe Liao, Shuochen Chang, Bingjie Gao, Haonan Zhao, Mu Liu, Jidong Jiang and Li Niu")</f>
        <v>Qingyang Liu, Jiangtong Li, Zelin Peng, Shaobo Wang, Zhaohe Liao, Shuochen Chang, Bingjie Gao, Haonan Zhao, Mu Liu, Jidong Jiang and Li Niu</v>
      </c>
      <c r="F57" s="135" t="str">
        <f>IFERROR(__xludf.DUMMYFUNCTION("TEXTJOIN(CHAR(10), TRUE,FILTER ('Sheridan Main'!E:E,'Sheridan Main'!B:B=C57))"),"narumimaria@sjtu.edu.cn")</f>
        <v>narumimaria@sjtu.edu.cn</v>
      </c>
      <c r="G57" s="226" t="str">
        <f>IFERROR(__xludf.DUMMYFUNCTION("CONCATENATE(""https://dl.acm.org/doi/"",INDEX(FILTER('Sheridan Main'!A:A,'Sheridan Main'!B:B=C57),1))"),"https://dl.acm.org/doi/10.1145/3774904.3792827")</f>
        <v>https://dl.acm.org/doi/10.1145/3774904.3792827</v>
      </c>
      <c r="H57" s="135" t="s">
        <v>2861</v>
      </c>
      <c r="I57" s="189" t="s">
        <v>2915</v>
      </c>
    </row>
    <row r="58">
      <c r="A58" s="225" t="s">
        <v>2869</v>
      </c>
      <c r="B58" s="135" t="s">
        <v>1863</v>
      </c>
      <c r="C58" s="135" t="s">
        <v>1862</v>
      </c>
      <c r="D58" s="135" t="str">
        <f t="shared" si="1"/>
        <v>Accurate and Efficient Personalized Query Rewriting in Baidu Search
Xu Chu, Angela Li, Jiaming Zhang, Wei Li, Zhijie Tan, Dawei Yin, Shuaiqiang Wang and Daiting Shi
</v>
      </c>
      <c r="E58" s="135" t="str">
        <f>IFERROR(__xludf.DUMMYFUNCTION("TEXTJOIN(CHAR(10), TRUE,FILTER('Industry Papers'!$D:$D,'Industry Papers'!$A:$A=C58))"),"Xu Chu, Angela Li, Jiaming Zhang, Wei Li, Zhijie Tan, Dawei Yin, Shuaiqiang Wang and Daiting Shi")</f>
        <v>Xu Chu, Angela Li, Jiaming Zhang, Wei Li, Zhijie Tan, Dawei Yin, Shuaiqiang Wang and Daiting Shi</v>
      </c>
      <c r="F58" s="135" t="str">
        <f>IFERROR(__xludf.DUMMYFUNCTION("TEXTJOIN(CHAR(10), TRUE,FILTER ('Sheridan Main'!E:E,'Sheridan Main'!B:B=C58))"),"chuxu@stu.pku.edu.cn")</f>
        <v>chuxu@stu.pku.edu.cn</v>
      </c>
      <c r="G58" s="226" t="str">
        <f>IFERROR(__xludf.DUMMYFUNCTION("CONCATENATE(""https://dl.acm.org/doi/"",INDEX(FILTER('Sheridan Main'!A:A,'Sheridan Main'!B:B=C58),1))"),"https://dl.acm.org/doi/10.1145/3774904.3792815")</f>
        <v>https://dl.acm.org/doi/10.1145/3774904.3792815</v>
      </c>
      <c r="H58" s="135" t="s">
        <v>2861</v>
      </c>
      <c r="I58" s="189" t="s">
        <v>123</v>
      </c>
    </row>
    <row r="59">
      <c r="A59" s="225" t="s">
        <v>2869</v>
      </c>
      <c r="B59" s="135" t="s">
        <v>1907</v>
      </c>
      <c r="C59" s="135" t="s">
        <v>1906</v>
      </c>
      <c r="D59" s="135" t="str">
        <f t="shared" si="1"/>
        <v>iQ-Guard: An Effective and Noise-Resistant Framework for Graph Fraud Detection on iQIYI Platform
Yuting Huang, Ziquan Fang, Zhengjie Zhou, Tinghui Luo, Lu Chen, Surun Ji, Huimei Zheng, Mingfan Lu, Fangshu Chen and Yunjun Gao
</v>
      </c>
      <c r="E59" s="135" t="str">
        <f>IFERROR(__xludf.DUMMYFUNCTION("TEXTJOIN(CHAR(10), TRUE,FILTER('Industry Papers'!$D:$D,'Industry Papers'!$A:$A=C59))"),"Yuting Huang, Ziquan Fang, Zhengjie Zhou, Tinghui Luo, Lu Chen, Surun Ji, Huimei Zheng, Mingfan Lu, Fangshu Chen and Yunjun Gao")</f>
        <v>Yuting Huang, Ziquan Fang, Zhengjie Zhou, Tinghui Luo, Lu Chen, Surun Ji, Huimei Zheng, Mingfan Lu, Fangshu Chen and Yunjun Gao</v>
      </c>
      <c r="F59" s="135" t="str">
        <f>IFERROR(__xludf.DUMMYFUNCTION("TEXTJOIN(CHAR(10), TRUE,FILTER ('Sheridan Main'!E:E,'Sheridan Main'!B:B=C59))"),"zqfang@zju.edu.cn")</f>
        <v>zqfang@zju.edu.cn</v>
      </c>
      <c r="G59" s="226" t="str">
        <f>IFERROR(__xludf.DUMMYFUNCTION("CONCATENATE(""https://dl.acm.org/doi/"",INDEX(FILTER('Sheridan Main'!A:A,'Sheridan Main'!B:B=C59),1))"),"https://dl.acm.org/doi/10.1145/3774904.3792837")</f>
        <v>https://dl.acm.org/doi/10.1145/3774904.3792837</v>
      </c>
      <c r="H59" s="135" t="s">
        <v>2861</v>
      </c>
      <c r="I59" s="189" t="s">
        <v>2916</v>
      </c>
    </row>
    <row r="60">
      <c r="A60" s="225" t="s">
        <v>2869</v>
      </c>
      <c r="B60" s="135" t="s">
        <v>1891</v>
      </c>
      <c r="C60" s="135" t="s">
        <v>1890</v>
      </c>
      <c r="D60" s="135" t="str">
        <f t="shared" si="1"/>
        <v>Delay-Aware Graph Neural Stochastic Differential Equations for Financial Time Series Modeling and Forecasting
Mingjie You, Dawei Cheng, Meilin Zhang, Peng Zhu and Yuqi Liang
</v>
      </c>
      <c r="E60" s="135" t="str">
        <f>IFERROR(__xludf.DUMMYFUNCTION("TEXTJOIN(CHAR(10), TRUE,FILTER('Industry Papers'!$D:$D,'Industry Papers'!$A:$A=C60))"),"Mingjie You, Dawei Cheng, Meilin Zhang, Peng Zhu and Yuqi Liang")</f>
        <v>Mingjie You, Dawei Cheng, Meilin Zhang, Peng Zhu and Yuqi Liang</v>
      </c>
      <c r="F60" s="135" t="str">
        <f>IFERROR(__xludf.DUMMYFUNCTION("TEXTJOIN(CHAR(10), TRUE,FILTER ('Sheridan Main'!E:E,'Sheridan Main'!B:B=C60))"),"pengzhu@tongji.edu.cn")</f>
        <v>pengzhu@tongji.edu.cn</v>
      </c>
      <c r="G60" s="226" t="str">
        <f>IFERROR(__xludf.DUMMYFUNCTION("CONCATENATE(""https://dl.acm.org/doi/"",INDEX(FILTER('Sheridan Main'!A:A,'Sheridan Main'!B:B=C60),1))"),"https://dl.acm.org/doi/10.1145/3774904.3792829")</f>
        <v>https://dl.acm.org/doi/10.1145/3774904.3792829</v>
      </c>
      <c r="H60" s="135" t="s">
        <v>2861</v>
      </c>
      <c r="I60" s="189" t="s">
        <v>2917</v>
      </c>
    </row>
    <row r="61">
      <c r="A61" s="225" t="s">
        <v>2869</v>
      </c>
      <c r="B61" s="135" t="s">
        <v>1851</v>
      </c>
      <c r="C61" s="135" t="s">
        <v>1850</v>
      </c>
      <c r="D61" s="135" t="str">
        <f t="shared" si="1"/>
        <v>CardRewriter: Leveraging Knowledge Cards for Long-Tail Query Rewriting on Short-Video Platforms
Peiyuan Gong, Feiran Zhu, Yaqi Yin, ChengLei Dai, Chao Zhang, Kai Zheng, Wentian Bao, Jiaxin Mao and Yi Zhang
</v>
      </c>
      <c r="E61" s="135" t="str">
        <f>IFERROR(__xludf.DUMMYFUNCTION("TEXTJOIN(CHAR(10), TRUE,FILTER('Industry Papers'!$D:$D,'Industry Papers'!$A:$A=C61))"),"Peiyuan Gong, Feiran Zhu, Yaqi Yin, ChengLei Dai, Chao Zhang, Kai Zheng, Wentian Bao, Jiaxin Mao and Yi Zhang")</f>
        <v>Peiyuan Gong, Feiran Zhu, Yaqi Yin, ChengLei Dai, Chao Zhang, Kai Zheng, Wentian Bao, Jiaxin Mao and Yi Zhang</v>
      </c>
      <c r="F61" s="135" t="str">
        <f>IFERROR(__xludf.DUMMYFUNCTION("TEXTJOIN(CHAR(10), TRUE,FILTER ('Sheridan Main'!E:E,'Sheridan Main'!B:B=C61))"),"maojiaxin@gmail.com")</f>
        <v>maojiaxin@gmail.com</v>
      </c>
      <c r="G61" s="226" t="str">
        <f>IFERROR(__xludf.DUMMYFUNCTION("CONCATENATE(""https://dl.acm.org/doi/"",INDEX(FILTER('Sheridan Main'!A:A,'Sheridan Main'!B:B=C61),1))"),"https://dl.acm.org/doi/10.1145/3774904.3792809")</f>
        <v>https://dl.acm.org/doi/10.1145/3774904.3792809</v>
      </c>
      <c r="H61" s="135" t="s">
        <v>2861</v>
      </c>
      <c r="I61" s="189" t="s">
        <v>197</v>
      </c>
    </row>
    <row r="62">
      <c r="A62" s="225" t="s">
        <v>2869</v>
      </c>
      <c r="B62" s="135" t="s">
        <v>1883</v>
      </c>
      <c r="C62" s="135" t="s">
        <v>1882</v>
      </c>
      <c r="D62" s="135" t="str">
        <f t="shared" si="1"/>
        <v>Not All Candidates are Created Equal: A Heterogeneity-Aware Approach to Pre-ranking in Recommender Systems
Pengfei Tong, Siyuan Chen, Chenwei Zhang, Bo Wang, Qi Pi, Pixun Li and Zuotao Liu
</v>
      </c>
      <c r="E62" s="135" t="str">
        <f>IFERROR(__xludf.DUMMYFUNCTION("TEXTJOIN(CHAR(10), TRUE,FILTER('Industry Papers'!$D:$D,'Industry Papers'!$A:$A=C62))"),"Pengfei Tong, Siyuan Chen, Chenwei Zhang, Bo Wang, Qi Pi, Pixun Li and Zuotao Liu")</f>
        <v>Pengfei Tong, Siyuan Chen, Chenwei Zhang, Bo Wang, Qi Pi, Pixun Li and Zuotao Liu</v>
      </c>
      <c r="F62" s="135" t="str">
        <f>IFERROR(__xludf.DUMMYFUNCTION("TEXTJOIN(CHAR(10), TRUE,FILTER ('Sheridan Main'!E:E,'Sheridan Main'!B:B=C62))"),"wk@bytedance.com")</f>
        <v>wk@bytedance.com</v>
      </c>
      <c r="G62" s="226" t="str">
        <f>IFERROR(__xludf.DUMMYFUNCTION("CONCATENATE(""https://dl.acm.org/doi/"",INDEX(FILTER('Sheridan Main'!A:A,'Sheridan Main'!B:B=C62),1))"),"https://dl.acm.org/doi/10.1145/3774904.3792825")</f>
        <v>https://dl.acm.org/doi/10.1145/3774904.3792825</v>
      </c>
      <c r="H62" s="135" t="s">
        <v>2861</v>
      </c>
      <c r="I62" s="228" t="s">
        <v>2915</v>
      </c>
    </row>
    <row r="63">
      <c r="A63" s="225" t="s">
        <v>2869</v>
      </c>
      <c r="B63" s="135" t="s">
        <v>1837</v>
      </c>
      <c r="C63" s="135" t="s">
        <v>1836</v>
      </c>
      <c r="D63" s="135" t="str">
        <f t="shared" si="1"/>
        <v>PLUM: Adapting Pre-trained Language Models for Industrial-scale Generative Recommendations
Ruining He, Lukasz Heldt, Lichan Hong, Raghunandan Keshavan, Shifan Mao, Nikhil Mehta, Zhengyang Su, Alicia Tsai, Yueqi Wang, Shao-Chuan Wang, Xinyang Yi, Lexi Baugher, Baykal Cakici, Ed Chi, Cristos Goodrow, Ningren Han, He Ma, Romer Rosales, Abby Van Soest, Devansh Tandon, Su-Lin Wu, Weilong Yang and Yilin Zheng
</v>
      </c>
      <c r="E63" s="135" t="str">
        <f>IFERROR(__xludf.DUMMYFUNCTION("TEXTJOIN(CHAR(10), TRUE,FILTER('Industry Papers'!$D:$D,'Industry Papers'!$A:$A=C63))"),"Ruining He, Lukasz Heldt, Lichan Hong, Raghunandan Keshavan, Shifan Mao, Nikhil Mehta, Zhengyang Su, Alicia Tsai, Yueqi Wang, Shao-Chuan Wang, Xinyang Yi, Lexi Baugher, Baykal Cakici, Ed Chi, Cristos Goodrow, Ningren Han, He Ma, Romer Rosales, Abby Van So"&amp;"est, Devansh Tandon, Su-Lin Wu, Weilong Yang and Yilin Zheng")</f>
        <v>Ruining He, Lukasz Heldt, Lichan Hong, Raghunandan Keshavan, Shifan Mao, Nikhil Mehta, Zhengyang Su, Alicia Tsai, Yueqi Wang, Shao-Chuan Wang, Xinyang Yi, Lexi Baugher, Baykal Cakici, Ed Chi, Cristos Goodrow, Ningren Han, He Ma, Romer Rosales, Abby Van Soest, Devansh Tandon, Su-Lin Wu, Weilong Yang and Yilin Zheng</v>
      </c>
      <c r="F63" s="135" t="str">
        <f>IFERROR(__xludf.DUMMYFUNCTION("TEXTJOIN(CHAR(10), TRUE,FILTER ('Sheridan Main'!E:E,'Sheridan Main'!B:B=C63))"),"xinyang@google.com")</f>
        <v>xinyang@google.com</v>
      </c>
      <c r="G63" s="226" t="str">
        <f>IFERROR(__xludf.DUMMYFUNCTION("CONCATENATE(""https://dl.acm.org/doi/"",INDEX(FILTER('Sheridan Main'!A:A,'Sheridan Main'!B:B=C63),1))"),"https://dl.acm.org/doi/10.1145/3774904.3792802")</f>
        <v>https://dl.acm.org/doi/10.1145/3774904.3792802</v>
      </c>
      <c r="H63" s="135" t="s">
        <v>2861</v>
      </c>
      <c r="I63" s="147" t="s">
        <v>123</v>
      </c>
    </row>
    <row r="64">
      <c r="A64" s="225" t="s">
        <v>2869</v>
      </c>
      <c r="B64" s="135" t="s">
        <v>1881</v>
      </c>
      <c r="C64" s="135" t="s">
        <v>1880</v>
      </c>
      <c r="D64" s="135" t="str">
        <f t="shared" si="1"/>
        <v>Warmer for Less: A Cost-Efficient Strategy for Cold-Start Recommendations at Pinterest
Saeed Ebrahimi, Weijie Jiang, Jaewon Yang, Olafur Gudmundsson, Yucheng Tu and Huizhong Duan
</v>
      </c>
      <c r="E64" s="135" t="str">
        <f>IFERROR(__xludf.DUMMYFUNCTION("TEXTJOIN(CHAR(10), TRUE,FILTER('Industry Papers'!$D:$D,'Industry Papers'!$A:$A=C64))"),"Saeed Ebrahimi, Weijie Jiang, Jaewon Yang, Olafur Gudmundsson, Yucheng Tu and Huizhong Duan")</f>
        <v>Saeed Ebrahimi, Weijie Jiang, Jaewon Yang, Olafur Gudmundsson, Yucheng Tu and Huizhong Duan</v>
      </c>
      <c r="F64" s="135" t="str">
        <f>IFERROR(__xludf.DUMMYFUNCTION("TEXTJOIN(CHAR(10), TRUE,FILTER ('Sheridan Main'!E:E,'Sheridan Main'!B:B=C64))"),"jaewonyang@pinterest.com")</f>
        <v>jaewonyang@pinterest.com</v>
      </c>
      <c r="G64" s="226" t="str">
        <f>IFERROR(__xludf.DUMMYFUNCTION("CONCATENATE(""https://dl.acm.org/doi/"",INDEX(FILTER('Sheridan Main'!A:A,'Sheridan Main'!B:B=C64),1))"),"https://dl.acm.org/doi/10.1145/3774904.3792824")</f>
        <v>https://dl.acm.org/doi/10.1145/3774904.3792824</v>
      </c>
      <c r="H64" s="135" t="s">
        <v>2861</v>
      </c>
      <c r="I64" s="147" t="s">
        <v>2916</v>
      </c>
    </row>
    <row r="65">
      <c r="A65" s="225" t="s">
        <v>2869</v>
      </c>
      <c r="B65" s="135" t="s">
        <v>1865</v>
      </c>
      <c r="C65" s="135" t="s">
        <v>1864</v>
      </c>
      <c r="D65" s="135" t="str">
        <f t="shared" si="1"/>
        <v>AFE-Master: Enhancing LLM-Driven Autonomous Feature Engineering with Domain-Specific Language Parsing and Guided Local Search
Hebin Liang, Jianye Hao, Jinyi Liu, Yi Ma, Zilin Cao, Jing Liang, Kun Shao, Zhaocheng Du, Fei Ni, Yifu Yuan and Yan Zheng
</v>
      </c>
      <c r="E65" s="135" t="str">
        <f>IFERROR(__xludf.DUMMYFUNCTION("TEXTJOIN(CHAR(10), TRUE,FILTER('Industry Papers'!$D:$D,'Industry Papers'!$A:$A=C65))"),"Hebin Liang, Jianye Hao, Jinyi Liu, Yi Ma, Zilin Cao, Jing Liang, Kun Shao, Zhaocheng Du, Fei Ni, Yifu Yuan and Yan Zheng")</f>
        <v>Hebin Liang, Jianye Hao, Jinyi Liu, Yi Ma, Zilin Cao, Jing Liang, Kun Shao, Zhaocheng Du, Fei Ni, Yifu Yuan and Yan Zheng</v>
      </c>
      <c r="F65" s="135" t="str">
        <f>IFERROR(__xludf.DUMMYFUNCTION("TEXTJOIN(CHAR(10), TRUE,FILTER ('Sheridan Main'!E:E,'Sheridan Main'!B:B=C65))"),"jianye.hao@tju.edu.cn")</f>
        <v>jianye.hao@tju.edu.cn</v>
      </c>
      <c r="G65" s="226" t="str">
        <f>IFERROR(__xludf.DUMMYFUNCTION("CONCATENATE(""https://dl.acm.org/doi/"",INDEX(FILTER('Sheridan Main'!A:A,'Sheridan Main'!B:B=C65),1))"),"https://dl.acm.org/doi/10.1145/3774904.3792816")</f>
        <v>https://dl.acm.org/doi/10.1145/3774904.3792816</v>
      </c>
      <c r="H65" s="135" t="s">
        <v>2861</v>
      </c>
      <c r="I65" s="147" t="s">
        <v>2917</v>
      </c>
    </row>
    <row r="66">
      <c r="A66" s="225" t="s">
        <v>2869</v>
      </c>
      <c r="B66" s="135" t="s">
        <v>1917</v>
      </c>
      <c r="C66" s="135" t="s">
        <v>1916</v>
      </c>
      <c r="D66" s="135" t="str">
        <f t="shared" si="1"/>
        <v>From Modularity to Unity: Towards Industrial-Scale Generative Recommendation
Xiaofeng Liu, Wenliang Li, Tao Yu, Guanliang Song, Zhen Chen, Jing Zhou, Dongyue Wang, Xiwei Zhao and Sulong Xu
</v>
      </c>
      <c r="E66" s="135" t="str">
        <f>IFERROR(__xludf.DUMMYFUNCTION("TEXTJOIN(CHAR(10), TRUE,FILTER('Industry Papers'!$D:$D,'Industry Papers'!$A:$A=C66))"),"Xiaofeng Liu, Wenliang Li, Tao Yu, Guanliang Song, Zhen Chen, Jing Zhou, Dongyue Wang, Xiwei Zhao and Sulong Xu")</f>
        <v>Xiaofeng Liu, Wenliang Li, Tao Yu, Guanliang Song, Zhen Chen, Jing Zhou, Dongyue Wang, Xiwei Zhao and Sulong Xu</v>
      </c>
      <c r="F66" s="135" t="str">
        <f>IFERROR(__xludf.DUMMYFUNCTION("TEXTJOIN(CHAR(10), TRUE,FILTER ('Sheridan Main'!E:E,'Sheridan Main'!B:B=C66))"),"wangdongyue@jd.com")</f>
        <v>wangdongyue@jd.com</v>
      </c>
      <c r="G66" s="226" t="str">
        <f>IFERROR(__xludf.DUMMYFUNCTION("CONCATENATE(""https://dl.acm.org/doi/"",INDEX(FILTER('Sheridan Main'!A:A,'Sheridan Main'!B:B=C66),1))"),"https://dl.acm.org/doi/10.1145/3774904.3792842")</f>
        <v>https://dl.acm.org/doi/10.1145/3774904.3792842</v>
      </c>
      <c r="H66" s="135" t="s">
        <v>2861</v>
      </c>
      <c r="I66" s="147" t="s">
        <v>197</v>
      </c>
    </row>
    <row r="67">
      <c r="A67" s="225" t="s">
        <v>2869</v>
      </c>
      <c r="B67" s="135" t="s">
        <v>1905</v>
      </c>
      <c r="C67" s="135" t="s">
        <v>1904</v>
      </c>
      <c r="D67" s="135" t="str">
        <f t="shared" si="1"/>
        <v>Unbiased Multimodal Reranking for Long-Tail Short-Video Search
Wenyi Xu, Feiran Zhu, Songyang Li, Renzhe Zhou, Chao Zhang, ChengLei Dai, Yuren Mao, Yunjun Gao and Yi Zhang
</v>
      </c>
      <c r="E67" s="135" t="str">
        <f>IFERROR(__xludf.DUMMYFUNCTION("TEXTJOIN(CHAR(10), TRUE,FILTER('Industry Papers'!$D:$D,'Industry Papers'!$A:$A=C67))"),"Wenyi Xu, Feiran Zhu, Songyang Li, Renzhe Zhou, Chao Zhang, ChengLei Dai, Yuren Mao, Yunjun Gao and Yi Zhang")</f>
        <v>Wenyi Xu, Feiran Zhu, Songyang Li, Renzhe Zhou, Chao Zhang, ChengLei Dai, Yuren Mao, Yunjun Gao and Yi Zhang</v>
      </c>
      <c r="F67" s="135" t="str">
        <f>IFERROR(__xludf.DUMMYFUNCTION("TEXTJOIN(CHAR(10), TRUE,FILTER ('Sheridan Main'!E:E,'Sheridan Main'!B:B=C67))"),"daichenglei@kuaishou.com")</f>
        <v>daichenglei@kuaishou.com</v>
      </c>
      <c r="G67" s="226" t="str">
        <f>IFERROR(__xludf.DUMMYFUNCTION("CONCATENATE(""https://dl.acm.org/doi/"",INDEX(FILTER('Sheridan Main'!A:A,'Sheridan Main'!B:B=C67),1))"),"https://dl.acm.org/doi/10.1145/3774904.3792836")</f>
        <v>https://dl.acm.org/doi/10.1145/3774904.3792836</v>
      </c>
      <c r="H67" s="135" t="s">
        <v>2861</v>
      </c>
      <c r="I67" s="147" t="s">
        <v>2915</v>
      </c>
    </row>
    <row r="68">
      <c r="A68" s="225" t="s">
        <v>2869</v>
      </c>
      <c r="B68" s="135" t="s">
        <v>1889</v>
      </c>
      <c r="C68" s="135" t="s">
        <v>1888</v>
      </c>
      <c r="D68" s="135" t="str">
        <f t="shared" si="1"/>
        <v>A Creator-Aware Recommendation System for Content Platforms
Wenjing Li, Jiang Rong, Yao Hu, Zhenzhe Zheng and Fan Wu
</v>
      </c>
      <c r="E68" s="135" t="str">
        <f>IFERROR(__xludf.DUMMYFUNCTION("TEXTJOIN(CHAR(10), TRUE,FILTER('Industry Papers'!$D:$D,'Industry Papers'!$A:$A=C68))"),"Wenjing Li, Jiang Rong, Yao Hu, Zhenzhe Zheng and Fan Wu")</f>
        <v>Wenjing Li, Jiang Rong, Yao Hu, Zhenzhe Zheng and Fan Wu</v>
      </c>
      <c r="F68" s="135" t="str">
        <f>IFERROR(__xludf.DUMMYFUNCTION("TEXTJOIN(CHAR(10), TRUE,FILTER ('Sheridan Main'!E:E,'Sheridan Main'!B:B=C68))"),"zhengzhenzhe@sjtu.edu.cn")</f>
        <v>zhengzhenzhe@sjtu.edu.cn</v>
      </c>
      <c r="G68" s="226" t="str">
        <f>IFERROR(__xludf.DUMMYFUNCTION("CONCATENATE(""https://dl.acm.org/doi/"",INDEX(FILTER('Sheridan Main'!A:A,'Sheridan Main'!B:B=C68),1))"),"https://dl.acm.org/doi/10.1145/3774904.3792828")</f>
        <v>https://dl.acm.org/doi/10.1145/3774904.3792828</v>
      </c>
      <c r="H68" s="135" t="s">
        <v>2861</v>
      </c>
      <c r="I68" s="135" t="s">
        <v>123</v>
      </c>
    </row>
    <row r="69">
      <c r="E69" s="229"/>
      <c r="F69" s="229"/>
      <c r="G69" s="229"/>
    </row>
    <row r="70">
      <c r="E70" s="229"/>
      <c r="F70" s="229"/>
      <c r="G70" s="229"/>
    </row>
    <row r="71">
      <c r="E71" s="229"/>
      <c r="F71" s="229"/>
      <c r="G71" s="229"/>
    </row>
    <row r="72">
      <c r="E72" s="229"/>
      <c r="F72" s="229"/>
      <c r="G72" s="229"/>
    </row>
    <row r="73">
      <c r="E73" s="229"/>
      <c r="F73" s="229"/>
      <c r="G73" s="229"/>
    </row>
    <row r="74">
      <c r="E74" s="229"/>
      <c r="F74" s="229"/>
      <c r="G74" s="229"/>
    </row>
    <row r="75">
      <c r="E75" s="229"/>
      <c r="F75" s="229"/>
      <c r="G75" s="229"/>
    </row>
    <row r="76">
      <c r="E76" s="229"/>
      <c r="F76" s="229"/>
      <c r="G76" s="229"/>
    </row>
    <row r="77">
      <c r="E77" s="229"/>
      <c r="F77" s="229"/>
      <c r="G77" s="229"/>
    </row>
    <row r="78">
      <c r="E78" s="229"/>
      <c r="F78" s="229"/>
      <c r="G78" s="229"/>
    </row>
    <row r="79">
      <c r="E79" s="229"/>
      <c r="F79" s="229"/>
      <c r="G79" s="229"/>
    </row>
    <row r="80">
      <c r="E80" s="229"/>
      <c r="F80" s="229"/>
      <c r="G80" s="229"/>
    </row>
    <row r="81">
      <c r="E81" s="229"/>
      <c r="F81" s="229"/>
      <c r="G81" s="229"/>
    </row>
    <row r="82">
      <c r="E82" s="229"/>
      <c r="F82" s="229"/>
      <c r="G82" s="229"/>
    </row>
    <row r="83">
      <c r="E83" s="229"/>
      <c r="F83" s="229"/>
      <c r="G83" s="229"/>
    </row>
    <row r="84">
      <c r="E84" s="229"/>
      <c r="F84" s="229"/>
      <c r="G84" s="229"/>
    </row>
    <row r="85">
      <c r="E85" s="229"/>
      <c r="F85" s="229"/>
      <c r="G85" s="229"/>
    </row>
    <row r="86">
      <c r="E86" s="229"/>
      <c r="F86" s="229"/>
      <c r="G86" s="229"/>
    </row>
    <row r="87">
      <c r="E87" s="229"/>
      <c r="F87" s="229"/>
      <c r="G87" s="229"/>
    </row>
    <row r="88">
      <c r="E88" s="229"/>
      <c r="F88" s="229"/>
      <c r="G88" s="229"/>
    </row>
    <row r="89">
      <c r="E89" s="229"/>
      <c r="F89" s="229"/>
      <c r="G89" s="229"/>
    </row>
    <row r="90">
      <c r="E90" s="229"/>
      <c r="F90" s="229"/>
      <c r="G90" s="229"/>
    </row>
    <row r="91">
      <c r="E91" s="229"/>
      <c r="F91" s="229"/>
      <c r="G91" s="229"/>
    </row>
    <row r="92">
      <c r="E92" s="229"/>
      <c r="F92" s="229"/>
      <c r="G92" s="229"/>
    </row>
    <row r="93">
      <c r="E93" s="229"/>
      <c r="F93" s="229"/>
      <c r="G93" s="229"/>
    </row>
    <row r="94">
      <c r="E94" s="229"/>
      <c r="F94" s="229"/>
      <c r="G94" s="229"/>
    </row>
    <row r="95">
      <c r="E95" s="229"/>
      <c r="F95" s="229"/>
      <c r="G95" s="229"/>
    </row>
    <row r="96">
      <c r="E96" s="229"/>
      <c r="F96" s="229"/>
      <c r="G96" s="229"/>
    </row>
    <row r="97">
      <c r="E97" s="229"/>
      <c r="F97" s="229"/>
      <c r="G97" s="229"/>
    </row>
    <row r="98">
      <c r="E98" s="229"/>
      <c r="F98" s="229"/>
      <c r="G98" s="229"/>
    </row>
    <row r="99">
      <c r="E99" s="229"/>
      <c r="F99" s="229"/>
      <c r="G99" s="229"/>
    </row>
    <row r="100">
      <c r="E100" s="229"/>
      <c r="F100" s="229"/>
      <c r="G100" s="229"/>
    </row>
    <row r="101">
      <c r="E101" s="229"/>
      <c r="F101" s="229"/>
      <c r="G101" s="229"/>
    </row>
    <row r="102">
      <c r="E102" s="229"/>
      <c r="F102" s="229"/>
      <c r="G102" s="229"/>
    </row>
    <row r="103">
      <c r="E103" s="229"/>
      <c r="F103" s="229"/>
      <c r="G103" s="229"/>
    </row>
    <row r="104">
      <c r="E104" s="229"/>
      <c r="F104" s="229"/>
      <c r="G104" s="229"/>
    </row>
    <row r="105">
      <c r="E105" s="229"/>
      <c r="F105" s="229"/>
      <c r="G105" s="229"/>
    </row>
    <row r="106">
      <c r="E106" s="229"/>
      <c r="F106" s="229"/>
      <c r="G106" s="229"/>
    </row>
    <row r="107">
      <c r="E107" s="229"/>
      <c r="F107" s="229"/>
      <c r="G107" s="229"/>
    </row>
    <row r="108">
      <c r="E108" s="229"/>
      <c r="F108" s="229"/>
      <c r="G108" s="229"/>
    </row>
    <row r="109">
      <c r="E109" s="229"/>
      <c r="F109" s="229"/>
      <c r="G109" s="229"/>
    </row>
    <row r="110">
      <c r="E110" s="229"/>
      <c r="F110" s="229"/>
      <c r="G110" s="229"/>
    </row>
    <row r="111">
      <c r="E111" s="229"/>
      <c r="F111" s="229"/>
      <c r="G111" s="229"/>
    </row>
    <row r="112">
      <c r="E112" s="229"/>
      <c r="F112" s="229"/>
      <c r="G112" s="229"/>
    </row>
    <row r="113">
      <c r="E113" s="229"/>
      <c r="F113" s="229"/>
      <c r="G113" s="229"/>
    </row>
    <row r="114">
      <c r="E114" s="229"/>
      <c r="F114" s="229"/>
      <c r="G114" s="229"/>
    </row>
    <row r="115">
      <c r="E115" s="229"/>
      <c r="F115" s="229"/>
      <c r="G115" s="229"/>
    </row>
    <row r="116">
      <c r="E116" s="229"/>
      <c r="F116" s="229"/>
      <c r="G116" s="229"/>
    </row>
    <row r="117">
      <c r="E117" s="229"/>
      <c r="F117" s="229"/>
      <c r="G117" s="229"/>
    </row>
    <row r="118">
      <c r="E118" s="229"/>
      <c r="F118" s="229"/>
      <c r="G118" s="229"/>
    </row>
    <row r="119">
      <c r="E119" s="229"/>
      <c r="F119" s="229"/>
      <c r="G119" s="229"/>
    </row>
    <row r="120">
      <c r="E120" s="229"/>
      <c r="F120" s="229"/>
      <c r="G120" s="229"/>
    </row>
    <row r="121">
      <c r="E121" s="229"/>
      <c r="F121" s="229"/>
      <c r="G121" s="229"/>
    </row>
    <row r="122">
      <c r="E122" s="229"/>
      <c r="F122" s="229"/>
      <c r="G122" s="229"/>
    </row>
    <row r="123">
      <c r="E123" s="229"/>
      <c r="F123" s="229"/>
      <c r="G123" s="229"/>
    </row>
    <row r="124">
      <c r="E124" s="229"/>
      <c r="F124" s="229"/>
      <c r="G124" s="229"/>
    </row>
    <row r="125">
      <c r="E125" s="229"/>
      <c r="F125" s="229"/>
      <c r="G125" s="229"/>
    </row>
    <row r="126">
      <c r="E126" s="229"/>
      <c r="F126" s="229"/>
      <c r="G126" s="229"/>
    </row>
    <row r="127">
      <c r="E127" s="229"/>
      <c r="F127" s="229"/>
      <c r="G127" s="229"/>
    </row>
    <row r="128">
      <c r="E128" s="229"/>
      <c r="F128" s="229"/>
      <c r="G128" s="229"/>
    </row>
    <row r="129">
      <c r="E129" s="229"/>
      <c r="F129" s="229"/>
      <c r="G129" s="229"/>
    </row>
    <row r="130">
      <c r="E130" s="229"/>
      <c r="F130" s="229"/>
      <c r="G130" s="229"/>
    </row>
    <row r="131">
      <c r="E131" s="229"/>
      <c r="F131" s="229"/>
      <c r="G131" s="229"/>
    </row>
    <row r="132">
      <c r="E132" s="229"/>
      <c r="F132" s="229"/>
      <c r="G132" s="229"/>
    </row>
    <row r="133">
      <c r="E133" s="229"/>
      <c r="F133" s="229"/>
      <c r="G133" s="229"/>
    </row>
    <row r="134">
      <c r="E134" s="229"/>
      <c r="F134" s="229"/>
      <c r="G134" s="229"/>
    </row>
    <row r="135">
      <c r="E135" s="229"/>
      <c r="F135" s="229"/>
      <c r="G135" s="229"/>
    </row>
    <row r="136">
      <c r="E136" s="229"/>
      <c r="F136" s="229"/>
      <c r="G136" s="229"/>
    </row>
    <row r="137">
      <c r="E137" s="229"/>
      <c r="F137" s="229"/>
      <c r="G137" s="229"/>
    </row>
    <row r="138">
      <c r="E138" s="229"/>
      <c r="F138" s="229"/>
      <c r="G138" s="229"/>
    </row>
    <row r="139">
      <c r="E139" s="229"/>
      <c r="F139" s="229"/>
      <c r="G139" s="229"/>
    </row>
    <row r="140">
      <c r="E140" s="229"/>
      <c r="F140" s="229"/>
      <c r="G140" s="229"/>
    </row>
    <row r="141">
      <c r="E141" s="229"/>
      <c r="F141" s="229"/>
      <c r="G141" s="229"/>
    </row>
    <row r="142">
      <c r="E142" s="229"/>
      <c r="F142" s="229"/>
      <c r="G142" s="229"/>
    </row>
    <row r="143">
      <c r="E143" s="229"/>
      <c r="F143" s="229"/>
      <c r="G143" s="229"/>
    </row>
    <row r="144">
      <c r="E144" s="229"/>
      <c r="F144" s="229"/>
      <c r="G144" s="229"/>
    </row>
    <row r="145">
      <c r="E145" s="229"/>
      <c r="F145" s="229"/>
      <c r="G145" s="229"/>
    </row>
    <row r="146">
      <c r="E146" s="229"/>
      <c r="F146" s="229"/>
      <c r="G146" s="229"/>
    </row>
    <row r="147">
      <c r="E147" s="229"/>
      <c r="F147" s="229"/>
      <c r="G147" s="229"/>
    </row>
    <row r="148">
      <c r="E148" s="229"/>
      <c r="F148" s="229"/>
      <c r="G148" s="229"/>
    </row>
    <row r="149">
      <c r="E149" s="229"/>
      <c r="F149" s="229"/>
      <c r="G149" s="229"/>
    </row>
    <row r="150">
      <c r="E150" s="229"/>
      <c r="F150" s="229"/>
      <c r="G150" s="229"/>
    </row>
    <row r="151">
      <c r="E151" s="229"/>
      <c r="F151" s="229"/>
      <c r="G151" s="229"/>
    </row>
    <row r="152">
      <c r="E152" s="229"/>
      <c r="F152" s="229"/>
      <c r="G152" s="229"/>
    </row>
    <row r="153">
      <c r="E153" s="229"/>
      <c r="F153" s="229"/>
      <c r="G153" s="229"/>
    </row>
    <row r="154">
      <c r="E154" s="229"/>
      <c r="F154" s="229"/>
      <c r="G154" s="229"/>
    </row>
    <row r="155">
      <c r="E155" s="229"/>
      <c r="F155" s="229"/>
      <c r="G155" s="229"/>
    </row>
    <row r="156">
      <c r="E156" s="229"/>
      <c r="F156" s="229"/>
      <c r="G156" s="229"/>
    </row>
    <row r="157">
      <c r="E157" s="229"/>
      <c r="F157" s="229"/>
      <c r="G157" s="229"/>
    </row>
    <row r="158">
      <c r="E158" s="229"/>
      <c r="F158" s="229"/>
      <c r="G158" s="229"/>
    </row>
    <row r="159">
      <c r="E159" s="229"/>
      <c r="F159" s="229"/>
      <c r="G159" s="229"/>
    </row>
    <row r="160">
      <c r="E160" s="229"/>
      <c r="F160" s="229"/>
      <c r="G160" s="229"/>
    </row>
    <row r="161">
      <c r="E161" s="229"/>
      <c r="F161" s="229"/>
      <c r="G161" s="229"/>
    </row>
    <row r="162">
      <c r="E162" s="229"/>
      <c r="F162" s="229"/>
      <c r="G162" s="229"/>
    </row>
    <row r="163">
      <c r="E163" s="229"/>
      <c r="F163" s="229"/>
      <c r="G163" s="229"/>
    </row>
    <row r="164">
      <c r="E164" s="229"/>
      <c r="F164" s="229"/>
      <c r="G164" s="229"/>
    </row>
    <row r="165">
      <c r="E165" s="229"/>
      <c r="F165" s="229"/>
      <c r="G165" s="229"/>
    </row>
    <row r="166">
      <c r="E166" s="229"/>
      <c r="F166" s="229"/>
      <c r="G166" s="229"/>
    </row>
    <row r="167">
      <c r="E167" s="229"/>
      <c r="F167" s="229"/>
      <c r="G167" s="229"/>
    </row>
    <row r="168">
      <c r="E168" s="229"/>
      <c r="F168" s="229"/>
      <c r="G168" s="229"/>
    </row>
    <row r="169">
      <c r="E169" s="229"/>
      <c r="F169" s="229"/>
      <c r="G169" s="229"/>
    </row>
    <row r="170">
      <c r="E170" s="229"/>
      <c r="F170" s="229"/>
      <c r="G170" s="229"/>
    </row>
    <row r="171">
      <c r="E171" s="229"/>
      <c r="F171" s="229"/>
      <c r="G171" s="229"/>
    </row>
    <row r="172">
      <c r="E172" s="229"/>
      <c r="F172" s="229"/>
      <c r="G172" s="229"/>
    </row>
    <row r="173">
      <c r="E173" s="229"/>
      <c r="F173" s="229"/>
      <c r="G173" s="229"/>
    </row>
    <row r="174">
      <c r="E174" s="229"/>
      <c r="F174" s="229"/>
      <c r="G174" s="229"/>
    </row>
    <row r="175">
      <c r="E175" s="229"/>
      <c r="F175" s="229"/>
      <c r="G175" s="229"/>
    </row>
    <row r="176">
      <c r="E176" s="229"/>
      <c r="F176" s="229"/>
      <c r="G176" s="229"/>
    </row>
    <row r="177">
      <c r="E177" s="229"/>
      <c r="F177" s="229"/>
      <c r="G177" s="229"/>
    </row>
    <row r="178">
      <c r="E178" s="229"/>
      <c r="F178" s="229"/>
      <c r="G178" s="229"/>
    </row>
    <row r="179">
      <c r="E179" s="229"/>
      <c r="F179" s="229"/>
      <c r="G179" s="229"/>
    </row>
    <row r="180">
      <c r="E180" s="229"/>
      <c r="F180" s="229"/>
      <c r="G180" s="229"/>
    </row>
    <row r="181">
      <c r="E181" s="229"/>
      <c r="F181" s="229"/>
      <c r="G181" s="229"/>
    </row>
    <row r="182">
      <c r="E182" s="229"/>
      <c r="F182" s="229"/>
      <c r="G182" s="229"/>
    </row>
    <row r="183">
      <c r="E183" s="229"/>
      <c r="F183" s="229"/>
      <c r="G183" s="229"/>
    </row>
    <row r="184">
      <c r="E184" s="229"/>
      <c r="F184" s="229"/>
      <c r="G184" s="229"/>
    </row>
    <row r="185">
      <c r="E185" s="229"/>
      <c r="F185" s="229"/>
      <c r="G185" s="229"/>
    </row>
    <row r="186">
      <c r="E186" s="229"/>
      <c r="F186" s="229"/>
      <c r="G186" s="229"/>
    </row>
    <row r="187">
      <c r="E187" s="229"/>
      <c r="F187" s="229"/>
      <c r="G187" s="229"/>
    </row>
    <row r="188">
      <c r="E188" s="229"/>
      <c r="F188" s="229"/>
      <c r="G188" s="229"/>
    </row>
    <row r="189">
      <c r="E189" s="229"/>
      <c r="F189" s="229"/>
      <c r="G189" s="229"/>
    </row>
    <row r="190">
      <c r="E190" s="229"/>
      <c r="F190" s="229"/>
      <c r="G190" s="229"/>
    </row>
    <row r="191">
      <c r="E191" s="229"/>
      <c r="F191" s="229"/>
      <c r="G191" s="229"/>
    </row>
    <row r="192">
      <c r="E192" s="229"/>
      <c r="F192" s="229"/>
      <c r="G192" s="229"/>
    </row>
    <row r="193">
      <c r="E193" s="229"/>
      <c r="F193" s="229"/>
      <c r="G193" s="229"/>
    </row>
    <row r="194">
      <c r="E194" s="229"/>
      <c r="F194" s="229"/>
      <c r="G194" s="229"/>
    </row>
    <row r="195">
      <c r="E195" s="229"/>
      <c r="F195" s="229"/>
      <c r="G195" s="229"/>
    </row>
    <row r="196">
      <c r="E196" s="229"/>
      <c r="F196" s="229"/>
      <c r="G196" s="229"/>
    </row>
    <row r="197">
      <c r="E197" s="229"/>
      <c r="F197" s="229"/>
      <c r="G197" s="229"/>
    </row>
    <row r="198">
      <c r="E198" s="229"/>
      <c r="F198" s="229"/>
      <c r="G198" s="229"/>
    </row>
    <row r="199">
      <c r="E199" s="229"/>
      <c r="F199" s="229"/>
      <c r="G199" s="229"/>
    </row>
    <row r="200">
      <c r="E200" s="229"/>
      <c r="F200" s="229"/>
      <c r="G200" s="229"/>
    </row>
    <row r="201">
      <c r="E201" s="229"/>
      <c r="F201" s="229"/>
      <c r="G201" s="229"/>
    </row>
    <row r="202">
      <c r="E202" s="229"/>
      <c r="F202" s="229"/>
      <c r="G202" s="229"/>
    </row>
    <row r="203">
      <c r="E203" s="229"/>
      <c r="F203" s="229"/>
      <c r="G203" s="229"/>
    </row>
    <row r="204">
      <c r="E204" s="229"/>
      <c r="F204" s="229"/>
      <c r="G204" s="229"/>
    </row>
    <row r="205">
      <c r="E205" s="229"/>
      <c r="F205" s="229"/>
      <c r="G205" s="229"/>
    </row>
    <row r="206">
      <c r="E206" s="229"/>
      <c r="F206" s="229"/>
      <c r="G206" s="229"/>
    </row>
    <row r="207">
      <c r="E207" s="229"/>
      <c r="F207" s="229"/>
      <c r="G207" s="229"/>
    </row>
    <row r="208">
      <c r="E208" s="229"/>
      <c r="F208" s="229"/>
      <c r="G208" s="229"/>
    </row>
    <row r="209">
      <c r="E209" s="229"/>
      <c r="F209" s="229"/>
      <c r="G209" s="229"/>
    </row>
    <row r="210">
      <c r="E210" s="229"/>
      <c r="F210" s="229"/>
      <c r="G210" s="229"/>
    </row>
    <row r="211">
      <c r="E211" s="229"/>
      <c r="F211" s="229"/>
      <c r="G211" s="229"/>
    </row>
    <row r="212">
      <c r="E212" s="229"/>
      <c r="F212" s="229"/>
      <c r="G212" s="229"/>
    </row>
    <row r="213">
      <c r="E213" s="229"/>
      <c r="F213" s="229"/>
      <c r="G213" s="229"/>
    </row>
    <row r="214">
      <c r="E214" s="229"/>
      <c r="F214" s="229"/>
      <c r="G214" s="229"/>
    </row>
    <row r="215">
      <c r="E215" s="229"/>
      <c r="F215" s="229"/>
      <c r="G215" s="229"/>
    </row>
    <row r="216">
      <c r="E216" s="229"/>
      <c r="F216" s="229"/>
      <c r="G216" s="229"/>
    </row>
    <row r="217">
      <c r="E217" s="229"/>
      <c r="F217" s="229"/>
      <c r="G217" s="229"/>
    </row>
    <row r="218">
      <c r="E218" s="229"/>
      <c r="F218" s="229"/>
      <c r="G218" s="229"/>
    </row>
    <row r="219">
      <c r="E219" s="229"/>
      <c r="F219" s="229"/>
      <c r="G219" s="229"/>
    </row>
    <row r="220">
      <c r="E220" s="229"/>
      <c r="F220" s="229"/>
      <c r="G220" s="229"/>
    </row>
    <row r="221">
      <c r="E221" s="229"/>
      <c r="F221" s="229"/>
      <c r="G221" s="229"/>
    </row>
    <row r="222">
      <c r="E222" s="229"/>
      <c r="F222" s="229"/>
      <c r="G222" s="229"/>
    </row>
    <row r="223">
      <c r="E223" s="229"/>
      <c r="F223" s="229"/>
      <c r="G223" s="229"/>
    </row>
    <row r="224">
      <c r="E224" s="229"/>
      <c r="F224" s="229"/>
      <c r="G224" s="229"/>
    </row>
    <row r="225">
      <c r="E225" s="229"/>
      <c r="F225" s="229"/>
      <c r="G225" s="229"/>
    </row>
    <row r="226">
      <c r="E226" s="229"/>
      <c r="F226" s="229"/>
      <c r="G226" s="229"/>
    </row>
    <row r="227">
      <c r="E227" s="229"/>
      <c r="F227" s="229"/>
      <c r="G227" s="229"/>
    </row>
    <row r="228">
      <c r="E228" s="229"/>
      <c r="F228" s="229"/>
      <c r="G228" s="229"/>
    </row>
    <row r="229">
      <c r="E229" s="229"/>
      <c r="F229" s="229"/>
      <c r="G229" s="229"/>
    </row>
    <row r="230">
      <c r="E230" s="229"/>
      <c r="F230" s="229"/>
      <c r="G230" s="229"/>
    </row>
    <row r="231">
      <c r="E231" s="229"/>
      <c r="F231" s="229"/>
      <c r="G231" s="229"/>
    </row>
    <row r="232">
      <c r="E232" s="229"/>
      <c r="F232" s="229"/>
      <c r="G232" s="229"/>
    </row>
    <row r="233">
      <c r="E233" s="229"/>
      <c r="F233" s="229"/>
      <c r="G233" s="229"/>
    </row>
    <row r="234">
      <c r="E234" s="229"/>
      <c r="F234" s="229"/>
      <c r="G234" s="229"/>
    </row>
    <row r="235">
      <c r="E235" s="229"/>
      <c r="F235" s="229"/>
      <c r="G235" s="229"/>
    </row>
    <row r="236">
      <c r="E236" s="229"/>
      <c r="F236" s="229"/>
      <c r="G236" s="229"/>
    </row>
    <row r="237">
      <c r="E237" s="229"/>
      <c r="F237" s="229"/>
      <c r="G237" s="229"/>
    </row>
    <row r="238">
      <c r="E238" s="229"/>
      <c r="F238" s="229"/>
      <c r="G238" s="229"/>
    </row>
    <row r="239">
      <c r="E239" s="229"/>
      <c r="F239" s="229"/>
      <c r="G239" s="229"/>
    </row>
    <row r="240">
      <c r="E240" s="229"/>
      <c r="F240" s="229"/>
      <c r="G240" s="229"/>
    </row>
    <row r="241">
      <c r="E241" s="229"/>
      <c r="F241" s="229"/>
      <c r="G241" s="229"/>
    </row>
    <row r="242">
      <c r="E242" s="229"/>
      <c r="F242" s="229"/>
      <c r="G242" s="229"/>
    </row>
    <row r="243">
      <c r="E243" s="229"/>
      <c r="F243" s="229"/>
      <c r="G243" s="229"/>
    </row>
    <row r="244">
      <c r="E244" s="229"/>
      <c r="F244" s="229"/>
      <c r="G244" s="229"/>
    </row>
    <row r="245">
      <c r="E245" s="229"/>
      <c r="F245" s="229"/>
      <c r="G245" s="229"/>
    </row>
    <row r="246">
      <c r="E246" s="229"/>
      <c r="F246" s="229"/>
      <c r="G246" s="229"/>
    </row>
    <row r="247">
      <c r="E247" s="229"/>
      <c r="F247" s="229"/>
      <c r="G247" s="229"/>
    </row>
    <row r="248">
      <c r="E248" s="229"/>
      <c r="F248" s="229"/>
      <c r="G248" s="229"/>
    </row>
    <row r="249">
      <c r="E249" s="229"/>
      <c r="F249" s="229"/>
      <c r="G249" s="229"/>
    </row>
    <row r="250">
      <c r="E250" s="229"/>
      <c r="F250" s="229"/>
      <c r="G250" s="229"/>
    </row>
    <row r="251">
      <c r="E251" s="229"/>
      <c r="F251" s="229"/>
      <c r="G251" s="229"/>
    </row>
    <row r="252">
      <c r="E252" s="229"/>
      <c r="F252" s="229"/>
      <c r="G252" s="229"/>
    </row>
    <row r="253">
      <c r="E253" s="229"/>
      <c r="F253" s="229"/>
      <c r="G253" s="229"/>
    </row>
    <row r="254">
      <c r="E254" s="229"/>
      <c r="F254" s="229"/>
      <c r="G254" s="229"/>
    </row>
    <row r="255">
      <c r="E255" s="229"/>
      <c r="F255" s="229"/>
      <c r="G255" s="229"/>
    </row>
    <row r="256">
      <c r="E256" s="229"/>
      <c r="F256" s="229"/>
      <c r="G256" s="229"/>
    </row>
    <row r="257">
      <c r="E257" s="229"/>
      <c r="F257" s="229"/>
      <c r="G257" s="229"/>
    </row>
    <row r="258">
      <c r="E258" s="229"/>
      <c r="F258" s="229"/>
      <c r="G258" s="229"/>
    </row>
    <row r="259">
      <c r="E259" s="229"/>
      <c r="F259" s="229"/>
      <c r="G259" s="229"/>
    </row>
    <row r="260">
      <c r="E260" s="229"/>
      <c r="F260" s="229"/>
      <c r="G260" s="229"/>
    </row>
    <row r="261">
      <c r="E261" s="229"/>
      <c r="F261" s="229"/>
      <c r="G261" s="229"/>
    </row>
    <row r="262">
      <c r="E262" s="229"/>
      <c r="F262" s="229"/>
      <c r="G262" s="229"/>
    </row>
    <row r="263">
      <c r="E263" s="229"/>
      <c r="F263" s="229"/>
      <c r="G263" s="229"/>
    </row>
    <row r="264">
      <c r="E264" s="229"/>
      <c r="F264" s="229"/>
      <c r="G264" s="229"/>
    </row>
    <row r="265">
      <c r="E265" s="229"/>
      <c r="F265" s="229"/>
      <c r="G265" s="229"/>
    </row>
    <row r="266">
      <c r="E266" s="229"/>
      <c r="F266" s="229"/>
      <c r="G266" s="229"/>
    </row>
    <row r="267">
      <c r="E267" s="229"/>
      <c r="F267" s="229"/>
      <c r="G267" s="229"/>
    </row>
    <row r="268">
      <c r="E268" s="229"/>
      <c r="F268" s="229"/>
      <c r="G268" s="229"/>
    </row>
    <row r="269">
      <c r="E269" s="229"/>
      <c r="F269" s="229"/>
      <c r="G269" s="229"/>
    </row>
    <row r="270">
      <c r="E270" s="229"/>
      <c r="F270" s="229"/>
      <c r="G270" s="229"/>
    </row>
    <row r="271">
      <c r="E271" s="229"/>
      <c r="F271" s="229"/>
      <c r="G271" s="229"/>
    </row>
    <row r="272">
      <c r="E272" s="229"/>
      <c r="F272" s="229"/>
      <c r="G272" s="229"/>
    </row>
    <row r="273">
      <c r="E273" s="229"/>
      <c r="F273" s="229"/>
      <c r="G273" s="229"/>
    </row>
    <row r="274">
      <c r="E274" s="229"/>
      <c r="F274" s="229"/>
      <c r="G274" s="229"/>
    </row>
    <row r="275">
      <c r="E275" s="229"/>
      <c r="F275" s="229"/>
      <c r="G275" s="229"/>
    </row>
    <row r="276">
      <c r="E276" s="229"/>
      <c r="F276" s="229"/>
      <c r="G276" s="229"/>
    </row>
    <row r="277">
      <c r="E277" s="229"/>
      <c r="F277" s="229"/>
      <c r="G277" s="229"/>
    </row>
    <row r="278">
      <c r="E278" s="229"/>
      <c r="F278" s="229"/>
      <c r="G278" s="229"/>
    </row>
    <row r="279">
      <c r="E279" s="229"/>
      <c r="F279" s="229"/>
      <c r="G279" s="229"/>
    </row>
    <row r="280">
      <c r="E280" s="229"/>
      <c r="F280" s="229"/>
      <c r="G280" s="229"/>
    </row>
    <row r="281">
      <c r="E281" s="229"/>
      <c r="F281" s="229"/>
      <c r="G281" s="229"/>
    </row>
    <row r="282">
      <c r="E282" s="229"/>
      <c r="F282" s="229"/>
      <c r="G282" s="229"/>
    </row>
    <row r="283">
      <c r="E283" s="229"/>
      <c r="F283" s="229"/>
      <c r="G283" s="229"/>
    </row>
    <row r="284">
      <c r="E284" s="229"/>
      <c r="F284" s="229"/>
      <c r="G284" s="229"/>
    </row>
    <row r="285">
      <c r="E285" s="229"/>
      <c r="F285" s="229"/>
      <c r="G285" s="229"/>
    </row>
    <row r="286">
      <c r="E286" s="229"/>
      <c r="F286" s="229"/>
      <c r="G286" s="229"/>
    </row>
    <row r="287">
      <c r="E287" s="229"/>
      <c r="F287" s="229"/>
      <c r="G287" s="229"/>
    </row>
    <row r="288">
      <c r="E288" s="229"/>
      <c r="F288" s="229"/>
      <c r="G288" s="229"/>
    </row>
    <row r="289">
      <c r="E289" s="229"/>
      <c r="F289" s="229"/>
      <c r="G289" s="229"/>
    </row>
    <row r="290">
      <c r="E290" s="229"/>
      <c r="F290" s="229"/>
      <c r="G290" s="229"/>
    </row>
    <row r="291">
      <c r="E291" s="229"/>
      <c r="F291" s="229"/>
      <c r="G291" s="229"/>
    </row>
    <row r="292">
      <c r="E292" s="229"/>
      <c r="F292" s="229"/>
      <c r="G292" s="229"/>
    </row>
    <row r="293">
      <c r="E293" s="229"/>
      <c r="F293" s="229"/>
      <c r="G293" s="229"/>
    </row>
    <row r="294">
      <c r="E294" s="229"/>
      <c r="F294" s="229"/>
      <c r="G294" s="229"/>
    </row>
    <row r="295">
      <c r="E295" s="229"/>
      <c r="F295" s="229"/>
      <c r="G295" s="229"/>
    </row>
    <row r="296">
      <c r="E296" s="229"/>
      <c r="F296" s="229"/>
      <c r="G296" s="229"/>
    </row>
    <row r="297">
      <c r="E297" s="229"/>
      <c r="F297" s="229"/>
      <c r="G297" s="229"/>
    </row>
    <row r="298">
      <c r="E298" s="229"/>
      <c r="F298" s="229"/>
      <c r="G298" s="229"/>
    </row>
    <row r="299">
      <c r="E299" s="229"/>
      <c r="F299" s="229"/>
      <c r="G299" s="229"/>
    </row>
    <row r="300">
      <c r="E300" s="229"/>
      <c r="F300" s="229"/>
      <c r="G300" s="229"/>
    </row>
    <row r="301">
      <c r="E301" s="229"/>
      <c r="F301" s="229"/>
      <c r="G301" s="229"/>
    </row>
    <row r="302">
      <c r="E302" s="229"/>
      <c r="F302" s="229"/>
      <c r="G302" s="229"/>
    </row>
    <row r="303">
      <c r="E303" s="229"/>
      <c r="F303" s="229"/>
      <c r="G303" s="229"/>
    </row>
    <row r="304">
      <c r="E304" s="229"/>
      <c r="F304" s="229"/>
      <c r="G304" s="229"/>
    </row>
    <row r="305">
      <c r="E305" s="229"/>
      <c r="F305" s="229"/>
      <c r="G305" s="229"/>
    </row>
    <row r="306">
      <c r="E306" s="229"/>
      <c r="F306" s="229"/>
      <c r="G306" s="229"/>
    </row>
    <row r="307">
      <c r="E307" s="229"/>
      <c r="F307" s="229"/>
      <c r="G307" s="229"/>
    </row>
    <row r="308">
      <c r="E308" s="229"/>
      <c r="F308" s="229"/>
      <c r="G308" s="229"/>
    </row>
    <row r="309">
      <c r="E309" s="229"/>
      <c r="F309" s="229"/>
      <c r="G309" s="229"/>
    </row>
    <row r="310">
      <c r="E310" s="229"/>
      <c r="F310" s="229"/>
      <c r="G310" s="229"/>
    </row>
    <row r="311">
      <c r="E311" s="229"/>
      <c r="F311" s="229"/>
      <c r="G311" s="229"/>
    </row>
    <row r="312">
      <c r="E312" s="229"/>
      <c r="F312" s="229"/>
      <c r="G312" s="229"/>
    </row>
    <row r="313">
      <c r="E313" s="229"/>
      <c r="F313" s="229"/>
      <c r="G313" s="229"/>
    </row>
    <row r="314">
      <c r="E314" s="229"/>
      <c r="F314" s="229"/>
      <c r="G314" s="229"/>
    </row>
    <row r="315">
      <c r="E315" s="229"/>
      <c r="F315" s="229"/>
      <c r="G315" s="229"/>
    </row>
    <row r="316">
      <c r="E316" s="229"/>
      <c r="F316" s="229"/>
      <c r="G316" s="229"/>
    </row>
    <row r="317">
      <c r="E317" s="229"/>
      <c r="F317" s="229"/>
      <c r="G317" s="229"/>
    </row>
    <row r="318">
      <c r="E318" s="229"/>
      <c r="F318" s="229"/>
      <c r="G318" s="229"/>
    </row>
    <row r="319">
      <c r="E319" s="229"/>
      <c r="F319" s="229"/>
      <c r="G319" s="229"/>
    </row>
    <row r="320">
      <c r="E320" s="229"/>
      <c r="F320" s="229"/>
      <c r="G320" s="229"/>
    </row>
    <row r="321">
      <c r="E321" s="229"/>
      <c r="F321" s="229"/>
      <c r="G321" s="229"/>
    </row>
    <row r="322">
      <c r="E322" s="229"/>
      <c r="F322" s="229"/>
      <c r="G322" s="229"/>
    </row>
    <row r="323">
      <c r="E323" s="229"/>
      <c r="F323" s="229"/>
      <c r="G323" s="229"/>
    </row>
    <row r="324">
      <c r="E324" s="229"/>
      <c r="F324" s="229"/>
      <c r="G324" s="229"/>
    </row>
    <row r="325">
      <c r="E325" s="229"/>
      <c r="F325" s="229"/>
      <c r="G325" s="229"/>
    </row>
    <row r="326">
      <c r="E326" s="229"/>
      <c r="F326" s="229"/>
      <c r="G326" s="229"/>
    </row>
    <row r="327">
      <c r="E327" s="229"/>
      <c r="F327" s="229"/>
      <c r="G327" s="229"/>
    </row>
    <row r="328">
      <c r="E328" s="229"/>
      <c r="F328" s="229"/>
      <c r="G328" s="229"/>
    </row>
    <row r="329">
      <c r="E329" s="229"/>
      <c r="F329" s="229"/>
      <c r="G329" s="229"/>
    </row>
    <row r="330">
      <c r="E330" s="229"/>
      <c r="F330" s="229"/>
      <c r="G330" s="229"/>
    </row>
    <row r="331">
      <c r="E331" s="229"/>
      <c r="F331" s="229"/>
      <c r="G331" s="229"/>
    </row>
    <row r="332">
      <c r="E332" s="229"/>
      <c r="F332" s="229"/>
      <c r="G332" s="229"/>
    </row>
    <row r="333">
      <c r="E333" s="229"/>
      <c r="F333" s="229"/>
      <c r="G333" s="229"/>
    </row>
    <row r="334">
      <c r="E334" s="229"/>
      <c r="F334" s="229"/>
      <c r="G334" s="229"/>
    </row>
    <row r="335">
      <c r="E335" s="229"/>
      <c r="F335" s="229"/>
      <c r="G335" s="229"/>
    </row>
    <row r="336">
      <c r="E336" s="229"/>
      <c r="F336" s="229"/>
      <c r="G336" s="229"/>
    </row>
    <row r="337">
      <c r="E337" s="229"/>
      <c r="F337" s="229"/>
      <c r="G337" s="229"/>
    </row>
    <row r="338">
      <c r="E338" s="229"/>
      <c r="F338" s="229"/>
      <c r="G338" s="229"/>
    </row>
    <row r="339">
      <c r="E339" s="229"/>
      <c r="F339" s="229"/>
      <c r="G339" s="229"/>
    </row>
    <row r="340">
      <c r="E340" s="229"/>
      <c r="F340" s="229"/>
      <c r="G340" s="229"/>
    </row>
    <row r="341">
      <c r="E341" s="229"/>
      <c r="F341" s="229"/>
      <c r="G341" s="229"/>
    </row>
    <row r="342">
      <c r="E342" s="229"/>
      <c r="F342" s="229"/>
      <c r="G342" s="229"/>
    </row>
    <row r="343">
      <c r="E343" s="229"/>
      <c r="F343" s="229"/>
      <c r="G343" s="229"/>
    </row>
    <row r="344">
      <c r="E344" s="229"/>
      <c r="F344" s="229"/>
      <c r="G344" s="229"/>
    </row>
    <row r="345">
      <c r="E345" s="229"/>
      <c r="F345" s="229"/>
      <c r="G345" s="229"/>
    </row>
    <row r="346">
      <c r="E346" s="229"/>
      <c r="F346" s="229"/>
      <c r="G346" s="229"/>
    </row>
    <row r="347">
      <c r="E347" s="229"/>
      <c r="F347" s="229"/>
      <c r="G347" s="229"/>
    </row>
    <row r="348">
      <c r="E348" s="229"/>
      <c r="F348" s="229"/>
      <c r="G348" s="229"/>
    </row>
    <row r="349">
      <c r="E349" s="229"/>
      <c r="F349" s="229"/>
      <c r="G349" s="229"/>
    </row>
    <row r="350">
      <c r="E350" s="229"/>
      <c r="F350" s="229"/>
      <c r="G350" s="229"/>
    </row>
    <row r="351">
      <c r="E351" s="229"/>
      <c r="F351" s="229"/>
      <c r="G351" s="229"/>
    </row>
    <row r="352">
      <c r="E352" s="229"/>
      <c r="F352" s="229"/>
      <c r="G352" s="229"/>
    </row>
    <row r="353">
      <c r="E353" s="229"/>
      <c r="F353" s="229"/>
      <c r="G353" s="229"/>
    </row>
    <row r="354">
      <c r="E354" s="229"/>
      <c r="F354" s="229"/>
      <c r="G354" s="229"/>
    </row>
    <row r="355">
      <c r="E355" s="229"/>
      <c r="F355" s="229"/>
      <c r="G355" s="229"/>
    </row>
    <row r="356">
      <c r="E356" s="229"/>
      <c r="F356" s="229"/>
      <c r="G356" s="229"/>
    </row>
    <row r="357">
      <c r="E357" s="229"/>
      <c r="F357" s="229"/>
      <c r="G357" s="229"/>
    </row>
    <row r="358">
      <c r="E358" s="229"/>
      <c r="F358" s="229"/>
      <c r="G358" s="229"/>
    </row>
    <row r="359">
      <c r="E359" s="229"/>
      <c r="F359" s="229"/>
      <c r="G359" s="229"/>
    </row>
    <row r="360">
      <c r="E360" s="229"/>
      <c r="F360" s="229"/>
      <c r="G360" s="229"/>
    </row>
    <row r="361">
      <c r="E361" s="229"/>
      <c r="F361" s="229"/>
      <c r="G361" s="229"/>
    </row>
    <row r="362">
      <c r="E362" s="229"/>
      <c r="F362" s="229"/>
      <c r="G362" s="229"/>
    </row>
    <row r="363">
      <c r="E363" s="229"/>
      <c r="F363" s="229"/>
      <c r="G363" s="229"/>
    </row>
    <row r="364">
      <c r="E364" s="229"/>
      <c r="F364" s="229"/>
      <c r="G364" s="229"/>
    </row>
    <row r="365">
      <c r="E365" s="229"/>
      <c r="F365" s="229"/>
      <c r="G365" s="229"/>
    </row>
    <row r="366">
      <c r="E366" s="229"/>
      <c r="F366" s="229"/>
      <c r="G366" s="229"/>
    </row>
    <row r="367">
      <c r="E367" s="229"/>
      <c r="F367" s="229"/>
      <c r="G367" s="229"/>
    </row>
    <row r="368">
      <c r="E368" s="229"/>
      <c r="F368" s="229"/>
      <c r="G368" s="229"/>
    </row>
    <row r="369">
      <c r="E369" s="229"/>
      <c r="F369" s="229"/>
      <c r="G369" s="229"/>
    </row>
    <row r="370">
      <c r="E370" s="229"/>
      <c r="F370" s="229"/>
      <c r="G370" s="229"/>
    </row>
    <row r="371">
      <c r="E371" s="229"/>
      <c r="F371" s="229"/>
      <c r="G371" s="229"/>
    </row>
    <row r="372">
      <c r="E372" s="229"/>
      <c r="F372" s="229"/>
      <c r="G372" s="229"/>
    </row>
    <row r="373">
      <c r="E373" s="229"/>
      <c r="F373" s="229"/>
      <c r="G373" s="229"/>
    </row>
    <row r="374">
      <c r="E374" s="229"/>
      <c r="F374" s="229"/>
      <c r="G374" s="229"/>
    </row>
    <row r="375">
      <c r="E375" s="229"/>
      <c r="F375" s="229"/>
      <c r="G375" s="229"/>
    </row>
    <row r="376">
      <c r="E376" s="229"/>
      <c r="F376" s="229"/>
      <c r="G376" s="229"/>
    </row>
    <row r="377">
      <c r="E377" s="229"/>
      <c r="F377" s="229"/>
      <c r="G377" s="229"/>
    </row>
    <row r="378">
      <c r="E378" s="229"/>
      <c r="F378" s="229"/>
      <c r="G378" s="229"/>
    </row>
    <row r="379">
      <c r="E379" s="229"/>
      <c r="F379" s="229"/>
      <c r="G379" s="229"/>
    </row>
    <row r="380">
      <c r="E380" s="229"/>
      <c r="F380" s="229"/>
      <c r="G380" s="229"/>
    </row>
    <row r="381">
      <c r="E381" s="229"/>
      <c r="F381" s="229"/>
      <c r="G381" s="229"/>
    </row>
    <row r="382">
      <c r="E382" s="229"/>
      <c r="F382" s="229"/>
      <c r="G382" s="229"/>
    </row>
    <row r="383">
      <c r="E383" s="229"/>
      <c r="F383" s="229"/>
      <c r="G383" s="229"/>
    </row>
    <row r="384">
      <c r="E384" s="229"/>
      <c r="F384" s="229"/>
      <c r="G384" s="229"/>
    </row>
    <row r="385">
      <c r="E385" s="229"/>
      <c r="F385" s="229"/>
      <c r="G385" s="229"/>
    </row>
    <row r="386">
      <c r="E386" s="229"/>
      <c r="F386" s="229"/>
      <c r="G386" s="229"/>
    </row>
    <row r="387">
      <c r="E387" s="229"/>
      <c r="F387" s="229"/>
      <c r="G387" s="229"/>
    </row>
    <row r="388">
      <c r="E388" s="229"/>
      <c r="F388" s="229"/>
      <c r="G388" s="229"/>
    </row>
    <row r="389">
      <c r="E389" s="229"/>
      <c r="F389" s="229"/>
      <c r="G389" s="229"/>
    </row>
    <row r="390">
      <c r="E390" s="229"/>
      <c r="F390" s="229"/>
      <c r="G390" s="229"/>
    </row>
    <row r="391">
      <c r="E391" s="229"/>
      <c r="F391" s="229"/>
      <c r="G391" s="229"/>
    </row>
    <row r="392">
      <c r="E392" s="229"/>
      <c r="F392" s="229"/>
      <c r="G392" s="229"/>
    </row>
    <row r="393">
      <c r="E393" s="229"/>
      <c r="F393" s="229"/>
      <c r="G393" s="229"/>
    </row>
    <row r="394">
      <c r="E394" s="229"/>
      <c r="F394" s="229"/>
      <c r="G394" s="229"/>
    </row>
    <row r="395">
      <c r="E395" s="229"/>
      <c r="F395" s="229"/>
      <c r="G395" s="229"/>
    </row>
    <row r="396">
      <c r="E396" s="229"/>
      <c r="F396" s="229"/>
      <c r="G396" s="229"/>
    </row>
    <row r="397">
      <c r="E397" s="229"/>
      <c r="F397" s="229"/>
      <c r="G397" s="229"/>
    </row>
    <row r="398">
      <c r="E398" s="229"/>
      <c r="F398" s="229"/>
      <c r="G398" s="229"/>
    </row>
    <row r="399">
      <c r="E399" s="229"/>
      <c r="F399" s="229"/>
      <c r="G399" s="229"/>
    </row>
    <row r="400">
      <c r="E400" s="229"/>
      <c r="F400" s="229"/>
      <c r="G400" s="229"/>
    </row>
    <row r="401">
      <c r="E401" s="229"/>
      <c r="F401" s="229"/>
      <c r="G401" s="229"/>
    </row>
    <row r="402">
      <c r="E402" s="229"/>
      <c r="F402" s="229"/>
      <c r="G402" s="229"/>
    </row>
    <row r="403">
      <c r="E403" s="229"/>
      <c r="F403" s="229"/>
      <c r="G403" s="229"/>
    </row>
    <row r="404">
      <c r="E404" s="229"/>
      <c r="F404" s="229"/>
      <c r="G404" s="229"/>
    </row>
    <row r="405">
      <c r="E405" s="229"/>
      <c r="F405" s="229"/>
      <c r="G405" s="229"/>
    </row>
    <row r="406">
      <c r="E406" s="229"/>
      <c r="F406" s="229"/>
      <c r="G406" s="229"/>
    </row>
    <row r="407">
      <c r="E407" s="229"/>
      <c r="F407" s="229"/>
      <c r="G407" s="229"/>
    </row>
    <row r="408">
      <c r="E408" s="229"/>
      <c r="F408" s="229"/>
      <c r="G408" s="229"/>
    </row>
    <row r="409">
      <c r="E409" s="229"/>
      <c r="F409" s="229"/>
      <c r="G409" s="229"/>
    </row>
    <row r="410">
      <c r="E410" s="229"/>
      <c r="F410" s="229"/>
      <c r="G410" s="229"/>
    </row>
    <row r="411">
      <c r="E411" s="229"/>
      <c r="F411" s="229"/>
      <c r="G411" s="229"/>
    </row>
    <row r="412">
      <c r="E412" s="229"/>
      <c r="F412" s="229"/>
      <c r="G412" s="229"/>
    </row>
    <row r="413">
      <c r="E413" s="229"/>
      <c r="F413" s="229"/>
      <c r="G413" s="229"/>
    </row>
    <row r="414">
      <c r="E414" s="229"/>
      <c r="F414" s="229"/>
      <c r="G414" s="229"/>
    </row>
    <row r="415">
      <c r="E415" s="229"/>
      <c r="F415" s="229"/>
      <c r="G415" s="229"/>
    </row>
    <row r="416">
      <c r="E416" s="229"/>
      <c r="F416" s="229"/>
      <c r="G416" s="229"/>
    </row>
    <row r="417">
      <c r="E417" s="229"/>
      <c r="F417" s="229"/>
      <c r="G417" s="229"/>
    </row>
    <row r="418">
      <c r="E418" s="229"/>
      <c r="F418" s="229"/>
      <c r="G418" s="229"/>
    </row>
    <row r="419">
      <c r="E419" s="229"/>
      <c r="F419" s="229"/>
      <c r="G419" s="229"/>
    </row>
    <row r="420">
      <c r="E420" s="229"/>
      <c r="F420" s="229"/>
      <c r="G420" s="229"/>
    </row>
    <row r="421">
      <c r="E421" s="229"/>
      <c r="F421" s="229"/>
      <c r="G421" s="229"/>
    </row>
    <row r="422">
      <c r="E422" s="229"/>
      <c r="F422" s="229"/>
      <c r="G422" s="229"/>
    </row>
    <row r="423">
      <c r="E423" s="229"/>
      <c r="F423" s="229"/>
      <c r="G423" s="229"/>
    </row>
    <row r="424">
      <c r="E424" s="229"/>
      <c r="F424" s="229"/>
      <c r="G424" s="229"/>
    </row>
    <row r="425">
      <c r="E425" s="229"/>
      <c r="F425" s="229"/>
      <c r="G425" s="229"/>
    </row>
    <row r="426">
      <c r="E426" s="229"/>
      <c r="F426" s="229"/>
      <c r="G426" s="229"/>
    </row>
    <row r="427">
      <c r="E427" s="229"/>
      <c r="F427" s="229"/>
      <c r="G427" s="229"/>
    </row>
    <row r="428">
      <c r="E428" s="229"/>
      <c r="F428" s="229"/>
      <c r="G428" s="229"/>
    </row>
    <row r="429">
      <c r="E429" s="229"/>
      <c r="F429" s="229"/>
      <c r="G429" s="229"/>
    </row>
    <row r="430">
      <c r="E430" s="229"/>
      <c r="F430" s="229"/>
      <c r="G430" s="229"/>
    </row>
    <row r="431">
      <c r="E431" s="229"/>
      <c r="F431" s="229"/>
      <c r="G431" s="229"/>
    </row>
    <row r="432">
      <c r="E432" s="229"/>
      <c r="F432" s="229"/>
      <c r="G432" s="229"/>
    </row>
    <row r="433">
      <c r="E433" s="229"/>
      <c r="F433" s="229"/>
      <c r="G433" s="229"/>
    </row>
    <row r="434">
      <c r="E434" s="229"/>
      <c r="F434" s="229"/>
      <c r="G434" s="229"/>
    </row>
    <row r="435">
      <c r="E435" s="229"/>
      <c r="F435" s="229"/>
      <c r="G435" s="229"/>
    </row>
    <row r="436">
      <c r="E436" s="229"/>
      <c r="F436" s="229"/>
      <c r="G436" s="229"/>
    </row>
    <row r="437">
      <c r="E437" s="229"/>
      <c r="F437" s="229"/>
      <c r="G437" s="229"/>
    </row>
    <row r="438">
      <c r="E438" s="229"/>
      <c r="F438" s="229"/>
      <c r="G438" s="229"/>
    </row>
    <row r="439">
      <c r="E439" s="229"/>
      <c r="F439" s="229"/>
      <c r="G439" s="229"/>
    </row>
    <row r="440">
      <c r="E440" s="229"/>
      <c r="F440" s="229"/>
      <c r="G440" s="229"/>
    </row>
    <row r="441">
      <c r="E441" s="229"/>
      <c r="F441" s="229"/>
      <c r="G441" s="229"/>
    </row>
    <row r="442">
      <c r="E442" s="229"/>
      <c r="F442" s="229"/>
      <c r="G442" s="229"/>
    </row>
    <row r="443">
      <c r="E443" s="229"/>
      <c r="F443" s="229"/>
      <c r="G443" s="229"/>
    </row>
    <row r="444">
      <c r="E444" s="229"/>
      <c r="F444" s="229"/>
      <c r="G444" s="229"/>
    </row>
    <row r="445">
      <c r="E445" s="229"/>
      <c r="F445" s="229"/>
      <c r="G445" s="229"/>
    </row>
    <row r="446">
      <c r="E446" s="229"/>
      <c r="F446" s="229"/>
      <c r="G446" s="229"/>
    </row>
    <row r="447">
      <c r="E447" s="229"/>
      <c r="F447" s="229"/>
      <c r="G447" s="229"/>
    </row>
    <row r="448">
      <c r="E448" s="229"/>
      <c r="F448" s="229"/>
      <c r="G448" s="229"/>
    </row>
    <row r="449">
      <c r="E449" s="229"/>
      <c r="F449" s="229"/>
      <c r="G449" s="229"/>
    </row>
    <row r="450">
      <c r="E450" s="229"/>
      <c r="F450" s="229"/>
      <c r="G450" s="229"/>
    </row>
    <row r="451">
      <c r="E451" s="229"/>
      <c r="F451" s="229"/>
      <c r="G451" s="229"/>
    </row>
    <row r="452">
      <c r="E452" s="229"/>
      <c r="F452" s="229"/>
      <c r="G452" s="229"/>
    </row>
    <row r="453">
      <c r="E453" s="229"/>
      <c r="F453" s="229"/>
      <c r="G453" s="229"/>
    </row>
    <row r="454">
      <c r="E454" s="229"/>
      <c r="F454" s="229"/>
      <c r="G454" s="229"/>
    </row>
    <row r="455">
      <c r="E455" s="229"/>
      <c r="F455" s="229"/>
      <c r="G455" s="229"/>
    </row>
    <row r="456">
      <c r="E456" s="229"/>
      <c r="F456" s="229"/>
      <c r="G456" s="229"/>
    </row>
    <row r="457">
      <c r="E457" s="229"/>
      <c r="F457" s="229"/>
      <c r="G457" s="229"/>
    </row>
    <row r="458">
      <c r="E458" s="229"/>
      <c r="F458" s="229"/>
      <c r="G458" s="229"/>
    </row>
    <row r="459">
      <c r="E459" s="229"/>
      <c r="F459" s="229"/>
      <c r="G459" s="229"/>
    </row>
    <row r="460">
      <c r="E460" s="229"/>
      <c r="F460" s="229"/>
      <c r="G460" s="229"/>
    </row>
    <row r="461">
      <c r="E461" s="229"/>
      <c r="F461" s="229"/>
      <c r="G461" s="229"/>
    </row>
    <row r="462">
      <c r="E462" s="229"/>
      <c r="F462" s="229"/>
      <c r="G462" s="229"/>
    </row>
    <row r="463">
      <c r="E463" s="229"/>
      <c r="F463" s="229"/>
      <c r="G463" s="229"/>
    </row>
    <row r="464">
      <c r="E464" s="229"/>
      <c r="F464" s="229"/>
      <c r="G464" s="229"/>
    </row>
    <row r="465">
      <c r="E465" s="229"/>
      <c r="F465" s="229"/>
      <c r="G465" s="229"/>
    </row>
    <row r="466">
      <c r="E466" s="229"/>
      <c r="F466" s="229"/>
      <c r="G466" s="229"/>
    </row>
    <row r="467">
      <c r="E467" s="229"/>
      <c r="F467" s="229"/>
      <c r="G467" s="229"/>
    </row>
    <row r="468">
      <c r="E468" s="229"/>
      <c r="F468" s="229"/>
      <c r="G468" s="229"/>
    </row>
    <row r="469">
      <c r="E469" s="229"/>
      <c r="F469" s="229"/>
      <c r="G469" s="229"/>
    </row>
    <row r="470">
      <c r="E470" s="229"/>
      <c r="F470" s="229"/>
      <c r="G470" s="229"/>
    </row>
    <row r="471">
      <c r="E471" s="229"/>
      <c r="F471" s="229"/>
      <c r="G471" s="229"/>
    </row>
    <row r="472">
      <c r="E472" s="229"/>
      <c r="F472" s="229"/>
      <c r="G472" s="229"/>
    </row>
    <row r="473">
      <c r="E473" s="229"/>
      <c r="F473" s="229"/>
      <c r="G473" s="229"/>
    </row>
    <row r="474">
      <c r="E474" s="229"/>
      <c r="F474" s="229"/>
      <c r="G474" s="229"/>
    </row>
    <row r="475">
      <c r="E475" s="229"/>
      <c r="F475" s="229"/>
      <c r="G475" s="229"/>
    </row>
    <row r="476">
      <c r="E476" s="229"/>
      <c r="F476" s="229"/>
      <c r="G476" s="229"/>
    </row>
    <row r="477">
      <c r="E477" s="229"/>
      <c r="F477" s="229"/>
      <c r="G477" s="229"/>
    </row>
    <row r="478">
      <c r="E478" s="229"/>
      <c r="F478" s="229"/>
      <c r="G478" s="229"/>
    </row>
    <row r="479">
      <c r="E479" s="229"/>
      <c r="F479" s="229"/>
      <c r="G479" s="229"/>
    </row>
    <row r="480">
      <c r="E480" s="229"/>
      <c r="F480" s="229"/>
      <c r="G480" s="229"/>
    </row>
    <row r="481">
      <c r="E481" s="229"/>
      <c r="F481" s="229"/>
      <c r="G481" s="229"/>
    </row>
    <row r="482">
      <c r="E482" s="229"/>
      <c r="F482" s="229"/>
      <c r="G482" s="229"/>
    </row>
    <row r="483">
      <c r="E483" s="229"/>
      <c r="F483" s="229"/>
      <c r="G483" s="229"/>
    </row>
    <row r="484">
      <c r="E484" s="229"/>
      <c r="F484" s="229"/>
      <c r="G484" s="229"/>
    </row>
    <row r="485">
      <c r="E485" s="229"/>
      <c r="F485" s="229"/>
      <c r="G485" s="229"/>
    </row>
    <row r="486">
      <c r="E486" s="229"/>
      <c r="F486" s="229"/>
      <c r="G486" s="229"/>
    </row>
    <row r="487">
      <c r="E487" s="229"/>
      <c r="F487" s="229"/>
      <c r="G487" s="229"/>
    </row>
    <row r="488">
      <c r="E488" s="229"/>
      <c r="F488" s="229"/>
      <c r="G488" s="229"/>
    </row>
    <row r="489">
      <c r="E489" s="229"/>
      <c r="F489" s="229"/>
      <c r="G489" s="229"/>
    </row>
    <row r="490">
      <c r="E490" s="229"/>
      <c r="F490" s="229"/>
      <c r="G490" s="229"/>
    </row>
    <row r="491">
      <c r="E491" s="229"/>
      <c r="F491" s="229"/>
      <c r="G491" s="229"/>
    </row>
    <row r="492">
      <c r="E492" s="229"/>
      <c r="F492" s="229"/>
      <c r="G492" s="229"/>
    </row>
    <row r="493">
      <c r="E493" s="229"/>
      <c r="F493" s="229"/>
      <c r="G493" s="229"/>
    </row>
    <row r="494">
      <c r="E494" s="229"/>
      <c r="F494" s="229"/>
      <c r="G494" s="229"/>
    </row>
    <row r="495">
      <c r="E495" s="229"/>
      <c r="F495" s="229"/>
      <c r="G495" s="229"/>
    </row>
    <row r="496">
      <c r="E496" s="229"/>
      <c r="F496" s="229"/>
      <c r="G496" s="229"/>
    </row>
    <row r="497">
      <c r="E497" s="229"/>
      <c r="F497" s="229"/>
      <c r="G497" s="229"/>
    </row>
    <row r="498">
      <c r="E498" s="229"/>
      <c r="F498" s="229"/>
      <c r="G498" s="229"/>
    </row>
    <row r="499">
      <c r="E499" s="229"/>
      <c r="F499" s="229"/>
      <c r="G499" s="229"/>
    </row>
    <row r="500">
      <c r="E500" s="229"/>
      <c r="F500" s="229"/>
      <c r="G500" s="229"/>
    </row>
    <row r="501">
      <c r="E501" s="229"/>
      <c r="F501" s="229"/>
      <c r="G501" s="229"/>
    </row>
    <row r="502">
      <c r="E502" s="229"/>
      <c r="F502" s="229"/>
      <c r="G502" s="229"/>
    </row>
    <row r="503">
      <c r="E503" s="229"/>
      <c r="F503" s="229"/>
      <c r="G503" s="229"/>
    </row>
    <row r="504">
      <c r="E504" s="229"/>
      <c r="F504" s="229"/>
      <c r="G504" s="229"/>
    </row>
    <row r="505">
      <c r="E505" s="229"/>
      <c r="F505" s="229"/>
      <c r="G505" s="229"/>
    </row>
    <row r="506">
      <c r="E506" s="229"/>
      <c r="F506" s="229"/>
      <c r="G506" s="229"/>
    </row>
    <row r="507">
      <c r="E507" s="229"/>
      <c r="F507" s="229"/>
      <c r="G507" s="229"/>
    </row>
    <row r="508">
      <c r="E508" s="229"/>
      <c r="F508" s="229"/>
      <c r="G508" s="229"/>
    </row>
    <row r="509">
      <c r="E509" s="229"/>
      <c r="F509" s="229"/>
      <c r="G509" s="229"/>
    </row>
    <row r="510">
      <c r="E510" s="229"/>
      <c r="F510" s="229"/>
      <c r="G510" s="229"/>
    </row>
    <row r="511">
      <c r="E511" s="229"/>
      <c r="F511" s="229"/>
      <c r="G511" s="229"/>
    </row>
    <row r="512">
      <c r="E512" s="229"/>
      <c r="F512" s="229"/>
      <c r="G512" s="229"/>
    </row>
    <row r="513">
      <c r="E513" s="229"/>
      <c r="F513" s="229"/>
      <c r="G513" s="229"/>
    </row>
    <row r="514">
      <c r="E514" s="229"/>
      <c r="F514" s="229"/>
      <c r="G514" s="229"/>
    </row>
    <row r="515">
      <c r="E515" s="229"/>
      <c r="F515" s="229"/>
      <c r="G515" s="229"/>
    </row>
    <row r="516">
      <c r="E516" s="229"/>
      <c r="F516" s="229"/>
      <c r="G516" s="229"/>
    </row>
    <row r="517">
      <c r="E517" s="229"/>
      <c r="F517" s="229"/>
      <c r="G517" s="229"/>
    </row>
    <row r="518">
      <c r="E518" s="229"/>
      <c r="F518" s="229"/>
      <c r="G518" s="229"/>
    </row>
    <row r="519">
      <c r="E519" s="229"/>
      <c r="F519" s="229"/>
      <c r="G519" s="229"/>
    </row>
    <row r="520">
      <c r="E520" s="229"/>
      <c r="F520" s="229"/>
      <c r="G520" s="229"/>
    </row>
    <row r="521">
      <c r="E521" s="229"/>
      <c r="F521" s="229"/>
      <c r="G521" s="229"/>
    </row>
    <row r="522">
      <c r="E522" s="229"/>
      <c r="F522" s="229"/>
      <c r="G522" s="229"/>
    </row>
    <row r="523">
      <c r="E523" s="229"/>
      <c r="F523" s="229"/>
      <c r="G523" s="229"/>
    </row>
    <row r="524">
      <c r="E524" s="229"/>
      <c r="F524" s="229"/>
      <c r="G524" s="229"/>
    </row>
    <row r="525">
      <c r="E525" s="229"/>
      <c r="F525" s="229"/>
      <c r="G525" s="229"/>
    </row>
    <row r="526">
      <c r="E526" s="229"/>
      <c r="F526" s="229"/>
      <c r="G526" s="229"/>
    </row>
    <row r="527">
      <c r="E527" s="229"/>
      <c r="F527" s="229"/>
      <c r="G527" s="229"/>
    </row>
    <row r="528">
      <c r="E528" s="229"/>
      <c r="F528" s="229"/>
      <c r="G528" s="229"/>
    </row>
    <row r="529">
      <c r="E529" s="229"/>
      <c r="F529" s="229"/>
      <c r="G529" s="229"/>
    </row>
    <row r="530">
      <c r="E530" s="229"/>
      <c r="F530" s="229"/>
      <c r="G530" s="229"/>
    </row>
    <row r="531">
      <c r="E531" s="229"/>
      <c r="F531" s="229"/>
      <c r="G531" s="229"/>
    </row>
    <row r="532">
      <c r="E532" s="229"/>
      <c r="F532" s="229"/>
      <c r="G532" s="229"/>
    </row>
    <row r="533">
      <c r="E533" s="229"/>
      <c r="F533" s="229"/>
      <c r="G533" s="229"/>
    </row>
    <row r="534">
      <c r="E534" s="229"/>
      <c r="F534" s="229"/>
      <c r="G534" s="229"/>
    </row>
    <row r="535">
      <c r="E535" s="229"/>
      <c r="F535" s="229"/>
      <c r="G535" s="229"/>
    </row>
    <row r="536">
      <c r="E536" s="229"/>
      <c r="F536" s="229"/>
      <c r="G536" s="229"/>
    </row>
    <row r="537">
      <c r="E537" s="229"/>
      <c r="F537" s="229"/>
      <c r="G537" s="229"/>
    </row>
    <row r="538">
      <c r="E538" s="229"/>
      <c r="F538" s="229"/>
      <c r="G538" s="229"/>
    </row>
    <row r="539">
      <c r="E539" s="229"/>
      <c r="F539" s="229"/>
      <c r="G539" s="229"/>
    </row>
    <row r="540">
      <c r="E540" s="229"/>
      <c r="F540" s="229"/>
      <c r="G540" s="229"/>
    </row>
    <row r="541">
      <c r="E541" s="229"/>
      <c r="F541" s="229"/>
      <c r="G541" s="229"/>
    </row>
    <row r="542">
      <c r="E542" s="229"/>
      <c r="F542" s="229"/>
      <c r="G542" s="229"/>
    </row>
    <row r="543">
      <c r="E543" s="229"/>
      <c r="F543" s="229"/>
      <c r="G543" s="229"/>
    </row>
    <row r="544">
      <c r="E544" s="229"/>
      <c r="F544" s="229"/>
      <c r="G544" s="229"/>
    </row>
    <row r="545">
      <c r="E545" s="229"/>
      <c r="F545" s="229"/>
      <c r="G545" s="229"/>
    </row>
    <row r="546">
      <c r="E546" s="229"/>
      <c r="F546" s="229"/>
      <c r="G546" s="229"/>
    </row>
    <row r="547">
      <c r="E547" s="229"/>
      <c r="F547" s="229"/>
      <c r="G547" s="229"/>
    </row>
    <row r="548">
      <c r="E548" s="229"/>
      <c r="F548" s="229"/>
      <c r="G548" s="229"/>
    </row>
    <row r="549">
      <c r="E549" s="229"/>
      <c r="F549" s="229"/>
      <c r="G549" s="229"/>
    </row>
    <row r="550">
      <c r="E550" s="229"/>
      <c r="F550" s="229"/>
      <c r="G550" s="229"/>
    </row>
    <row r="551">
      <c r="E551" s="229"/>
      <c r="F551" s="229"/>
      <c r="G551" s="229"/>
    </row>
    <row r="552">
      <c r="E552" s="229"/>
      <c r="F552" s="229"/>
      <c r="G552" s="229"/>
    </row>
    <row r="553">
      <c r="E553" s="229"/>
      <c r="F553" s="229"/>
      <c r="G553" s="229"/>
    </row>
    <row r="554">
      <c r="E554" s="229"/>
      <c r="F554" s="229"/>
      <c r="G554" s="229"/>
    </row>
    <row r="555">
      <c r="E555" s="229"/>
      <c r="F555" s="229"/>
      <c r="G555" s="229"/>
    </row>
    <row r="556">
      <c r="E556" s="229"/>
      <c r="F556" s="229"/>
      <c r="G556" s="229"/>
    </row>
    <row r="557">
      <c r="E557" s="229"/>
      <c r="F557" s="229"/>
      <c r="G557" s="229"/>
    </row>
    <row r="558">
      <c r="E558" s="229"/>
      <c r="F558" s="229"/>
      <c r="G558" s="229"/>
    </row>
    <row r="559">
      <c r="E559" s="229"/>
      <c r="F559" s="229"/>
      <c r="G559" s="229"/>
    </row>
    <row r="560">
      <c r="E560" s="229"/>
      <c r="F560" s="229"/>
      <c r="G560" s="229"/>
    </row>
    <row r="561">
      <c r="E561" s="229"/>
      <c r="F561" s="229"/>
      <c r="G561" s="229"/>
    </row>
    <row r="562">
      <c r="E562" s="229"/>
      <c r="F562" s="229"/>
      <c r="G562" s="229"/>
    </row>
    <row r="563">
      <c r="E563" s="229"/>
      <c r="F563" s="229"/>
      <c r="G563" s="229"/>
    </row>
    <row r="564">
      <c r="E564" s="229"/>
      <c r="F564" s="229"/>
      <c r="G564" s="229"/>
    </row>
    <row r="565">
      <c r="E565" s="229"/>
      <c r="F565" s="229"/>
      <c r="G565" s="229"/>
    </row>
    <row r="566">
      <c r="E566" s="229"/>
      <c r="F566" s="229"/>
      <c r="G566" s="229"/>
    </row>
    <row r="567">
      <c r="E567" s="229"/>
      <c r="F567" s="229"/>
      <c r="G567" s="229"/>
    </row>
    <row r="568">
      <c r="E568" s="229"/>
      <c r="F568" s="229"/>
      <c r="G568" s="229"/>
    </row>
    <row r="569">
      <c r="E569" s="229"/>
      <c r="F569" s="229"/>
      <c r="G569" s="229"/>
    </row>
    <row r="570">
      <c r="E570" s="229"/>
      <c r="F570" s="229"/>
      <c r="G570" s="229"/>
    </row>
    <row r="571">
      <c r="E571" s="229"/>
      <c r="F571" s="229"/>
      <c r="G571" s="229"/>
    </row>
    <row r="572">
      <c r="E572" s="229"/>
      <c r="F572" s="229"/>
      <c r="G572" s="229"/>
    </row>
    <row r="573">
      <c r="E573" s="229"/>
      <c r="F573" s="229"/>
      <c r="G573" s="229"/>
    </row>
    <row r="574">
      <c r="E574" s="229"/>
      <c r="F574" s="229"/>
      <c r="G574" s="229"/>
    </row>
    <row r="575">
      <c r="E575" s="229"/>
      <c r="F575" s="229"/>
      <c r="G575" s="229"/>
    </row>
    <row r="576">
      <c r="E576" s="229"/>
      <c r="F576" s="229"/>
      <c r="G576" s="229"/>
    </row>
    <row r="577">
      <c r="E577" s="229"/>
      <c r="F577" s="229"/>
      <c r="G577" s="229"/>
    </row>
    <row r="578">
      <c r="E578" s="229"/>
      <c r="F578" s="229"/>
      <c r="G578" s="229"/>
    </row>
    <row r="579">
      <c r="E579" s="229"/>
      <c r="F579" s="229"/>
      <c r="G579" s="229"/>
    </row>
    <row r="580">
      <c r="E580" s="229"/>
      <c r="F580" s="229"/>
      <c r="G580" s="229"/>
    </row>
    <row r="581">
      <c r="E581" s="229"/>
      <c r="F581" s="229"/>
      <c r="G581" s="229"/>
    </row>
    <row r="582">
      <c r="E582" s="229"/>
      <c r="F582" s="229"/>
      <c r="G582" s="229"/>
    </row>
    <row r="583">
      <c r="E583" s="229"/>
      <c r="F583" s="229"/>
      <c r="G583" s="229"/>
    </row>
    <row r="584">
      <c r="E584" s="229"/>
      <c r="F584" s="229"/>
      <c r="G584" s="229"/>
    </row>
    <row r="585">
      <c r="E585" s="229"/>
      <c r="F585" s="229"/>
      <c r="G585" s="229"/>
    </row>
    <row r="586">
      <c r="E586" s="229"/>
      <c r="F586" s="229"/>
      <c r="G586" s="229"/>
    </row>
    <row r="587">
      <c r="E587" s="229"/>
      <c r="F587" s="229"/>
      <c r="G587" s="229"/>
    </row>
    <row r="588">
      <c r="E588" s="229"/>
      <c r="F588" s="229"/>
      <c r="G588" s="229"/>
    </row>
    <row r="589">
      <c r="E589" s="229"/>
      <c r="F589" s="229"/>
      <c r="G589" s="229"/>
    </row>
    <row r="590">
      <c r="E590" s="229"/>
      <c r="F590" s="229"/>
      <c r="G590" s="229"/>
    </row>
    <row r="591">
      <c r="E591" s="229"/>
      <c r="F591" s="229"/>
      <c r="G591" s="229"/>
    </row>
    <row r="592">
      <c r="E592" s="229"/>
      <c r="F592" s="229"/>
      <c r="G592" s="229"/>
    </row>
    <row r="593">
      <c r="E593" s="229"/>
      <c r="F593" s="229"/>
      <c r="G593" s="229"/>
    </row>
    <row r="594">
      <c r="E594" s="229"/>
      <c r="F594" s="229"/>
      <c r="G594" s="229"/>
    </row>
    <row r="595">
      <c r="E595" s="229"/>
      <c r="F595" s="229"/>
      <c r="G595" s="229"/>
    </row>
    <row r="596">
      <c r="E596" s="229"/>
      <c r="F596" s="229"/>
      <c r="G596" s="229"/>
    </row>
    <row r="597">
      <c r="E597" s="229"/>
      <c r="F597" s="229"/>
      <c r="G597" s="229"/>
    </row>
    <row r="598">
      <c r="E598" s="229"/>
      <c r="F598" s="229"/>
      <c r="G598" s="229"/>
    </row>
    <row r="599">
      <c r="E599" s="229"/>
      <c r="F599" s="229"/>
      <c r="G599" s="229"/>
    </row>
    <row r="600">
      <c r="E600" s="229"/>
      <c r="F600" s="229"/>
      <c r="G600" s="229"/>
    </row>
    <row r="601">
      <c r="E601" s="229"/>
      <c r="F601" s="229"/>
      <c r="G601" s="229"/>
    </row>
    <row r="602">
      <c r="E602" s="229"/>
      <c r="F602" s="229"/>
      <c r="G602" s="229"/>
    </row>
    <row r="603">
      <c r="E603" s="229"/>
      <c r="F603" s="229"/>
      <c r="G603" s="229"/>
    </row>
    <row r="604">
      <c r="E604" s="229"/>
      <c r="F604" s="229"/>
      <c r="G604" s="229"/>
    </row>
    <row r="605">
      <c r="E605" s="229"/>
      <c r="F605" s="229"/>
      <c r="G605" s="229"/>
    </row>
    <row r="606">
      <c r="E606" s="229"/>
      <c r="F606" s="229"/>
      <c r="G606" s="229"/>
    </row>
    <row r="607">
      <c r="E607" s="229"/>
      <c r="F607" s="229"/>
      <c r="G607" s="229"/>
    </row>
    <row r="608">
      <c r="E608" s="229"/>
      <c r="F608" s="229"/>
      <c r="G608" s="229"/>
    </row>
    <row r="609">
      <c r="E609" s="229"/>
      <c r="F609" s="229"/>
      <c r="G609" s="229"/>
    </row>
    <row r="610">
      <c r="E610" s="229"/>
      <c r="F610" s="229"/>
      <c r="G610" s="229"/>
    </row>
    <row r="611">
      <c r="E611" s="229"/>
      <c r="F611" s="229"/>
      <c r="G611" s="229"/>
    </row>
    <row r="612">
      <c r="E612" s="229"/>
      <c r="F612" s="229"/>
      <c r="G612" s="229"/>
    </row>
    <row r="613">
      <c r="E613" s="229"/>
      <c r="F613" s="229"/>
      <c r="G613" s="229"/>
    </row>
    <row r="614">
      <c r="E614" s="229"/>
      <c r="F614" s="229"/>
      <c r="G614" s="229"/>
    </row>
    <row r="615">
      <c r="E615" s="229"/>
      <c r="F615" s="229"/>
      <c r="G615" s="229"/>
    </row>
    <row r="616">
      <c r="E616" s="229"/>
      <c r="F616" s="229"/>
      <c r="G616" s="229"/>
    </row>
    <row r="617">
      <c r="E617" s="229"/>
      <c r="F617" s="229"/>
      <c r="G617" s="229"/>
    </row>
    <row r="618">
      <c r="E618" s="229"/>
      <c r="F618" s="229"/>
      <c r="G618" s="229"/>
    </row>
    <row r="619">
      <c r="E619" s="229"/>
      <c r="F619" s="229"/>
      <c r="G619" s="229"/>
    </row>
    <row r="620">
      <c r="E620" s="229"/>
      <c r="F620" s="229"/>
      <c r="G620" s="229"/>
    </row>
    <row r="621">
      <c r="E621" s="229"/>
      <c r="F621" s="229"/>
      <c r="G621" s="229"/>
    </row>
    <row r="622">
      <c r="E622" s="229"/>
      <c r="F622" s="229"/>
      <c r="G622" s="229"/>
    </row>
    <row r="623">
      <c r="E623" s="229"/>
      <c r="F623" s="229"/>
      <c r="G623" s="229"/>
    </row>
    <row r="624">
      <c r="E624" s="229"/>
      <c r="F624" s="229"/>
      <c r="G624" s="229"/>
    </row>
    <row r="625">
      <c r="E625" s="229"/>
      <c r="F625" s="229"/>
      <c r="G625" s="229"/>
    </row>
    <row r="626">
      <c r="E626" s="229"/>
      <c r="F626" s="229"/>
      <c r="G626" s="229"/>
    </row>
    <row r="627">
      <c r="E627" s="229"/>
      <c r="F627" s="229"/>
      <c r="G627" s="229"/>
    </row>
    <row r="628">
      <c r="E628" s="229"/>
      <c r="F628" s="229"/>
      <c r="G628" s="229"/>
    </row>
    <row r="629">
      <c r="E629" s="229"/>
      <c r="F629" s="229"/>
      <c r="G629" s="229"/>
    </row>
    <row r="630">
      <c r="E630" s="229"/>
      <c r="F630" s="229"/>
      <c r="G630" s="229"/>
    </row>
    <row r="631">
      <c r="E631" s="229"/>
      <c r="F631" s="229"/>
      <c r="G631" s="229"/>
    </row>
    <row r="632">
      <c r="E632" s="229"/>
      <c r="F632" s="229"/>
      <c r="G632" s="229"/>
    </row>
    <row r="633">
      <c r="E633" s="229"/>
      <c r="F633" s="229"/>
      <c r="G633" s="229"/>
    </row>
    <row r="634">
      <c r="E634" s="229"/>
      <c r="F634" s="229"/>
      <c r="G634" s="229"/>
    </row>
    <row r="635">
      <c r="E635" s="229"/>
      <c r="F635" s="229"/>
      <c r="G635" s="229"/>
    </row>
    <row r="636">
      <c r="E636" s="229"/>
      <c r="F636" s="229"/>
      <c r="G636" s="229"/>
    </row>
    <row r="637">
      <c r="E637" s="229"/>
      <c r="F637" s="229"/>
      <c r="G637" s="229"/>
    </row>
    <row r="638">
      <c r="E638" s="229"/>
      <c r="F638" s="229"/>
      <c r="G638" s="229"/>
    </row>
    <row r="639">
      <c r="E639" s="229"/>
      <c r="F639" s="229"/>
      <c r="G639" s="229"/>
    </row>
    <row r="640">
      <c r="E640" s="229"/>
      <c r="F640" s="229"/>
      <c r="G640" s="229"/>
    </row>
    <row r="641">
      <c r="E641" s="229"/>
      <c r="F641" s="229"/>
      <c r="G641" s="229"/>
    </row>
    <row r="642">
      <c r="E642" s="229"/>
      <c r="F642" s="229"/>
      <c r="G642" s="229"/>
    </row>
    <row r="643">
      <c r="E643" s="229"/>
      <c r="F643" s="229"/>
      <c r="G643" s="229"/>
    </row>
    <row r="644">
      <c r="E644" s="229"/>
      <c r="F644" s="229"/>
      <c r="G644" s="229"/>
    </row>
    <row r="645">
      <c r="E645" s="229"/>
      <c r="F645" s="229"/>
      <c r="G645" s="229"/>
    </row>
    <row r="646">
      <c r="E646" s="229"/>
      <c r="F646" s="229"/>
      <c r="G646" s="229"/>
    </row>
    <row r="647">
      <c r="E647" s="229"/>
      <c r="F647" s="229"/>
      <c r="G647" s="229"/>
    </row>
    <row r="648">
      <c r="E648" s="229"/>
      <c r="F648" s="229"/>
      <c r="G648" s="229"/>
    </row>
    <row r="649">
      <c r="E649" s="229"/>
      <c r="F649" s="229"/>
      <c r="G649" s="229"/>
    </row>
    <row r="650">
      <c r="E650" s="229"/>
      <c r="F650" s="229"/>
      <c r="G650" s="229"/>
    </row>
    <row r="651">
      <c r="E651" s="229"/>
      <c r="F651" s="229"/>
      <c r="G651" s="229"/>
    </row>
    <row r="652">
      <c r="E652" s="229"/>
      <c r="F652" s="229"/>
      <c r="G652" s="229"/>
    </row>
    <row r="653">
      <c r="E653" s="229"/>
      <c r="F653" s="229"/>
      <c r="G653" s="229"/>
    </row>
    <row r="654">
      <c r="E654" s="229"/>
      <c r="F654" s="229"/>
      <c r="G654" s="229"/>
    </row>
    <row r="655">
      <c r="E655" s="229"/>
      <c r="F655" s="229"/>
      <c r="G655" s="229"/>
    </row>
    <row r="656">
      <c r="E656" s="229"/>
      <c r="F656" s="229"/>
      <c r="G656" s="229"/>
    </row>
    <row r="657">
      <c r="E657" s="229"/>
      <c r="F657" s="229"/>
      <c r="G657" s="229"/>
    </row>
    <row r="658">
      <c r="E658" s="229"/>
      <c r="F658" s="229"/>
      <c r="G658" s="229"/>
    </row>
    <row r="659">
      <c r="E659" s="229"/>
      <c r="F659" s="229"/>
      <c r="G659" s="229"/>
    </row>
    <row r="660">
      <c r="E660" s="229"/>
      <c r="F660" s="229"/>
      <c r="G660" s="229"/>
    </row>
    <row r="661">
      <c r="E661" s="229"/>
      <c r="F661" s="229"/>
      <c r="G661" s="229"/>
    </row>
    <row r="662">
      <c r="E662" s="229"/>
      <c r="F662" s="229"/>
      <c r="G662" s="229"/>
    </row>
    <row r="663">
      <c r="E663" s="229"/>
      <c r="F663" s="229"/>
      <c r="G663" s="229"/>
    </row>
    <row r="664">
      <c r="E664" s="229"/>
      <c r="F664" s="229"/>
      <c r="G664" s="229"/>
    </row>
    <row r="665">
      <c r="E665" s="229"/>
      <c r="F665" s="229"/>
      <c r="G665" s="229"/>
    </row>
    <row r="666">
      <c r="E666" s="229"/>
      <c r="F666" s="229"/>
      <c r="G666" s="229"/>
    </row>
    <row r="667">
      <c r="E667" s="229"/>
      <c r="F667" s="229"/>
      <c r="G667" s="229"/>
    </row>
    <row r="668">
      <c r="E668" s="229"/>
      <c r="F668" s="229"/>
      <c r="G668" s="229"/>
    </row>
    <row r="669">
      <c r="E669" s="229"/>
      <c r="F669" s="229"/>
      <c r="G669" s="229"/>
    </row>
    <row r="670">
      <c r="E670" s="229"/>
      <c r="F670" s="229"/>
      <c r="G670" s="229"/>
    </row>
    <row r="671">
      <c r="E671" s="229"/>
      <c r="F671" s="229"/>
      <c r="G671" s="229"/>
    </row>
    <row r="672">
      <c r="E672" s="229"/>
      <c r="F672" s="229"/>
      <c r="G672" s="229"/>
    </row>
    <row r="673">
      <c r="E673" s="229"/>
      <c r="F673" s="229"/>
      <c r="G673" s="229"/>
    </row>
    <row r="674">
      <c r="E674" s="229"/>
      <c r="F674" s="229"/>
      <c r="G674" s="229"/>
    </row>
    <row r="675">
      <c r="E675" s="229"/>
      <c r="F675" s="229"/>
      <c r="G675" s="229"/>
    </row>
    <row r="676">
      <c r="E676" s="229"/>
      <c r="F676" s="229"/>
      <c r="G676" s="229"/>
    </row>
    <row r="677">
      <c r="E677" s="229"/>
      <c r="F677" s="229"/>
      <c r="G677" s="229"/>
    </row>
    <row r="678">
      <c r="E678" s="229"/>
      <c r="F678" s="229"/>
      <c r="G678" s="229"/>
    </row>
    <row r="679">
      <c r="E679" s="229"/>
      <c r="F679" s="229"/>
      <c r="G679" s="229"/>
    </row>
    <row r="680">
      <c r="E680" s="229"/>
      <c r="F680" s="229"/>
      <c r="G680" s="229"/>
    </row>
    <row r="681">
      <c r="E681" s="229"/>
      <c r="F681" s="229"/>
      <c r="G681" s="229"/>
    </row>
    <row r="682">
      <c r="E682" s="229"/>
      <c r="F682" s="229"/>
      <c r="G682" s="229"/>
    </row>
    <row r="683">
      <c r="E683" s="229"/>
      <c r="F683" s="229"/>
      <c r="G683" s="229"/>
    </row>
    <row r="684">
      <c r="E684" s="229"/>
      <c r="F684" s="229"/>
      <c r="G684" s="229"/>
    </row>
    <row r="685">
      <c r="E685" s="229"/>
      <c r="F685" s="229"/>
      <c r="G685" s="229"/>
    </row>
    <row r="686">
      <c r="E686" s="229"/>
      <c r="F686" s="229"/>
      <c r="G686" s="229"/>
    </row>
    <row r="687">
      <c r="E687" s="229"/>
      <c r="F687" s="229"/>
      <c r="G687" s="229"/>
    </row>
    <row r="688">
      <c r="E688" s="229"/>
      <c r="F688" s="229"/>
      <c r="G688" s="229"/>
    </row>
    <row r="689">
      <c r="E689" s="229"/>
      <c r="F689" s="229"/>
      <c r="G689" s="229"/>
    </row>
    <row r="690">
      <c r="E690" s="229"/>
      <c r="F690" s="229"/>
      <c r="G690" s="229"/>
    </row>
    <row r="691">
      <c r="E691" s="229"/>
      <c r="F691" s="229"/>
      <c r="G691" s="229"/>
    </row>
    <row r="692">
      <c r="E692" s="229"/>
      <c r="F692" s="229"/>
      <c r="G692" s="229"/>
    </row>
    <row r="693">
      <c r="E693" s="229"/>
      <c r="F693" s="229"/>
      <c r="G693" s="229"/>
    </row>
    <row r="694">
      <c r="E694" s="229"/>
      <c r="F694" s="229"/>
      <c r="G694" s="229"/>
    </row>
    <row r="695">
      <c r="E695" s="229"/>
      <c r="F695" s="229"/>
      <c r="G695" s="229"/>
    </row>
    <row r="696">
      <c r="E696" s="229"/>
      <c r="F696" s="229"/>
      <c r="G696" s="229"/>
    </row>
    <row r="697">
      <c r="E697" s="229"/>
      <c r="F697" s="229"/>
      <c r="G697" s="229"/>
    </row>
    <row r="698">
      <c r="E698" s="229"/>
      <c r="F698" s="229"/>
      <c r="G698" s="229"/>
    </row>
    <row r="699">
      <c r="E699" s="229"/>
      <c r="F699" s="229"/>
      <c r="G699" s="229"/>
    </row>
    <row r="700">
      <c r="E700" s="229"/>
      <c r="F700" s="229"/>
      <c r="G700" s="229"/>
    </row>
    <row r="701">
      <c r="E701" s="229"/>
      <c r="F701" s="229"/>
      <c r="G701" s="229"/>
    </row>
    <row r="702">
      <c r="E702" s="229"/>
      <c r="F702" s="229"/>
      <c r="G702" s="229"/>
    </row>
    <row r="703">
      <c r="E703" s="229"/>
      <c r="F703" s="229"/>
      <c r="G703" s="229"/>
    </row>
    <row r="704">
      <c r="E704" s="229"/>
      <c r="F704" s="229"/>
      <c r="G704" s="229"/>
    </row>
    <row r="705">
      <c r="E705" s="229"/>
      <c r="F705" s="229"/>
      <c r="G705" s="229"/>
    </row>
    <row r="706">
      <c r="E706" s="229"/>
      <c r="F706" s="229"/>
      <c r="G706" s="229"/>
    </row>
    <row r="707">
      <c r="E707" s="229"/>
      <c r="F707" s="229"/>
      <c r="G707" s="229"/>
    </row>
    <row r="708">
      <c r="E708" s="229"/>
      <c r="F708" s="229"/>
      <c r="G708" s="229"/>
    </row>
    <row r="709">
      <c r="E709" s="229"/>
      <c r="F709" s="229"/>
      <c r="G709" s="229"/>
    </row>
    <row r="710">
      <c r="E710" s="229"/>
      <c r="F710" s="229"/>
      <c r="G710" s="229"/>
    </row>
    <row r="711">
      <c r="E711" s="229"/>
      <c r="F711" s="229"/>
      <c r="G711" s="229"/>
    </row>
    <row r="712">
      <c r="E712" s="229"/>
      <c r="F712" s="229"/>
      <c r="G712" s="229"/>
    </row>
    <row r="713">
      <c r="E713" s="229"/>
      <c r="F713" s="229"/>
      <c r="G713" s="229"/>
    </row>
    <row r="714">
      <c r="E714" s="229"/>
      <c r="F714" s="229"/>
      <c r="G714" s="229"/>
    </row>
    <row r="715">
      <c r="E715" s="229"/>
      <c r="F715" s="229"/>
      <c r="G715" s="229"/>
    </row>
    <row r="716">
      <c r="E716" s="229"/>
      <c r="F716" s="229"/>
      <c r="G716" s="229"/>
    </row>
    <row r="717">
      <c r="E717" s="229"/>
      <c r="F717" s="229"/>
      <c r="G717" s="229"/>
    </row>
    <row r="718">
      <c r="E718" s="229"/>
      <c r="F718" s="229"/>
      <c r="G718" s="229"/>
    </row>
    <row r="719">
      <c r="E719" s="229"/>
      <c r="F719" s="229"/>
      <c r="G719" s="229"/>
    </row>
    <row r="720">
      <c r="E720" s="229"/>
      <c r="F720" s="229"/>
      <c r="G720" s="229"/>
    </row>
    <row r="721">
      <c r="E721" s="229"/>
      <c r="F721" s="229"/>
      <c r="G721" s="229"/>
    </row>
    <row r="722">
      <c r="E722" s="229"/>
      <c r="F722" s="229"/>
      <c r="G722" s="229"/>
    </row>
    <row r="723">
      <c r="E723" s="229"/>
      <c r="F723" s="229"/>
      <c r="G723" s="229"/>
    </row>
    <row r="724">
      <c r="E724" s="229"/>
      <c r="F724" s="229"/>
      <c r="G724" s="229"/>
    </row>
    <row r="725">
      <c r="E725" s="229"/>
      <c r="F725" s="229"/>
      <c r="G725" s="229"/>
    </row>
    <row r="726">
      <c r="E726" s="229"/>
      <c r="F726" s="229"/>
      <c r="G726" s="229"/>
    </row>
    <row r="727">
      <c r="E727" s="229"/>
      <c r="F727" s="229"/>
      <c r="G727" s="229"/>
    </row>
    <row r="728">
      <c r="E728" s="229"/>
      <c r="F728" s="229"/>
      <c r="G728" s="229"/>
    </row>
    <row r="729">
      <c r="E729" s="229"/>
      <c r="F729" s="229"/>
      <c r="G729" s="229"/>
    </row>
    <row r="730">
      <c r="E730" s="229"/>
      <c r="F730" s="229"/>
      <c r="G730" s="229"/>
    </row>
    <row r="731">
      <c r="E731" s="229"/>
      <c r="F731" s="229"/>
      <c r="G731" s="229"/>
    </row>
    <row r="732">
      <c r="E732" s="229"/>
      <c r="F732" s="229"/>
      <c r="G732" s="229"/>
    </row>
    <row r="733">
      <c r="E733" s="229"/>
      <c r="F733" s="229"/>
      <c r="G733" s="229"/>
    </row>
    <row r="734">
      <c r="E734" s="229"/>
      <c r="F734" s="229"/>
      <c r="G734" s="229"/>
    </row>
    <row r="735">
      <c r="E735" s="229"/>
      <c r="F735" s="229"/>
      <c r="G735" s="229"/>
    </row>
    <row r="736">
      <c r="E736" s="229"/>
      <c r="F736" s="229"/>
      <c r="G736" s="229"/>
    </row>
    <row r="737">
      <c r="E737" s="229"/>
      <c r="F737" s="229"/>
      <c r="G737" s="229"/>
    </row>
    <row r="738">
      <c r="E738" s="229"/>
      <c r="F738" s="229"/>
      <c r="G738" s="229"/>
    </row>
    <row r="739">
      <c r="E739" s="229"/>
      <c r="F739" s="229"/>
      <c r="G739" s="229"/>
    </row>
    <row r="740">
      <c r="E740" s="229"/>
      <c r="F740" s="229"/>
      <c r="G740" s="229"/>
    </row>
    <row r="741">
      <c r="E741" s="229"/>
      <c r="F741" s="229"/>
      <c r="G741" s="229"/>
    </row>
    <row r="742">
      <c r="E742" s="229"/>
      <c r="F742" s="229"/>
      <c r="G742" s="229"/>
    </row>
    <row r="743">
      <c r="E743" s="229"/>
      <c r="F743" s="229"/>
      <c r="G743" s="229"/>
    </row>
    <row r="744">
      <c r="E744" s="229"/>
      <c r="F744" s="229"/>
      <c r="G744" s="229"/>
    </row>
    <row r="745">
      <c r="E745" s="229"/>
      <c r="F745" s="229"/>
      <c r="G745" s="229"/>
    </row>
    <row r="746">
      <c r="E746" s="229"/>
      <c r="F746" s="229"/>
      <c r="G746" s="229"/>
    </row>
    <row r="747">
      <c r="E747" s="229"/>
      <c r="F747" s="229"/>
      <c r="G747" s="229"/>
    </row>
    <row r="748">
      <c r="E748" s="229"/>
      <c r="F748" s="229"/>
      <c r="G748" s="229"/>
    </row>
    <row r="749">
      <c r="E749" s="229"/>
      <c r="F749" s="229"/>
      <c r="G749" s="229"/>
    </row>
    <row r="750">
      <c r="E750" s="229"/>
      <c r="F750" s="229"/>
      <c r="G750" s="229"/>
    </row>
    <row r="751">
      <c r="E751" s="229"/>
      <c r="F751" s="229"/>
      <c r="G751" s="229"/>
    </row>
    <row r="752">
      <c r="E752" s="229"/>
      <c r="F752" s="229"/>
      <c r="G752" s="229"/>
    </row>
    <row r="753">
      <c r="E753" s="229"/>
      <c r="F753" s="229"/>
      <c r="G753" s="229"/>
    </row>
    <row r="754">
      <c r="E754" s="229"/>
      <c r="F754" s="229"/>
      <c r="G754" s="229"/>
    </row>
    <row r="755">
      <c r="E755" s="229"/>
      <c r="F755" s="229"/>
      <c r="G755" s="229"/>
    </row>
    <row r="756">
      <c r="E756" s="229"/>
      <c r="F756" s="229"/>
      <c r="G756" s="229"/>
    </row>
    <row r="757">
      <c r="E757" s="229"/>
      <c r="F757" s="229"/>
      <c r="G757" s="229"/>
    </row>
    <row r="758">
      <c r="E758" s="229"/>
      <c r="F758" s="229"/>
      <c r="G758" s="229"/>
    </row>
    <row r="759">
      <c r="E759" s="229"/>
      <c r="F759" s="229"/>
      <c r="G759" s="229"/>
    </row>
    <row r="760">
      <c r="E760" s="229"/>
      <c r="F760" s="229"/>
      <c r="G760" s="229"/>
    </row>
    <row r="761">
      <c r="E761" s="229"/>
      <c r="F761" s="229"/>
      <c r="G761" s="229"/>
    </row>
    <row r="762">
      <c r="E762" s="229"/>
      <c r="F762" s="229"/>
      <c r="G762" s="229"/>
    </row>
    <row r="763">
      <c r="E763" s="229"/>
      <c r="F763" s="229"/>
      <c r="G763" s="229"/>
    </row>
    <row r="764">
      <c r="E764" s="229"/>
      <c r="F764" s="229"/>
      <c r="G764" s="229"/>
    </row>
    <row r="765">
      <c r="E765" s="229"/>
      <c r="F765" s="229"/>
      <c r="G765" s="229"/>
    </row>
    <row r="766">
      <c r="E766" s="229"/>
      <c r="F766" s="229"/>
      <c r="G766" s="229"/>
    </row>
    <row r="767">
      <c r="E767" s="229"/>
      <c r="F767" s="229"/>
      <c r="G767" s="229"/>
    </row>
    <row r="768">
      <c r="E768" s="229"/>
      <c r="F768" s="229"/>
      <c r="G768" s="229"/>
    </row>
    <row r="769">
      <c r="E769" s="229"/>
      <c r="F769" s="229"/>
      <c r="G769" s="229"/>
    </row>
    <row r="770">
      <c r="E770" s="229"/>
      <c r="F770" s="229"/>
      <c r="G770" s="229"/>
    </row>
    <row r="771">
      <c r="E771" s="229"/>
      <c r="F771" s="229"/>
      <c r="G771" s="229"/>
    </row>
    <row r="772">
      <c r="E772" s="229"/>
      <c r="F772" s="229"/>
      <c r="G772" s="229"/>
    </row>
    <row r="773">
      <c r="E773" s="229"/>
      <c r="F773" s="229"/>
      <c r="G773" s="229"/>
    </row>
    <row r="774">
      <c r="E774" s="229"/>
      <c r="F774" s="229"/>
      <c r="G774" s="229"/>
    </row>
    <row r="775">
      <c r="E775" s="229"/>
      <c r="F775" s="229"/>
      <c r="G775" s="229"/>
    </row>
    <row r="776">
      <c r="E776" s="229"/>
      <c r="F776" s="229"/>
      <c r="G776" s="229"/>
    </row>
    <row r="777">
      <c r="E777" s="229"/>
      <c r="F777" s="229"/>
      <c r="G777" s="229"/>
    </row>
    <row r="778">
      <c r="E778" s="229"/>
      <c r="F778" s="229"/>
      <c r="G778" s="229"/>
    </row>
    <row r="779">
      <c r="E779" s="229"/>
      <c r="F779" s="229"/>
      <c r="G779" s="229"/>
    </row>
    <row r="780">
      <c r="E780" s="229"/>
      <c r="F780" s="229"/>
      <c r="G780" s="229"/>
    </row>
    <row r="781">
      <c r="E781" s="229"/>
      <c r="F781" s="229"/>
      <c r="G781" s="229"/>
    </row>
    <row r="782">
      <c r="E782" s="229"/>
      <c r="F782" s="229"/>
      <c r="G782" s="229"/>
    </row>
    <row r="783">
      <c r="E783" s="229"/>
      <c r="F783" s="229"/>
      <c r="G783" s="229"/>
    </row>
    <row r="784">
      <c r="E784" s="229"/>
      <c r="F784" s="229"/>
      <c r="G784" s="229"/>
    </row>
    <row r="785">
      <c r="E785" s="229"/>
      <c r="F785" s="229"/>
      <c r="G785" s="229"/>
    </row>
    <row r="786">
      <c r="E786" s="229"/>
      <c r="F786" s="229"/>
      <c r="G786" s="229"/>
    </row>
    <row r="787">
      <c r="E787" s="229"/>
      <c r="F787" s="229"/>
      <c r="G787" s="229"/>
    </row>
    <row r="788">
      <c r="E788" s="229"/>
      <c r="F788" s="229"/>
      <c r="G788" s="229"/>
    </row>
    <row r="789">
      <c r="E789" s="229"/>
      <c r="F789" s="229"/>
      <c r="G789" s="229"/>
    </row>
    <row r="790">
      <c r="E790" s="229"/>
      <c r="F790" s="229"/>
      <c r="G790" s="229"/>
    </row>
    <row r="791">
      <c r="E791" s="229"/>
      <c r="F791" s="229"/>
      <c r="G791" s="229"/>
    </row>
    <row r="792">
      <c r="E792" s="229"/>
      <c r="F792" s="229"/>
      <c r="G792" s="229"/>
    </row>
    <row r="793">
      <c r="E793" s="229"/>
      <c r="F793" s="229"/>
      <c r="G793" s="229"/>
    </row>
    <row r="794">
      <c r="E794" s="229"/>
      <c r="F794" s="229"/>
      <c r="G794" s="229"/>
    </row>
    <row r="795">
      <c r="E795" s="229"/>
      <c r="F795" s="229"/>
      <c r="G795" s="229"/>
    </row>
    <row r="796">
      <c r="E796" s="229"/>
      <c r="F796" s="229"/>
      <c r="G796" s="229"/>
    </row>
    <row r="797">
      <c r="E797" s="229"/>
      <c r="F797" s="229"/>
      <c r="G797" s="229"/>
    </row>
    <row r="798">
      <c r="E798" s="229"/>
      <c r="F798" s="229"/>
      <c r="G798" s="229"/>
    </row>
    <row r="799">
      <c r="E799" s="229"/>
      <c r="F799" s="229"/>
      <c r="G799" s="229"/>
    </row>
    <row r="800">
      <c r="E800" s="229"/>
      <c r="F800" s="229"/>
      <c r="G800" s="229"/>
    </row>
    <row r="801">
      <c r="E801" s="229"/>
      <c r="F801" s="229"/>
      <c r="G801" s="229"/>
    </row>
    <row r="802">
      <c r="E802" s="229"/>
      <c r="F802" s="229"/>
      <c r="G802" s="229"/>
    </row>
    <row r="803">
      <c r="E803" s="229"/>
      <c r="F803" s="229"/>
      <c r="G803" s="229"/>
    </row>
    <row r="804">
      <c r="E804" s="229"/>
      <c r="F804" s="229"/>
      <c r="G804" s="229"/>
    </row>
    <row r="805">
      <c r="E805" s="229"/>
      <c r="F805" s="229"/>
      <c r="G805" s="229"/>
    </row>
    <row r="806">
      <c r="E806" s="229"/>
      <c r="F806" s="229"/>
      <c r="G806" s="229"/>
    </row>
    <row r="807">
      <c r="E807" s="229"/>
      <c r="F807" s="229"/>
      <c r="G807" s="229"/>
    </row>
    <row r="808">
      <c r="E808" s="229"/>
      <c r="F808" s="229"/>
      <c r="G808" s="229"/>
    </row>
    <row r="809">
      <c r="E809" s="229"/>
      <c r="F809" s="229"/>
      <c r="G809" s="229"/>
    </row>
    <row r="810">
      <c r="E810" s="229"/>
      <c r="F810" s="229"/>
      <c r="G810" s="229"/>
    </row>
    <row r="811">
      <c r="E811" s="229"/>
      <c r="F811" s="229"/>
      <c r="G811" s="229"/>
    </row>
    <row r="812">
      <c r="E812" s="229"/>
      <c r="F812" s="229"/>
      <c r="G812" s="229"/>
    </row>
    <row r="813">
      <c r="E813" s="229"/>
      <c r="F813" s="229"/>
      <c r="G813" s="229"/>
    </row>
    <row r="814">
      <c r="E814" s="229"/>
      <c r="F814" s="229"/>
      <c r="G814" s="229"/>
    </row>
    <row r="815">
      <c r="E815" s="229"/>
      <c r="F815" s="229"/>
      <c r="G815" s="229"/>
    </row>
    <row r="816">
      <c r="E816" s="229"/>
      <c r="F816" s="229"/>
      <c r="G816" s="229"/>
    </row>
    <row r="817">
      <c r="E817" s="229"/>
      <c r="F817" s="229"/>
      <c r="G817" s="229"/>
    </row>
    <row r="818">
      <c r="E818" s="229"/>
      <c r="F818" s="229"/>
      <c r="G818" s="229"/>
    </row>
    <row r="819">
      <c r="E819" s="229"/>
      <c r="F819" s="229"/>
      <c r="G819" s="229"/>
    </row>
    <row r="820">
      <c r="E820" s="229"/>
      <c r="F820" s="229"/>
      <c r="G820" s="229"/>
    </row>
    <row r="821">
      <c r="E821" s="229"/>
      <c r="F821" s="229"/>
      <c r="G821" s="229"/>
    </row>
    <row r="822">
      <c r="E822" s="229"/>
      <c r="F822" s="229"/>
      <c r="G822" s="229"/>
    </row>
    <row r="823">
      <c r="E823" s="229"/>
      <c r="F823" s="229"/>
      <c r="G823" s="229"/>
    </row>
    <row r="824">
      <c r="E824" s="229"/>
      <c r="F824" s="229"/>
      <c r="G824" s="229"/>
    </row>
    <row r="825">
      <c r="E825" s="229"/>
      <c r="F825" s="229"/>
      <c r="G825" s="229"/>
    </row>
    <row r="826">
      <c r="E826" s="229"/>
      <c r="F826" s="229"/>
      <c r="G826" s="229"/>
    </row>
    <row r="827">
      <c r="E827" s="229"/>
      <c r="F827" s="229"/>
      <c r="G827" s="229"/>
    </row>
    <row r="828">
      <c r="E828" s="229"/>
      <c r="F828" s="229"/>
      <c r="G828" s="229"/>
    </row>
    <row r="829">
      <c r="E829" s="229"/>
      <c r="F829" s="229"/>
      <c r="G829" s="229"/>
    </row>
    <row r="830">
      <c r="E830" s="229"/>
      <c r="F830" s="229"/>
      <c r="G830" s="229"/>
    </row>
    <row r="831">
      <c r="E831" s="229"/>
      <c r="F831" s="229"/>
      <c r="G831" s="229"/>
    </row>
    <row r="832">
      <c r="E832" s="229"/>
      <c r="F832" s="229"/>
      <c r="G832" s="229"/>
    </row>
    <row r="833">
      <c r="E833" s="229"/>
      <c r="F833" s="229"/>
      <c r="G833" s="229"/>
    </row>
    <row r="834">
      <c r="E834" s="229"/>
      <c r="F834" s="229"/>
      <c r="G834" s="229"/>
    </row>
    <row r="835">
      <c r="E835" s="229"/>
      <c r="F835" s="229"/>
      <c r="G835" s="229"/>
    </row>
    <row r="836">
      <c r="E836" s="229"/>
      <c r="F836" s="229"/>
      <c r="G836" s="229"/>
    </row>
    <row r="837">
      <c r="E837" s="229"/>
      <c r="F837" s="229"/>
      <c r="G837" s="229"/>
    </row>
    <row r="838">
      <c r="E838" s="229"/>
      <c r="F838" s="229"/>
      <c r="G838" s="229"/>
    </row>
    <row r="839">
      <c r="E839" s="229"/>
      <c r="F839" s="229"/>
      <c r="G839" s="229"/>
    </row>
    <row r="840">
      <c r="E840" s="229"/>
      <c r="F840" s="229"/>
      <c r="G840" s="229"/>
    </row>
    <row r="841">
      <c r="E841" s="229"/>
      <c r="F841" s="229"/>
      <c r="G841" s="229"/>
    </row>
    <row r="842">
      <c r="E842" s="229"/>
      <c r="F842" s="229"/>
      <c r="G842" s="229"/>
    </row>
    <row r="843">
      <c r="E843" s="229"/>
      <c r="F843" s="229"/>
      <c r="G843" s="229"/>
    </row>
    <row r="844">
      <c r="E844" s="229"/>
      <c r="F844" s="229"/>
      <c r="G844" s="229"/>
    </row>
    <row r="845">
      <c r="E845" s="229"/>
      <c r="F845" s="229"/>
      <c r="G845" s="229"/>
    </row>
    <row r="846">
      <c r="E846" s="229"/>
      <c r="F846" s="229"/>
      <c r="G846" s="229"/>
    </row>
    <row r="847">
      <c r="E847" s="229"/>
      <c r="F847" s="229"/>
      <c r="G847" s="229"/>
    </row>
    <row r="848">
      <c r="E848" s="229"/>
      <c r="F848" s="229"/>
      <c r="G848" s="229"/>
    </row>
    <row r="849">
      <c r="E849" s="229"/>
      <c r="F849" s="229"/>
      <c r="G849" s="229"/>
    </row>
    <row r="850">
      <c r="E850" s="229"/>
      <c r="F850" s="229"/>
      <c r="G850" s="229"/>
    </row>
    <row r="851">
      <c r="E851" s="229"/>
      <c r="F851" s="229"/>
      <c r="G851" s="229"/>
    </row>
    <row r="852">
      <c r="E852" s="229"/>
      <c r="F852" s="229"/>
      <c r="G852" s="229"/>
    </row>
    <row r="853">
      <c r="E853" s="229"/>
      <c r="F853" s="229"/>
      <c r="G853" s="229"/>
    </row>
    <row r="854">
      <c r="E854" s="229"/>
      <c r="F854" s="229"/>
      <c r="G854" s="229"/>
    </row>
    <row r="855">
      <c r="E855" s="229"/>
      <c r="F855" s="229"/>
      <c r="G855" s="229"/>
    </row>
    <row r="856">
      <c r="E856" s="229"/>
      <c r="F856" s="229"/>
      <c r="G856" s="229"/>
    </row>
    <row r="857">
      <c r="E857" s="229"/>
      <c r="F857" s="229"/>
      <c r="G857" s="229"/>
    </row>
    <row r="858">
      <c r="E858" s="229"/>
      <c r="F858" s="229"/>
      <c r="G858" s="229"/>
    </row>
    <row r="859">
      <c r="E859" s="229"/>
      <c r="F859" s="229"/>
      <c r="G859" s="229"/>
    </row>
    <row r="860">
      <c r="E860" s="229"/>
      <c r="F860" s="229"/>
      <c r="G860" s="229"/>
    </row>
    <row r="861">
      <c r="E861" s="229"/>
      <c r="F861" s="229"/>
      <c r="G861" s="229"/>
    </row>
    <row r="862">
      <c r="E862" s="229"/>
      <c r="F862" s="229"/>
      <c r="G862" s="229"/>
    </row>
    <row r="863">
      <c r="E863" s="229"/>
      <c r="F863" s="229"/>
      <c r="G863" s="229"/>
    </row>
    <row r="864">
      <c r="E864" s="229"/>
      <c r="F864" s="229"/>
      <c r="G864" s="229"/>
    </row>
    <row r="865">
      <c r="E865" s="229"/>
      <c r="F865" s="229"/>
      <c r="G865" s="229"/>
    </row>
    <row r="866">
      <c r="E866" s="229"/>
      <c r="F866" s="229"/>
      <c r="G866" s="229"/>
    </row>
    <row r="867">
      <c r="E867" s="229"/>
      <c r="F867" s="229"/>
      <c r="G867" s="229"/>
    </row>
    <row r="868">
      <c r="E868" s="229"/>
      <c r="F868" s="229"/>
      <c r="G868" s="229"/>
    </row>
    <row r="869">
      <c r="E869" s="229"/>
      <c r="F869" s="229"/>
      <c r="G869" s="229"/>
    </row>
    <row r="870">
      <c r="E870" s="229"/>
      <c r="F870" s="229"/>
      <c r="G870" s="229"/>
    </row>
    <row r="871">
      <c r="E871" s="229"/>
      <c r="F871" s="229"/>
      <c r="G871" s="229"/>
    </row>
    <row r="872">
      <c r="E872" s="229"/>
      <c r="F872" s="229"/>
      <c r="G872" s="229"/>
    </row>
    <row r="873">
      <c r="E873" s="229"/>
      <c r="F873" s="229"/>
      <c r="G873" s="229"/>
    </row>
    <row r="874">
      <c r="E874" s="229"/>
      <c r="F874" s="229"/>
      <c r="G874" s="229"/>
    </row>
    <row r="875">
      <c r="E875" s="229"/>
      <c r="F875" s="229"/>
      <c r="G875" s="229"/>
    </row>
    <row r="876">
      <c r="E876" s="229"/>
      <c r="F876" s="229"/>
      <c r="G876" s="229"/>
    </row>
    <row r="877">
      <c r="E877" s="229"/>
      <c r="F877" s="229"/>
      <c r="G877" s="229"/>
    </row>
    <row r="878">
      <c r="E878" s="229"/>
      <c r="F878" s="229"/>
      <c r="G878" s="229"/>
    </row>
    <row r="879">
      <c r="E879" s="229"/>
      <c r="F879" s="229"/>
      <c r="G879" s="229"/>
    </row>
    <row r="880">
      <c r="E880" s="229"/>
      <c r="F880" s="229"/>
      <c r="G880" s="229"/>
    </row>
    <row r="881">
      <c r="E881" s="229"/>
      <c r="F881" s="229"/>
      <c r="G881" s="229"/>
    </row>
    <row r="882">
      <c r="E882" s="229"/>
      <c r="F882" s="229"/>
      <c r="G882" s="229"/>
    </row>
    <row r="883">
      <c r="E883" s="229"/>
      <c r="F883" s="229"/>
      <c r="G883" s="229"/>
    </row>
    <row r="884">
      <c r="E884" s="229"/>
      <c r="F884" s="229"/>
      <c r="G884" s="229"/>
    </row>
    <row r="885">
      <c r="E885" s="229"/>
      <c r="F885" s="229"/>
      <c r="G885" s="229"/>
    </row>
    <row r="886">
      <c r="E886" s="229"/>
      <c r="F886" s="229"/>
      <c r="G886" s="229"/>
    </row>
    <row r="887">
      <c r="E887" s="229"/>
      <c r="F887" s="229"/>
      <c r="G887" s="229"/>
    </row>
    <row r="888">
      <c r="E888" s="229"/>
      <c r="F888" s="229"/>
      <c r="G888" s="229"/>
    </row>
    <row r="889">
      <c r="E889" s="229"/>
      <c r="F889" s="229"/>
      <c r="G889" s="229"/>
    </row>
    <row r="890">
      <c r="E890" s="229"/>
      <c r="F890" s="229"/>
      <c r="G890" s="229"/>
    </row>
    <row r="891">
      <c r="E891" s="229"/>
      <c r="F891" s="229"/>
      <c r="G891" s="229"/>
    </row>
    <row r="892">
      <c r="E892" s="229"/>
      <c r="F892" s="229"/>
      <c r="G892" s="229"/>
    </row>
    <row r="893">
      <c r="E893" s="229"/>
      <c r="F893" s="229"/>
      <c r="G893" s="229"/>
    </row>
    <row r="894">
      <c r="E894" s="229"/>
      <c r="F894" s="229"/>
      <c r="G894" s="229"/>
    </row>
    <row r="895">
      <c r="E895" s="229"/>
      <c r="F895" s="229"/>
      <c r="G895" s="229"/>
    </row>
    <row r="896">
      <c r="E896" s="229"/>
      <c r="F896" s="229"/>
      <c r="G896" s="229"/>
    </row>
    <row r="897">
      <c r="E897" s="229"/>
      <c r="F897" s="229"/>
      <c r="G897" s="229"/>
    </row>
    <row r="898">
      <c r="E898" s="229"/>
      <c r="F898" s="229"/>
      <c r="G898" s="229"/>
    </row>
    <row r="899">
      <c r="E899" s="229"/>
      <c r="F899" s="229"/>
      <c r="G899" s="229"/>
    </row>
    <row r="900">
      <c r="E900" s="229"/>
      <c r="F900" s="229"/>
      <c r="G900" s="229"/>
    </row>
    <row r="901">
      <c r="E901" s="229"/>
      <c r="F901" s="229"/>
      <c r="G901" s="229"/>
    </row>
    <row r="902">
      <c r="E902" s="229"/>
      <c r="F902" s="229"/>
      <c r="G902" s="229"/>
    </row>
    <row r="903">
      <c r="E903" s="229"/>
      <c r="F903" s="229"/>
      <c r="G903" s="229"/>
    </row>
    <row r="904">
      <c r="E904" s="229"/>
      <c r="F904" s="229"/>
      <c r="G904" s="229"/>
    </row>
    <row r="905">
      <c r="E905" s="229"/>
      <c r="F905" s="229"/>
      <c r="G905" s="229"/>
    </row>
    <row r="906">
      <c r="E906" s="229"/>
      <c r="F906" s="229"/>
      <c r="G906" s="229"/>
    </row>
    <row r="907">
      <c r="E907" s="229"/>
      <c r="F907" s="229"/>
      <c r="G907" s="229"/>
    </row>
    <row r="908">
      <c r="E908" s="229"/>
      <c r="F908" s="229"/>
      <c r="G908" s="229"/>
    </row>
    <row r="909">
      <c r="E909" s="229"/>
      <c r="F909" s="229"/>
      <c r="G909" s="229"/>
    </row>
    <row r="910">
      <c r="E910" s="229"/>
      <c r="F910" s="229"/>
      <c r="G910" s="229"/>
    </row>
    <row r="911">
      <c r="E911" s="229"/>
      <c r="F911" s="229"/>
      <c r="G911" s="229"/>
    </row>
    <row r="912">
      <c r="E912" s="229"/>
      <c r="F912" s="229"/>
      <c r="G912" s="229"/>
    </row>
    <row r="913">
      <c r="E913" s="229"/>
      <c r="F913" s="229"/>
      <c r="G913" s="229"/>
    </row>
    <row r="914">
      <c r="E914" s="229"/>
      <c r="F914" s="229"/>
      <c r="G914" s="229"/>
    </row>
    <row r="915">
      <c r="E915" s="229"/>
      <c r="F915" s="229"/>
      <c r="G915" s="229"/>
    </row>
    <row r="916">
      <c r="E916" s="229"/>
      <c r="F916" s="229"/>
      <c r="G916" s="229"/>
    </row>
    <row r="917">
      <c r="E917" s="229"/>
      <c r="F917" s="229"/>
      <c r="G917" s="229"/>
    </row>
    <row r="918">
      <c r="E918" s="229"/>
      <c r="F918" s="229"/>
      <c r="G918" s="229"/>
    </row>
    <row r="919">
      <c r="E919" s="229"/>
      <c r="F919" s="229"/>
      <c r="G919" s="229"/>
    </row>
    <row r="920">
      <c r="E920" s="229"/>
      <c r="F920" s="229"/>
      <c r="G920" s="229"/>
    </row>
    <row r="921">
      <c r="E921" s="229"/>
      <c r="F921" s="229"/>
      <c r="G921" s="229"/>
    </row>
    <row r="922">
      <c r="E922" s="229"/>
      <c r="F922" s="229"/>
      <c r="G922" s="229"/>
    </row>
    <row r="923">
      <c r="E923" s="229"/>
      <c r="F923" s="229"/>
      <c r="G923" s="229"/>
    </row>
    <row r="924">
      <c r="E924" s="229"/>
      <c r="F924" s="229"/>
      <c r="G924" s="229"/>
    </row>
    <row r="925">
      <c r="E925" s="229"/>
      <c r="F925" s="229"/>
      <c r="G925" s="229"/>
    </row>
    <row r="926">
      <c r="E926" s="229"/>
      <c r="F926" s="229"/>
      <c r="G926" s="229"/>
    </row>
    <row r="927">
      <c r="E927" s="229"/>
      <c r="F927" s="229"/>
      <c r="G927" s="229"/>
    </row>
    <row r="928">
      <c r="E928" s="229"/>
      <c r="F928" s="229"/>
      <c r="G928" s="229"/>
    </row>
    <row r="929">
      <c r="E929" s="229"/>
      <c r="F929" s="229"/>
      <c r="G929" s="229"/>
    </row>
    <row r="930">
      <c r="E930" s="229"/>
      <c r="F930" s="229"/>
      <c r="G930" s="229"/>
    </row>
    <row r="931">
      <c r="E931" s="229"/>
      <c r="F931" s="229"/>
      <c r="G931" s="229"/>
    </row>
    <row r="932">
      <c r="E932" s="229"/>
      <c r="F932" s="229"/>
      <c r="G932" s="229"/>
    </row>
    <row r="933">
      <c r="E933" s="229"/>
      <c r="F933" s="229"/>
      <c r="G933" s="229"/>
    </row>
    <row r="934">
      <c r="E934" s="229"/>
      <c r="F934" s="229"/>
      <c r="G934" s="229"/>
    </row>
    <row r="935">
      <c r="E935" s="229"/>
      <c r="F935" s="229"/>
      <c r="G935" s="229"/>
    </row>
    <row r="936">
      <c r="E936" s="229"/>
      <c r="F936" s="229"/>
      <c r="G936" s="229"/>
    </row>
    <row r="937">
      <c r="E937" s="229"/>
      <c r="F937" s="229"/>
      <c r="G937" s="229"/>
    </row>
    <row r="938">
      <c r="E938" s="229"/>
      <c r="F938" s="229"/>
      <c r="G938" s="229"/>
    </row>
    <row r="939">
      <c r="E939" s="229"/>
      <c r="F939" s="229"/>
      <c r="G939" s="229"/>
    </row>
    <row r="940">
      <c r="E940" s="229"/>
      <c r="F940" s="229"/>
      <c r="G940" s="229"/>
    </row>
    <row r="941">
      <c r="E941" s="229"/>
      <c r="F941" s="229"/>
      <c r="G941" s="229"/>
    </row>
    <row r="942">
      <c r="E942" s="229"/>
      <c r="F942" s="229"/>
      <c r="G942" s="229"/>
    </row>
    <row r="943">
      <c r="E943" s="229"/>
      <c r="F943" s="229"/>
      <c r="G943" s="229"/>
    </row>
    <row r="944">
      <c r="E944" s="229"/>
      <c r="F944" s="229"/>
      <c r="G944" s="229"/>
    </row>
    <row r="945">
      <c r="E945" s="229"/>
      <c r="F945" s="229"/>
      <c r="G945" s="229"/>
    </row>
    <row r="946">
      <c r="E946" s="229"/>
      <c r="F946" s="229"/>
      <c r="G946" s="229"/>
    </row>
    <row r="947">
      <c r="E947" s="229"/>
      <c r="F947" s="229"/>
      <c r="G947" s="229"/>
    </row>
    <row r="948">
      <c r="E948" s="229"/>
      <c r="F948" s="229"/>
      <c r="G948" s="229"/>
    </row>
    <row r="949">
      <c r="E949" s="229"/>
      <c r="F949" s="229"/>
      <c r="G949" s="229"/>
    </row>
    <row r="950">
      <c r="E950" s="229"/>
      <c r="F950" s="229"/>
      <c r="G950" s="229"/>
    </row>
    <row r="951">
      <c r="E951" s="229"/>
      <c r="F951" s="229"/>
      <c r="G951" s="229"/>
    </row>
    <row r="952">
      <c r="E952" s="229"/>
      <c r="F952" s="229"/>
      <c r="G952" s="229"/>
    </row>
    <row r="953">
      <c r="E953" s="229"/>
      <c r="F953" s="229"/>
      <c r="G953" s="229"/>
    </row>
    <row r="954">
      <c r="E954" s="229"/>
      <c r="F954" s="229"/>
      <c r="G954" s="229"/>
    </row>
    <row r="955">
      <c r="E955" s="229"/>
      <c r="F955" s="229"/>
      <c r="G955" s="229"/>
    </row>
    <row r="956">
      <c r="E956" s="229"/>
      <c r="F956" s="229"/>
      <c r="G956" s="229"/>
    </row>
    <row r="957">
      <c r="E957" s="229"/>
      <c r="F957" s="229"/>
      <c r="G957" s="229"/>
    </row>
    <row r="958">
      <c r="E958" s="229"/>
      <c r="F958" s="229"/>
      <c r="G958" s="229"/>
    </row>
    <row r="959">
      <c r="E959" s="229"/>
      <c r="F959" s="229"/>
      <c r="G959" s="229"/>
    </row>
    <row r="960">
      <c r="E960" s="229"/>
      <c r="F960" s="229"/>
      <c r="G960" s="229"/>
    </row>
    <row r="961">
      <c r="E961" s="229"/>
      <c r="F961" s="229"/>
      <c r="G961" s="229"/>
    </row>
    <row r="962">
      <c r="E962" s="229"/>
      <c r="F962" s="229"/>
      <c r="G962" s="229"/>
    </row>
    <row r="963">
      <c r="E963" s="229"/>
      <c r="F963" s="229"/>
      <c r="G963" s="229"/>
    </row>
    <row r="964">
      <c r="E964" s="229"/>
      <c r="F964" s="229"/>
      <c r="G964" s="229"/>
    </row>
    <row r="965">
      <c r="E965" s="229"/>
      <c r="F965" s="229"/>
      <c r="G965" s="229"/>
    </row>
    <row r="966">
      <c r="E966" s="229"/>
      <c r="F966" s="229"/>
      <c r="G966" s="229"/>
    </row>
    <row r="967">
      <c r="E967" s="229"/>
      <c r="F967" s="229"/>
      <c r="G967" s="229"/>
    </row>
    <row r="968">
      <c r="E968" s="229"/>
      <c r="F968" s="229"/>
      <c r="G968" s="229"/>
    </row>
    <row r="969">
      <c r="E969" s="229"/>
      <c r="F969" s="229"/>
      <c r="G969" s="229"/>
    </row>
    <row r="970">
      <c r="E970" s="229"/>
      <c r="F970" s="229"/>
      <c r="G970" s="229"/>
    </row>
    <row r="971">
      <c r="E971" s="229"/>
      <c r="F971" s="229"/>
      <c r="G971" s="229"/>
    </row>
    <row r="972">
      <c r="E972" s="229"/>
      <c r="F972" s="229"/>
      <c r="G972" s="229"/>
    </row>
    <row r="973">
      <c r="E973" s="229"/>
      <c r="F973" s="229"/>
      <c r="G973" s="229"/>
    </row>
    <row r="974">
      <c r="E974" s="229"/>
      <c r="F974" s="229"/>
      <c r="G974" s="229"/>
    </row>
    <row r="975">
      <c r="E975" s="229"/>
      <c r="F975" s="229"/>
      <c r="G975" s="229"/>
    </row>
    <row r="976">
      <c r="E976" s="229"/>
      <c r="F976" s="229"/>
      <c r="G976" s="229"/>
    </row>
    <row r="977">
      <c r="E977" s="229"/>
      <c r="F977" s="229"/>
      <c r="G977" s="229"/>
    </row>
    <row r="978">
      <c r="E978" s="229"/>
      <c r="F978" s="229"/>
      <c r="G978" s="229"/>
    </row>
    <row r="979">
      <c r="E979" s="229"/>
      <c r="F979" s="229"/>
      <c r="G979" s="229"/>
    </row>
    <row r="980">
      <c r="E980" s="229"/>
      <c r="F980" s="229"/>
      <c r="G980" s="229"/>
    </row>
    <row r="981">
      <c r="E981" s="229"/>
      <c r="F981" s="229"/>
      <c r="G981" s="229"/>
    </row>
    <row r="982">
      <c r="E982" s="229"/>
      <c r="F982" s="229"/>
      <c r="G982" s="229"/>
    </row>
    <row r="983">
      <c r="E983" s="229"/>
      <c r="F983" s="229"/>
      <c r="G983" s="229"/>
    </row>
    <row r="984">
      <c r="E984" s="229"/>
      <c r="F984" s="229"/>
      <c r="G984" s="229"/>
    </row>
    <row r="985">
      <c r="E985" s="229"/>
      <c r="F985" s="229"/>
      <c r="G985" s="229"/>
    </row>
    <row r="986">
      <c r="E986" s="229"/>
      <c r="F986" s="229"/>
      <c r="G986" s="229"/>
    </row>
    <row r="987">
      <c r="E987" s="229"/>
      <c r="F987" s="229"/>
      <c r="G987" s="229"/>
    </row>
    <row r="988">
      <c r="E988" s="229"/>
      <c r="F988" s="229"/>
      <c r="G988" s="229"/>
    </row>
    <row r="989">
      <c r="E989" s="229"/>
      <c r="F989" s="229"/>
      <c r="G989" s="229"/>
    </row>
    <row r="990">
      <c r="E990" s="229"/>
      <c r="F990" s="229"/>
      <c r="G990" s="229"/>
    </row>
    <row r="991">
      <c r="E991" s="229"/>
      <c r="F991" s="229"/>
      <c r="G991" s="229"/>
    </row>
    <row r="992">
      <c r="E992" s="229"/>
      <c r="F992" s="229"/>
      <c r="G992" s="229"/>
    </row>
    <row r="993">
      <c r="E993" s="229"/>
      <c r="F993" s="229"/>
      <c r="G993" s="229"/>
    </row>
    <row r="994">
      <c r="E994" s="229"/>
      <c r="F994" s="229"/>
      <c r="G994" s="229"/>
    </row>
    <row r="995">
      <c r="E995" s="229"/>
      <c r="F995" s="229"/>
      <c r="G995" s="229"/>
    </row>
    <row r="996">
      <c r="E996" s="229"/>
      <c r="F996" s="229"/>
      <c r="G996" s="229"/>
    </row>
    <row r="997">
      <c r="E997" s="229"/>
      <c r="F997" s="229"/>
      <c r="G997" s="229"/>
    </row>
    <row r="998">
      <c r="E998" s="229"/>
      <c r="F998" s="229"/>
      <c r="G998" s="229"/>
    </row>
    <row r="999">
      <c r="E999" s="229"/>
      <c r="F999" s="229"/>
      <c r="G999" s="229"/>
    </row>
    <row r="1000">
      <c r="E1000" s="229"/>
      <c r="F1000" s="229"/>
      <c r="G1000" s="229"/>
    </row>
  </sheetData>
  <conditionalFormatting sqref="I52:I63">
    <cfRule type="cellIs" dxfId="5" priority="1" operator="equal">
      <formula>"TRUE"</formula>
    </cfRule>
  </conditionalFormatting>
  <dataValidations>
    <dataValidation type="list" allowBlank="1" showErrorMessage="1" sqref="I52:I68">
      <formula1>"IndustryPoster1,IndustryPoster2,IndustryPoster3,IndustryPoster4,IndustryPoster5"</formula1>
    </dataValidation>
    <dataValidation type="list" allowBlank="1" showErrorMessage="1" sqref="H12:H68">
      <formula1>"IndustryPoster,Industry1,Industry2,Industry3,Industry4,Industry5,Industry6,Industry7,Industry8"</formula1>
    </dataValidation>
  </dataValidations>
  <hyperlinks>
    <hyperlink r:id="rId4" ref="I8"/>
    <hyperlink r:id="rId5" ref="I9"/>
  </hyperlinks>
  <drawing r:id="rId6"/>
  <legacyDrawing r:id="rId7"/>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2" max="2" width="99.5"/>
    <col customWidth="1" min="4" max="4" width="72.63"/>
    <col customWidth="1" min="5" max="5" width="87.25"/>
    <col customWidth="1" min="6" max="7" width="43.88"/>
    <col customWidth="1" min="8" max="8" width="19.88"/>
    <col customWidth="1" min="9" max="9" width="26.88"/>
  </cols>
  <sheetData>
    <row r="1">
      <c r="A1" s="230" t="s">
        <v>2843</v>
      </c>
      <c r="B1" s="230" t="s">
        <v>2844</v>
      </c>
      <c r="C1" s="230" t="s">
        <v>2845</v>
      </c>
      <c r="D1" s="230"/>
      <c r="E1" s="230"/>
      <c r="F1" s="230"/>
      <c r="G1" s="230"/>
      <c r="H1" s="205" t="s">
        <v>2939</v>
      </c>
      <c r="I1" s="205" t="s">
        <v>2940</v>
      </c>
      <c r="J1" s="231"/>
      <c r="K1" s="232"/>
      <c r="L1" s="232"/>
      <c r="M1" s="232"/>
      <c r="N1" s="232"/>
      <c r="O1" s="232"/>
      <c r="P1" s="232"/>
      <c r="Q1" s="232"/>
      <c r="R1" s="232"/>
      <c r="S1" s="232"/>
      <c r="T1" s="232"/>
      <c r="U1" s="232"/>
      <c r="V1" s="232"/>
      <c r="W1" s="232"/>
      <c r="X1" s="232"/>
      <c r="Y1" s="232"/>
      <c r="Z1" s="232"/>
      <c r="AA1" s="232"/>
      <c r="AB1" s="232"/>
      <c r="AC1" s="232"/>
      <c r="AD1" s="232"/>
      <c r="AE1" s="232"/>
    </row>
    <row r="2">
      <c r="A2" s="231" t="s">
        <v>143</v>
      </c>
      <c r="B2" s="233" t="s">
        <v>246</v>
      </c>
      <c r="C2" s="234">
        <f t="shared" ref="C2:C5" si="1">countif(H:H,A2)</f>
        <v>5</v>
      </c>
      <c r="D2" s="234"/>
      <c r="E2" s="234"/>
      <c r="F2" s="234"/>
      <c r="G2" s="234"/>
      <c r="H2" s="217" t="s">
        <v>247</v>
      </c>
      <c r="I2" s="147" t="s">
        <v>248</v>
      </c>
      <c r="J2" s="231"/>
      <c r="K2" s="232"/>
      <c r="L2" s="232"/>
      <c r="M2" s="232"/>
      <c r="N2" s="232"/>
      <c r="O2" s="232"/>
      <c r="P2" s="232"/>
      <c r="Q2" s="232"/>
      <c r="R2" s="232"/>
      <c r="S2" s="232"/>
      <c r="T2" s="232"/>
      <c r="U2" s="232"/>
      <c r="V2" s="232"/>
      <c r="W2" s="232"/>
      <c r="X2" s="232"/>
      <c r="Y2" s="232"/>
      <c r="Z2" s="232"/>
      <c r="AA2" s="232"/>
      <c r="AB2" s="232"/>
      <c r="AC2" s="232"/>
      <c r="AD2" s="232"/>
      <c r="AE2" s="232"/>
    </row>
    <row r="3">
      <c r="A3" s="231" t="s">
        <v>165</v>
      </c>
      <c r="B3" s="233" t="s">
        <v>249</v>
      </c>
      <c r="C3" s="234">
        <f t="shared" si="1"/>
        <v>5</v>
      </c>
      <c r="D3" s="234"/>
      <c r="E3" s="234"/>
      <c r="F3" s="234"/>
      <c r="G3" s="234"/>
      <c r="H3" s="217" t="s">
        <v>250</v>
      </c>
      <c r="I3" s="147" t="s">
        <v>251</v>
      </c>
      <c r="J3" s="231"/>
      <c r="K3" s="232"/>
      <c r="L3" s="232"/>
      <c r="M3" s="232"/>
      <c r="N3" s="232"/>
      <c r="O3" s="232"/>
      <c r="P3" s="232"/>
      <c r="Q3" s="232"/>
      <c r="R3" s="232"/>
      <c r="S3" s="232"/>
      <c r="T3" s="232"/>
      <c r="U3" s="232"/>
      <c r="V3" s="232"/>
      <c r="W3" s="232"/>
      <c r="X3" s="232"/>
      <c r="Y3" s="232"/>
      <c r="Z3" s="232"/>
      <c r="AA3" s="232"/>
      <c r="AB3" s="232"/>
      <c r="AC3" s="232"/>
      <c r="AD3" s="232"/>
      <c r="AE3" s="232"/>
    </row>
    <row r="4">
      <c r="A4" s="231" t="s">
        <v>185</v>
      </c>
      <c r="B4" s="233" t="s">
        <v>252</v>
      </c>
      <c r="C4" s="234">
        <f t="shared" si="1"/>
        <v>5</v>
      </c>
      <c r="D4" s="234"/>
      <c r="E4" s="234"/>
      <c r="F4" s="234"/>
      <c r="G4" s="234"/>
      <c r="H4" s="217" t="s">
        <v>2953</v>
      </c>
      <c r="I4" s="147" t="s">
        <v>2954</v>
      </c>
      <c r="J4" s="231"/>
      <c r="K4" s="232"/>
      <c r="L4" s="232"/>
      <c r="M4" s="232"/>
      <c r="N4" s="232"/>
      <c r="O4" s="232"/>
      <c r="P4" s="232"/>
      <c r="Q4" s="232"/>
      <c r="R4" s="232"/>
      <c r="S4" s="232"/>
      <c r="T4" s="232"/>
      <c r="U4" s="232"/>
      <c r="V4" s="232"/>
      <c r="W4" s="232"/>
      <c r="X4" s="232"/>
      <c r="Y4" s="232"/>
      <c r="Z4" s="232"/>
      <c r="AA4" s="232"/>
      <c r="AB4" s="232"/>
      <c r="AC4" s="232"/>
      <c r="AD4" s="232"/>
      <c r="AE4" s="232"/>
    </row>
    <row r="5">
      <c r="A5" s="231" t="s">
        <v>211</v>
      </c>
      <c r="B5" s="233" t="s">
        <v>255</v>
      </c>
      <c r="C5" s="234">
        <f t="shared" si="1"/>
        <v>5</v>
      </c>
      <c r="D5" s="234"/>
      <c r="E5" s="234"/>
      <c r="F5" s="234"/>
      <c r="G5" s="234"/>
      <c r="H5" s="217" t="s">
        <v>256</v>
      </c>
      <c r="I5" s="147" t="s">
        <v>257</v>
      </c>
      <c r="J5" s="231"/>
      <c r="K5" s="232"/>
      <c r="L5" s="232"/>
      <c r="M5" s="232"/>
      <c r="N5" s="232"/>
      <c r="O5" s="232"/>
      <c r="P5" s="232"/>
      <c r="Q5" s="232"/>
      <c r="R5" s="232"/>
      <c r="S5" s="232"/>
      <c r="T5" s="232"/>
      <c r="U5" s="232"/>
      <c r="V5" s="232"/>
      <c r="W5" s="232"/>
      <c r="X5" s="232"/>
      <c r="Y5" s="232"/>
      <c r="Z5" s="232"/>
      <c r="AA5" s="232"/>
      <c r="AB5" s="232"/>
      <c r="AC5" s="232"/>
      <c r="AD5" s="232"/>
      <c r="AE5" s="232"/>
    </row>
    <row r="6">
      <c r="A6" s="203" t="s">
        <v>2947</v>
      </c>
      <c r="B6" s="203" t="s">
        <v>2948</v>
      </c>
      <c r="C6" s="203" t="s">
        <v>2949</v>
      </c>
      <c r="D6" s="203" t="s">
        <v>2950</v>
      </c>
      <c r="E6" s="224" t="s">
        <v>2927</v>
      </c>
      <c r="F6" s="224" t="s">
        <v>2928</v>
      </c>
      <c r="G6" s="224" t="s">
        <v>2951</v>
      </c>
      <c r="H6" s="203" t="s">
        <v>2952</v>
      </c>
      <c r="I6" s="204"/>
      <c r="J6" s="220"/>
      <c r="K6" s="220"/>
      <c r="L6" s="220"/>
      <c r="M6" s="220"/>
      <c r="N6" s="220"/>
      <c r="O6" s="220"/>
      <c r="P6" s="220"/>
      <c r="Q6" s="220"/>
      <c r="R6" s="220"/>
      <c r="S6" s="220"/>
      <c r="T6" s="220"/>
      <c r="U6" s="220"/>
      <c r="V6" s="220"/>
      <c r="W6" s="220"/>
      <c r="X6" s="220"/>
      <c r="Y6" s="220"/>
      <c r="Z6" s="220"/>
      <c r="AA6" s="220"/>
      <c r="AB6" s="220"/>
      <c r="AC6" s="220"/>
      <c r="AD6" s="220"/>
      <c r="AE6" s="232"/>
    </row>
    <row r="7">
      <c r="A7" s="135" t="s">
        <v>2870</v>
      </c>
      <c r="B7" s="135" t="s">
        <v>2355</v>
      </c>
      <c r="C7" s="147" t="str">
        <f>IFERROR(__xludf.DUMMYFUNCTION("FILTER ('Web4Good Papers'!A:A,'Web4Good Papers'!B:B=B7)"),"web1159")</f>
        <v>web1159</v>
      </c>
      <c r="D7" s="147" t="str">
        <f t="shared" ref="D7:D101" si="2">concatenate(B7,char(10),E7,char(10))</f>
        <v>When to Invoke: Refining LLM Fairness with Toxicity Assessment
Jing Ren, Bowen Li, Ziqi Xu, Renqiang Luo, Shuo Yu, Xin Ye, Haytham Fayek, Xiaodong Li and Feng Xia
</v>
      </c>
      <c r="E7" s="147" t="str">
        <f>IFERROR(__xludf.DUMMYFUNCTION("TEXTJOIN(CHAR(10), TRUE,FILTER('Web4Good Papers'!$D:$D,'Web4Good Papers'!$A:$A=C7))"),"Jing Ren, Bowen Li, Ziqi Xu, Renqiang Luo, Shuo Yu, Xin Ye, Haytham Fayek, Xiaodong Li and Feng Xia")</f>
        <v>Jing Ren, Bowen Li, Ziqi Xu, Renqiang Luo, Shuo Yu, Xin Ye, Haytham Fayek, Xiaodong Li and Feng Xia</v>
      </c>
      <c r="F7" s="147" t="str">
        <f>IFERROR(__xludf.DUMMYFUNCTION("TEXTJOIN(CHAR(10), TRUE,FILTER ('Sheridan Main'!E:E,'Sheridan Main'!B:B=C7))"),"ziqi.xu@rmit.edu.au")</f>
        <v>ziqi.xu@rmit.edu.au</v>
      </c>
      <c r="G7" s="235" t="str">
        <f>IFERROR(__xludf.DUMMYFUNCTION("CONCATENATE(""https://dl.acm.org/doi/"",INDEX(FILTER('Sheridan Main'!A:A,'Sheridan Main'!B:B=C7),1))"),"https://dl.acm.org/doi/10.1145/3774904.3793061")</f>
        <v>https://dl.acm.org/doi/10.1145/3774904.3793061</v>
      </c>
      <c r="H7" s="236" t="s">
        <v>143</v>
      </c>
      <c r="I7" s="135" t="s">
        <v>2955</v>
      </c>
      <c r="J7" s="135"/>
    </row>
    <row r="8">
      <c r="A8" s="135" t="s">
        <v>2870</v>
      </c>
      <c r="B8" s="143" t="s">
        <v>2343</v>
      </c>
      <c r="C8" s="147" t="str">
        <f>IFERROR(__xludf.DUMMYFUNCTION("FILTER ('Web4Good Papers'!A:A,'Web4Good Papers'!B:B=B8)"),"web1066")</f>
        <v>web1066</v>
      </c>
      <c r="D8" s="147" t="str">
        <f t="shared" si="2"/>
        <v>Trust in One Round: Confidence Estimation for Large Language Models via Structural Signals
Pengyue Yang, Jiawen Wen, Haolin Jin, Linghan Huang, Huaming Chen and Ling Chen
</v>
      </c>
      <c r="E8" s="147" t="str">
        <f>IFERROR(__xludf.DUMMYFUNCTION("TEXTJOIN(CHAR(10), TRUE,FILTER('Web4Good Papers'!$D:$D,'Web4Good Papers'!$A:$A=C8))"),"Pengyue Yang, Jiawen Wen, Haolin Jin, Linghan Huang, Huaming Chen and Ling Chen")</f>
        <v>Pengyue Yang, Jiawen Wen, Haolin Jin, Linghan Huang, Huaming Chen and Ling Chen</v>
      </c>
      <c r="F8" s="147" t="str">
        <f>IFERROR(__xludf.DUMMYFUNCTION("TEXTJOIN(CHAR(10), TRUE,FILTER ('Sheridan Main'!E:E,'Sheridan Main'!B:B=C8))"),"pyan8493@uni.sydney.edu.au")</f>
        <v>pyan8493@uni.sydney.edu.au</v>
      </c>
      <c r="G8" s="235" t="str">
        <f>IFERROR(__xludf.DUMMYFUNCTION("CONCATENATE(""https://dl.acm.org/doi/"",INDEX(FILTER('Sheridan Main'!A:A,'Sheridan Main'!B:B=C8),1))"),"https://dl.acm.org/doi/10.1145/3774904.3793055")</f>
        <v>https://dl.acm.org/doi/10.1145/3774904.3793055</v>
      </c>
      <c r="H8" s="236" t="s">
        <v>143</v>
      </c>
      <c r="I8" s="143" t="s">
        <v>2955</v>
      </c>
      <c r="J8" s="143"/>
    </row>
    <row r="9">
      <c r="A9" s="135" t="s">
        <v>2870</v>
      </c>
      <c r="B9" s="143" t="s">
        <v>2183</v>
      </c>
      <c r="C9" s="147" t="str">
        <f>IFERROR(__xludf.DUMMYFUNCTION("FILTER ('Web4Good Papers'!A:A,'Web4Good Papers'!B:B=B9)"),"web0480")</f>
        <v>web0480</v>
      </c>
      <c r="D9" s="147" t="str">
        <f t="shared" si="2"/>
        <v>BalDRO: A Distributionally Robust Optimization based Framework for Large Language Model Unlearning
Pengyang Shao, Naixin Zhai, Lei Chen, Yonghui Yang, Fengbin Zhu, Xun Yang and Meng Wang
</v>
      </c>
      <c r="E9" s="147" t="str">
        <f>IFERROR(__xludf.DUMMYFUNCTION("TEXTJOIN(CHAR(10), TRUE,FILTER('Web4Good Papers'!$D:$D,'Web4Good Papers'!$A:$A=C9))"),"Pengyang Shao, Naixin Zhai, Lei Chen, Yonghui Yang, Fengbin Zhu, Xun Yang and Meng Wang")</f>
        <v>Pengyang Shao, Naixin Zhai, Lei Chen, Yonghui Yang, Fengbin Zhu, Xun Yang and Meng Wang</v>
      </c>
      <c r="F9" s="147" t="str">
        <f>IFERROR(__xludf.DUMMYFUNCTION("TEXTJOIN(CHAR(10), TRUE,FILTER ('Sheridan Main'!E:E,'Sheridan Main'!B:B=C9))"),"shaopymark@gmail.com")</f>
        <v>shaopymark@gmail.com</v>
      </c>
      <c r="G9" s="235" t="str">
        <f>IFERROR(__xludf.DUMMYFUNCTION("CONCATENATE(""https://dl.acm.org/doi/"",INDEX(FILTER('Sheridan Main'!A:A,'Sheridan Main'!B:B=C9),1))"),"https://dl.acm.org/doi/10.1145/3774904.3792975")</f>
        <v>https://dl.acm.org/doi/10.1145/3774904.3792975</v>
      </c>
      <c r="H9" s="236" t="s">
        <v>143</v>
      </c>
      <c r="I9" s="143" t="s">
        <v>2955</v>
      </c>
      <c r="J9" s="143"/>
    </row>
    <row r="10">
      <c r="A10" s="135" t="s">
        <v>2870</v>
      </c>
      <c r="B10" s="143" t="s">
        <v>2317</v>
      </c>
      <c r="C10" s="147" t="str">
        <f>IFERROR(__xludf.DUMMYFUNCTION("FILTER ('Web4Good Papers'!A:A,'Web4Good Papers'!B:B=B10)"),"web1255")</f>
        <v>web1255</v>
      </c>
      <c r="D10" s="147" t="str">
        <f t="shared" si="2"/>
        <v>SEP-Attack: A Simple and Effective Paradigm for Transfer-Based Textual Adversarial Attack
Han Liu, Zhi Xu, Xiaotong Zhang, Feng Zhang, Xiaoming Xu, Wei Wang, Fenglong Ma and Hong Yu
</v>
      </c>
      <c r="E10" s="147" t="str">
        <f>IFERROR(__xludf.DUMMYFUNCTION("TEXTJOIN(CHAR(10), TRUE,FILTER('Web4Good Papers'!$D:$D,'Web4Good Papers'!$A:$A=C10))"),"Han Liu, Zhi Xu, Xiaotong Zhang, Feng Zhang, Xiaoming Xu, Wei Wang, Fenglong Ma and Hong Yu")</f>
        <v>Han Liu, Zhi Xu, Xiaotong Zhang, Feng Zhang, Xiaoming Xu, Wei Wang, Fenglong Ma and Hong Yu</v>
      </c>
      <c r="F10" s="147" t="str">
        <f>IFERROR(__xludf.DUMMYFUNCTION("TEXTJOIN(CHAR(10), TRUE,FILTER ('Sheridan Main'!E:E,'Sheridan Main'!B:B=C10))"),"liu.han.dut@gmail.com")</f>
        <v>liu.han.dut@gmail.com</v>
      </c>
      <c r="G10" s="235" t="str">
        <f>IFERROR(__xludf.DUMMYFUNCTION("CONCATENATE(""https://dl.acm.org/doi/"",INDEX(FILTER('Sheridan Main'!A:A,'Sheridan Main'!B:B=C10),1))"),"https://dl.acm.org/doi/10.1145/3774904.3793042")</f>
        <v>https://dl.acm.org/doi/10.1145/3774904.3793042</v>
      </c>
      <c r="H10" s="236" t="s">
        <v>143</v>
      </c>
      <c r="I10" s="143" t="s">
        <v>2955</v>
      </c>
      <c r="J10" s="143"/>
    </row>
    <row r="11">
      <c r="A11" s="135" t="s">
        <v>2870</v>
      </c>
      <c r="B11" s="143" t="s">
        <v>2243</v>
      </c>
      <c r="C11" s="147" t="str">
        <f>IFERROR(__xludf.DUMMYFUNCTION("FILTER ('Web4Good Papers'!A:A,'Web4Good Papers'!B:B=B11)"),"web1298")</f>
        <v>web1298</v>
      </c>
      <c r="D11" s="147" t="str">
        <f t="shared" si="2"/>
        <v>Fine-Grained Traceability for Transparent ML Pipelines
Liping Chen, Mujie Liu and Haytham Fayek
</v>
      </c>
      <c r="E11" s="147" t="str">
        <f>IFERROR(__xludf.DUMMYFUNCTION("TEXTJOIN(CHAR(10), TRUE,FILTER('Web4Good Papers'!$D:$D,'Web4Good Papers'!$A:$A=C11))"),"Liping Chen, Mujie Liu and Haytham Fayek")</f>
        <v>Liping Chen, Mujie Liu and Haytham Fayek</v>
      </c>
      <c r="F11" s="147" t="str">
        <f>IFERROR(__xludf.DUMMYFUNCTION("TEXTJOIN(CHAR(10), TRUE,FILTER ('Sheridan Main'!E:E,'Sheridan Main'!B:B=C11))"),"haytham.fayek@ieee.org")</f>
        <v>haytham.fayek@ieee.org</v>
      </c>
      <c r="G11" s="235" t="str">
        <f>IFERROR(__xludf.DUMMYFUNCTION("CONCATENATE(""https://dl.acm.org/doi/"",INDEX(FILTER('Sheridan Main'!A:A,'Sheridan Main'!B:B=C11),1))"),"https://dl.acm.org/doi/10.1145/3774904.3793005")</f>
        <v>https://dl.acm.org/doi/10.1145/3774904.3793005</v>
      </c>
      <c r="H11" s="236" t="s">
        <v>143</v>
      </c>
      <c r="I11" s="143" t="s">
        <v>2955</v>
      </c>
      <c r="J11" s="143"/>
    </row>
    <row r="12">
      <c r="A12" s="135" t="s">
        <v>2870</v>
      </c>
      <c r="B12" s="143" t="s">
        <v>2205</v>
      </c>
      <c r="C12" s="147" t="str">
        <f>IFERROR(__xludf.DUMMYFUNCTION("FILTER ('Web4Good Papers'!A:A,'Web4Good Papers'!B:B=B12)"),"web1041")</f>
        <v>web1041</v>
      </c>
      <c r="D12" s="147" t="str">
        <f t="shared" si="2"/>
        <v>Concept Relationship Embedding-Based Interactive Web Application for Explainable Medical Diagnosis
Lei Zhao, Xingguo Lv, Qika Lin, Kaize Shi, Xiaoming Qi, Bin Pu and Kenli Li
</v>
      </c>
      <c r="E12" s="147" t="str">
        <f>IFERROR(__xludf.DUMMYFUNCTION("TEXTJOIN(CHAR(10), TRUE,FILTER('Web4Good Papers'!$D:$D,'Web4Good Papers'!$A:$A=C12))"),"Lei Zhao, Xingguo Lv, Qika Lin, Kaize Shi, Xiaoming Qi, Bin Pu and Kenli Li")</f>
        <v>Lei Zhao, Xingguo Lv, Qika Lin, Kaize Shi, Xiaoming Qi, Bin Pu and Kenli Li</v>
      </c>
      <c r="F12" s="147" t="str">
        <f>IFERROR(__xludf.DUMMYFUNCTION("TEXTJOIN(CHAR(10), TRUE,FILTER ('Sheridan Main'!E:E,'Sheridan Main'!B:B=C12))"),"zhaolei@hnu.edu.cn")</f>
        <v>zhaolei@hnu.edu.cn</v>
      </c>
      <c r="G12" s="235" t="str">
        <f>IFERROR(__xludf.DUMMYFUNCTION("CONCATENATE(""https://dl.acm.org/doi/"",INDEX(FILTER('Sheridan Main'!A:A,'Sheridan Main'!B:B=C12),1))"),"https://dl.acm.org/doi/10.1145/3774904.3792986")</f>
        <v>https://dl.acm.org/doi/10.1145/3774904.3792986</v>
      </c>
      <c r="H12" s="237" t="s">
        <v>165</v>
      </c>
      <c r="I12" s="143" t="s">
        <v>2955</v>
      </c>
      <c r="J12" s="143"/>
    </row>
    <row r="13">
      <c r="A13" s="135" t="s">
        <v>2870</v>
      </c>
      <c r="B13" s="143" t="s">
        <v>2339</v>
      </c>
      <c r="C13" s="147" t="str">
        <f>IFERROR(__xludf.DUMMYFUNCTION("FILTER ('Web4Good Papers'!A:A,'Web4Good Papers'!B:B=B13)"),"web1166")</f>
        <v>web1166</v>
      </c>
      <c r="D13" s="147" t="str">
        <f t="shared" si="2"/>
        <v>Towards Glaucoma Screening in Decentralized Clinics: A Dynamic Expert-Assisted Domain-Incremental Approach
Chenglong Fu, Jian Yao, Pengjiang Qian, Weiwei Fu, Chuang Wang and Guisong Yang
</v>
      </c>
      <c r="E13" s="147" t="str">
        <f>IFERROR(__xludf.DUMMYFUNCTION("TEXTJOIN(CHAR(10), TRUE,FILTER('Web4Good Papers'!$D:$D,'Web4Good Papers'!$A:$A=C13))"),"Chenglong Fu, Jian Yao, Pengjiang Qian, Weiwei Fu, Chuang Wang and Guisong Yang")</f>
        <v>Chenglong Fu, Jian Yao, Pengjiang Qian, Weiwei Fu, Chuang Wang and Guisong Yang</v>
      </c>
      <c r="F13" s="147" t="str">
        <f>IFERROR(__xludf.DUMMYFUNCTION("TEXTJOIN(CHAR(10), TRUE,FILTER ('Sheridan Main'!E:E,'Sheridan Main'!B:B=C13))"),"qianpjiang@jiangnan.edu.cn")</f>
        <v>qianpjiang@jiangnan.edu.cn</v>
      </c>
      <c r="G13" s="235" t="str">
        <f>IFERROR(__xludf.DUMMYFUNCTION("CONCATENATE(""https://dl.acm.org/doi/"",INDEX(FILTER('Sheridan Main'!A:A,'Sheridan Main'!B:B=C13),1))"),"https://dl.acm.org/doi/10.1145/3774904.3793053")</f>
        <v>https://dl.acm.org/doi/10.1145/3774904.3793053</v>
      </c>
      <c r="H13" s="237" t="s">
        <v>165</v>
      </c>
      <c r="I13" s="143" t="s">
        <v>2955</v>
      </c>
      <c r="J13" s="143"/>
    </row>
    <row r="14">
      <c r="A14" s="135" t="s">
        <v>2870</v>
      </c>
      <c r="B14" s="143" t="s">
        <v>2357</v>
      </c>
      <c r="C14" s="147" t="str">
        <f>IFERROR(__xludf.DUMMYFUNCTION("FILTER ('Web4Good Papers'!A:A,'Web4Good Papers'!B:B=B14)"),"web1165")</f>
        <v>web1165</v>
      </c>
      <c r="D14" s="147" t="str">
        <f t="shared" si="2"/>
        <v>XInsight: Integrative Stage-Consistent Psychological Counseling Support Agents for Digital Well-Being
Fei Wang, Jiangnan Yang, Junjie Chen, Yuxin Liu, Kun Li, Yanyan Wei, Dan Guo and Meng Wang
</v>
      </c>
      <c r="E14" s="147" t="str">
        <f>IFERROR(__xludf.DUMMYFUNCTION("TEXTJOIN(CHAR(10), TRUE,FILTER('Web4Good Papers'!$D:$D,'Web4Good Papers'!$A:$A=C14))"),"Fei Wang, Jiangnan Yang, Junjie Chen, Yuxin Liu, Kun Li, Yanyan Wei, Dan Guo and Meng Wang")</f>
        <v>Fei Wang, Jiangnan Yang, Junjie Chen, Yuxin Liu, Kun Li, Yanyan Wei, Dan Guo and Meng Wang</v>
      </c>
      <c r="F14" s="147" t="str">
        <f>IFERROR(__xludf.DUMMYFUNCTION("TEXTJOIN(CHAR(10), TRUE,FILTER ('Sheridan Main'!E:E,'Sheridan Main'!B:B=C14))"),"kunli.hfut@gmail.com")</f>
        <v>kunli.hfut@gmail.com</v>
      </c>
      <c r="G14" s="235" t="str">
        <f>IFERROR(__xludf.DUMMYFUNCTION("CONCATENATE(""https://dl.acm.org/doi/"",INDEX(FILTER('Sheridan Main'!A:A,'Sheridan Main'!B:B=C14),1))"),"https://dl.acm.org/doi/10.1145/3774904.3793062")</f>
        <v>https://dl.acm.org/doi/10.1145/3774904.3793062</v>
      </c>
      <c r="H14" s="237" t="s">
        <v>165</v>
      </c>
      <c r="I14" s="143" t="s">
        <v>2955</v>
      </c>
      <c r="J14" s="143"/>
    </row>
    <row r="15">
      <c r="A15" s="135" t="s">
        <v>2870</v>
      </c>
      <c r="B15" s="143" t="s">
        <v>2171</v>
      </c>
      <c r="C15" s="147" t="str">
        <f>IFERROR(__xludf.DUMMYFUNCTION("FILTER ('Web4Good Papers'!A:A,'Web4Good Papers'!B:B=B15)"),"web1102")</f>
        <v>web1102</v>
      </c>
      <c r="D15" s="147" t="str">
        <f t="shared" si="2"/>
        <v>(Mis-)Informed Consent: Predatory Apps and the Exploitation of Populations with Limited Literacy
Muhammad Muneeb Pervez, Muhammad Qasim Atiq Ullah, Ibrahim Ahmed Khan, Roshnik Rahat, Muhammad Fareed Zaffar, Rashid Tahir, Talal Rahwan and Yasir Zaki
</v>
      </c>
      <c r="E15" s="147" t="str">
        <f>IFERROR(__xludf.DUMMYFUNCTION("TEXTJOIN(CHAR(10), TRUE,FILTER('Web4Good Papers'!$D:$D,'Web4Good Papers'!$A:$A=C15))"),"Muhammad Muneeb Pervez, Muhammad Qasim Atiq Ullah, Ibrahim Ahmed Khan, Roshnik Rahat, Muhammad Fareed Zaffar, Rashid Tahir, Talal Rahwan and Yasir Zaki")</f>
        <v>Muhammad Muneeb Pervez, Muhammad Qasim Atiq Ullah, Ibrahim Ahmed Khan, Roshnik Rahat, Muhammad Fareed Zaffar, Rashid Tahir, Talal Rahwan and Yasir Zaki</v>
      </c>
      <c r="F15" s="147" t="str">
        <f>IFERROR(__xludf.DUMMYFUNCTION("TEXTJOIN(CHAR(10), TRUE,FILTER ('Sheridan Main'!E:E,'Sheridan Main'!B:B=C15))"),"27100022@lums.edu.pk")</f>
        <v>27100022@lums.edu.pk</v>
      </c>
      <c r="G15" s="235" t="str">
        <f>IFERROR(__xludf.DUMMYFUNCTION("CONCATENATE(""https://dl.acm.org/doi/"",INDEX(FILTER('Sheridan Main'!A:A,'Sheridan Main'!B:B=C15),1))"),"https://dl.acm.org/doi/10.1145/3774904.3792969")</f>
        <v>https://dl.acm.org/doi/10.1145/3774904.3792969</v>
      </c>
      <c r="H15" s="237" t="s">
        <v>165</v>
      </c>
      <c r="J15" s="143" t="s">
        <v>2955</v>
      </c>
    </row>
    <row r="16">
      <c r="A16" s="135" t="s">
        <v>2870</v>
      </c>
      <c r="B16" s="143" t="s">
        <v>2283</v>
      </c>
      <c r="C16" s="147" t="str">
        <f>IFERROR(__xludf.DUMMYFUNCTION("FILTER ('Web4Good Papers'!A:A,'Web4Good Papers'!B:B=B16)"),"web1366")</f>
        <v>web1366</v>
      </c>
      <c r="D16" s="147" t="str">
        <f t="shared" si="2"/>
        <v>LLM Use for Mental Health: Crowdsourcing Users’ Sentiment-based Perspectives and Values from Social Discussions
Lingyao Li, Xiaoshan Huang, Renkai Ma, Ben Zefeng Zhang, Haolun Wu, Fan Yang and Chen Chen
</v>
      </c>
      <c r="E16" s="147" t="str">
        <f>IFERROR(__xludf.DUMMYFUNCTION("TEXTJOIN(CHAR(10), TRUE,FILTER('Web4Good Papers'!$D:$D,'Web4Good Papers'!$A:$A=C16))"),"Lingyao Li, Xiaoshan Huang, Renkai Ma, Ben Zefeng Zhang, Haolun Wu, Fan Yang and Chen Chen")</f>
        <v>Lingyao Li, Xiaoshan Huang, Renkai Ma, Ben Zefeng Zhang, Haolun Wu, Fan Yang and Chen Chen</v>
      </c>
      <c r="F16" s="147" t="str">
        <f>IFERROR(__xludf.DUMMYFUNCTION("TEXTJOIN(CHAR(10), TRUE,FILTER ('Sheridan Main'!E:E,'Sheridan Main'!B:B=C16))"),"haolun.wu@mail.mcgill.ca")</f>
        <v>haolun.wu@mail.mcgill.ca</v>
      </c>
      <c r="G16" s="235" t="str">
        <f>IFERROR(__xludf.DUMMYFUNCTION("CONCATENATE(""https://dl.acm.org/doi/"",INDEX(FILTER('Sheridan Main'!A:A,'Sheridan Main'!B:B=C16),1))"),"https://dl.acm.org/doi/10.1145/3774904.3793025")</f>
        <v>https://dl.acm.org/doi/10.1145/3774904.3793025</v>
      </c>
      <c r="H16" s="237" t="s">
        <v>165</v>
      </c>
      <c r="I16" s="143" t="s">
        <v>2955</v>
      </c>
      <c r="J16" s="143"/>
    </row>
    <row r="17">
      <c r="A17" s="135" t="s">
        <v>2870</v>
      </c>
      <c r="B17" s="143" t="s">
        <v>2237</v>
      </c>
      <c r="C17" s="147" t="str">
        <f>IFERROR(__xludf.DUMMYFUNCTION("FILTER ('Web4Good Papers'!A:A,'Web4Good Papers'!B:B=B17)"),"web1047")</f>
        <v>web1047</v>
      </c>
      <c r="D17" s="147" t="str">
        <f t="shared" si="2"/>
        <v>Fairer AI Carbon Accounting: Incorporating Market-based Attribution and Uncertainty in Embodied and Operational Carbon Footprint
Xiaoyang Zhang, Yang Deng, Fang He and Dan Wang
</v>
      </c>
      <c r="E17" s="147" t="str">
        <f>IFERROR(__xludf.DUMMYFUNCTION("TEXTJOIN(CHAR(10), TRUE,FILTER('Web4Good Papers'!$D:$D,'Web4Good Papers'!$A:$A=C17))"),"Xiaoyang Zhang, Yang Deng, Fang He and Dan Wang")</f>
        <v>Xiaoyang Zhang, Yang Deng, Fang He and Dan Wang</v>
      </c>
      <c r="F17" s="147" t="str">
        <f>IFERROR(__xludf.DUMMYFUNCTION("TEXTJOIN(CHAR(10), TRUE,FILTER ('Sheridan Main'!E:E,'Sheridan Main'!B:B=C17))"),"xiaoyang.zhang@connect.polyu.hk")</f>
        <v>xiaoyang.zhang@connect.polyu.hk</v>
      </c>
      <c r="G17" s="235" t="str">
        <f>IFERROR(__xludf.DUMMYFUNCTION("CONCATENATE(""https://dl.acm.org/doi/"",INDEX(FILTER('Sheridan Main'!A:A,'Sheridan Main'!B:B=C17),1))"),"https://dl.acm.org/doi/10.1145/3774904.3793002")</f>
        <v>https://dl.acm.org/doi/10.1145/3774904.3793002</v>
      </c>
      <c r="H17" s="238" t="s">
        <v>185</v>
      </c>
      <c r="I17" s="143" t="s">
        <v>2955</v>
      </c>
      <c r="J17" s="143"/>
    </row>
    <row r="18">
      <c r="A18" s="135" t="s">
        <v>2870</v>
      </c>
      <c r="B18" s="143" t="s">
        <v>2223</v>
      </c>
      <c r="C18" s="147" t="str">
        <f>IFERROR(__xludf.DUMMYFUNCTION("FILTER ('Web4Good Papers'!A:A,'Web4Good Papers'!B:B=B18)"),"web1072")</f>
        <v>web1072</v>
      </c>
      <c r="D18" s="147" t="str">
        <f t="shared" si="2"/>
        <v>EcoThink: A Green Adaptive Inference Framework for Sustainable and Accessible Agents
Linxiao Li and Zhixiang Lu
</v>
      </c>
      <c r="E18" s="147" t="str">
        <f>IFERROR(__xludf.DUMMYFUNCTION("TEXTJOIN(CHAR(10), TRUE,FILTER('Web4Good Papers'!$D:$D,'Web4Good Papers'!$A:$A=C18))"),"Linxiao Li and Zhixiang Lu")</f>
        <v>Linxiao Li and Zhixiang Lu</v>
      </c>
      <c r="F18" s="147" t="str">
        <f>IFERROR(__xludf.DUMMYFUNCTION("TEXTJOIN(CHAR(10), TRUE,FILTER ('Sheridan Main'!E:E,'Sheridan Main'!B:B=C18))"),"Zhixiang.Lu@liverpool.ac.uk")</f>
        <v>Zhixiang.Lu@liverpool.ac.uk</v>
      </c>
      <c r="G18" s="235" t="str">
        <f>IFERROR(__xludf.DUMMYFUNCTION("CONCATENATE(""https://dl.acm.org/doi/"",INDEX(FILTER('Sheridan Main'!A:A,'Sheridan Main'!B:B=C18),1))"),"https://dl.acm.org/doi/10.1145/3774904.3792995")</f>
        <v>https://dl.acm.org/doi/10.1145/3774904.3792995</v>
      </c>
      <c r="H18" s="238" t="s">
        <v>185</v>
      </c>
      <c r="I18" s="143" t="s">
        <v>2955</v>
      </c>
      <c r="J18" s="143"/>
    </row>
    <row r="19">
      <c r="A19" s="135" t="s">
        <v>2870</v>
      </c>
      <c r="B19" s="143" t="s">
        <v>2261</v>
      </c>
      <c r="C19" s="147" t="str">
        <f>IFERROR(__xludf.DUMMYFUNCTION("FILTER ('Web4Good Papers'!A:A,'Web4Good Papers'!B:B=B19)"),"web1209")</f>
        <v>web1209</v>
      </c>
      <c r="D19" s="147" t="str">
        <f t="shared" si="2"/>
        <v>GreenTune: Energy-Efficient Low-Rank Tuning of LLMs with ThreeE Evaluation under 4-/8-bit Quantization
Xingrao Ma, Zongxi Li, Chengzu Dong, Kai Fang and Shao Di
</v>
      </c>
      <c r="E19" s="147" t="str">
        <f>IFERROR(__xludf.DUMMYFUNCTION("TEXTJOIN(CHAR(10), TRUE,FILTER('Web4Good Papers'!$D:$D,'Web4Good Papers'!$A:$A=C19))"),"Xingrao Ma, Zongxi Li, Chengzu Dong, Kai Fang and Shao Di")</f>
        <v>Xingrao Ma, Zongxi Li, Chengzu Dong, Kai Fang and Shao Di</v>
      </c>
      <c r="F19" s="147" t="str">
        <f>IFERROR(__xludf.DUMMYFUNCTION("TEXTJOIN(CHAR(10), TRUE,FILTER ('Sheridan Main'!E:E,'Sheridan Main'!B:B=C19))"),"chengzudong@ln.edu.hk")</f>
        <v>chengzudong@ln.edu.hk</v>
      </c>
      <c r="G19" s="235" t="str">
        <f>IFERROR(__xludf.DUMMYFUNCTION("CONCATENATE(""https://dl.acm.org/doi/"",INDEX(FILTER('Sheridan Main'!A:A,'Sheridan Main'!B:B=C19),1))"),"https://dl.acm.org/doi/10.1145/3774904.3793014")</f>
        <v>https://dl.acm.org/doi/10.1145/3774904.3793014</v>
      </c>
      <c r="H19" s="238" t="s">
        <v>185</v>
      </c>
      <c r="I19" s="143" t="s">
        <v>2955</v>
      </c>
      <c r="J19" s="143"/>
    </row>
    <row r="20">
      <c r="A20" s="135" t="s">
        <v>2870</v>
      </c>
      <c r="B20" s="143" t="s">
        <v>2309</v>
      </c>
      <c r="C20" s="147" t="str">
        <f>IFERROR(__xludf.DUMMYFUNCTION("FILTER ('Web4Good Papers'!A:A,'Web4Good Papers'!B:B=B20)"),"web1258")</f>
        <v>web1258</v>
      </c>
      <c r="D20" s="147" t="str">
        <f t="shared" si="2"/>
        <v>Route-and-Reason: Energy-Efficient Scaling of LLM Reasoning via Reinforced Model Routing
Chenyang Shao, Xinyang Liu, Yutang Lin, Fengli Xu and Yong Li
</v>
      </c>
      <c r="E20" s="147" t="str">
        <f>IFERROR(__xludf.DUMMYFUNCTION("TEXTJOIN(CHAR(10), TRUE,FILTER('Web4Good Papers'!$D:$D,'Web4Good Papers'!$A:$A=C20))"),"Chenyang Shao, Xinyang Liu, Yutang Lin, Fengli Xu and Yong Li")</f>
        <v>Chenyang Shao, Xinyang Liu, Yutang Lin, Fengli Xu and Yong Li</v>
      </c>
      <c r="F20" s="147" t="str">
        <f>IFERROR(__xludf.DUMMYFUNCTION("TEXTJOIN(CHAR(10), TRUE,FILTER ('Sheridan Main'!E:E,'Sheridan Main'!B:B=C20))"),"fenglixu@tsinghua.edu.cn")</f>
        <v>fenglixu@tsinghua.edu.cn</v>
      </c>
      <c r="G20" s="235" t="str">
        <f>IFERROR(__xludf.DUMMYFUNCTION("CONCATENATE(""https://dl.acm.org/doi/"",INDEX(FILTER('Sheridan Main'!A:A,'Sheridan Main'!B:B=C20),1))"),"https://dl.acm.org/doi/10.1145/3774904.3793038")</f>
        <v>https://dl.acm.org/doi/10.1145/3774904.3793038</v>
      </c>
      <c r="H20" s="238" t="s">
        <v>185</v>
      </c>
      <c r="I20" s="143" t="s">
        <v>2955</v>
      </c>
      <c r="J20" s="143"/>
    </row>
    <row r="21">
      <c r="A21" s="135" t="s">
        <v>2870</v>
      </c>
      <c r="B21" s="143" t="s">
        <v>2301</v>
      </c>
      <c r="C21" s="147" t="str">
        <f>IFERROR(__xludf.DUMMYFUNCTION("FILTER ('Web4Good Papers'!A:A,'Web4Good Papers'!B:B=B21)"),"web1138")</f>
        <v>web1138</v>
      </c>
      <c r="D21" s="147" t="str">
        <f t="shared" si="2"/>
        <v>Online GPU Energy Optimization with Switching-Aware Bandits
Xiongxiao Xu, Solomon Abera Bekele, Brice Videau and Kai Shu
</v>
      </c>
      <c r="E21" s="147" t="str">
        <f>IFERROR(__xludf.DUMMYFUNCTION("TEXTJOIN(CHAR(10), TRUE,FILTER('Web4Good Papers'!$D:$D,'Web4Good Papers'!$A:$A=C21))"),"Xiongxiao Xu, Solomon Abera Bekele, Brice Videau and Kai Shu")</f>
        <v>Xiongxiao Xu, Solomon Abera Bekele, Brice Videau and Kai Shu</v>
      </c>
      <c r="F21" s="147" t="str">
        <f>IFERROR(__xludf.DUMMYFUNCTION("TEXTJOIN(CHAR(10), TRUE,FILTER ('Sheridan Main'!E:E,'Sheridan Main'!B:B=C21))"),"sbekele@anl.gov
bvideau@anl.gov")</f>
        <v>sbekele@anl.gov
bvideau@anl.gov</v>
      </c>
      <c r="G21" s="235" t="str">
        <f>IFERROR(__xludf.DUMMYFUNCTION("CONCATENATE(""https://dl.acm.org/doi/"",INDEX(FILTER('Sheridan Main'!A:A,'Sheridan Main'!B:B=C21),1))"),"https://dl.acm.org/doi/10.1145/3774904.3793034")</f>
        <v>https://dl.acm.org/doi/10.1145/3774904.3793034</v>
      </c>
      <c r="H21" s="238" t="s">
        <v>185</v>
      </c>
      <c r="I21" s="143" t="s">
        <v>2955</v>
      </c>
      <c r="J21" s="143"/>
    </row>
    <row r="22">
      <c r="A22" s="135" t="s">
        <v>2870</v>
      </c>
      <c r="B22" s="143" t="s">
        <v>2185</v>
      </c>
      <c r="C22" s="147" t="str">
        <f>IFERROR(__xludf.DUMMYFUNCTION("FILTER ('Web4Good Papers'!A:A,'Web4Good Papers'!B:B=B22)"),"web1210")</f>
        <v>web1210</v>
      </c>
      <c r="D22" s="147" t="str">
        <f t="shared" si="2"/>
        <v>Belief-Driven Multi-Agent Collaboration via Approximate Perfect Bayesian Equilibrium for Social Simulation
Weiwei Fang, Lin Li, Kaize Shi, Yu Yang and Jianwei Zhang
</v>
      </c>
      <c r="E22" s="147" t="str">
        <f>IFERROR(__xludf.DUMMYFUNCTION("TEXTJOIN(CHAR(10), TRUE,FILTER('Web4Good Papers'!$D:$D,'Web4Good Papers'!$A:$A=C22))"),"Weiwei Fang, Lin Li, Kaize Shi, Yu Yang and Jianwei Zhang")</f>
        <v>Weiwei Fang, Lin Li, Kaize Shi, Yu Yang and Jianwei Zhang</v>
      </c>
      <c r="F22" s="147" t="str">
        <f>IFERROR(__xludf.DUMMYFUNCTION("TEXTJOIN(CHAR(10), TRUE,FILTER ('Sheridan Main'!E:E,'Sheridan Main'!B:B=C22))"),"cathylilin@whut.edu.cn")</f>
        <v>cathylilin@whut.edu.cn</v>
      </c>
      <c r="G22" s="235" t="str">
        <f>IFERROR(__xludf.DUMMYFUNCTION("CONCATENATE(""https://dl.acm.org/doi/"",INDEX(FILTER('Sheridan Main'!A:A,'Sheridan Main'!B:B=C22),1))"),"https://dl.acm.org/doi/10.1145/3774904.3792976")</f>
        <v>https://dl.acm.org/doi/10.1145/3774904.3792976</v>
      </c>
      <c r="H22" s="239" t="s">
        <v>211</v>
      </c>
      <c r="I22" s="143" t="s">
        <v>2955</v>
      </c>
      <c r="J22" s="143"/>
    </row>
    <row r="23">
      <c r="A23" s="135" t="s">
        <v>2870</v>
      </c>
      <c r="B23" s="143" t="s">
        <v>2333</v>
      </c>
      <c r="C23" s="147" t="str">
        <f>IFERROR(__xludf.DUMMYFUNCTION("FILTER ('Web4Good Papers'!A:A,'Web4Good Papers'!B:B=B23)"),"web1095")</f>
        <v>web1095</v>
      </c>
      <c r="D23" s="147" t="str">
        <f t="shared" si="2"/>
        <v>Think Then Recommend: An LLM-Powered Multi-Agent Framework for Personalized Conversational Recommender System in E-Commerce
Yuankun Zu, Xiangyu Cai, Chuchu Yu, Hao Peng, Jia Duan, Long Chen, Kunyao Wang, Zehua Zhang, Changping Peng, Zhangang Lin and Ching Law
</v>
      </c>
      <c r="E23" s="147" t="str">
        <f>IFERROR(__xludf.DUMMYFUNCTION("TEXTJOIN(CHAR(10), TRUE,FILTER('Web4Good Papers'!$D:$D,'Web4Good Papers'!$A:$A=C23))"),"Yuankun Zu, Xiangyu Cai, Chuchu Yu, Hao Peng, Jia Duan, Long Chen, Kunyao Wang, Zehua Zhang, Changping Peng, Zhangang Lin and Ching Law")</f>
        <v>Yuankun Zu, Xiangyu Cai, Chuchu Yu, Hao Peng, Jia Duan, Long Chen, Kunyao Wang, Zehua Zhang, Changping Peng, Zhangang Lin and Ching Law</v>
      </c>
      <c r="F23" s="147" t="str">
        <f>IFERROR(__xludf.DUMMYFUNCTION("TEXTJOIN(CHAR(10), TRUE,FILTER ('Sheridan Main'!E:E,'Sheridan Main'!B:B=C23))"),"penghao5@jd.com")</f>
        <v>penghao5@jd.com</v>
      </c>
      <c r="G23" s="235" t="str">
        <f>IFERROR(__xludf.DUMMYFUNCTION("CONCATENATE(""https://dl.acm.org/doi/"",INDEX(FILTER('Sheridan Main'!A:A,'Sheridan Main'!B:B=C23),1))"),"https://dl.acm.org/doi/10.1145/3774904.3793050")</f>
        <v>https://dl.acm.org/doi/10.1145/3774904.3793050</v>
      </c>
      <c r="H23" s="239" t="s">
        <v>211</v>
      </c>
      <c r="I23" s="143" t="s">
        <v>2955</v>
      </c>
      <c r="J23" s="143"/>
    </row>
    <row r="24">
      <c r="A24" s="135" t="s">
        <v>2870</v>
      </c>
      <c r="B24" s="143" t="s">
        <v>2255</v>
      </c>
      <c r="C24" s="147" t="str">
        <f>IFERROR(__xludf.DUMMYFUNCTION("FILTER ('Web4Good Papers'!A:A,'Web4Good Papers'!B:B=B24)"),"web1089")</f>
        <v>web1089</v>
      </c>
      <c r="D24" s="147" t="str">
        <f t="shared" si="2"/>
        <v>GORAG: Graph-based Online Retrieval Augmented Generation for Dynamic Few-shot Social Media Text Classification
Yubo Wang, Haoyang Li, Fei Teng and Lei Chen
</v>
      </c>
      <c r="E24" s="147" t="str">
        <f>IFERROR(__xludf.DUMMYFUNCTION("TEXTJOIN(CHAR(10), TRUE,FILTER('Web4Good Papers'!$D:$D,'Web4Good Papers'!$A:$A=C24))"),"Yubo Wang, Haoyang Li, Fei Teng and Lei Chen")</f>
        <v>Yubo Wang, Haoyang Li, Fei Teng and Lei Chen</v>
      </c>
      <c r="F24" s="147" t="str">
        <f>IFERROR(__xludf.DUMMYFUNCTION("TEXTJOIN(CHAR(10), TRUE,FILTER ('Sheridan Main'!E:E,'Sheridan Main'!B:B=C24))"),"ywangnx@connect.ust.hk")</f>
        <v>ywangnx@connect.ust.hk</v>
      </c>
      <c r="G24" s="235" t="str">
        <f>IFERROR(__xludf.DUMMYFUNCTION("CONCATENATE(""https://dl.acm.org/doi/"",INDEX(FILTER('Sheridan Main'!A:A,'Sheridan Main'!B:B=C24),1))"),"https://dl.acm.org/doi/10.1145/3774904.3793011")</f>
        <v>https://dl.acm.org/doi/10.1145/3774904.3793011</v>
      </c>
      <c r="H24" s="239" t="s">
        <v>211</v>
      </c>
      <c r="I24" s="143" t="s">
        <v>2955</v>
      </c>
      <c r="J24" s="143"/>
    </row>
    <row r="25">
      <c r="A25" s="135" t="s">
        <v>2870</v>
      </c>
      <c r="B25" s="143" t="s">
        <v>2289</v>
      </c>
      <c r="C25" s="147" t="str">
        <f>IFERROR(__xludf.DUMMYFUNCTION("FILTER ('Web4Good Papers'!A:A,'Web4Good Papers'!B:B=B25)"),"web0902")</f>
        <v>web0902</v>
      </c>
      <c r="D25" s="147" t="str">
        <f t="shared" si="2"/>
        <v>Mining Citywide Dengue Spread Patterns in Singapore Through Hotspot Dynamics from Open Web Data
Liping Huang, Gaoxi Xiao, Stefan Ma, Hechang Chen, Shisong Tang and Flora D. Salim
</v>
      </c>
      <c r="E25" s="147" t="str">
        <f>IFERROR(__xludf.DUMMYFUNCTION("TEXTJOIN(CHAR(10), TRUE,FILTER('Web4Good Papers'!$D:$D,'Web4Good Papers'!$A:$A=C25))"),"Liping Huang, Gaoxi Xiao, Stefan Ma, Hechang Chen, Shisong Tang and Flora D. Salim")</f>
        <v>Liping Huang, Gaoxi Xiao, Stefan Ma, Hechang Chen, Shisong Tang and Flora D. Salim</v>
      </c>
      <c r="F25" s="147" t="str">
        <f>IFERROR(__xludf.DUMMYFUNCTION("TEXTJOIN(CHAR(10), TRUE,FILTER ('Sheridan Main'!E:E,'Sheridan Main'!B:B=C25))"),"liping.huang.sg@gmail.com")</f>
        <v>liping.huang.sg@gmail.com</v>
      </c>
      <c r="G25" s="235" t="str">
        <f>IFERROR(__xludf.DUMMYFUNCTION("CONCATENATE(""https://dl.acm.org/doi/"",INDEX(FILTER('Sheridan Main'!A:A,'Sheridan Main'!B:B=C25),1))"),"https://dl.acm.org/doi/10.1145/3774904.3793028")</f>
        <v>https://dl.acm.org/doi/10.1145/3774904.3793028</v>
      </c>
      <c r="H25" s="239" t="s">
        <v>211</v>
      </c>
      <c r="I25" s="143" t="s">
        <v>2955</v>
      </c>
      <c r="J25" s="143"/>
    </row>
    <row r="26">
      <c r="A26" s="135" t="s">
        <v>2870</v>
      </c>
      <c r="B26" s="143" t="s">
        <v>2207</v>
      </c>
      <c r="C26" s="147" t="str">
        <f>IFERROR(__xludf.DUMMYFUNCTION("FILTER ('Web4Good Papers'!A:A,'Web4Good Papers'!B:B=B26)"),"web0505")</f>
        <v>web0505</v>
      </c>
      <c r="D26" s="147" t="str">
        <f t="shared" si="2"/>
        <v>Consensus Stability of Community Notes on X
Yuwei Chuai, Gabriele Lenzini and Nicolas Pröllochs
</v>
      </c>
      <c r="E26" s="147" t="str">
        <f>IFERROR(__xludf.DUMMYFUNCTION("TEXTJOIN(CHAR(10), TRUE,FILTER('Web4Good Papers'!$D:$D,'Web4Good Papers'!$A:$A=C26))"),"Yuwei Chuai, Gabriele Lenzini and Nicolas Pröllochs")</f>
        <v>Yuwei Chuai, Gabriele Lenzini and Nicolas Pröllochs</v>
      </c>
      <c r="F26" s="147" t="str">
        <f>IFERROR(__xludf.DUMMYFUNCTION("TEXTJOIN(CHAR(10), TRUE,FILTER ('Sheridan Main'!E:E,'Sheridan Main'!B:B=C26))"),"yuwei.chuai@uni.lu")</f>
        <v>yuwei.chuai@uni.lu</v>
      </c>
      <c r="G26" s="235" t="str">
        <f>IFERROR(__xludf.DUMMYFUNCTION("CONCATENATE(""https://dl.acm.org/doi/"",INDEX(FILTER('Sheridan Main'!A:A,'Sheridan Main'!B:B=C26),1))"),"https://dl.acm.org/doi/10.1145/3774904.3792987")</f>
        <v>https://dl.acm.org/doi/10.1145/3774904.3792987</v>
      </c>
      <c r="H26" s="239" t="s">
        <v>211</v>
      </c>
      <c r="I26" s="143" t="s">
        <v>2955</v>
      </c>
      <c r="J26" s="143"/>
    </row>
    <row r="27">
      <c r="A27" s="135" t="s">
        <v>2870</v>
      </c>
      <c r="B27" s="143" t="s">
        <v>2329</v>
      </c>
      <c r="C27" s="147" t="str">
        <f>IFERROR(__xludf.DUMMYFUNCTION("FILTER ('Web4Good Papers'!A:A,'Web4Good Papers'!B:B=B27)"),"web0019")</f>
        <v>web0019</v>
      </c>
      <c r="D27" s="147" t="str">
        <f t="shared" si="2"/>
        <v>The Chatbot Knows It’s You: Dialogue Attribution in Unauthenticated Human–LLM Sessions
Wenxuan Wang, Zirui Liu, Haoxuan Kou, Xuefeng Liu and Jiaxing Shen
</v>
      </c>
      <c r="E27" s="147" t="str">
        <f>IFERROR(__xludf.DUMMYFUNCTION("TEXTJOIN(CHAR(10), TRUE,FILTER('Web4Good Papers'!$D:$D,'Web4Good Papers'!$A:$A=C27))"),"Wenxuan Wang, Zirui Liu, Haoxuan Kou, Xuefeng Liu and Jiaxing Shen")</f>
        <v>Wenxuan Wang, Zirui Liu, Haoxuan Kou, Xuefeng Liu and Jiaxing Shen</v>
      </c>
      <c r="F27" s="147" t="str">
        <f>IFERROR(__xludf.DUMMYFUNCTION("TEXTJOIN(CHAR(10), TRUE,FILTER ('Sheridan Main'!E:E,'Sheridan Main'!B:B=C27))"),"jiaxingshen@LN.edu.hk")</f>
        <v>jiaxingshen@LN.edu.hk</v>
      </c>
      <c r="G27" s="235" t="str">
        <f>IFERROR(__xludf.DUMMYFUNCTION("CONCATENATE(""https://dl.acm.org/doi/"",INDEX(FILTER('Sheridan Main'!A:A,'Sheridan Main'!B:B=C27),1))"),"https://dl.acm.org/doi/10.1145/3774904.3793048")</f>
        <v>https://dl.acm.org/doi/10.1145/3774904.3793048</v>
      </c>
      <c r="H27" s="221" t="s">
        <v>2862</v>
      </c>
      <c r="I27" s="135" t="s">
        <v>2918</v>
      </c>
      <c r="J27" s="143"/>
    </row>
    <row r="28">
      <c r="A28" s="135" t="s">
        <v>2870</v>
      </c>
      <c r="B28" s="143" t="s">
        <v>2321</v>
      </c>
      <c r="C28" s="147" t="str">
        <f>IFERROR(__xludf.DUMMYFUNCTION("FILTER ('Web4Good Papers'!A:A,'Web4Good Papers'!B:B=B28)"),"web1058")</f>
        <v>web1058</v>
      </c>
      <c r="D28" s="147" t="str">
        <f t="shared" si="2"/>
        <v>Spiking Graph Predictive Coding for Reliable OOD Generalization
Jing Ren, Jiapeng Du, Bowen Li, Ziqi Xu, Xin Zheng, Hong Jia, Suyu Ma, Xiwei Xu and Feng Xia
</v>
      </c>
      <c r="E28" s="147" t="str">
        <f>IFERROR(__xludf.DUMMYFUNCTION("TEXTJOIN(CHAR(10), TRUE,FILTER('Web4Good Papers'!$D:$D,'Web4Good Papers'!$A:$A=C28))"),"Jing Ren, Jiapeng Du, Bowen Li, Ziqi Xu, Xin Zheng, Hong Jia, Suyu Ma, Xiwei Xu and Feng Xia")</f>
        <v>Jing Ren, Jiapeng Du, Bowen Li, Ziqi Xu, Xin Zheng, Hong Jia, Suyu Ma, Xiwei Xu and Feng Xia</v>
      </c>
      <c r="F28" s="147" t="str">
        <f>IFERROR(__xludf.DUMMYFUNCTION("TEXTJOIN(CHAR(10), TRUE,FILTER ('Sheridan Main'!E:E,'Sheridan Main'!B:B=C28))"),"f.xia@ieee.org")</f>
        <v>f.xia@ieee.org</v>
      </c>
      <c r="G28" s="235" t="str">
        <f>IFERROR(__xludf.DUMMYFUNCTION("CONCATENATE(""https://dl.acm.org/doi/"",INDEX(FILTER('Sheridan Main'!A:A,'Sheridan Main'!B:B=C28),1))"),"https://dl.acm.org/doi/10.1145/3774904.3793044")</f>
        <v>https://dl.acm.org/doi/10.1145/3774904.3793044</v>
      </c>
      <c r="H28" s="221" t="s">
        <v>2862</v>
      </c>
      <c r="I28" s="135" t="s">
        <v>124</v>
      </c>
      <c r="J28" s="143"/>
    </row>
    <row r="29">
      <c r="A29" s="135" t="s">
        <v>2870</v>
      </c>
      <c r="B29" s="143" t="s">
        <v>2323</v>
      </c>
      <c r="C29" s="147" t="str">
        <f>IFERROR(__xludf.DUMMYFUNCTION("FILTER ('Web4Good Papers'!A:A,'Web4Good Papers'!B:B=B29)"),"web1218")</f>
        <v>web1218</v>
      </c>
      <c r="D29" s="147" t="str">
        <f t="shared" si="2"/>
        <v>STPWR: A Spatiotemporal Prediction-based Worker Pre-Recruitment Framework for Mobile Crowd Sensing
Guisong Yang, Yuchen Yang, Yunbo Shen, Xingyu He, Jianheng Tang, Yunhuai Liu and Chengji Xu
</v>
      </c>
      <c r="E29" s="147" t="str">
        <f>IFERROR(__xludf.DUMMYFUNCTION("TEXTJOIN(CHAR(10), TRUE,FILTER('Web4Good Papers'!$D:$D,'Web4Good Papers'!$A:$A=C29))"),"Guisong Yang, Yuchen Yang, Yunbo Shen, Xingyu He, Jianheng Tang, Yunhuai Liu and Chengji Xu")</f>
        <v>Guisong Yang, Yuchen Yang, Yunbo Shen, Xingyu He, Jianheng Tang, Yunhuai Liu and Chengji Xu</v>
      </c>
      <c r="F29" s="147" t="str">
        <f>IFERROR(__xludf.DUMMYFUNCTION("TEXTJOIN(CHAR(10), TRUE,FILTER ('Sheridan Main'!E:E,'Sheridan Main'!B:B=C29))"),"xy_he@usst.edu.cn")</f>
        <v>xy_he@usst.edu.cn</v>
      </c>
      <c r="G29" s="235" t="str">
        <f>IFERROR(__xludf.DUMMYFUNCTION("CONCATENATE(""https://dl.acm.org/doi/"",INDEX(FILTER('Sheridan Main'!A:A,'Sheridan Main'!B:B=C29),1))"),"https://dl.acm.org/doi/10.1145/3774904.3793045")</f>
        <v>https://dl.acm.org/doi/10.1145/3774904.3793045</v>
      </c>
      <c r="H29" s="221" t="s">
        <v>2862</v>
      </c>
      <c r="I29" s="135" t="s">
        <v>2919</v>
      </c>
      <c r="J29" s="143"/>
    </row>
    <row r="30">
      <c r="A30" s="135" t="s">
        <v>2870</v>
      </c>
      <c r="B30" s="143" t="s">
        <v>2325</v>
      </c>
      <c r="C30" s="147" t="str">
        <f>IFERROR(__xludf.DUMMYFUNCTION("FILTER ('Web4Good Papers'!A:A,'Web4Good Papers'!B:B=B30)"),"web0813")</f>
        <v>web0813</v>
      </c>
      <c r="D30" s="147" t="str">
        <f t="shared" si="2"/>
        <v>StreamSense: Streaming Social Task Detection with Selective Vision–Language Model Routing
Han Wang, Deyi Ji, Lanyun Zhu, Jiebo Luo and Roy Ka-Wei Lee
</v>
      </c>
      <c r="E30" s="147" t="str">
        <f>IFERROR(__xludf.DUMMYFUNCTION("TEXTJOIN(CHAR(10), TRUE,FILTER('Web4Good Papers'!$D:$D,'Web4Good Papers'!$A:$A=C30))"),"Han Wang, Deyi Ji, Lanyun Zhu, Jiebo Luo and Roy Ka-Wei Lee")</f>
        <v>Han Wang, Deyi Ji, Lanyun Zhu, Jiebo Luo and Roy Ka-Wei Lee</v>
      </c>
      <c r="F30" s="147" t="str">
        <f>IFERROR(__xludf.DUMMYFUNCTION("TEXTJOIN(CHAR(10), TRUE,FILTER ('Sheridan Main'!E:E,'Sheridan Main'!B:B=C30))"),"han_wang@sutd.edu.sg")</f>
        <v>han_wang@sutd.edu.sg</v>
      </c>
      <c r="G30" s="235" t="str">
        <f>IFERROR(__xludf.DUMMYFUNCTION("CONCATENATE(""https://dl.acm.org/doi/"",INDEX(FILTER('Sheridan Main'!A:A,'Sheridan Main'!B:B=C30),1))"),"https://dl.acm.org/doi/10.1145/3774904.3793046")</f>
        <v>https://dl.acm.org/doi/10.1145/3774904.3793046</v>
      </c>
      <c r="H30" s="221" t="s">
        <v>2862</v>
      </c>
      <c r="I30" s="135" t="s">
        <v>2920</v>
      </c>
      <c r="J30" s="143"/>
    </row>
    <row r="31">
      <c r="A31" s="135" t="s">
        <v>2870</v>
      </c>
      <c r="B31" s="143" t="s">
        <v>2191</v>
      </c>
      <c r="C31" s="147" t="str">
        <f>IFERROR(__xludf.DUMMYFUNCTION("FILTER ('Web4Good Papers'!A:A,'Web4Good Papers'!B:B=B31)"),"web1046")</f>
        <v>web1046</v>
      </c>
      <c r="D31" s="147" t="str">
        <f t="shared" si="2"/>
        <v>Bridging Cognitive Neuroscience and Graph Intelligence: Hippocampus-Inspired Multi-View Hypergraph Learning for Web Finance Fraud
Rongkun Cui, Nana Zhang, Kun Zhu and Qi Zhang
</v>
      </c>
      <c r="E31" s="147" t="str">
        <f>IFERROR(__xludf.DUMMYFUNCTION("TEXTJOIN(CHAR(10), TRUE,FILTER('Web4Good Papers'!$D:$D,'Web4Good Papers'!$A:$A=C31))"),"Rongkun Cui, Nana Zhang, Kun Zhu and Qi Zhang")</f>
        <v>Rongkun Cui, Nana Zhang, Kun Zhu and Qi Zhang</v>
      </c>
      <c r="F31" s="147" t="str">
        <f>IFERROR(__xludf.DUMMYFUNCTION("TEXTJOIN(CHAR(10), TRUE,FILTER ('Sheridan Main'!E:E,'Sheridan Main'!B:B=C31))"),"kzhu00@tongji.edu.cn")</f>
        <v>kzhu00@tongji.edu.cn</v>
      </c>
      <c r="G31" s="235" t="str">
        <f>IFERROR(__xludf.DUMMYFUNCTION("CONCATENATE(""https://dl.acm.org/doi/"",INDEX(FILTER('Sheridan Main'!A:A,'Sheridan Main'!B:B=C31),1))"),"https://dl.acm.org/doi/10.1145/3774904.3792979")</f>
        <v>https://dl.acm.org/doi/10.1145/3774904.3792979</v>
      </c>
      <c r="H31" s="221" t="s">
        <v>2862</v>
      </c>
      <c r="I31" s="135" t="s">
        <v>198</v>
      </c>
      <c r="J31" s="143"/>
    </row>
    <row r="32">
      <c r="A32" s="135" t="s">
        <v>2870</v>
      </c>
      <c r="B32" s="143" t="s">
        <v>2335</v>
      </c>
      <c r="C32" s="147" t="str">
        <f>IFERROR(__xludf.DUMMYFUNCTION("FILTER ('Web4Good Papers'!A:A,'Web4Good Papers'!B:B=B32)"),"web1048")</f>
        <v>web1048</v>
      </c>
      <c r="D32" s="147" t="str">
        <f t="shared" si="2"/>
        <v>Toward Green Computing: General Carbon Intensity Forecasting via Dual Graph Empowered Time Series Foundation Model
Xiaoyang Zhang, Taiqi Zhou, Fang He, Yang Deng and Dan Wang
</v>
      </c>
      <c r="E32" s="147" t="str">
        <f>IFERROR(__xludf.DUMMYFUNCTION("TEXTJOIN(CHAR(10), TRUE,FILTER('Web4Good Papers'!$D:$D,'Web4Good Papers'!$A:$A=C32))"),"Xiaoyang Zhang, Taiqi Zhou, Fang He, Yang Deng and Dan Wang")</f>
        <v>Xiaoyang Zhang, Taiqi Zhou, Fang He, Yang Deng and Dan Wang</v>
      </c>
      <c r="F32" s="147" t="str">
        <f>IFERROR(__xludf.DUMMYFUNCTION("TEXTJOIN(CHAR(10), TRUE,FILTER ('Sheridan Main'!E:E,'Sheridan Main'!B:B=C32))"),"xiaoyang.zhang@connect.polyu.hk")</f>
        <v>xiaoyang.zhang@connect.polyu.hk</v>
      </c>
      <c r="G32" s="235" t="str">
        <f>IFERROR(__xludf.DUMMYFUNCTION("CONCATENATE(""https://dl.acm.org/doi/"",INDEX(FILTER('Sheridan Main'!A:A,'Sheridan Main'!B:B=C32),1))"),"https://dl.acm.org/doi/10.1145/3774904.3793051")</f>
        <v>https://dl.acm.org/doi/10.1145/3774904.3793051</v>
      </c>
      <c r="H32" s="221" t="s">
        <v>2862</v>
      </c>
      <c r="I32" s="135" t="s">
        <v>2918</v>
      </c>
      <c r="J32" s="143"/>
    </row>
    <row r="33">
      <c r="A33" s="135" t="s">
        <v>2870</v>
      </c>
      <c r="B33" s="143" t="s">
        <v>2187</v>
      </c>
      <c r="C33" s="147" t="str">
        <f>IFERROR(__xludf.DUMMYFUNCTION("FILTER ('Web4Good Papers'!A:A,'Web4Good Papers'!B:B=B33)"),"web1052")</f>
        <v>web1052</v>
      </c>
      <c r="D33" s="147" t="str">
        <f t="shared" si="2"/>
        <v>Boosting Large Language Models for Mental Manipulation Detection via Data Augmentation and Distillation
Yuansheng Gao, Peng Gao, Han Bao, Bin Li, Jixiang Luo, Zonghui Wang and Wenzhi Chen
</v>
      </c>
      <c r="E33" s="147" t="str">
        <f>IFERROR(__xludf.DUMMYFUNCTION("TEXTJOIN(CHAR(10), TRUE,FILTER('Web4Good Papers'!$D:$D,'Web4Good Papers'!$A:$A=C33))"),"Yuansheng Gao, Peng Gao, Han Bao, Bin Li, Jixiang Luo, Zonghui Wang and Wenzhi Chen")</f>
        <v>Yuansheng Gao, Peng Gao, Han Bao, Bin Li, Jixiang Luo, Zonghui Wang and Wenzhi Chen</v>
      </c>
      <c r="F33" s="147" t="str">
        <f>IFERROR(__xludf.DUMMYFUNCTION("TEXTJOIN(CHAR(10), TRUE,FILTER ('Sheridan Main'!E:E,'Sheridan Main'!B:B=C33))"),"y.gao@zju.edu.cn")</f>
        <v>y.gao@zju.edu.cn</v>
      </c>
      <c r="G33" s="235" t="str">
        <f>IFERROR(__xludf.DUMMYFUNCTION("CONCATENATE(""https://dl.acm.org/doi/"",INDEX(FILTER('Sheridan Main'!A:A,'Sheridan Main'!B:B=C33),1))"),"https://dl.acm.org/doi/10.1145/3774904.3792977")</f>
        <v>https://dl.acm.org/doi/10.1145/3774904.3792977</v>
      </c>
      <c r="H33" s="221" t="s">
        <v>2862</v>
      </c>
      <c r="I33" s="135" t="s">
        <v>124</v>
      </c>
      <c r="J33" s="143"/>
    </row>
    <row r="34">
      <c r="A34" s="135" t="s">
        <v>2870</v>
      </c>
      <c r="B34" s="143" t="s">
        <v>2315</v>
      </c>
      <c r="C34" s="147" t="str">
        <f>IFERROR(__xludf.DUMMYFUNCTION("FILTER ('Web4Good Papers'!A:A,'Web4Good Papers'!B:B=B34)"),"web1067")</f>
        <v>web1067</v>
      </c>
      <c r="D34" s="147" t="str">
        <f t="shared" si="2"/>
        <v>SAGE: Sustainable Agent-Guided Expert-tuning for Culturally Attuned Translation in Low-Resource Southeast Asia
Zhixiang Lu, Chong Zhang, Yulong Li, Angelos Stefanidis, Anh Nguyen, Imran Razzak, Jionglong Su and Zhengyong Jiang
</v>
      </c>
      <c r="E34" s="147" t="str">
        <f>IFERROR(__xludf.DUMMYFUNCTION("TEXTJOIN(CHAR(10), TRUE,FILTER('Web4Good Papers'!$D:$D,'Web4Good Papers'!$A:$A=C34))"),"Zhixiang Lu, Chong Zhang, Yulong Li, Angelos Stefanidis, Anh Nguyen, Imran Razzak, Jionglong Su and Zhengyong Jiang")</f>
        <v>Zhixiang Lu, Chong Zhang, Yulong Li, Angelos Stefanidis, Anh Nguyen, Imran Razzak, Jionglong Su and Zhengyong Jiang</v>
      </c>
      <c r="F34" s="147" t="str">
        <f>IFERROR(__xludf.DUMMYFUNCTION("TEXTJOIN(CHAR(10), TRUE,FILTER ('Sheridan Main'!E:E,'Sheridan Main'!B:B=C34))"),"imran.razzak@mbzuai.ac.ae")</f>
        <v>imran.razzak@mbzuai.ac.ae</v>
      </c>
      <c r="G34" s="235" t="str">
        <f>IFERROR(__xludf.DUMMYFUNCTION("CONCATENATE(""https://dl.acm.org/doi/"",INDEX(FILTER('Sheridan Main'!A:A,'Sheridan Main'!B:B=C34),1))"),"https://dl.acm.org/doi/10.1145/3774904.3793041")</f>
        <v>https://dl.acm.org/doi/10.1145/3774904.3793041</v>
      </c>
      <c r="H34" s="221" t="s">
        <v>2862</v>
      </c>
      <c r="I34" s="135" t="s">
        <v>2919</v>
      </c>
      <c r="J34" s="143"/>
    </row>
    <row r="35">
      <c r="A35" s="135" t="s">
        <v>2870</v>
      </c>
      <c r="B35" s="143" t="s">
        <v>2239</v>
      </c>
      <c r="C35" s="147" t="str">
        <f>IFERROR(__xludf.DUMMYFUNCTION("FILTER ('Web4Good Papers'!A:A,'Web4Good Papers'!B:B=B35)"),"web1290")</f>
        <v>web1290</v>
      </c>
      <c r="D35" s="147" t="str">
        <f t="shared" si="2"/>
        <v>FairFRL: Fairness-aware Federated Representation Learning for Cross-domain Sequential Recommendation
Tao Tang, Mujie Liu, Botao Liu, Wei Du, Liping Chen, Xinrui Cheng, Jiaxin Du and Xiangjie Kong
</v>
      </c>
      <c r="E35" s="147" t="str">
        <f>IFERROR(__xludf.DUMMYFUNCTION("TEXTJOIN(CHAR(10), TRUE,FILTER('Web4Good Papers'!$D:$D,'Web4Good Papers'!$A:$A=C35))"),"Tao Tang, Mujie Liu, Botao Liu, Wei Du, Liping Chen, Xinrui Cheng, Jiaxin Du and Xiangjie Kong")</f>
        <v>Tao Tang, Mujie Liu, Botao Liu, Wei Du, Liping Chen, Xinrui Cheng, Jiaxin Du and Xiangjie Kong</v>
      </c>
      <c r="F35" s="147" t="str">
        <f>IFERROR(__xludf.DUMMYFUNCTION("TEXTJOIN(CHAR(10), TRUE,FILTER ('Sheridan Main'!E:E,'Sheridan Main'!B:B=C35))"),"xjkong@ieee.org")</f>
        <v>xjkong@ieee.org</v>
      </c>
      <c r="G35" s="235" t="str">
        <f>IFERROR(__xludf.DUMMYFUNCTION("CONCATENATE(""https://dl.acm.org/doi/"",INDEX(FILTER('Sheridan Main'!A:A,'Sheridan Main'!B:B=C35),1))"),"https://dl.acm.org/doi/10.1145/3774904.3793003")</f>
        <v>https://dl.acm.org/doi/10.1145/3774904.3793003</v>
      </c>
      <c r="H35" s="221" t="s">
        <v>2862</v>
      </c>
      <c r="I35" s="135" t="s">
        <v>2920</v>
      </c>
      <c r="J35" s="143"/>
    </row>
    <row r="36">
      <c r="A36" s="135" t="s">
        <v>2870</v>
      </c>
      <c r="B36" s="143" t="s">
        <v>2229</v>
      </c>
      <c r="C36" s="147" t="str">
        <f>IFERROR(__xludf.DUMMYFUNCTION("FILTER ('Web4Good Papers'!A:A,'Web4Good Papers'!B:B=B36)"),"web0150")</f>
        <v>web0150</v>
      </c>
      <c r="D36" s="147" t="str">
        <f t="shared" si="2"/>
        <v>Energy-Efficient Training-Free Zero-Inflation Correction for Rainfall Forecasting with Time-Series Foundation Models
Wentao Gao, Xiaojing Du, Xiongren Chen, Yifan Guo, Andres Mauricio Cifuentes-Bernal, Renqiang Luo and Ziqi Xu
</v>
      </c>
      <c r="E36" s="147" t="str">
        <f>IFERROR(__xludf.DUMMYFUNCTION("TEXTJOIN(CHAR(10), TRUE,FILTER('Web4Good Papers'!$D:$D,'Web4Good Papers'!$A:$A=C36))"),"Wentao Gao, Xiaojing Du, Xiongren Chen, Yifan Guo, Andres Mauricio Cifuentes-Bernal, Renqiang Luo and Ziqi Xu")</f>
        <v>Wentao Gao, Xiaojing Du, Xiongren Chen, Yifan Guo, Andres Mauricio Cifuentes-Bernal, Renqiang Luo and Ziqi Xu</v>
      </c>
      <c r="F36" s="147" t="str">
        <f>IFERROR(__xludf.DUMMYFUNCTION("TEXTJOIN(CHAR(10), TRUE,FILTER ('Sheridan Main'!E:E,'Sheridan Main'!B:B=C36))"),"ziqi.xu@rmit.edu.au")</f>
        <v>ziqi.xu@rmit.edu.au</v>
      </c>
      <c r="G36" s="235" t="str">
        <f>IFERROR(__xludf.DUMMYFUNCTION("CONCATENATE(""https://dl.acm.org/doi/"",INDEX(FILTER('Sheridan Main'!A:A,'Sheridan Main'!B:B=C36),1))"),"https://dl.acm.org/doi/10.1145/3774904.3792998")</f>
        <v>https://dl.acm.org/doi/10.1145/3774904.3792998</v>
      </c>
      <c r="H36" s="221" t="s">
        <v>2862</v>
      </c>
      <c r="I36" s="135" t="s">
        <v>198</v>
      </c>
      <c r="J36" s="143"/>
    </row>
    <row r="37">
      <c r="A37" s="135" t="s">
        <v>2870</v>
      </c>
      <c r="B37" s="143" t="s">
        <v>2225</v>
      </c>
      <c r="C37" s="147" t="str">
        <f>IFERROR(__xludf.DUMMYFUNCTION("FILTER ('Web4Good Papers'!A:A,'Web4Good Papers'!B:B=B37)"),"web0353")</f>
        <v>web0353</v>
      </c>
      <c r="D37" s="147" t="str">
        <f t="shared" si="2"/>
        <v>Egocentric Co-Pilot: Web-Native Smart-Glasses Agents for Assistive Egocentric AI
Sicheng Yang, Yukai Huang, Weitong Cai, Shitong Sun, Fengyi Fang, You He, Yiqiao Xie, Jiankang Deng, Hang Zhang, Jifei Song and Zhensong Zhang
</v>
      </c>
      <c r="E37" s="147" t="str">
        <f>IFERROR(__xludf.DUMMYFUNCTION("TEXTJOIN(CHAR(10), TRUE,FILTER('Web4Good Papers'!$D:$D,'Web4Good Papers'!$A:$A=C37))"),"Sicheng Yang, Yukai Huang, Weitong Cai, Shitong Sun, Fengyi Fang, You He, Yiqiao Xie, Jiankang Deng, Hang Zhang, Jifei Song and Zhensong Zhang")</f>
        <v>Sicheng Yang, Yukai Huang, Weitong Cai, Shitong Sun, Fengyi Fang, You He, Yiqiao Xie, Jiankang Deng, Hang Zhang, Jifei Song and Zhensong Zhang</v>
      </c>
      <c r="F37" s="147" t="str">
        <f>IFERROR(__xludf.DUMMYFUNCTION("TEXTJOIN(CHAR(10), TRUE,FILTER ('Sheridan Main'!E:E,'Sheridan Main'!B:B=C37))"),"yangsc25@mails.tsinghua.edu.cn")</f>
        <v>yangsc25@mails.tsinghua.edu.cn</v>
      </c>
      <c r="G37" s="235" t="str">
        <f>IFERROR(__xludf.DUMMYFUNCTION("CONCATENATE(""https://dl.acm.org/doi/"",INDEX(FILTER('Sheridan Main'!A:A,'Sheridan Main'!B:B=C37),1))"),"https://dl.acm.org/doi/10.1145/3774904.3792996")</f>
        <v>https://dl.acm.org/doi/10.1145/3774904.3792996</v>
      </c>
      <c r="H37" s="221" t="s">
        <v>2862</v>
      </c>
      <c r="I37" s="135" t="s">
        <v>2918</v>
      </c>
      <c r="J37" s="143"/>
    </row>
    <row r="38">
      <c r="A38" s="135" t="s">
        <v>2870</v>
      </c>
      <c r="B38" s="143" t="s">
        <v>2307</v>
      </c>
      <c r="C38" s="147" t="str">
        <f>IFERROR(__xludf.DUMMYFUNCTION("FILTER ('Web4Good Papers'!A:A,'Web4Good Papers'!B:B=B38)"),"web0929")</f>
        <v>web0929</v>
      </c>
      <c r="D38" s="147" t="str">
        <f t="shared" si="2"/>
        <v>ReRule: Temporal Rule-Augmented Language Modeling for Causal Event Chain Completion
Wei Zhang, Shufeng Hao, Chongyang Shi, Usman Naseem, Jinyan Liu and Ziyu Li
</v>
      </c>
      <c r="E38" s="147" t="str">
        <f>IFERROR(__xludf.DUMMYFUNCTION("TEXTJOIN(CHAR(10), TRUE,FILTER('Web4Good Papers'!$D:$D,'Web4Good Papers'!$A:$A=C38))"),"Wei Zhang, Shufeng Hao, Chongyang Shi, Usman Naseem, Jinyan Liu and Ziyu Li")</f>
        <v>Wei Zhang, Shufeng Hao, Chongyang Shi, Usman Naseem, Jinyan Liu and Ziyu Li</v>
      </c>
      <c r="F38" s="147" t="str">
        <f>IFERROR(__xludf.DUMMYFUNCTION("TEXTJOIN(CHAR(10), TRUE,FILTER ('Sheridan Main'!E:E,'Sheridan Main'!B:B=C38))"),"haoshufeng@tyut.edu.cn")</f>
        <v>haoshufeng@tyut.edu.cn</v>
      </c>
      <c r="G38" s="235" t="str">
        <f>IFERROR(__xludf.DUMMYFUNCTION("CONCATENATE(""https://dl.acm.org/doi/"",INDEX(FILTER('Sheridan Main'!A:A,'Sheridan Main'!B:B=C38),1))"),"https://dl.acm.org/doi/10.1145/3774904.3793037")</f>
        <v>https://dl.acm.org/doi/10.1145/3774904.3793037</v>
      </c>
      <c r="H38" s="221" t="s">
        <v>2862</v>
      </c>
      <c r="I38" s="135" t="s">
        <v>124</v>
      </c>
      <c r="J38" s="143"/>
    </row>
    <row r="39">
      <c r="A39" s="135" t="s">
        <v>2870</v>
      </c>
      <c r="B39" s="143" t="s">
        <v>2253</v>
      </c>
      <c r="C39" s="147" t="str">
        <f>IFERROR(__xludf.DUMMYFUNCTION("FILTER ('Web4Good Papers'!A:A,'Web4Good Papers'!B:B=B39)"),"web1055")</f>
        <v>web1055</v>
      </c>
      <c r="D39" s="147" t="str">
        <f t="shared" si="2"/>
        <v>Genomic-Informed Heterogeneous Graph Learning for Spatiotemporal Avian Influenza Outbreak Forecasting
Jing Du, Haley Stone, Yang Yang, Ashna Desai, Hao Xue, Andreas Züfle, C. Raina MacIntyre and Flora D. Salim
</v>
      </c>
      <c r="E39" s="147" t="str">
        <f>IFERROR(__xludf.DUMMYFUNCTION("TEXTJOIN(CHAR(10), TRUE,FILTER('Web4Good Papers'!$D:$D,'Web4Good Papers'!$A:$A=C39))"),"Jing Du, Haley Stone, Yang Yang, Ashna Desai, Hao Xue, Andreas Züfle, C. Raina MacIntyre and Flora D. Salim")</f>
        <v>Jing Du, Haley Stone, Yang Yang, Ashna Desai, Hao Xue, Andreas Züfle, C. Raina MacIntyre and Flora D. Salim</v>
      </c>
      <c r="F39" s="147" t="str">
        <f>IFERROR(__xludf.DUMMYFUNCTION("TEXTJOIN(CHAR(10), TRUE,FILTER ('Sheridan Main'!E:E,'Sheridan Main'!B:B=C39))"),"jing.du2@unsw.edu.au")</f>
        <v>jing.du2@unsw.edu.au</v>
      </c>
      <c r="G39" s="235" t="str">
        <f>IFERROR(__xludf.DUMMYFUNCTION("CONCATENATE(""https://dl.acm.org/doi/"",INDEX(FILTER('Sheridan Main'!A:A,'Sheridan Main'!B:B=C39),1))"),"https://dl.acm.org/doi/10.1145/3774904.3793010")</f>
        <v>https://dl.acm.org/doi/10.1145/3774904.3793010</v>
      </c>
      <c r="H39" s="221" t="s">
        <v>2862</v>
      </c>
      <c r="I39" s="135" t="s">
        <v>2919</v>
      </c>
      <c r="J39" s="143"/>
    </row>
    <row r="40">
      <c r="A40" s="135" t="s">
        <v>2870</v>
      </c>
      <c r="B40" s="143" t="s">
        <v>2195</v>
      </c>
      <c r="C40" s="147" t="str">
        <f>IFERROR(__xludf.DUMMYFUNCTION("FILTER ('Web4Good Papers'!A:A,'Web4Good Papers'!B:B=B40)"),"web1110")</f>
        <v>web1110</v>
      </c>
      <c r="D40" s="147" t="str">
        <f t="shared" si="2"/>
        <v>CEAT: Context-Emotion Adversarial Training Framework for Robust Emotion-Driven Fraud Detection
Chaoqun Li, Si Wu, Yijun Lu, Yuyin Ma, Jinyao Liu, Dingyi Jia, Mingda Han, Feng Li and Pengfei Hu
</v>
      </c>
      <c r="E40" s="147" t="str">
        <f>IFERROR(__xludf.DUMMYFUNCTION("TEXTJOIN(CHAR(10), TRUE,FILTER('Web4Good Papers'!$D:$D,'Web4Good Papers'!$A:$A=C40))"),"Chaoqun Li, Si Wu, Yijun Lu, Yuyin Ma, Jinyao Liu, Dingyi Jia, Mingda Han, Feng Li and Pengfei Hu")</f>
        <v>Chaoqun Li, Si Wu, Yijun Lu, Yuyin Ma, Jinyao Liu, Dingyi Jia, Mingda Han, Feng Li and Pengfei Hu</v>
      </c>
      <c r="F40" s="147" t="str">
        <f>IFERROR(__xludf.DUMMYFUNCTION("TEXTJOIN(CHAR(10), TRUE,FILTER ('Sheridan Main'!E:E,'Sheridan Main'!B:B=C40))"),"yijun@ruri.waseda.jp")</f>
        <v>yijun@ruri.waseda.jp</v>
      </c>
      <c r="G40" s="235" t="str">
        <f>IFERROR(__xludf.DUMMYFUNCTION("CONCATENATE(""https://dl.acm.org/doi/"",INDEX(FILTER('Sheridan Main'!A:A,'Sheridan Main'!B:B=C40),1))"),"https://dl.acm.org/doi/10.1145/3774904.3792981")</f>
        <v>https://dl.acm.org/doi/10.1145/3774904.3792981</v>
      </c>
      <c r="H40" s="221" t="s">
        <v>2862</v>
      </c>
      <c r="I40" s="135" t="s">
        <v>2920</v>
      </c>
      <c r="J40" s="143"/>
    </row>
    <row r="41">
      <c r="A41" s="135" t="s">
        <v>2870</v>
      </c>
      <c r="B41" s="143" t="s">
        <v>2263</v>
      </c>
      <c r="C41" s="147" t="str">
        <f>IFERROR(__xludf.DUMMYFUNCTION("FILTER ('Web4Good Papers'!A:A,'Web4Good Papers'!B:B=B41)"),"web1156")</f>
        <v>web1156</v>
      </c>
      <c r="D41" s="147" t="str">
        <f t="shared" si="2"/>
        <v>HAAF: Hierarchical Adaptation and Alignment of Foundation Models for Few-Shot Pathology Anomaly Detection
Chunze Yang, Wenjie Zhao, Yue Tang, Junbo Lu, Jiusong Ge, Qidong Liu, Zeyu Gao and Chen Li
</v>
      </c>
      <c r="E41" s="147" t="str">
        <f>IFERROR(__xludf.DUMMYFUNCTION("TEXTJOIN(CHAR(10), TRUE,FILTER('Web4Good Papers'!$D:$D,'Web4Good Papers'!$A:$A=C41))"),"Chunze Yang, Wenjie Zhao, Yue Tang, Junbo Lu, Jiusong Ge, Qidong Liu, Zeyu Gao and Chen Li")</f>
        <v>Chunze Yang, Wenjie Zhao, Yue Tang, Junbo Lu, Jiusong Ge, Qidong Liu, Zeyu Gao and Chen Li</v>
      </c>
      <c r="F41" s="147" t="str">
        <f>IFERROR(__xludf.DUMMYFUNCTION("TEXTJOIN(CHAR(10), TRUE,FILTER ('Sheridan Main'!E:E,'Sheridan Main'!B:B=C41))"),"zg323@cam.ac.uk")</f>
        <v>zg323@cam.ac.uk</v>
      </c>
      <c r="G41" s="235" t="str">
        <f>IFERROR(__xludf.DUMMYFUNCTION("CONCATENATE(""https://dl.acm.org/doi/"",INDEX(FILTER('Sheridan Main'!A:A,'Sheridan Main'!B:B=C41),1))"),"https://dl.acm.org/doi/10.1145/3774904.3793015")</f>
        <v>https://dl.acm.org/doi/10.1145/3774904.3793015</v>
      </c>
      <c r="H41" s="221" t="s">
        <v>2862</v>
      </c>
      <c r="I41" s="135" t="s">
        <v>198</v>
      </c>
      <c r="J41" s="143"/>
    </row>
    <row r="42">
      <c r="A42" s="135" t="s">
        <v>2870</v>
      </c>
      <c r="B42" s="143" t="s">
        <v>2259</v>
      </c>
      <c r="C42" s="147" t="str">
        <f>IFERROR(__xludf.DUMMYFUNCTION("FILTER ('Web4Good Papers'!A:A,'Web4Good Papers'!B:B=B42)"),"web1161")</f>
        <v>web1161</v>
      </c>
      <c r="D42" s="147" t="str">
        <f t="shared" si="2"/>
        <v>Green Industrial Engineering on the Web: Agent-Driven Ant Colony Optimization Tuning for Energy-Efficient 3D Pipe Routing
Xuanhan Fan, Rui Ding, Haojie Liu, Jibin Zhou, Han Liu, Yuanman Li, Wei Wang and Mao Ye
</v>
      </c>
      <c r="E42" s="147" t="str">
        <f>IFERROR(__xludf.DUMMYFUNCTION("TEXTJOIN(CHAR(10), TRUE,FILTER('Web4Good Papers'!$D:$D,'Web4Good Papers'!$A:$A=C42))"),"Xuanhan Fan, Rui Ding, Haojie Liu, Jibin Zhou, Han Liu, Yuanman Li, Wei Wang and Mao Ye")</f>
        <v>Xuanhan Fan, Rui Ding, Haojie Liu, Jibin Zhou, Han Liu, Yuanman Li, Wei Wang and Mao Ye</v>
      </c>
      <c r="F42" s="147" t="str">
        <f>IFERROR(__xludf.DUMMYFUNCTION("TEXTJOIN(CHAR(10), TRUE,FILTER ('Sheridan Main'!E:E,'Sheridan Main'!B:B=C42))"),"ehomewang@ieee.org")</f>
        <v>ehomewang@ieee.org</v>
      </c>
      <c r="G42" s="235" t="str">
        <f>IFERROR(__xludf.DUMMYFUNCTION("CONCATENATE(""https://dl.acm.org/doi/"",INDEX(FILTER('Sheridan Main'!A:A,'Sheridan Main'!B:B=C42),1))"),"https://dl.acm.org/doi/10.1145/3774904.3793013")</f>
        <v>https://dl.acm.org/doi/10.1145/3774904.3793013</v>
      </c>
      <c r="H42" s="221" t="s">
        <v>2862</v>
      </c>
      <c r="I42" s="135" t="s">
        <v>2918</v>
      </c>
      <c r="J42" s="143"/>
    </row>
    <row r="43">
      <c r="A43" s="135" t="s">
        <v>2870</v>
      </c>
      <c r="B43" s="143" t="s">
        <v>2269</v>
      </c>
      <c r="C43" s="147" t="str">
        <f>IFERROR(__xludf.DUMMYFUNCTION("FILTER ('Web4Good Papers'!A:A,'Web4Good Papers'!B:B=B43)"),"web1189")</f>
        <v>web1189</v>
      </c>
      <c r="D43" s="147" t="str">
        <f t="shared" si="2"/>
        <v>IndicAG: An Explainable Agentic Framework for Indic-Multilingual Multidimensional Aggression Detection
Swapnil Mane, Rajesh Sharma and Suman Kundu
</v>
      </c>
      <c r="E43" s="147" t="str">
        <f>IFERROR(__xludf.DUMMYFUNCTION("TEXTJOIN(CHAR(10), TRUE,FILTER('Web4Good Papers'!$D:$D,'Web4Good Papers'!$A:$A=C43))"),"Swapnil Mane, Rajesh Sharma and Suman Kundu")</f>
        <v>Swapnil Mane, Rajesh Sharma and Suman Kundu</v>
      </c>
      <c r="F43" s="147" t="str">
        <f>IFERROR(__xludf.DUMMYFUNCTION("TEXTJOIN(CHAR(10), TRUE,FILTER ('Sheridan Main'!E:E,'Sheridan Main'!B:B=C43))"),"mane.1@iitj.ac.in")</f>
        <v>mane.1@iitj.ac.in</v>
      </c>
      <c r="G43" s="235" t="str">
        <f>IFERROR(__xludf.DUMMYFUNCTION("CONCATENATE(""https://dl.acm.org/doi/"",INDEX(FILTER('Sheridan Main'!A:A,'Sheridan Main'!B:B=C43),1))"),"https://dl.acm.org/doi/10.1145/3774904.3793018")</f>
        <v>https://dl.acm.org/doi/10.1145/3774904.3793018</v>
      </c>
      <c r="H43" s="221" t="s">
        <v>2862</v>
      </c>
      <c r="I43" s="135" t="s">
        <v>124</v>
      </c>
      <c r="J43" s="143"/>
    </row>
    <row r="44">
      <c r="A44" s="135" t="s">
        <v>2870</v>
      </c>
      <c r="B44" s="143" t="s">
        <v>2281</v>
      </c>
      <c r="C44" s="147" t="str">
        <f>IFERROR(__xludf.DUMMYFUNCTION("FILTER ('Web4Good Papers'!A:A,'Web4Good Papers'!B:B=B44)"),"web1356")</f>
        <v>web1356</v>
      </c>
      <c r="D44" s="147" t="str">
        <f t="shared" si="2"/>
        <v>LEAP: LLM-Enhanced E-commerce Demand Prediction under Emergent Events
Shuxin Zhong, Hongyu Lin, Yan Fang, Jun Chen and Kaishun Wu
</v>
      </c>
      <c r="E44" s="147" t="str">
        <f>IFERROR(__xludf.DUMMYFUNCTION("TEXTJOIN(CHAR(10), TRUE,FILTER('Web4Good Papers'!$D:$D,'Web4Good Papers'!$A:$A=C44))"),"Shuxin Zhong, Hongyu Lin, Yan Fang, Jun Chen and Kaishun Wu")</f>
        <v>Shuxin Zhong, Hongyu Lin, Yan Fang, Jun Chen and Kaishun Wu</v>
      </c>
      <c r="F44" s="147" t="str">
        <f>IFERROR(__xludf.DUMMYFUNCTION("TEXTJOIN(CHAR(10), TRUE,FILTER ('Sheridan Main'!E:E,'Sheridan Main'!B:B=C44))"),"linhongyu7@jd.com")</f>
        <v>linhongyu7@jd.com</v>
      </c>
      <c r="G44" s="235" t="str">
        <f>IFERROR(__xludf.DUMMYFUNCTION("CONCATENATE(""https://dl.acm.org/doi/"",INDEX(FILTER('Sheridan Main'!A:A,'Sheridan Main'!B:B=C44),1))"),"https://dl.acm.org/doi/10.1145/3774904.3793024")</f>
        <v>https://dl.acm.org/doi/10.1145/3774904.3793024</v>
      </c>
      <c r="H44" s="221" t="s">
        <v>2862</v>
      </c>
      <c r="I44" s="135" t="s">
        <v>2919</v>
      </c>
      <c r="J44" s="143"/>
    </row>
    <row r="45">
      <c r="A45" s="135" t="s">
        <v>2870</v>
      </c>
      <c r="B45" s="143" t="s">
        <v>2265</v>
      </c>
      <c r="C45" s="147" t="str">
        <f>IFERROR(__xludf.DUMMYFUNCTION("FILTER ('Web4Good Papers'!A:A,'Web4Good Papers'!B:B=B45)"),"web1062")</f>
        <v>web1062</v>
      </c>
      <c r="D45" s="147" t="str">
        <f t="shared" si="2"/>
        <v>HCSL: Rumor Detection by Integrating Intra-Sample Curriculum Learning and Hierarchical Semantic Learning
Ping Liu, Hui Song, Shufeng Hao, Xiaoning Hao, Zexu Zhang and Usman Naseem
</v>
      </c>
      <c r="E45" s="147" t="str">
        <f>IFERROR(__xludf.DUMMYFUNCTION("TEXTJOIN(CHAR(10), TRUE,FILTER('Web4Good Papers'!$D:$D,'Web4Good Papers'!$A:$A=C45))"),"Ping Liu, Hui Song, Shufeng Hao, Xiaoning Hao, Zexu Zhang and Usman Naseem")</f>
        <v>Ping Liu, Hui Song, Shufeng Hao, Xiaoning Hao, Zexu Zhang and Usman Naseem</v>
      </c>
      <c r="F45" s="147" t="str">
        <f>IFERROR(__xludf.DUMMYFUNCTION("TEXTJOIN(CHAR(10), TRUE,FILTER ('Sheridan Main'!E:E,'Sheridan Main'!B:B=C45))"),"haoshufeng@tyut.edu.cn")</f>
        <v>haoshufeng@tyut.edu.cn</v>
      </c>
      <c r="G45" s="235" t="str">
        <f>IFERROR(__xludf.DUMMYFUNCTION("CONCATENATE(""https://dl.acm.org/doi/"",INDEX(FILTER('Sheridan Main'!A:A,'Sheridan Main'!B:B=C45),1))"),"https://dl.acm.org/doi/10.1145/3774904.3793016")</f>
        <v>https://dl.acm.org/doi/10.1145/3774904.3793016</v>
      </c>
      <c r="H45" s="221" t="s">
        <v>2862</v>
      </c>
      <c r="I45" s="135" t="s">
        <v>2920</v>
      </c>
      <c r="J45" s="143"/>
    </row>
    <row r="46">
      <c r="A46" s="135" t="s">
        <v>2870</v>
      </c>
      <c r="B46" s="143" t="s">
        <v>2279</v>
      </c>
      <c r="C46" s="147" t="str">
        <f>IFERROR(__xludf.DUMMYFUNCTION("FILTER ('Web4Good Papers'!A:A,'Web4Good Papers'!B:B=B46)"),"web1149")</f>
        <v>web1149</v>
      </c>
      <c r="D46" s="147" t="str">
        <f t="shared" si="2"/>
        <v>Language-Guided Game-Theoretic Fairness in Web-Enabled Energy Networks
Hao Wu, Yuhua Li, Yuntao Zou, Qianqi Zhang, Ruixuan Li, Zeling Xu and Wei Wang
</v>
      </c>
      <c r="E46" s="147" t="str">
        <f>IFERROR(__xludf.DUMMYFUNCTION("TEXTJOIN(CHAR(10), TRUE,FILTER('Web4Good Papers'!$D:$D,'Web4Good Papers'!$A:$A=C46))"),"Hao Wu, Yuhua Li, Yuntao Zou, Qianqi Zhang, Ruixuan Li, Zeling Xu and Wei Wang")</f>
        <v>Hao Wu, Yuhua Li, Yuntao Zou, Qianqi Zhang, Ruixuan Li, Zeling Xu and Wei Wang</v>
      </c>
      <c r="F46" s="147" t="str">
        <f>IFERROR(__xludf.DUMMYFUNCTION("TEXTJOIN(CHAR(10), TRUE,FILTER ('Sheridan Main'!E:E,'Sheridan Main'!B:B=C46))"),"ZelingXu@ieee.org")</f>
        <v>ZelingXu@ieee.org</v>
      </c>
      <c r="G46" s="235" t="str">
        <f>IFERROR(__xludf.DUMMYFUNCTION("CONCATENATE(""https://dl.acm.org/doi/"",INDEX(FILTER('Sheridan Main'!A:A,'Sheridan Main'!B:B=C46),1))"),"https://dl.acm.org/doi/10.1145/3774904.3793023")</f>
        <v>https://dl.acm.org/doi/10.1145/3774904.3793023</v>
      </c>
      <c r="H46" s="221" t="s">
        <v>2862</v>
      </c>
      <c r="I46" s="135" t="s">
        <v>198</v>
      </c>
      <c r="J46" s="143"/>
    </row>
    <row r="47">
      <c r="A47" s="135" t="s">
        <v>2870</v>
      </c>
      <c r="B47" s="143" t="s">
        <v>2221</v>
      </c>
      <c r="C47" s="147" t="str">
        <f>IFERROR(__xludf.DUMMYFUNCTION("FILTER ('Web4Good Papers'!A:A,'Web4Good Papers'!B:B=B47)"),"web1064")</f>
        <v>web1064</v>
      </c>
      <c r="D47" s="147" t="str">
        <f t="shared" si="2"/>
        <v>Dynamic Min-Max Multi-Dimensional Reinforcement Backdoor Attacks and Orchestrated Closed-Loop Defense in Fairness-Aware Web Federated Finance
Ruixiao Zhu, Kun Zhu, Nana Zhang, Qi Zhang and Changjun Jiang
</v>
      </c>
      <c r="E47" s="147" t="str">
        <f>IFERROR(__xludf.DUMMYFUNCTION("TEXTJOIN(CHAR(10), TRUE,FILTER('Web4Good Papers'!$D:$D,'Web4Good Papers'!$A:$A=C47))"),"Ruixiao Zhu, Kun Zhu, Nana Zhang, Qi Zhang and Changjun Jiang")</f>
        <v>Ruixiao Zhu, Kun Zhu, Nana Zhang, Qi Zhang and Changjun Jiang</v>
      </c>
      <c r="F47" s="147" t="str">
        <f>IFERROR(__xludf.DUMMYFUNCTION("TEXTJOIN(CHAR(10), TRUE,FILTER ('Sheridan Main'!E:E,'Sheridan Main'!B:B=C47))"),"kzhu00@tongji.edu.cn")</f>
        <v>kzhu00@tongji.edu.cn</v>
      </c>
      <c r="G47" s="235" t="str">
        <f>IFERROR(__xludf.DUMMYFUNCTION("CONCATENATE(""https://dl.acm.org/doi/"",INDEX(FILTER('Sheridan Main'!A:A,'Sheridan Main'!B:B=C47),1))"),"https://dl.acm.org/doi/10.1145/3774904.3792994")</f>
        <v>https://dl.acm.org/doi/10.1145/3774904.3792994</v>
      </c>
      <c r="H47" s="221" t="s">
        <v>2862</v>
      </c>
      <c r="I47" s="135" t="s">
        <v>2918</v>
      </c>
      <c r="J47" s="143"/>
    </row>
    <row r="48">
      <c r="A48" s="135" t="s">
        <v>2870</v>
      </c>
      <c r="B48" s="143" t="s">
        <v>2257</v>
      </c>
      <c r="C48" s="147" t="str">
        <f>IFERROR(__xludf.DUMMYFUNCTION("FILTER ('Web4Good Papers'!A:A,'Web4Good Papers'!B:B=B48)"),"web1281")</f>
        <v>web1281</v>
      </c>
      <c r="D48" s="147" t="str">
        <f t="shared" si="2"/>
        <v>GRAND: A Robust Diffusion Framework for Multi-Granularity Graph Anomaly Detection in Web Platforms
Maolin Wang, Beining Bao, Hongyu Chen, Zichun Liu, Lang Fu, Jun Chu, Langzhang Liang and Zenglin Xu
</v>
      </c>
      <c r="E48" s="147" t="str">
        <f>IFERROR(__xludf.DUMMYFUNCTION("TEXTJOIN(CHAR(10), TRUE,FILTER('Web4Good Papers'!$D:$D,'Web4Good Papers'!$A:$A=C48))"),"Maolin Wang, Beining Bao, Hongyu Chen, Zichun Liu, Lang Fu, Jun Chu, Langzhang Liang and Zenglin Xu")</f>
        <v>Maolin Wang, Beining Bao, Hongyu Chen, Zichun Liu, Lang Fu, Jun Chu, Langzhang Liang and Zenglin Xu</v>
      </c>
      <c r="F48" s="147" t="str">
        <f>IFERROR(__xludf.DUMMYFUNCTION("TEXTJOIN(CHAR(10), TRUE,FILTER ('Sheridan Main'!E:E,'Sheridan Main'!B:B=C48))"),"MorinWang@foxmail.com")</f>
        <v>MorinWang@foxmail.com</v>
      </c>
      <c r="G48" s="235" t="str">
        <f>IFERROR(__xludf.DUMMYFUNCTION("CONCATENATE(""https://dl.acm.org/doi/"",INDEX(FILTER('Sheridan Main'!A:A,'Sheridan Main'!B:B=C48),1))"),"https://dl.acm.org/doi/10.1145/3774904.3793012")</f>
        <v>https://dl.acm.org/doi/10.1145/3774904.3793012</v>
      </c>
      <c r="H48" s="221" t="s">
        <v>2862</v>
      </c>
      <c r="I48" s="135" t="s">
        <v>124</v>
      </c>
      <c r="J48" s="143"/>
    </row>
    <row r="49">
      <c r="A49" s="135" t="s">
        <v>2870</v>
      </c>
      <c r="B49" s="143" t="s">
        <v>2247</v>
      </c>
      <c r="C49" s="147" t="str">
        <f>IFERROR(__xludf.DUMMYFUNCTION("FILTER ('Web4Good Papers'!A:A,'Web4Good Papers'!B:B=B49)"),"web1447")</f>
        <v>web1447</v>
      </c>
      <c r="D49" s="147" t="str">
        <f t="shared" si="2"/>
        <v>From Native Memes to Global Moderation: Cross-Cultural Evaluation of Vision–Language Models for Hateful Meme Detection
Mo Wang, Kaixuan Ren, Pratik Jalan, Ahmed Ashraf, Tuong Vy Vu, Rahul Seetharaman, Shah Nawaz and Usman Naseem
</v>
      </c>
      <c r="E49" s="147" t="str">
        <f>IFERROR(__xludf.DUMMYFUNCTION("TEXTJOIN(CHAR(10), TRUE,FILTER('Web4Good Papers'!$D:$D,'Web4Good Papers'!$A:$A=C49))"),"Mo Wang, Kaixuan Ren, Pratik Jalan, Ahmed Ashraf, Tuong Vy Vu, Rahul Seetharaman, Shah Nawaz and Usman Naseem")</f>
        <v>Mo Wang, Kaixuan Ren, Pratik Jalan, Ahmed Ashraf, Tuong Vy Vu, Rahul Seetharaman, Shah Nawaz and Usman Naseem</v>
      </c>
      <c r="F49" s="147" t="str">
        <f>IFERROR(__xludf.DUMMYFUNCTION("TEXTJOIN(CHAR(10), TRUE,FILTER ('Sheridan Main'!E:E,'Sheridan Main'!B:B=C49))"),"usman.naseem@mq.edu.au")</f>
        <v>usman.naseem@mq.edu.au</v>
      </c>
      <c r="G49" s="235" t="str">
        <f>IFERROR(__xludf.DUMMYFUNCTION("CONCATENATE(""https://dl.acm.org/doi/"",INDEX(FILTER('Sheridan Main'!A:A,'Sheridan Main'!B:B=C49),1))"),"https://dl.acm.org/doi/10.1145/3774904.3793007")</f>
        <v>https://dl.acm.org/doi/10.1145/3774904.3793007</v>
      </c>
      <c r="H49" s="221" t="s">
        <v>2862</v>
      </c>
      <c r="I49" s="135" t="s">
        <v>2919</v>
      </c>
      <c r="J49" s="143"/>
    </row>
    <row r="50">
      <c r="A50" s="135" t="s">
        <v>2870</v>
      </c>
      <c r="B50" s="143" t="s">
        <v>2303</v>
      </c>
      <c r="C50" s="147" t="str">
        <f>IFERROR(__xludf.DUMMYFUNCTION("FILTER ('Web4Good Papers'!A:A,'Web4Good Papers'!B:B=B50)"),"web0052")</f>
        <v>web0052</v>
      </c>
      <c r="D50" s="147" t="str">
        <f t="shared" si="2"/>
        <v>Physics-Aware Multimodal Urban Heat Mapping with Open Web Imagery and Mobility Data
Yuanyi You, Yunke Zhang and Yong Li
</v>
      </c>
      <c r="E50" s="147" t="str">
        <f>IFERROR(__xludf.DUMMYFUNCTION("TEXTJOIN(CHAR(10), TRUE,FILTER('Web4Good Papers'!$D:$D,'Web4Good Papers'!$A:$A=C50))"),"Yuanyi You, Yunke Zhang and Yong Li")</f>
        <v>Yuanyi You, Yunke Zhang and Yong Li</v>
      </c>
      <c r="F50" s="147" t="str">
        <f>IFERROR(__xludf.DUMMYFUNCTION("TEXTJOIN(CHAR(10), TRUE,FILTER ('Sheridan Main'!E:E,'Sheridan Main'!B:B=C50))"),"zhangyunke1837@163.com")</f>
        <v>zhangyunke1837@163.com</v>
      </c>
      <c r="G50" s="235" t="str">
        <f>IFERROR(__xludf.DUMMYFUNCTION("CONCATENATE(""https://dl.acm.org/doi/"",INDEX(FILTER('Sheridan Main'!A:A,'Sheridan Main'!B:B=C50),1))"),"https://dl.acm.org/doi/10.1145/3774904.3793035")</f>
        <v>https://dl.acm.org/doi/10.1145/3774904.3793035</v>
      </c>
      <c r="H50" s="221" t="s">
        <v>2862</v>
      </c>
      <c r="I50" s="135" t="s">
        <v>2920</v>
      </c>
      <c r="J50" s="143"/>
    </row>
    <row r="51">
      <c r="A51" s="135" t="s">
        <v>2870</v>
      </c>
      <c r="B51" s="240" t="s">
        <v>2181</v>
      </c>
      <c r="C51" s="147" t="str">
        <f>IFERROR(__xludf.DUMMYFUNCTION("FILTER ('Web4Good Papers'!A:A,'Web4Good Papers'!B:B=B51)"),"web0137")</f>
        <v>web0137</v>
      </c>
      <c r="D51" s="147" t="str">
        <f t="shared" si="2"/>
        <v>Audit‑of‑Audits for the Web: Bayesian Meta‑Evaluation that Yields Interval‑Valued, Threshold‑Aligned Fairness Claims
Dandan Liu, Aznul Qalid Md Sabri, Pan Lihu and Guangrui Fan
</v>
      </c>
      <c r="E51" s="147" t="str">
        <f>IFERROR(__xludf.DUMMYFUNCTION("TEXTJOIN(CHAR(10), TRUE,FILTER('Web4Good Papers'!$D:$D,'Web4Good Papers'!$A:$A=C51))"),"Dandan Liu, Aznul Qalid Md Sabri, Pan Lihu and Guangrui Fan")</f>
        <v>Dandan Liu, Aznul Qalid Md Sabri, Pan Lihu and Guangrui Fan</v>
      </c>
      <c r="F51" s="147" t="str">
        <f>IFERROR(__xludf.DUMMYFUNCTION("TEXTJOIN(CHAR(10), TRUE,FILTER ('Sheridan Main'!E:E,'Sheridan Main'!B:B=C51))"),"fgr@tyust.edu.cn")</f>
        <v>fgr@tyust.edu.cn</v>
      </c>
      <c r="G51" s="235" t="str">
        <f>IFERROR(__xludf.DUMMYFUNCTION("CONCATENATE(""https://dl.acm.org/doi/"",INDEX(FILTER('Sheridan Main'!A:A,'Sheridan Main'!B:B=C51),1))"),"https://dl.acm.org/doi/10.1145/3774904.3792974")</f>
        <v>https://dl.acm.org/doi/10.1145/3774904.3792974</v>
      </c>
      <c r="H51" s="221" t="s">
        <v>2862</v>
      </c>
      <c r="I51" s="135" t="s">
        <v>198</v>
      </c>
      <c r="J51" s="143"/>
    </row>
    <row r="52">
      <c r="A52" s="135" t="s">
        <v>2870</v>
      </c>
      <c r="B52" s="240" t="s">
        <v>2297</v>
      </c>
      <c r="C52" s="147" t="str">
        <f>IFERROR(__xludf.DUMMYFUNCTION("FILTER ('Web4Good Papers'!A:A,'Web4Good Papers'!B:B=B52)"),"web1051")</f>
        <v>web1051</v>
      </c>
      <c r="D52" s="147" t="str">
        <f t="shared" si="2"/>
        <v>MultiHateLoc: Towards Temporal Localisation of Multimodal Hate Content in Online Videos
Qiyue Sun, Tailin Chen, Yinghui Zhang, Yuchen Zhang, Jiangbei Yue, Jianbo Jiao and Zeyu Fu
</v>
      </c>
      <c r="E52" s="147" t="str">
        <f>IFERROR(__xludf.DUMMYFUNCTION("TEXTJOIN(CHAR(10), TRUE,FILTER('Web4Good Papers'!$D:$D,'Web4Good Papers'!$A:$A=C52))"),"Qiyue Sun, Tailin Chen, Yinghui Zhang, Yuchen Zhang, Jiangbei Yue, Jianbo Jiao and Zeyu Fu")</f>
        <v>Qiyue Sun, Tailin Chen, Yinghui Zhang, Yuchen Zhang, Jiangbei Yue, Jianbo Jiao and Zeyu Fu</v>
      </c>
      <c r="F52" s="147" t="str">
        <f>IFERROR(__xludf.DUMMYFUNCTION("TEXTJOIN(CHAR(10), TRUE,FILTER ('Sheridan Main'!E:E,'Sheridan Main'!B:B=C52))"),"Z.Fu@exeter.ac.uk")</f>
        <v>Z.Fu@exeter.ac.uk</v>
      </c>
      <c r="G52" s="235" t="str">
        <f>IFERROR(__xludf.DUMMYFUNCTION("CONCATENATE(""https://dl.acm.org/doi/"",INDEX(FILTER('Sheridan Main'!A:A,'Sheridan Main'!B:B=C52),1))"),"https://dl.acm.org/doi/10.1145/3774904.3793032")</f>
        <v>https://dl.acm.org/doi/10.1145/3774904.3793032</v>
      </c>
      <c r="H52" s="221" t="s">
        <v>2862</v>
      </c>
      <c r="I52" s="135" t="s">
        <v>2918</v>
      </c>
      <c r="J52" s="143"/>
    </row>
    <row r="53">
      <c r="A53" s="135" t="s">
        <v>2870</v>
      </c>
      <c r="B53" s="143" t="s">
        <v>2173</v>
      </c>
      <c r="C53" s="147" t="str">
        <f>IFERROR(__xludf.DUMMYFUNCTION("FILTER ('Web4Good Papers'!A:A,'Web4Good Papers'!B:B=B53)"),"web1140")</f>
        <v>web1140</v>
      </c>
      <c r="D53" s="147" t="str">
        <f t="shared" si="2"/>
        <v>Accurate Trajectory Recovery in Underserved Areas via Location Inference from Web Crowdsourced Data
Tangwei Ye, Liang Hu, Zhongyuan Lai, Qi Zhang, Yiming Wu, Jiaxing Miao, Yijun Yang and Kun Yi
</v>
      </c>
      <c r="E53" s="147" t="str">
        <f>IFERROR(__xludf.DUMMYFUNCTION("TEXTJOIN(CHAR(10), TRUE,FILTER('Web4Good Papers'!$D:$D,'Web4Good Papers'!$A:$A=C53))"),"Tangwei Ye, Liang Hu, Zhongyuan Lai, Qi Zhang, Yiming Wu, Jiaxing Miao, Yijun Yang and Kun Yi")</f>
        <v>Tangwei Ye, Liang Hu, Zhongyuan Lai, Qi Zhang, Yiming Wu, Jiaxing Miao, Yijun Yang and Kun Yi</v>
      </c>
      <c r="F53" s="147" t="str">
        <f>IFERROR(__xludf.DUMMYFUNCTION("TEXTJOIN(CHAR(10), TRUE,FILTER ('Sheridan Main'!E:E,'Sheridan Main'!B:B=C53))"),"lianghu@tongji.edu.cn")</f>
        <v>lianghu@tongji.edu.cn</v>
      </c>
      <c r="G53" s="235" t="str">
        <f>IFERROR(__xludf.DUMMYFUNCTION("CONCATENATE(""https://dl.acm.org/doi/"",INDEX(FILTER('Sheridan Main'!A:A,'Sheridan Main'!B:B=C53),1))"),"https://dl.acm.org/doi/10.1145/3774904.3792970")</f>
        <v>https://dl.acm.org/doi/10.1145/3774904.3792970</v>
      </c>
      <c r="H53" s="221" t="s">
        <v>2862</v>
      </c>
      <c r="I53" s="135" t="s">
        <v>124</v>
      </c>
      <c r="J53" s="143"/>
    </row>
    <row r="54">
      <c r="A54" s="135" t="s">
        <v>2870</v>
      </c>
      <c r="B54" s="143" t="s">
        <v>2277</v>
      </c>
      <c r="C54" s="147" t="str">
        <f>IFERROR(__xludf.DUMMYFUNCTION("FILTER ('Web4Good Papers'!A:A,'Web4Good Papers'!B:B=B54)"),"web1141")</f>
        <v>web1141</v>
      </c>
      <c r="D54" s="147" t="str">
        <f t="shared" si="2"/>
        <v>Kardia-R1: Unleashing LLMs to Reason toward Understanding and Empathy for Emotional Support via Rubric-as-Judge Reinforcement Learning
Jiahao Yuan, Zhiqing Cui, Hanqing Wang, Yuansheng Gao, Yucheng Zhou and Usman Naseem
</v>
      </c>
      <c r="E54" s="147" t="str">
        <f>IFERROR(__xludf.DUMMYFUNCTION("TEXTJOIN(CHAR(10), TRUE,FILTER('Web4Good Papers'!$D:$D,'Web4Good Papers'!$A:$A=C54))"),"Jiahao Yuan, Zhiqing Cui, Hanqing Wang, Yuansheng Gao, Yucheng Zhou and Usman Naseem")</f>
        <v>Jiahao Yuan, Zhiqing Cui, Hanqing Wang, Yuansheng Gao, Yucheng Zhou and Usman Naseem</v>
      </c>
      <c r="F54" s="147" t="str">
        <f>IFERROR(__xludf.DUMMYFUNCTION("TEXTJOIN(CHAR(10), TRUE,FILTER ('Sheridan Main'!E:E,'Sheridan Main'!B:B=C54))"),"yucheng.zhou@connect.um.edu.mo")</f>
        <v>yucheng.zhou@connect.um.edu.mo</v>
      </c>
      <c r="G54" s="235" t="str">
        <f>IFERROR(__xludf.DUMMYFUNCTION("CONCATENATE(""https://dl.acm.org/doi/"",INDEX(FILTER('Sheridan Main'!A:A,'Sheridan Main'!B:B=C54),1))"),"https://dl.acm.org/doi/10.1145/3774904.3793022")</f>
        <v>https://dl.acm.org/doi/10.1145/3774904.3793022</v>
      </c>
      <c r="H54" s="221" t="s">
        <v>2862</v>
      </c>
      <c r="I54" s="135" t="s">
        <v>2919</v>
      </c>
      <c r="J54" s="143"/>
    </row>
    <row r="55">
      <c r="A55" s="135" t="s">
        <v>2870</v>
      </c>
      <c r="B55" s="143" t="s">
        <v>2313</v>
      </c>
      <c r="C55" s="147" t="str">
        <f>IFERROR(__xludf.DUMMYFUNCTION("FILTER ('Web4Good Papers'!A:A,'Web4Good Papers'!B:B=B55)"),"web1282")</f>
        <v>web1282</v>
      </c>
      <c r="D55" s="147" t="str">
        <f t="shared" si="2"/>
        <v>Safeguarding Children at Scale: Cost-Effective Multimodal LLM Detection of Inappropriate YouTube Advertising
Eman Nabeel, Haleema Jamil, Shizza Asher, Zaeem Mohtashim Khan, Nida Tanveer, Ihsan Ayyub Qazi and Zafar Ayyub Qazi
</v>
      </c>
      <c r="E55" s="147" t="str">
        <f>IFERROR(__xludf.DUMMYFUNCTION("TEXTJOIN(CHAR(10), TRUE,FILTER('Web4Good Papers'!$D:$D,'Web4Good Papers'!$A:$A=C55))"),"Eman Nabeel, Haleema Jamil, Shizza Asher, Zaeem Mohtashim Khan, Nida Tanveer, Ihsan Ayyub Qazi and Zafar Ayyub Qazi")</f>
        <v>Eman Nabeel, Haleema Jamil, Shizza Asher, Zaeem Mohtashim Khan, Nida Tanveer, Ihsan Ayyub Qazi and Zafar Ayyub Qazi</v>
      </c>
      <c r="F55" s="147" t="str">
        <f>IFERROR(__xludf.DUMMYFUNCTION("TEXTJOIN(CHAR(10), TRUE,FILTER ('Sheridan Main'!E:E,'Sheridan Main'!B:B=C55))"),"ihsan.qazi@lums.edu.pk")</f>
        <v>ihsan.qazi@lums.edu.pk</v>
      </c>
      <c r="G55" s="235" t="str">
        <f>IFERROR(__xludf.DUMMYFUNCTION("CONCATENATE(""https://dl.acm.org/doi/"",INDEX(FILTER('Sheridan Main'!A:A,'Sheridan Main'!B:B=C55),1))"),"https://dl.acm.org/doi/10.1145/3774904.3793040")</f>
        <v>https://dl.acm.org/doi/10.1145/3774904.3793040</v>
      </c>
      <c r="H55" s="221" t="s">
        <v>2862</v>
      </c>
      <c r="I55" s="135" t="s">
        <v>2920</v>
      </c>
      <c r="J55" s="143"/>
    </row>
    <row r="56">
      <c r="A56" s="135" t="s">
        <v>2870</v>
      </c>
      <c r="B56" s="143" t="s">
        <v>2349</v>
      </c>
      <c r="C56" s="147" t="str">
        <f>IFERROR(__xludf.DUMMYFUNCTION("FILTER ('Web4Good Papers'!A:A,'Web4Good Papers'!B:B=B56)"),"web1373")</f>
        <v>web1373</v>
      </c>
      <c r="D56" s="147" t="str">
        <f t="shared" si="2"/>
        <v>VC-Soup: Value-Consistency Guided Multi-Value Alignment for Large Language Models
Hefei Xu, Le Wu, Yu Wang, Min Hou, Han Wu, Zhen Zhang and Meng Wang
</v>
      </c>
      <c r="E56" s="147" t="str">
        <f>IFERROR(__xludf.DUMMYFUNCTION("TEXTJOIN(CHAR(10), TRUE,FILTER('Web4Good Papers'!$D:$D,'Web4Good Papers'!$A:$A=C56))"),"Hefei Xu, Le Wu, Yu Wang, Min Hou, Han Wu, Zhen Zhang and Meng Wang")</f>
        <v>Hefei Xu, Le Wu, Yu Wang, Min Hou, Han Wu, Zhen Zhang and Meng Wang</v>
      </c>
      <c r="F56" s="147" t="str">
        <f>IFERROR(__xludf.DUMMYFUNCTION("TEXTJOIN(CHAR(10), TRUE,FILTER ('Sheridan Main'!E:E,'Sheridan Main'!B:B=C56))"),"lewu@hfut.edu.cn")</f>
        <v>lewu@hfut.edu.cn</v>
      </c>
      <c r="G56" s="235" t="str">
        <f>IFERROR(__xludf.DUMMYFUNCTION("CONCATENATE(""https://dl.acm.org/doi/"",INDEX(FILTER('Sheridan Main'!A:A,'Sheridan Main'!B:B=C56),1))"),"https://dl.acm.org/doi/10.1145/3774904.3793058")</f>
        <v>https://dl.acm.org/doi/10.1145/3774904.3793058</v>
      </c>
      <c r="H56" s="221" t="s">
        <v>2862</v>
      </c>
      <c r="I56" s="135" t="s">
        <v>198</v>
      </c>
      <c r="J56" s="143"/>
    </row>
    <row r="57">
      <c r="A57" s="135" t="s">
        <v>2870</v>
      </c>
      <c r="B57" s="240" t="s">
        <v>2956</v>
      </c>
      <c r="C57" s="147" t="str">
        <f>IFERROR(__xludf.DUMMYFUNCTION("FILTER ('Web4Good Papers'!A:A,'Web4Good Papers'!B:B=B57)"),"web1398")</f>
        <v>web1398</v>
      </c>
      <c r="D57" s="147" t="str">
        <f t="shared" si="2"/>
        <v>'They've Stolen My GPL-Licensed Model!': Toward Standardized and Transparent Model Licensing
Moming Duan, Rui Zhao, Linshan Jiang, Nigel Shadbolt and Bingsheng He
</v>
      </c>
      <c r="E57" s="147" t="str">
        <f>IFERROR(__xludf.DUMMYFUNCTION("TEXTJOIN(CHAR(10), TRUE,FILTER('Web4Good Papers'!$D:$D,'Web4Good Papers'!$A:$A=C57))"),"Moming Duan, Rui Zhao, Linshan Jiang, Nigel Shadbolt and Bingsheng He")</f>
        <v>Moming Duan, Rui Zhao, Linshan Jiang, Nigel Shadbolt and Bingsheng He</v>
      </c>
      <c r="F57" s="147" t="str">
        <f>IFERROR(__xludf.DUMMYFUNCTION("TEXTJOIN(CHAR(10), TRUE,FILTER ('Sheridan Main'!E:E,'Sheridan Main'!B:B=C57))"),"dcsheb@nus.edu.sg")</f>
        <v>dcsheb@nus.edu.sg</v>
      </c>
      <c r="G57" s="235" t="str">
        <f>IFERROR(__xludf.DUMMYFUNCTION("CONCATENATE(""https://dl.acm.org/doi/"",INDEX(FILTER('Sheridan Main'!A:A,'Sheridan Main'!B:B=C57),1))"),"https://dl.acm.org/doi/10.1145/3774904.3792968")</f>
        <v>https://dl.acm.org/doi/10.1145/3774904.3792968</v>
      </c>
      <c r="H57" s="221" t="s">
        <v>2862</v>
      </c>
      <c r="I57" s="135" t="s">
        <v>2918</v>
      </c>
      <c r="J57" s="143"/>
    </row>
    <row r="58">
      <c r="A58" s="135" t="s">
        <v>2870</v>
      </c>
      <c r="B58" s="143" t="s">
        <v>2293</v>
      </c>
      <c r="C58" s="147" t="str">
        <f>IFERROR(__xludf.DUMMYFUNCTION("FILTER ('Web4Good Papers'!A:A,'Web4Good Papers'!B:B=B58)"),"web1406")</f>
        <v>web1406</v>
      </c>
      <c r="D58" s="147" t="str">
        <f t="shared" si="2"/>
        <v>Modeling Multimodal Information Cascade on Social Media with Interpretable Mixture of Experts
Xin Jing, Zeyu Shi, Zhangtao Cheng, Yichen Jing, Yuhuan Lu, Bangchao Deng and Dingqi Yang
</v>
      </c>
      <c r="E58" s="147" t="str">
        <f>IFERROR(__xludf.DUMMYFUNCTION("TEXTJOIN(CHAR(10), TRUE,FILTER('Web4Good Papers'!$D:$D,'Web4Good Papers'!$A:$A=C58))"),"Xin Jing, Zeyu Shi, Zhangtao Cheng, Yichen Jing, Yuhuan Lu, Bangchao Deng and Dingqi Yang")</f>
        <v>Xin Jing, Zeyu Shi, Zhangtao Cheng, Yichen Jing, Yuhuan Lu, Bangchao Deng and Dingqi Yang</v>
      </c>
      <c r="F58" s="147" t="str">
        <f>IFERROR(__xludf.DUMMYFUNCTION("TEXTJOIN(CHAR(10), TRUE,FILTER ('Sheridan Main'!E:E,'Sheridan Main'!B:B=C58))"),"yc27431@um.edu.mo")</f>
        <v>yc27431@um.edu.mo</v>
      </c>
      <c r="G58" s="235" t="str">
        <f>IFERROR(__xludf.DUMMYFUNCTION("CONCATENATE(""https://dl.acm.org/doi/"",INDEX(FILTER('Sheridan Main'!A:A,'Sheridan Main'!B:B=C58),1))"),"https://dl.acm.org/doi/10.1145/3774904.3793030")</f>
        <v>https://dl.acm.org/doi/10.1145/3774904.3793030</v>
      </c>
      <c r="H58" s="221" t="s">
        <v>2862</v>
      </c>
      <c r="I58" s="135" t="s">
        <v>124</v>
      </c>
      <c r="J58" s="143"/>
    </row>
    <row r="59">
      <c r="A59" s="135" t="s">
        <v>2870</v>
      </c>
      <c r="B59" s="143" t="s">
        <v>2175</v>
      </c>
      <c r="C59" s="147" t="str">
        <f>IFERROR(__xludf.DUMMYFUNCTION("FILTER ('Web4Good Papers'!A:A,'Web4Good Papers'!B:B=B59)"),"web1478")</f>
        <v>web1478</v>
      </c>
      <c r="D59" s="147" t="str">
        <f t="shared" si="2"/>
        <v>AgriGPT-Omni: A Unified Speech–Vision–Text Framework for Multilingual Agricultural Intelligence
Bo Yang, Lanfei Feng, Yunkui Chen, Yu Zhang, Jianyu Zhang, Xiao Xu, Nueraili Aierken and Shijian Li
</v>
      </c>
      <c r="E59" s="147" t="str">
        <f>IFERROR(__xludf.DUMMYFUNCTION("TEXTJOIN(CHAR(10), TRUE,FILTER('Web4Good Papers'!$D:$D,'Web4Good Papers'!$A:$A=C59))"),"Bo Yang, Lanfei Feng, Yunkui Chen, Yu Zhang, Jianyu Zhang, Xiao Xu, Nueraili Aierken and Shijian Li")</f>
        <v>Bo Yang, Lanfei Feng, Yunkui Chen, Yu Zhang, Jianyu Zhang, Xiao Xu, Nueraili Aierken and Shijian Li</v>
      </c>
      <c r="F59" s="147" t="str">
        <f>IFERROR(__xludf.DUMMYFUNCTION("TEXTJOIN(CHAR(10), TRUE,FILTER ('Sheridan Main'!E:E,'Sheridan Main'!B:B=C59))"),"shijianli@zju.edu.cn")</f>
        <v>shijianli@zju.edu.cn</v>
      </c>
      <c r="G59" s="235" t="str">
        <f>IFERROR(__xludf.DUMMYFUNCTION("CONCATENATE(""https://dl.acm.org/doi/"",INDEX(FILTER('Sheridan Main'!A:A,'Sheridan Main'!B:B=C59),1))"),"https://dl.acm.org/doi/10.1145/3774904.3792971")</f>
        <v>https://dl.acm.org/doi/10.1145/3774904.3792971</v>
      </c>
      <c r="H59" s="221" t="s">
        <v>2862</v>
      </c>
      <c r="I59" s="135" t="s">
        <v>2919</v>
      </c>
      <c r="J59" s="143"/>
    </row>
    <row r="60">
      <c r="A60" s="135" t="s">
        <v>2870</v>
      </c>
      <c r="B60" s="143" t="s">
        <v>2211</v>
      </c>
      <c r="C60" s="147" t="str">
        <f>IFERROR(__xludf.DUMMYFUNCTION("FILTER ('Web4Good Papers'!A:A,'Web4Good Papers'!B:B=B60)"),"web0149")</f>
        <v>web0149</v>
      </c>
      <c r="D60" s="147" t="str">
        <f t="shared" si="2"/>
        <v>Credit and Power Co-evolution Modeling with Dynamic Graph Learning
Wenhao Ying, Peng Zhu, Mingzhe Li, Ziyan Wang and Dawei Cheng
</v>
      </c>
      <c r="E60" s="147" t="str">
        <f>IFERROR(__xludf.DUMMYFUNCTION("TEXTJOIN(CHAR(10), TRUE,FILTER('Web4Good Papers'!$D:$D,'Web4Good Papers'!$A:$A=C60))"),"Wenhao Ying, Peng Zhu, Mingzhe Li, Ziyan Wang and Dawei Cheng")</f>
        <v>Wenhao Ying, Peng Zhu, Mingzhe Li, Ziyan Wang and Dawei Cheng</v>
      </c>
      <c r="F60" s="147" t="str">
        <f>IFERROR(__xludf.DUMMYFUNCTION("TEXTJOIN(CHAR(10), TRUE,FILTER ('Sheridan Main'!E:E,'Sheridan Main'!B:B=C60))"),"pengzhu@tongji.edu.cn")</f>
        <v>pengzhu@tongji.edu.cn</v>
      </c>
      <c r="G60" s="235" t="str">
        <f>IFERROR(__xludf.DUMMYFUNCTION("CONCATENATE(""https://dl.acm.org/doi/"",INDEX(FILTER('Sheridan Main'!A:A,'Sheridan Main'!B:B=C60),1))"),"https://dl.acm.org/doi/10.1145/3774904.3792989")</f>
        <v>https://dl.acm.org/doi/10.1145/3774904.3792989</v>
      </c>
      <c r="H60" s="221" t="s">
        <v>2862</v>
      </c>
      <c r="I60" s="135" t="s">
        <v>2920</v>
      </c>
      <c r="J60" s="143"/>
    </row>
    <row r="61">
      <c r="A61" s="135" t="s">
        <v>2870</v>
      </c>
      <c r="B61" s="143" t="s">
        <v>2957</v>
      </c>
      <c r="C61" s="147" t="str">
        <f>IFERROR(__xludf.DUMMYFUNCTION("FILTER ('Web4Good Papers'!A:A,'Web4Good Papers'!B:B=B61)"),"web1045")</f>
        <v>web1045</v>
      </c>
      <c r="D61" s="147" t="str">
        <f t="shared" si="2"/>
        <v>Communication-Efficient Federated Learning for Post-Flood Risk Assessment using UAV Swarms
Yongkang Zhao, Hailin Feng, Tingting Wang, Thippa Reddy Gadekallu, Kai Fang and Wei Wang
</v>
      </c>
      <c r="E61" s="147" t="str">
        <f>IFERROR(__xludf.DUMMYFUNCTION("TEXTJOIN(CHAR(10), TRUE,FILTER('Web4Good Papers'!$D:$D,'Web4Good Papers'!$A:$A=C61))"),"Yongkang Zhao, Hailin Feng, Tingting Wang, Thippa Reddy Gadekallu, Kai Fang and Wei Wang")</f>
        <v>Yongkang Zhao, Hailin Feng, Tingting Wang, Thippa Reddy Gadekallu, Kai Fang and Wei Wang</v>
      </c>
      <c r="F61" s="147" t="str">
        <f>IFERROR(__xludf.DUMMYFUNCTION("TEXTJOIN(CHAR(10), TRUE,FILTER ('Sheridan Main'!E:E,'Sheridan Main'!B:B=C61))"),"kaifang@zafu.edu.cn")</f>
        <v>kaifang@zafu.edu.cn</v>
      </c>
      <c r="G61" s="235" t="str">
        <f>IFERROR(__xludf.DUMMYFUNCTION("CONCATENATE(""https://dl.acm.org/doi/"",INDEX(FILTER('Sheridan Main'!A:A,'Sheridan Main'!B:B=C61),1))"),"https://dl.acm.org/doi/10.1145/3774904.3792983")</f>
        <v>https://dl.acm.org/doi/10.1145/3774904.3792983</v>
      </c>
      <c r="H61" s="221" t="s">
        <v>2862</v>
      </c>
      <c r="I61" s="135" t="s">
        <v>198</v>
      </c>
      <c r="J61" s="143"/>
    </row>
    <row r="62">
      <c r="A62" s="135" t="s">
        <v>2870</v>
      </c>
      <c r="B62" s="143" t="s">
        <v>2201</v>
      </c>
      <c r="C62" s="147" t="str">
        <f>IFERROR(__xludf.DUMMYFUNCTION("FILTER ('Web4Good Papers'!A:A,'Web4Good Papers'!B:B=B62)"),"web1070")</f>
        <v>web1070</v>
      </c>
      <c r="D62" s="147" t="str">
        <f t="shared" si="2"/>
        <v>Community Fact-Checks Do Not Break Follower Loyalty
Michelle Bobek and Nicolas Pröllochs
</v>
      </c>
      <c r="E62" s="147" t="str">
        <f>IFERROR(__xludf.DUMMYFUNCTION("TEXTJOIN(CHAR(10), TRUE,FILTER('Web4Good Papers'!$D:$D,'Web4Good Papers'!$A:$A=C62))"),"Michelle Bobek and Nicolas Pröllochs")</f>
        <v>Michelle Bobek and Nicolas Pröllochs</v>
      </c>
      <c r="F62" s="147" t="str">
        <f>IFERROR(__xludf.DUMMYFUNCTION("TEXTJOIN(CHAR(10), TRUE,FILTER ('Sheridan Main'!E:E,'Sheridan Main'!B:B=C62))"),"michelle.bobek@uni-giessen.de")</f>
        <v>michelle.bobek@uni-giessen.de</v>
      </c>
      <c r="G62" s="235" t="str">
        <f>IFERROR(__xludf.DUMMYFUNCTION("CONCATENATE(""https://dl.acm.org/doi/"",INDEX(FILTER('Sheridan Main'!A:A,'Sheridan Main'!B:B=C62),1))"),"https://dl.acm.org/doi/10.1145/3774904.3792984")</f>
        <v>https://dl.acm.org/doi/10.1145/3774904.3792984</v>
      </c>
      <c r="H62" s="221" t="s">
        <v>2862</v>
      </c>
      <c r="I62" s="135" t="s">
        <v>2918</v>
      </c>
      <c r="J62" s="143"/>
    </row>
    <row r="63">
      <c r="A63" s="135" t="s">
        <v>2870</v>
      </c>
      <c r="B63" s="143" t="s">
        <v>2331</v>
      </c>
      <c r="C63" s="147" t="str">
        <f>IFERROR(__xludf.DUMMYFUNCTION("FILTER ('Web4Good Papers'!A:A,'Web4Good Papers'!B:B=B63)"),"web1082")</f>
        <v>web1082</v>
      </c>
      <c r="D63" s="147" t="str">
        <f t="shared" si="2"/>
        <v>TheraMind: A Strategic and Adaptive Agent for Longitudinal Psychological Counseling
He Hu, Chiyuan Ma, Qianning Wang, Liu Lin, Yucheng Zhou, Laizhong Cui, Fei Ma and Qi Tian
</v>
      </c>
      <c r="E63" s="147" t="str">
        <f>IFERROR(__xludf.DUMMYFUNCTION("TEXTJOIN(CHAR(10), TRUE,FILTER('Web4Good Papers'!$D:$D,'Web4Good Papers'!$A:$A=C63))"),"He Hu, Chiyuan Ma, Qianning Wang, Liu Lin, Yucheng Zhou, Laizhong Cui, Fei Ma and Qi Tian")</f>
        <v>He Hu, Chiyuan Ma, Qianning Wang, Liu Lin, Yucheng Zhou, Laizhong Cui, Fei Ma and Qi Tian</v>
      </c>
      <c r="F63" s="147" t="str">
        <f>IFERROR(__xludf.DUMMYFUNCTION("TEXTJOIN(CHAR(10), TRUE,FILTER ('Sheridan Main'!E:E,'Sheridan Main'!B:B=C63))"),"cuilz@szu.edu.cn")</f>
        <v>cuilz@szu.edu.cn</v>
      </c>
      <c r="G63" s="235" t="str">
        <f>IFERROR(__xludf.DUMMYFUNCTION("CONCATENATE(""https://dl.acm.org/doi/"",INDEX(FILTER('Sheridan Main'!A:A,'Sheridan Main'!B:B=C63),1))"),"https://dl.acm.org/doi/10.1145/3774904.3793049")</f>
        <v>https://dl.acm.org/doi/10.1145/3774904.3793049</v>
      </c>
      <c r="H63" s="221" t="s">
        <v>2862</v>
      </c>
      <c r="I63" s="135" t="s">
        <v>124</v>
      </c>
      <c r="J63" s="143"/>
    </row>
    <row r="64">
      <c r="A64" s="135" t="s">
        <v>2870</v>
      </c>
      <c r="B64" s="240" t="s">
        <v>2311</v>
      </c>
      <c r="C64" s="147" t="str">
        <f>IFERROR(__xludf.DUMMYFUNCTION("FILTER ('Web4Good Papers'!A:A,'Web4Good Papers'!B:B=B64)"),"web1167")</f>
        <v>web1167</v>
      </c>
      <c r="D64" s="147" t="str">
        <f t="shared" si="2"/>
        <v>S²KT:Modeling Uncertainty in Knowledge Tracing via Semantic-aware Structured Gaussian Distributions
Wenhui Wu, Tiancheng Zhang, Hengyu Liu, Lun Du, Zikai Li, Mingxing Shao, Minghe Yu, Yifang Yin and Ge Yu
</v>
      </c>
      <c r="E64" s="147" t="str">
        <f>IFERROR(__xludf.DUMMYFUNCTION("TEXTJOIN(CHAR(10), TRUE,FILTER('Web4Good Papers'!$D:$D,'Web4Good Papers'!$A:$A=C64))"),"Wenhui Wu, Tiancheng Zhang, Hengyu Liu, Lun Du, Zikai Li, Mingxing Shao, Minghe Yu, Yifang Yin and Ge Yu")</f>
        <v>Wenhui Wu, Tiancheng Zhang, Hengyu Liu, Lun Du, Zikai Li, Mingxing Shao, Minghe Yu, Yifang Yin and Ge Yu</v>
      </c>
      <c r="F64" s="147" t="str">
        <f>IFERROR(__xludf.DUMMYFUNCTION("TEXTJOIN(CHAR(10), TRUE,FILTER ('Sheridan Main'!E:E,'Sheridan Main'!B:B=C64))"),"tczhang@mail.neu.edu.cn")</f>
        <v>tczhang@mail.neu.edu.cn</v>
      </c>
      <c r="G64" s="235" t="str">
        <f>IFERROR(__xludf.DUMMYFUNCTION("CONCATENATE(""https://dl.acm.org/doi/"",INDEX(FILTER('Sheridan Main'!A:A,'Sheridan Main'!B:B=C64),1))"),"https://dl.acm.org/doi/10.1145/3774904.3793039")</f>
        <v>https://dl.acm.org/doi/10.1145/3774904.3793039</v>
      </c>
      <c r="H64" s="221" t="s">
        <v>2862</v>
      </c>
      <c r="I64" s="135" t="s">
        <v>2919</v>
      </c>
      <c r="J64" s="143"/>
    </row>
    <row r="65">
      <c r="A65" s="135" t="s">
        <v>2870</v>
      </c>
      <c r="B65" s="143" t="s">
        <v>2287</v>
      </c>
      <c r="C65" s="147" t="str">
        <f>IFERROR(__xludf.DUMMYFUNCTION("FILTER ('Web4Good Papers'!A:A,'Web4Good Papers'!B:B=B65)"),"web1204")</f>
        <v>web1204</v>
      </c>
      <c r="D65" s="147" t="str">
        <f t="shared" si="2"/>
        <v>Mind the Ambiguity: Aleatoric Uncertainty Quantification in LLMs for Safe Medical Question Answering
Yaokun Liu, Yifan Liu, Phoebe Mbuvi, Zelin Li, Ruichen Yao, Gawon Lim and Dong Wang
</v>
      </c>
      <c r="E65" s="147" t="str">
        <f>IFERROR(__xludf.DUMMYFUNCTION("TEXTJOIN(CHAR(10), TRUE,FILTER('Web4Good Papers'!$D:$D,'Web4Good Papers'!$A:$A=C65))"),"Yaokun Liu, Yifan Liu, Phoebe Mbuvi, Zelin Li, Ruichen Yao, Gawon Lim and Dong Wang")</f>
        <v>Yaokun Liu, Yifan Liu, Phoebe Mbuvi, Zelin Li, Ruichen Yao, Gawon Lim and Dong Wang</v>
      </c>
      <c r="F65" s="147" t="str">
        <f>IFERROR(__xludf.DUMMYFUNCTION("TEXTJOIN(CHAR(10), TRUE,FILTER ('Sheridan Main'!E:E,'Sheridan Main'!B:B=C65))"),"dwang24@illinois.edu")</f>
        <v>dwang24@illinois.edu</v>
      </c>
      <c r="G65" s="235" t="str">
        <f>IFERROR(__xludf.DUMMYFUNCTION("CONCATENATE(""https://dl.acm.org/doi/"",INDEX(FILTER('Sheridan Main'!A:A,'Sheridan Main'!B:B=C65),1))"),"https://dl.acm.org/doi/10.1145/3774904.3793027")</f>
        <v>https://dl.acm.org/doi/10.1145/3774904.3793027</v>
      </c>
      <c r="H65" s="221" t="s">
        <v>2862</v>
      </c>
      <c r="I65" s="135" t="s">
        <v>2920</v>
      </c>
      <c r="J65" s="143"/>
    </row>
    <row r="66">
      <c r="A66" s="135" t="s">
        <v>2870</v>
      </c>
      <c r="B66" s="143" t="s">
        <v>2217</v>
      </c>
      <c r="C66" s="147" t="str">
        <f>IFERROR(__xludf.DUMMYFUNCTION("FILTER ('Web4Good Papers'!A:A,'Web4Good Papers'!B:B=B66)"),"web1211")</f>
        <v>web1211</v>
      </c>
      <c r="D66" s="147" t="str">
        <f t="shared" si="2"/>
        <v>DAPWeb: Construct-Aligned Evaluation of MLLMs for Web-Based Child Mental Screening
Rui Guo, Fengyi Wang, Ling-Yu Lin and Guolong Wang
</v>
      </c>
      <c r="E66" s="147" t="str">
        <f>IFERROR(__xludf.DUMMYFUNCTION("TEXTJOIN(CHAR(10), TRUE,FILTER('Web4Good Papers'!$D:$D,'Web4Good Papers'!$A:$A=C66))"),"Rui Guo, Fengyi Wang, Ling-Yu Lin and Guolong Wang")</f>
        <v>Rui Guo, Fengyi Wang, Ling-Yu Lin and Guolong Wang</v>
      </c>
      <c r="F66" s="147" t="str">
        <f>IFERROR(__xludf.DUMMYFUNCTION("TEXTJOIN(CHAR(10), TRUE,FILTER ('Sheridan Main'!E:E,'Sheridan Main'!B:B=C66))"),"sjtomorrow@163.com")</f>
        <v>sjtomorrow@163.com</v>
      </c>
      <c r="G66" s="235" t="str">
        <f>IFERROR(__xludf.DUMMYFUNCTION("CONCATENATE(""https://dl.acm.org/doi/"",INDEX(FILTER('Sheridan Main'!A:A,'Sheridan Main'!B:B=C66),1))"),"https://dl.acm.org/doi/10.1145/3774904.3792992")</f>
        <v>https://dl.acm.org/doi/10.1145/3774904.3792992</v>
      </c>
      <c r="H66" s="221" t="s">
        <v>2862</v>
      </c>
      <c r="I66" s="135" t="s">
        <v>198</v>
      </c>
      <c r="J66" s="143"/>
    </row>
    <row r="67">
      <c r="A67" s="135" t="s">
        <v>2870</v>
      </c>
      <c r="B67" s="143" t="s">
        <v>2235</v>
      </c>
      <c r="C67" s="147" t="str">
        <f>IFERROR(__xludf.DUMMYFUNCTION("FILTER ('Web4Good Papers'!A:A,'Web4Good Papers'!B:B=B67)"),"web1278")</f>
        <v>web1278</v>
      </c>
      <c r="D67" s="147" t="str">
        <f t="shared" si="2"/>
        <v>Fair and Carbon-Aware LLM Routing for Web Services
Tingting Li, Ziming Zhao, Zhaoxuan Li, Xiaofei Yue and Jiongchi Yu
</v>
      </c>
      <c r="E67" s="147" t="str">
        <f>IFERROR(__xludf.DUMMYFUNCTION("TEXTJOIN(CHAR(10), TRUE,FILTER('Web4Good Papers'!$D:$D,'Web4Good Papers'!$A:$A=C67))"),"Tingting Li, Ziming Zhao, Zhaoxuan Li, Xiaofei Yue and Jiongchi Yu")</f>
        <v>Tingting Li, Ziming Zhao, Zhaoxuan Li, Xiaofei Yue and Jiongchi Yu</v>
      </c>
      <c r="F67" s="147" t="str">
        <f>IFERROR(__xludf.DUMMYFUNCTION("TEXTJOIN(CHAR(10), TRUE,FILTER ('Sheridan Main'!E:E,'Sheridan Main'!B:B=C67))"),"zhaoziming@zju.edu.cn")</f>
        <v>zhaoziming@zju.edu.cn</v>
      </c>
      <c r="G67" s="235" t="str">
        <f>IFERROR(__xludf.DUMMYFUNCTION("CONCATENATE(""https://dl.acm.org/doi/"",INDEX(FILTER('Sheridan Main'!A:A,'Sheridan Main'!B:B=C67),1))"),"https://dl.acm.org/doi/10.1145/3774904.3793001")</f>
        <v>https://dl.acm.org/doi/10.1145/3774904.3793001</v>
      </c>
      <c r="H67" s="221" t="s">
        <v>2862</v>
      </c>
      <c r="I67" s="135" t="s">
        <v>2918</v>
      </c>
      <c r="J67" s="143"/>
    </row>
    <row r="68">
      <c r="A68" s="135" t="s">
        <v>2870</v>
      </c>
      <c r="B68" s="143" t="s">
        <v>2353</v>
      </c>
      <c r="C68" s="147" t="str">
        <f>IFERROR(__xludf.DUMMYFUNCTION("FILTER ('Web4Good Papers'!A:A,'Web4Good Papers'!B:B=B68)"),"web1297")</f>
        <v>web1297</v>
      </c>
      <c r="D68" s="147" t="str">
        <f t="shared" si="2"/>
        <v>When Ads Become Profiles: Uncovering the Invisible Risk of Web Advertising at Scale with LLMs
Baiyu Chen, Benjamin Tag, Hao Xue, Daniel Angus and Flora Salim
</v>
      </c>
      <c r="E68" s="147" t="str">
        <f>IFERROR(__xludf.DUMMYFUNCTION("TEXTJOIN(CHAR(10), TRUE,FILTER('Web4Good Papers'!$D:$D,'Web4Good Papers'!$A:$A=C68))"),"Baiyu Chen, Benjamin Tag, Hao Xue, Daniel Angus and Flora Salim")</f>
        <v>Baiyu Chen, Benjamin Tag, Hao Xue, Daniel Angus and Flora Salim</v>
      </c>
      <c r="F68" s="147" t="str">
        <f>IFERROR(__xludf.DUMMYFUNCTION("TEXTJOIN(CHAR(10), TRUE,FILTER ('Sheridan Main'!E:E,'Sheridan Main'!B:B=C68))"),"breeze.chen@unsw.edu.au")</f>
        <v>breeze.chen@unsw.edu.au</v>
      </c>
      <c r="G68" s="235" t="str">
        <f>IFERROR(__xludf.DUMMYFUNCTION("CONCATENATE(""https://dl.acm.org/doi/"",INDEX(FILTER('Sheridan Main'!A:A,'Sheridan Main'!B:B=C68),1))"),"https://dl.acm.org/doi/10.1145/3774904.3793060")</f>
        <v>https://dl.acm.org/doi/10.1145/3774904.3793060</v>
      </c>
      <c r="H68" s="221" t="s">
        <v>2862</v>
      </c>
      <c r="I68" s="135" t="s">
        <v>124</v>
      </c>
      <c r="J68" s="143"/>
    </row>
    <row r="69">
      <c r="A69" s="135" t="s">
        <v>2870</v>
      </c>
      <c r="B69" s="143" t="s">
        <v>2351</v>
      </c>
      <c r="C69" s="147" t="str">
        <f>IFERROR(__xludf.DUMMYFUNCTION("FILTER ('Web4Good Papers'!A:A,'Web4Good Papers'!B:B=B69)"),"web1303")</f>
        <v>web1303</v>
      </c>
      <c r="D69" s="147" t="str">
        <f t="shared" si="2"/>
        <v>WED-Net: A Weather-Effect Disentanglement Network with Causal Augmentation for Urban Flow Prediction
Qian Hong, Siyuan Chang and Xiao Zhou
</v>
      </c>
      <c r="E69" s="147" t="str">
        <f>IFERROR(__xludf.DUMMYFUNCTION("TEXTJOIN(CHAR(10), TRUE,FILTER('Web4Good Papers'!$D:$D,'Web4Good Papers'!$A:$A=C69))"),"Qian Hong, Siyuan Chang and Xiao Zhou")</f>
        <v>Qian Hong, Siyuan Chang and Xiao Zhou</v>
      </c>
      <c r="F69" s="147" t="str">
        <f>IFERROR(__xludf.DUMMYFUNCTION("TEXTJOIN(CHAR(10), TRUE,FILTER ('Sheridan Main'!E:E,'Sheridan Main'!B:B=C69))"),"xiaozhou@ruc.edu.cn")</f>
        <v>xiaozhou@ruc.edu.cn</v>
      </c>
      <c r="G69" s="235" t="str">
        <f>IFERROR(__xludf.DUMMYFUNCTION("CONCATENATE(""https://dl.acm.org/doi/"",INDEX(FILTER('Sheridan Main'!A:A,'Sheridan Main'!B:B=C69),1))"),"https://dl.acm.org/doi/10.1145/3774904.3793059")</f>
        <v>https://dl.acm.org/doi/10.1145/3774904.3793059</v>
      </c>
      <c r="H69" s="221" t="s">
        <v>2862</v>
      </c>
      <c r="I69" s="135" t="s">
        <v>2919</v>
      </c>
      <c r="J69" s="143"/>
    </row>
    <row r="70">
      <c r="A70" s="135" t="s">
        <v>2870</v>
      </c>
      <c r="B70" s="143" t="s">
        <v>2319</v>
      </c>
      <c r="C70" s="147" t="str">
        <f>IFERROR(__xludf.DUMMYFUNCTION("FILTER ('Web4Good Papers'!A:A,'Web4Good Papers'!B:B=B70)"),"web1312")</f>
        <v>web1312</v>
      </c>
      <c r="D70" s="147" t="str">
        <f t="shared" si="2"/>
        <v>SMART: A Social Movement Analysis &amp; Reasoning Tool with Case Studies on #MeToo and #BlackLivesMatter
Valerio La Gatta, Marco Postiglione, Jeremy Gilbert, Daniel W. Linna Jr., Morgan Manella Greenfield, Aaron Shaw and V.S. Subrahmanian
</v>
      </c>
      <c r="E70" s="147" t="str">
        <f>IFERROR(__xludf.DUMMYFUNCTION("TEXTJOIN(CHAR(10), TRUE,FILTER('Web4Good Papers'!$D:$D,'Web4Good Papers'!$A:$A=C70))"),"Valerio La Gatta, Marco Postiglione, Jeremy Gilbert, Daniel W. Linna Jr., Morgan Manella Greenfield, Aaron Shaw and V.S. Subrahmanian")</f>
        <v>Valerio La Gatta, Marco Postiglione, Jeremy Gilbert, Daniel W. Linna Jr., Morgan Manella Greenfield, Aaron Shaw and V.S. Subrahmanian</v>
      </c>
      <c r="F70" s="147" t="str">
        <f>IFERROR(__xludf.DUMMYFUNCTION("TEXTJOIN(CHAR(10), TRUE,FILTER ('Sheridan Main'!E:E,'Sheridan Main'!B:B=C70))"),"marco.postiglione@northwestern.edu")</f>
        <v>marco.postiglione@northwestern.edu</v>
      </c>
      <c r="G70" s="235" t="str">
        <f>IFERROR(__xludf.DUMMYFUNCTION("CONCATENATE(""https://dl.acm.org/doi/"",INDEX(FILTER('Sheridan Main'!A:A,'Sheridan Main'!B:B=C70),1))"),"https://dl.acm.org/doi/10.1145/3774904.3793043")</f>
        <v>https://dl.acm.org/doi/10.1145/3774904.3793043</v>
      </c>
      <c r="H70" s="221" t="s">
        <v>2862</v>
      </c>
      <c r="I70" s="135" t="s">
        <v>2920</v>
      </c>
      <c r="J70" s="143"/>
    </row>
    <row r="71">
      <c r="A71" s="135" t="s">
        <v>2870</v>
      </c>
      <c r="B71" s="143" t="s">
        <v>2299</v>
      </c>
      <c r="C71" s="147" t="str">
        <f>IFERROR(__xludf.DUMMYFUNCTION("FILTER ('Web4Good Papers'!A:A,'Web4Good Papers'!B:B=B71)"),"web1343")</f>
        <v>web1343</v>
      </c>
      <c r="D71" s="147" t="str">
        <f t="shared" si="2"/>
        <v>Multimodal Spatiotemporal Forecasting of Deepfake Propagation on Social Media
Seoyoon Jeong, JeeEun Kim, S. Shyam Sundar and Jinyoung Han
</v>
      </c>
      <c r="E71" s="147" t="str">
        <f>IFERROR(__xludf.DUMMYFUNCTION("TEXTJOIN(CHAR(10), TRUE,FILTER('Web4Good Papers'!$D:$D,'Web4Good Papers'!$A:$A=C71))"),"Seoyoon Jeong, JeeEun Kim, S. Shyam Sundar and Jinyoung Han")</f>
        <v>Seoyoon Jeong, JeeEun Kim, S. Shyam Sundar and Jinyoung Han</v>
      </c>
      <c r="F71" s="147" t="str">
        <f>IFERROR(__xludf.DUMMYFUNCTION("TEXTJOIN(CHAR(10), TRUE,FILTER ('Sheridan Main'!E:E,'Sheridan Main'!B:B=C71))"),"jinyounghan@skku.edu")</f>
        <v>jinyounghan@skku.edu</v>
      </c>
      <c r="G71" s="235" t="str">
        <f>IFERROR(__xludf.DUMMYFUNCTION("CONCATENATE(""https://dl.acm.org/doi/"",INDEX(FILTER('Sheridan Main'!A:A,'Sheridan Main'!B:B=C71),1))"),"https://dl.acm.org/doi/10.1145/3774904.3793033")</f>
        <v>https://dl.acm.org/doi/10.1145/3774904.3793033</v>
      </c>
      <c r="H71" s="221" t="s">
        <v>2862</v>
      </c>
      <c r="I71" s="135" t="s">
        <v>198</v>
      </c>
      <c r="J71" s="143"/>
    </row>
    <row r="72">
      <c r="A72" s="135" t="s">
        <v>2870</v>
      </c>
      <c r="B72" s="143" t="s">
        <v>2337</v>
      </c>
      <c r="C72" s="147" t="str">
        <f>IFERROR(__xludf.DUMMYFUNCTION("FILTER ('Web4Good Papers'!A:A,'Web4Good Papers'!B:B=B72)"),"web1362")</f>
        <v>web1362</v>
      </c>
      <c r="D72" s="147" t="str">
        <f t="shared" si="2"/>
        <v>Towards Fair Large Language Model-based Recommender Systems without Costly Retraining
Jin Li, Huilin Gu, Shoujin Wang, Qi Zhang, Shui Yu, Chen Wang, Xiwei Xu and Fang Chen
</v>
      </c>
      <c r="E72" s="147" t="str">
        <f>IFERROR(__xludf.DUMMYFUNCTION("TEXTJOIN(CHAR(10), TRUE,FILTER('Web4Good Papers'!$D:$D,'Web4Good Papers'!$A:$A=C72))"),"Jin Li, Huilin Gu, Shoujin Wang, Qi Zhang, Shui Yu, Chen Wang, Xiwei Xu and Fang Chen")</f>
        <v>Jin Li, Huilin Gu, Shoujin Wang, Qi Zhang, Shui Yu, Chen Wang, Xiwei Xu and Fang Chen</v>
      </c>
      <c r="F72" s="147" t="str">
        <f>IFERROR(__xludf.DUMMYFUNCTION("TEXTJOIN(CHAR(10), TRUE,FILTER ('Sheridan Main'!E:E,'Sheridan Main'!B:B=C72))"),"Shoujin.Wang@uts.edu.au")</f>
        <v>Shoujin.Wang@uts.edu.au</v>
      </c>
      <c r="G72" s="235" t="str">
        <f>IFERROR(__xludf.DUMMYFUNCTION("CONCATENATE(""https://dl.acm.org/doi/"",INDEX(FILTER('Sheridan Main'!A:A,'Sheridan Main'!B:B=C72),1))"),"https://dl.acm.org/doi/10.1145/3774904.3793052")</f>
        <v>https://dl.acm.org/doi/10.1145/3774904.3793052</v>
      </c>
      <c r="H72" s="221" t="s">
        <v>2862</v>
      </c>
      <c r="I72" s="135" t="s">
        <v>2918</v>
      </c>
      <c r="J72" s="143"/>
    </row>
    <row r="73">
      <c r="A73" s="222" t="s">
        <v>2870</v>
      </c>
      <c r="B73" s="175" t="s">
        <v>2347</v>
      </c>
      <c r="C73" s="217" t="str">
        <f>IFERROR(__xludf.DUMMYFUNCTION("FILTER ('Web4Good Papers'!A:A,'Web4Good Papers'!B:B=B73)"),"web1490")</f>
        <v>web1490</v>
      </c>
      <c r="D73" s="217" t="str">
        <f t="shared" si="2"/>
        <v>Unleashing the Recommendation Power of Large Language Model via Progressive Best Subset Selection
Yicheng Di
</v>
      </c>
      <c r="E73" s="217" t="str">
        <f>IFERROR(__xludf.DUMMYFUNCTION("TEXTJOIN(CHAR(10), TRUE,FILTER('Web4Good Papers'!$D:$D,'Web4Good Papers'!$A:$A=C73))"),"Yicheng Di")</f>
        <v>Yicheng Di</v>
      </c>
      <c r="F73" s="217" t="str">
        <f>IFERROR(__xludf.DUMMYFUNCTION("TEXTJOIN(CHAR(10), TRUE,FILTER ('Sheridan Main'!E:E,'Sheridan Main'!B:B=C73))"),"diyicheng1@stu.jiangnan.edu.cn")</f>
        <v>diyicheng1@stu.jiangnan.edu.cn</v>
      </c>
      <c r="G73" s="223" t="str">
        <f>IFERROR(__xludf.DUMMYFUNCTION("CONCATENATE(""https://dl.acm.org/doi/"",INDEX(FILTER('Sheridan Main'!A:A,'Sheridan Main'!B:B=C73),1))"),"https://dl.acm.org/doi/10.1145/3774904.3793057")</f>
        <v>https://dl.acm.org/doi/10.1145/3774904.3793057</v>
      </c>
      <c r="H73" s="222" t="s">
        <v>2933</v>
      </c>
      <c r="I73" s="222" t="s">
        <v>2933</v>
      </c>
      <c r="J73" s="175"/>
      <c r="K73" s="241"/>
      <c r="L73" s="241"/>
      <c r="M73" s="241"/>
      <c r="N73" s="241"/>
      <c r="O73" s="241"/>
      <c r="P73" s="241"/>
      <c r="Q73" s="241"/>
      <c r="R73" s="241"/>
      <c r="S73" s="241"/>
      <c r="T73" s="241"/>
      <c r="U73" s="241"/>
      <c r="V73" s="241"/>
      <c r="W73" s="241"/>
      <c r="X73" s="241"/>
      <c r="Y73" s="241"/>
      <c r="Z73" s="241"/>
      <c r="AA73" s="241"/>
      <c r="AB73" s="241"/>
      <c r="AC73" s="241"/>
      <c r="AD73" s="241"/>
      <c r="AE73" s="241"/>
    </row>
    <row r="74">
      <c r="A74" s="135" t="s">
        <v>2870</v>
      </c>
      <c r="B74" s="143" t="s">
        <v>2231</v>
      </c>
      <c r="C74" s="147" t="str">
        <f>IFERROR(__xludf.DUMMYFUNCTION("FILTER ('Web4Good Papers'!A:A,'Web4Good Papers'!B:B=B74)"),"web1496")</f>
        <v>web1496</v>
      </c>
      <c r="D74" s="147" t="str">
        <f t="shared" si="2"/>
        <v>Enhancing Content Moderation with LLMs: A Reddit Case Study on Evaluating and Refining Human Decisions
Jiahui He, Yiluo Wei and Gareth Tyson
</v>
      </c>
      <c r="E74" s="147" t="str">
        <f>IFERROR(__xludf.DUMMYFUNCTION("TEXTJOIN(CHAR(10), TRUE,FILTER('Web4Good Papers'!$D:$D,'Web4Good Papers'!$A:$A=C74))"),"Jiahui He, Yiluo Wei and Gareth Tyson")</f>
        <v>Jiahui He, Yiluo Wei and Gareth Tyson</v>
      </c>
      <c r="F74" s="147" t="str">
        <f>IFERROR(__xludf.DUMMYFUNCTION("TEXTJOIN(CHAR(10), TRUE,FILTER ('Sheridan Main'!E:E,'Sheridan Main'!B:B=C74))"),"gtyson@ust.hk")</f>
        <v>gtyson@ust.hk</v>
      </c>
      <c r="G74" s="235" t="str">
        <f>IFERROR(__xludf.DUMMYFUNCTION("CONCATENATE(""https://dl.acm.org/doi/"",INDEX(FILTER('Sheridan Main'!A:A,'Sheridan Main'!B:B=C74),1))"),"https://dl.acm.org/doi/10.1145/3774904.3792999")</f>
        <v>https://dl.acm.org/doi/10.1145/3774904.3792999</v>
      </c>
      <c r="H74" s="221" t="s">
        <v>2862</v>
      </c>
      <c r="I74" s="135" t="s">
        <v>2919</v>
      </c>
      <c r="J74" s="143"/>
    </row>
    <row r="75">
      <c r="A75" s="135" t="s">
        <v>2870</v>
      </c>
      <c r="B75" s="143" t="s">
        <v>2251</v>
      </c>
      <c r="C75" s="147" t="str">
        <f>IFERROR(__xludf.DUMMYFUNCTION("FILTER ('Web4Good Papers'!A:A,'Web4Good Papers'!B:B=B75)"),"web0966")</f>
        <v>web0966</v>
      </c>
      <c r="D75" s="147" t="str">
        <f t="shared" si="2"/>
        <v>FUSED: Toward Federated Multimodal Retrieval across Sovereign Data Domains
Chi Xu, Jiaxing Li, Mengdi Jin, William I. Atlas, Mark A. Spoljaric, Edith C.H. Ngai and Jiangchuan Liu
</v>
      </c>
      <c r="E75" s="147" t="str">
        <f>IFERROR(__xludf.DUMMYFUNCTION("TEXTJOIN(CHAR(10), TRUE,FILTER('Web4Good Papers'!$D:$D,'Web4Good Papers'!$A:$A=C75))"),"Chi Xu, Jiaxing Li, Mengdi Jin, William I. Atlas, Mark A. Spoljaric, Edith C.H. Ngai and Jiangchuan Liu")</f>
        <v>Chi Xu, Jiaxing Li, Mengdi Jin, William I. Atlas, Mark A. Spoljaric, Edith C.H. Ngai and Jiangchuan Liu</v>
      </c>
      <c r="F75" s="147" t="str">
        <f>IFERROR(__xludf.DUMMYFUNCTION("TEXTJOIN(CHAR(10), TRUE,FILTER ('Sheridan Main'!E:E,'Sheridan Main'!B:B=C75))"),"jcliu@sfu.ca")</f>
        <v>jcliu@sfu.ca</v>
      </c>
      <c r="G75" s="235" t="str">
        <f>IFERROR(__xludf.DUMMYFUNCTION("CONCATENATE(""https://dl.acm.org/doi/"",INDEX(FILTER('Sheridan Main'!A:A,'Sheridan Main'!B:B=C75),1))"),"https://dl.acm.org/doi/10.1145/3774904.3793009")</f>
        <v>https://dl.acm.org/doi/10.1145/3774904.3793009</v>
      </c>
      <c r="H75" s="221" t="s">
        <v>2862</v>
      </c>
      <c r="I75" s="135" t="s">
        <v>2920</v>
      </c>
      <c r="J75" s="143"/>
    </row>
    <row r="76">
      <c r="A76" s="135" t="s">
        <v>2870</v>
      </c>
      <c r="B76" s="143" t="s">
        <v>2958</v>
      </c>
      <c r="C76" s="147" t="str">
        <f>IFERROR(__xludf.DUMMYFUNCTION("FILTER ('Web4Good Papers'!A:A,'Web4Good Papers'!B:B=B76)"),"web1169")</f>
        <v>web1169</v>
      </c>
      <c r="D76" s="147" t="str">
        <f t="shared" si="2"/>
        <v>TravelReasoner: Leveraging Large Reasoning Models to Address Mobility Data Gap
Peijie Liu, Fengli Xu and Yong Li
</v>
      </c>
      <c r="E76" s="147" t="str">
        <f>IFERROR(__xludf.DUMMYFUNCTION("TEXTJOIN(CHAR(10), TRUE,FILTER('Web4Good Papers'!$D:$D,'Web4Good Papers'!$A:$A=C76))"),"Peijie Liu, Fengli Xu and Yong Li")</f>
        <v>Peijie Liu, Fengli Xu and Yong Li</v>
      </c>
      <c r="F76" s="147" t="str">
        <f>IFERROR(__xludf.DUMMYFUNCTION("TEXTJOIN(CHAR(10), TRUE,FILTER ('Sheridan Main'!E:E,'Sheridan Main'!B:B=C76))"),"fenglixu@tsinghua.edu.cn")</f>
        <v>fenglixu@tsinghua.edu.cn</v>
      </c>
      <c r="G76" s="235" t="str">
        <f>IFERROR(__xludf.DUMMYFUNCTION("CONCATENATE(""https://dl.acm.org/doi/"",INDEX(FILTER('Sheridan Main'!A:A,'Sheridan Main'!B:B=C76),1))"),"https://dl.acm.org/doi/10.1145/3774904.3793054")</f>
        <v>https://dl.acm.org/doi/10.1145/3774904.3793054</v>
      </c>
      <c r="H76" s="221" t="s">
        <v>2862</v>
      </c>
      <c r="I76" s="135" t="s">
        <v>124</v>
      </c>
      <c r="J76" s="143"/>
    </row>
    <row r="77">
      <c r="A77" s="135" t="s">
        <v>2870</v>
      </c>
      <c r="B77" s="143" t="s">
        <v>2233</v>
      </c>
      <c r="C77" s="147" t="str">
        <f>IFERROR(__xludf.DUMMYFUNCTION("FILTER ('Web4Good Papers'!A:A,'Web4Good Papers'!B:B=B77)"),"web1228")</f>
        <v>web1228</v>
      </c>
      <c r="D77" s="147" t="str">
        <f t="shared" si="2"/>
        <v>Enhancing Rare Event Detection via Counterfactual Generation with Exogenous Variables
Lili Tian, Dehui Du and Yikang Chen
</v>
      </c>
      <c r="E77" s="147" t="str">
        <f>IFERROR(__xludf.DUMMYFUNCTION("TEXTJOIN(CHAR(10), TRUE,FILTER('Web4Good Papers'!$D:$D,'Web4Good Papers'!$A:$A=C77))"),"Lili Tian, Dehui Du and Yikang Chen")</f>
        <v>Lili Tian, Dehui Du and Yikang Chen</v>
      </c>
      <c r="F77" s="147" t="str">
        <f>IFERROR(__xludf.DUMMYFUNCTION("TEXTJOIN(CHAR(10), TRUE,FILTER ('Sheridan Main'!E:E,'Sheridan Main'!B:B=C77))"),"dhdu@sei.ecnu.edu.cn")</f>
        <v>dhdu@sei.ecnu.edu.cn</v>
      </c>
      <c r="G77" s="235" t="str">
        <f>IFERROR(__xludf.DUMMYFUNCTION("CONCATENATE(""https://dl.acm.org/doi/"",INDEX(FILTER('Sheridan Main'!A:A,'Sheridan Main'!B:B=C77),1))"),"https://dl.acm.org/doi/10.1145/3774904.3793000")</f>
        <v>https://dl.acm.org/doi/10.1145/3774904.3793000</v>
      </c>
      <c r="H77" s="221" t="s">
        <v>2862</v>
      </c>
      <c r="I77" s="135" t="s">
        <v>2918</v>
      </c>
      <c r="J77" s="143"/>
    </row>
    <row r="78">
      <c r="A78" s="135" t="s">
        <v>2870</v>
      </c>
      <c r="B78" s="143" t="s">
        <v>2285</v>
      </c>
      <c r="C78" s="147" t="str">
        <f>IFERROR(__xludf.DUMMYFUNCTION("FILTER ('Web4Good Papers'!A:A,'Web4Good Papers'!B:B=B78)"),"web1236")</f>
        <v>web1236</v>
      </c>
      <c r="D78" s="147" t="str">
        <f t="shared" si="2"/>
        <v>Longitudinal Trends in Global Climate Change Discourse on Facebook
Md. Rafiul Biswas, Mabrouka Bessghaier, Shimaa Ibrahim, George Mikros and Wajdi Zaghouani
</v>
      </c>
      <c r="E78" s="147" t="str">
        <f>IFERROR(__xludf.DUMMYFUNCTION("TEXTJOIN(CHAR(10), TRUE,FILTER('Web4Good Papers'!$D:$D,'Web4Good Papers'!$A:$A=C78))"),"Md. Rafiul Biswas, Mabrouka Bessghaier, Shimaa Ibrahim, George Mikros and Wajdi Zaghouani")</f>
        <v>Md. Rafiul Biswas, Mabrouka Bessghaier, Shimaa Ibrahim, George Mikros and Wajdi Zaghouani</v>
      </c>
      <c r="F78" s="147" t="str">
        <f>IFERROR(__xludf.DUMMYFUNCTION("TEXTJOIN(CHAR(10), TRUE,FILTER ('Sheridan Main'!E:E,'Sheridan Main'!B:B=C78))"),"mbiswas@hbku.edu.qa")</f>
        <v>mbiswas@hbku.edu.qa</v>
      </c>
      <c r="G78" s="235" t="str">
        <f>IFERROR(__xludf.DUMMYFUNCTION("CONCATENATE(""https://dl.acm.org/doi/"",INDEX(FILTER('Sheridan Main'!A:A,'Sheridan Main'!B:B=C78),1))"),"https://dl.acm.org/doi/10.1145/3774904.3793026")</f>
        <v>https://dl.acm.org/doi/10.1145/3774904.3793026</v>
      </c>
      <c r="H78" s="221" t="s">
        <v>2862</v>
      </c>
      <c r="I78" s="135" t="s">
        <v>124</v>
      </c>
      <c r="J78" s="143"/>
    </row>
    <row r="79">
      <c r="A79" s="135" t="s">
        <v>2870</v>
      </c>
      <c r="B79" s="143" t="s">
        <v>2291</v>
      </c>
      <c r="C79" s="147" t="str">
        <f>IFERROR(__xludf.DUMMYFUNCTION("FILTER ('Web4Good Papers'!A:A,'Web4Good Papers'!B:B=B79)"),"web1243")</f>
        <v>web1243</v>
      </c>
      <c r="D79" s="147" t="str">
        <f t="shared" si="2"/>
        <v>Mitigating Fine-tuning Bias: A Parameter-Efficient Debiasing Framework for Large Language Models
Qiuyu Li, Kun Zhang, Le Wu, Hao Liu, Hefei Xu, Xin Li and Si Wei
</v>
      </c>
      <c r="E79" s="147" t="str">
        <f>IFERROR(__xludf.DUMMYFUNCTION("TEXTJOIN(CHAR(10), TRUE,FILTER('Web4Good Papers'!$D:$D,'Web4Good Papers'!$A:$A=C79))"),"Qiuyu Li, Kun Zhang, Le Wu, Hao Liu, Hefei Xu, Xin Li and Si Wei")</f>
        <v>Qiuyu Li, Kun Zhang, Le Wu, Hao Liu, Hefei Xu, Xin Li and Si Wei</v>
      </c>
      <c r="F79" s="147" t="str">
        <f>IFERROR(__xludf.DUMMYFUNCTION("TEXTJOIN(CHAR(10), TRUE,FILTER ('Sheridan Main'!E:E,'Sheridan Main'!B:B=C79))"),"zhang1028kun@gmail.com")</f>
        <v>zhang1028kun@gmail.com</v>
      </c>
      <c r="G79" s="235" t="str">
        <f>IFERROR(__xludf.DUMMYFUNCTION("CONCATENATE(""https://dl.acm.org/doi/"",INDEX(FILTER('Sheridan Main'!A:A,'Sheridan Main'!B:B=C79),1))"),"https://dl.acm.org/doi/10.1145/3774904.3793029")</f>
        <v>https://dl.acm.org/doi/10.1145/3774904.3793029</v>
      </c>
      <c r="H79" s="221" t="s">
        <v>2862</v>
      </c>
      <c r="I79" s="135" t="s">
        <v>2919</v>
      </c>
      <c r="J79" s="143"/>
    </row>
    <row r="80">
      <c r="A80" s="135" t="s">
        <v>2870</v>
      </c>
      <c r="B80" s="143" t="s">
        <v>2213</v>
      </c>
      <c r="C80" s="147" t="str">
        <f>IFERROR(__xludf.DUMMYFUNCTION("FILTER ('Web4Good Papers'!A:A,'Web4Good Papers'!B:B=B80)"),"web1247")</f>
        <v>web1247</v>
      </c>
      <c r="D80" s="147" t="str">
        <f t="shared" si="2"/>
        <v>Cross-Domain Fake News Detection on Unseen Domains via LLM-Based Domain-Aware User Modeling
Xuankai Yang, Yan Wang, Jiajie Zhu, Pengfei Ding, Hongyang Liu, Xiuzhen Zhang and Huan Liu
</v>
      </c>
      <c r="E80" s="147" t="str">
        <f>IFERROR(__xludf.DUMMYFUNCTION("TEXTJOIN(CHAR(10), TRUE,FILTER('Web4Good Papers'!$D:$D,'Web4Good Papers'!$A:$A=C80))"),"Xuankai Yang, Yan Wang, Jiajie Zhu, Pengfei Ding, Hongyang Liu, Xiuzhen Zhang and Huan Liu")</f>
        <v>Xuankai Yang, Yan Wang, Jiajie Zhu, Pengfei Ding, Hongyang Liu, Xiuzhen Zhang and Huan Liu</v>
      </c>
      <c r="F80" s="147" t="str">
        <f>IFERROR(__xludf.DUMMYFUNCTION("TEXTJOIN(CHAR(10), TRUE,FILTER ('Sheridan Main'!E:E,'Sheridan Main'!B:B=C80))"),"yan.wang@mq.edu.au")</f>
        <v>yan.wang@mq.edu.au</v>
      </c>
      <c r="G80" s="235" t="str">
        <f>IFERROR(__xludf.DUMMYFUNCTION("CONCATENATE(""https://dl.acm.org/doi/"",INDEX(FILTER('Sheridan Main'!A:A,'Sheridan Main'!B:B=C80),1))"),"https://dl.acm.org/doi/10.1145/3774904.3792990")</f>
        <v>https://dl.acm.org/doi/10.1145/3774904.3792990</v>
      </c>
      <c r="H80" s="221" t="s">
        <v>2862</v>
      </c>
      <c r="I80" s="135" t="s">
        <v>2920</v>
      </c>
      <c r="J80" s="143"/>
    </row>
    <row r="81">
      <c r="A81" s="135" t="s">
        <v>2870</v>
      </c>
      <c r="B81" s="143" t="s">
        <v>2275</v>
      </c>
      <c r="C81" s="147" t="str">
        <f>IFERROR(__xludf.DUMMYFUNCTION("FILTER ('Web4Good Papers'!A:A,'Web4Good Papers'!B:B=B81)"),"web1249")</f>
        <v>web1249</v>
      </c>
      <c r="D81" s="147" t="str">
        <f t="shared" si="2"/>
        <v>K&amp;L: Penetrating Backdoor Defense with Key and Locks
Xinyi Wang, Jiayu Zhang, Zhiyu Zhu, Zhibo Jin, Dong Yuan and Huaming Chen
</v>
      </c>
      <c r="E81" s="147" t="str">
        <f>IFERROR(__xludf.DUMMYFUNCTION("TEXTJOIN(CHAR(10), TRUE,FILTER('Web4Good Papers'!$D:$D,'Web4Good Papers'!$A:$A=C81))"),"Xinyi Wang, Jiayu Zhang, Zhiyu Zhu, Zhibo Jin, Dong Yuan and Huaming Chen")</f>
        <v>Xinyi Wang, Jiayu Zhang, Zhiyu Zhu, Zhibo Jin, Dong Yuan and Huaming Chen</v>
      </c>
      <c r="F81" s="147" t="str">
        <f>IFERROR(__xludf.DUMMYFUNCTION("TEXTJOIN(CHAR(10), TRUE,FILTER ('Sheridan Main'!E:E,'Sheridan Main'!B:B=C81))"),"huaming.chen@sydney.edu.au")</f>
        <v>huaming.chen@sydney.edu.au</v>
      </c>
      <c r="G81" s="235" t="str">
        <f>IFERROR(__xludf.DUMMYFUNCTION("CONCATENATE(""https://dl.acm.org/doi/"",INDEX(FILTER('Sheridan Main'!A:A,'Sheridan Main'!B:B=C81),1))"),"https://dl.acm.org/doi/10.1145/3774904.3793021")</f>
        <v>https://dl.acm.org/doi/10.1145/3774904.3793021</v>
      </c>
      <c r="H81" s="221" t="s">
        <v>2862</v>
      </c>
      <c r="I81" s="135" t="s">
        <v>198</v>
      </c>
      <c r="J81" s="143"/>
    </row>
    <row r="82">
      <c r="A82" s="135" t="s">
        <v>2870</v>
      </c>
      <c r="B82" s="143" t="s">
        <v>2209</v>
      </c>
      <c r="C82" s="147" t="str">
        <f>IFERROR(__xludf.DUMMYFUNCTION("FILTER ('Web4Good Papers'!A:A,'Web4Good Papers'!B:B=B82)"),"web1254")</f>
        <v>web1254</v>
      </c>
      <c r="D82" s="147" t="str">
        <f t="shared" si="2"/>
        <v>coTherapist: A Behavior-Aligned Small Language Model Framework to Support Mental Healthcare Experts
Prottay Kumar Adhikary, Reena Rawat and Tanmoy Chakraborty
</v>
      </c>
      <c r="E82" s="147" t="str">
        <f>IFERROR(__xludf.DUMMYFUNCTION("TEXTJOIN(CHAR(10), TRUE,FILTER('Web4Good Papers'!$D:$D,'Web4Good Papers'!$A:$A=C82))"),"Prottay Kumar Adhikary, Reena Rawat and Tanmoy Chakraborty")</f>
        <v>Prottay Kumar Adhikary, Reena Rawat and Tanmoy Chakraborty</v>
      </c>
      <c r="F82" s="147" t="str">
        <f>IFERROR(__xludf.DUMMYFUNCTION("TEXTJOIN(CHAR(10), TRUE,FILTER ('Sheridan Main'!E:E,'Sheridan Main'!B:B=C82))"),"prottay71@gmail.com")</f>
        <v>prottay71@gmail.com</v>
      </c>
      <c r="G82" s="235" t="str">
        <f>IFERROR(__xludf.DUMMYFUNCTION("CONCATENATE(""https://dl.acm.org/doi/"",INDEX(FILTER('Sheridan Main'!A:A,'Sheridan Main'!B:B=C82),1))"),"https://dl.acm.org/doi/10.1145/3774904.3792988")</f>
        <v>https://dl.acm.org/doi/10.1145/3774904.3792988</v>
      </c>
      <c r="H82" s="221" t="s">
        <v>2862</v>
      </c>
      <c r="I82" s="135" t="s">
        <v>2918</v>
      </c>
      <c r="J82" s="143"/>
    </row>
    <row r="83">
      <c r="A83" s="135" t="s">
        <v>2870</v>
      </c>
      <c r="B83" s="143" t="s">
        <v>2189</v>
      </c>
      <c r="C83" s="147" t="str">
        <f>IFERROR(__xludf.DUMMYFUNCTION("FILTER ('Web4Good Papers'!A:A,'Web4Good Papers'!B:B=B83)"),"web1381")</f>
        <v>web1381</v>
      </c>
      <c r="D83" s="147" t="str">
        <f t="shared" si="2"/>
        <v>Bowling with ChatGPT: On the Evolving User Interactions with Conversational AI Systems
Sai Keerthana Karnam, Abhisek Dash, Krishna Gummadi, Animesh Mukherjee, Ingmar Weber and Savvas Zannettou
</v>
      </c>
      <c r="E83" s="147" t="str">
        <f>IFERROR(__xludf.DUMMYFUNCTION("TEXTJOIN(CHAR(10), TRUE,FILTER('Web4Good Papers'!$D:$D,'Web4Good Papers'!$A:$A=C83))"),"Sai Keerthana Karnam, Abhisek Dash, Krishna Gummadi, Animesh Mukherjee, Ingmar Weber and Savvas Zannettou")</f>
        <v>Sai Keerthana Karnam, Abhisek Dash, Krishna Gummadi, Animesh Mukherjee, Ingmar Weber and Savvas Zannettou</v>
      </c>
      <c r="F83" s="147" t="str">
        <f>IFERROR(__xludf.DUMMYFUNCTION("TEXTJOIN(CHAR(10), TRUE,FILTER ('Sheridan Main'!E:E,'Sheridan Main'!B:B=C83))"),"saikeerthana00@gmail.com")</f>
        <v>saikeerthana00@gmail.com</v>
      </c>
      <c r="G83" s="235" t="str">
        <f>IFERROR(__xludf.DUMMYFUNCTION("CONCATENATE(""https://dl.acm.org/doi/"",INDEX(FILTER('Sheridan Main'!A:A,'Sheridan Main'!B:B=C83),1))"),"https://dl.acm.org/doi/10.1145/3774904.3792978")</f>
        <v>https://dl.acm.org/doi/10.1145/3774904.3792978</v>
      </c>
      <c r="H83" s="221" t="s">
        <v>2862</v>
      </c>
      <c r="I83" s="135" t="s">
        <v>124</v>
      </c>
      <c r="J83" s="143"/>
    </row>
    <row r="84">
      <c r="A84" s="135" t="s">
        <v>2870</v>
      </c>
      <c r="B84" s="143" t="s">
        <v>2177</v>
      </c>
      <c r="C84" s="147" t="str">
        <f>IFERROR(__xludf.DUMMYFUNCTION("FILTER ('Web4Good Papers'!A:A,'Web4Good Papers'!B:B=B84)"),"web1397")</f>
        <v>web1397</v>
      </c>
      <c r="D84" s="147" t="str">
        <f t="shared" si="2"/>
        <v>AlignCP: Noise-Aware Preference Alignment for LLMs via Confidence and Polarity Reweighting
Chen Cheng, Hefei Xu and Le Wu
</v>
      </c>
      <c r="E84" s="147" t="str">
        <f>IFERROR(__xludf.DUMMYFUNCTION("TEXTJOIN(CHAR(10), TRUE,FILTER('Web4Good Papers'!$D:$D,'Web4Good Papers'!$A:$A=C84))"),"Chen Cheng, Hefei Xu and Le Wu")</f>
        <v>Chen Cheng, Hefei Xu and Le Wu</v>
      </c>
      <c r="F84" s="147" t="str">
        <f>IFERROR(__xludf.DUMMYFUNCTION("TEXTJOIN(CHAR(10), TRUE,FILTER ('Sheridan Main'!E:E,'Sheridan Main'!B:B=C84))"),"lewu@hfut.edu.cn")</f>
        <v>lewu@hfut.edu.cn</v>
      </c>
      <c r="G84" s="235" t="str">
        <f>IFERROR(__xludf.DUMMYFUNCTION("CONCATENATE(""https://dl.acm.org/doi/"",INDEX(FILTER('Sheridan Main'!A:A,'Sheridan Main'!B:B=C84),1))"),"https://dl.acm.org/doi/10.1145/3774904.3792972")</f>
        <v>https://dl.acm.org/doi/10.1145/3774904.3792972</v>
      </c>
      <c r="H84" s="221" t="s">
        <v>2862</v>
      </c>
      <c r="I84" s="135" t="s">
        <v>2919</v>
      </c>
      <c r="J84" s="143"/>
    </row>
    <row r="85">
      <c r="A85" s="135" t="s">
        <v>2870</v>
      </c>
      <c r="B85" s="143" t="s">
        <v>2197</v>
      </c>
      <c r="C85" s="147" t="str">
        <f>IFERROR(__xludf.DUMMYFUNCTION("FILTER ('Web4Good Papers'!A:A,'Web4Good Papers'!B:B=B85)"),"web1404")</f>
        <v>web1404</v>
      </c>
      <c r="D85" s="147" t="str">
        <f t="shared" si="2"/>
        <v>COMA: A Collaborative Multi-Role Agent Framework for Automated Lesson Plan Generation
Xiaoli Zeng, Ying Zheng, Shuyan Huang, Zitao Liu, Mi Tian, Mingliang Hou, Jiaqi Zheng and Wenzhou Dou
</v>
      </c>
      <c r="E85" s="147" t="str">
        <f>IFERROR(__xludf.DUMMYFUNCTION("TEXTJOIN(CHAR(10), TRUE,FILTER('Web4Good Papers'!$D:$D,'Web4Good Papers'!$A:$A=C85))"),"Xiaoli Zeng, Ying Zheng, Shuyan Huang, Zitao Liu, Mi Tian, Mingliang Hou, Jiaqi Zheng and Wenzhou Dou")</f>
        <v>Xiaoli Zeng, Ying Zheng, Shuyan Huang, Zitao Liu, Mi Tian, Mingliang Hou, Jiaqi Zheng and Wenzhou Dou</v>
      </c>
      <c r="F85" s="147" t="str">
        <f>IFERROR(__xludf.DUMMYFUNCTION("TEXTJOIN(CHAR(10), TRUE,FILTER ('Sheridan Main'!E:E,'Sheridan Main'!B:B=C85))"),"zitao.jerry.liu@gmail.com")</f>
        <v>zitao.jerry.liu@gmail.com</v>
      </c>
      <c r="G85" s="235" t="str">
        <f>IFERROR(__xludf.DUMMYFUNCTION("CONCATENATE(""https://dl.acm.org/doi/"",INDEX(FILTER('Sheridan Main'!A:A,'Sheridan Main'!B:B=C85),1))"),"https://dl.acm.org/doi/10.1145/3774904.3792982")</f>
        <v>https://dl.acm.org/doi/10.1145/3774904.3792982</v>
      </c>
      <c r="H85" s="221" t="s">
        <v>2862</v>
      </c>
      <c r="I85" s="135" t="s">
        <v>2920</v>
      </c>
      <c r="J85" s="143"/>
    </row>
    <row r="86">
      <c r="A86" s="135" t="s">
        <v>2870</v>
      </c>
      <c r="B86" s="143" t="s">
        <v>2227</v>
      </c>
      <c r="C86" s="147" t="str">
        <f>IFERROR(__xludf.DUMMYFUNCTION("FILTER ('Web4Good Papers'!A:A,'Web4Good Papers'!B:B=B86)"),"web1315")</f>
        <v>web1315</v>
      </c>
      <c r="D86" s="147" t="str">
        <f t="shared" si="2"/>
        <v>EmeraldMind: A Knowledge Graph–Augmented Framework for Greenwashing Detection
Georgios Kaoukis, Ioannis-Aris Koufopoulos, Eleni Psaroudaki, Danae Pla Karidi, Evaggelia Pitoura, George Papastefanatos and Panayiotis Tsaparas
</v>
      </c>
      <c r="E86" s="147" t="str">
        <f>IFERROR(__xludf.DUMMYFUNCTION("TEXTJOIN(CHAR(10), TRUE,FILTER('Web4Good Papers'!$D:$D,'Web4Good Papers'!$A:$A=C86))"),"Georgios Kaoukis, Ioannis-Aris Koufopoulos, Eleni Psaroudaki, Danae Pla Karidi, Evaggelia Pitoura, George Papastefanatos and Panayiotis Tsaparas")</f>
        <v>Georgios Kaoukis, Ioannis-Aris Koufopoulos, Eleni Psaroudaki, Danae Pla Karidi, Evaggelia Pitoura, George Papastefanatos and Panayiotis Tsaparas</v>
      </c>
      <c r="F86" s="147" t="str">
        <f>IFERROR(__xludf.DUMMYFUNCTION("TEXTJOIN(CHAR(10), TRUE,FILTER ('Sheridan Main'!E:E,'Sheridan Main'!B:B=C86))"),"danae@athenarc.gr")</f>
        <v>danae@athenarc.gr</v>
      </c>
      <c r="G86" s="235" t="str">
        <f>IFERROR(__xludf.DUMMYFUNCTION("CONCATENATE(""https://dl.acm.org/doi/"",INDEX(FILTER('Sheridan Main'!A:A,'Sheridan Main'!B:B=C86),1))"),"https://dl.acm.org/doi/10.1145/3774904.3792997")</f>
        <v>https://dl.acm.org/doi/10.1145/3774904.3792997</v>
      </c>
      <c r="H86" s="221" t="s">
        <v>2862</v>
      </c>
      <c r="I86" s="135" t="s">
        <v>198</v>
      </c>
      <c r="J86" s="143"/>
    </row>
    <row r="87">
      <c r="A87" s="135" t="s">
        <v>2870</v>
      </c>
      <c r="B87" s="143" t="s">
        <v>2219</v>
      </c>
      <c r="C87" s="147" t="str">
        <f>IFERROR(__xludf.DUMMYFUNCTION("FILTER ('Web4Good Papers'!A:A,'Web4Good Papers'!B:B=B87)"),"web0283")</f>
        <v>web0283</v>
      </c>
      <c r="D87" s="147" t="str">
        <f t="shared" si="2"/>
        <v>Debating Truth: Debate-driven Claim Verification with Multiple Large Language Model Agents
Haorui He, Yupeng Li, Dacheng Wen, Yang Chen, Reynold Cheng, Donglong Chen and Francis C. M. Lau
</v>
      </c>
      <c r="E87" s="147" t="str">
        <f>IFERROR(__xludf.DUMMYFUNCTION("TEXTJOIN(CHAR(10), TRUE,FILTER('Web4Good Papers'!$D:$D,'Web4Good Papers'!$A:$A=C87))"),"Haorui He, Yupeng Li, Dacheng Wen, Yang Chen, Reynold Cheng, Donglong Chen and Francis C. M. Lau")</f>
        <v>Haorui He, Yupeng Li, Dacheng Wen, Yang Chen, Reynold Cheng, Donglong Chen and Francis C. M. Lau</v>
      </c>
      <c r="F87" s="147" t="str">
        <f>IFERROR(__xludf.DUMMYFUNCTION("TEXTJOIN(CHAR(10), TRUE,FILTER ('Sheridan Main'!E:E,'Sheridan Main'!B:B=C87))"),"ivanypli@gmail.com")</f>
        <v>ivanypli@gmail.com</v>
      </c>
      <c r="G87" s="235" t="str">
        <f>IFERROR(__xludf.DUMMYFUNCTION("CONCATENATE(""https://dl.acm.org/doi/"",INDEX(FILTER('Sheridan Main'!A:A,'Sheridan Main'!B:B=C87),1))"),"https://dl.acm.org/doi/10.1145/3774904.3792993")</f>
        <v>https://dl.acm.org/doi/10.1145/3774904.3792993</v>
      </c>
      <c r="H87" s="221" t="s">
        <v>2862</v>
      </c>
      <c r="I87" s="135" t="s">
        <v>2918</v>
      </c>
      <c r="J87" s="143"/>
    </row>
    <row r="88">
      <c r="A88" s="135" t="s">
        <v>2870</v>
      </c>
      <c r="B88" s="240" t="s">
        <v>2273</v>
      </c>
      <c r="C88" s="147" t="str">
        <f>IFERROR(__xludf.DUMMYFUNCTION("FILTER ('Web4Good Papers'!A:A,'Web4Good Papers'!B:B=B88)"),"web0926")</f>
        <v>web0926</v>
      </c>
      <c r="D88" s="147" t="str">
        <f t="shared" si="2"/>
        <v>Invisible Walls in Cities: Designing LLM Agent to Predict Urban Segregation Experience with Social Media Content
Bingbing Fan, Lin Chen, Songwei Li, Jian Yuan, Fengli Xu, Pan Hui and Yong Li
</v>
      </c>
      <c r="E88" s="147" t="str">
        <f>IFERROR(__xludf.DUMMYFUNCTION("TEXTJOIN(CHAR(10), TRUE,FILTER('Web4Good Papers'!$D:$D,'Web4Good Papers'!$A:$A=C88))"),"Bingbing Fan, Lin Chen, Songwei Li, Jian Yuan, Fengli Xu, Pan Hui and Yong Li")</f>
        <v>Bingbing Fan, Lin Chen, Songwei Li, Jian Yuan, Fengli Xu, Pan Hui and Yong Li</v>
      </c>
      <c r="F88" s="147" t="str">
        <f>IFERROR(__xludf.DUMMYFUNCTION("TEXTJOIN(CHAR(10), TRUE,FILTER ('Sheridan Main'!E:E,'Sheridan Main'!B:B=C88))"),"liyong07@tsinghua.edu.cn")</f>
        <v>liyong07@tsinghua.edu.cn</v>
      </c>
      <c r="G88" s="235" t="str">
        <f>IFERROR(__xludf.DUMMYFUNCTION("CONCATENATE(""https://dl.acm.org/doi/"",INDEX(FILTER('Sheridan Main'!A:A,'Sheridan Main'!B:B=C88),1))"),"https://dl.acm.org/doi/10.1145/3774904.3793020")</f>
        <v>https://dl.acm.org/doi/10.1145/3774904.3793020</v>
      </c>
      <c r="H88" s="221" t="s">
        <v>2862</v>
      </c>
      <c r="I88" s="135" t="s">
        <v>124</v>
      </c>
      <c r="J88" s="143"/>
    </row>
    <row r="89">
      <c r="A89" s="135" t="s">
        <v>2870</v>
      </c>
      <c r="B89" s="143" t="s">
        <v>2193</v>
      </c>
      <c r="C89" s="147" t="str">
        <f>IFERROR(__xludf.DUMMYFUNCTION("FILTER ('Web4Good Papers'!A:A,'Web4Good Papers'!B:B=B89)"),"web0939")</f>
        <v>web0939</v>
      </c>
      <c r="D89" s="147" t="str">
        <f t="shared" si="2"/>
        <v>Bringing Reasoning to Generative Recommendation Through the Lens of Cascaded Ranking
Xinyu Lin, Pengyuan Liu, Wenjie Wang, Yicheng Hu, Chen Xu, Fuli Feng, Qifan Wang and Tat-Seng Chua
</v>
      </c>
      <c r="E89" s="147" t="str">
        <f>IFERROR(__xludf.DUMMYFUNCTION("TEXTJOIN(CHAR(10), TRUE,FILTER('Web4Good Papers'!$D:$D,'Web4Good Papers'!$A:$A=C89))"),"Xinyu Lin, Pengyuan Liu, Wenjie Wang, Yicheng Hu, Chen Xu, Fuli Feng, Qifan Wang and Tat-Seng Chua")</f>
        <v>Xinyu Lin, Pengyuan Liu, Wenjie Wang, Yicheng Hu, Chen Xu, Fuli Feng, Qifan Wang and Tat-Seng Chua</v>
      </c>
      <c r="F89" s="147" t="str">
        <f>IFERROR(__xludf.DUMMYFUNCTION("TEXTJOIN(CHAR(10), TRUE,FILTER ('Sheridan Main'!E:E,'Sheridan Main'!B:B=C89))"),"xylin1028@gmail.com")</f>
        <v>xylin1028@gmail.com</v>
      </c>
      <c r="G89" s="235" t="str">
        <f>IFERROR(__xludf.DUMMYFUNCTION("CONCATENATE(""https://dl.acm.org/doi/"",INDEX(FILTER('Sheridan Main'!A:A,'Sheridan Main'!B:B=C89),1))"),"https://dl.acm.org/doi/10.1145/3774904.3792980")</f>
        <v>https://dl.acm.org/doi/10.1145/3774904.3792980</v>
      </c>
      <c r="H89" s="221" t="s">
        <v>2862</v>
      </c>
      <c r="I89" s="135" t="s">
        <v>2919</v>
      </c>
      <c r="J89" s="143"/>
    </row>
    <row r="90">
      <c r="A90" s="135" t="s">
        <v>2870</v>
      </c>
      <c r="B90" s="143" t="s">
        <v>2249</v>
      </c>
      <c r="C90" s="147" t="str">
        <f>IFERROR(__xludf.DUMMYFUNCTION("FILTER ('Web4Good Papers'!A:A,'Web4Good Papers'!B:B=B90)"),"web1008")</f>
        <v>web1008</v>
      </c>
      <c r="D90" s="147" t="str">
        <f t="shared" si="2"/>
        <v>From Words to Worlds: Measuring Cultural Narrative Bias in LLMs via a Structural–Value Pipeline
Fangjian Shen, Yifan Zeng, Dechen Lyu and Wushao Wen
</v>
      </c>
      <c r="E90" s="147" t="str">
        <f>IFERROR(__xludf.DUMMYFUNCTION("TEXTJOIN(CHAR(10), TRUE,FILTER('Web4Good Papers'!$D:$D,'Web4Good Papers'!$A:$A=C90))"),"Fangjian Shen, Yifan Zeng, Dechen Lyu and Wushao Wen")</f>
        <v>Fangjian Shen, Yifan Zeng, Dechen Lyu and Wushao Wen</v>
      </c>
      <c r="F90" s="147" t="str">
        <f>IFERROR(__xludf.DUMMYFUNCTION("TEXTJOIN(CHAR(10), TRUE,FILTER ('Sheridan Main'!E:E,'Sheridan Main'!B:B=C90))"),"wenwsh@mail.sysu.edu.cn")</f>
        <v>wenwsh@mail.sysu.edu.cn</v>
      </c>
      <c r="G90" s="235" t="str">
        <f>IFERROR(__xludf.DUMMYFUNCTION("CONCATENATE(""https://dl.acm.org/doi/"",INDEX(FILTER('Sheridan Main'!A:A,'Sheridan Main'!B:B=C90),1))"),"https://dl.acm.org/doi/10.1145/3774904.3793008")</f>
        <v>https://dl.acm.org/doi/10.1145/3774904.3793008</v>
      </c>
      <c r="H90" s="221" t="s">
        <v>2862</v>
      </c>
      <c r="I90" s="135" t="s">
        <v>2920</v>
      </c>
      <c r="J90" s="143"/>
    </row>
    <row r="91">
      <c r="A91" s="135" t="s">
        <v>2870</v>
      </c>
      <c r="B91" s="143" t="s">
        <v>2345</v>
      </c>
      <c r="C91" s="147" t="str">
        <f>IFERROR(__xludf.DUMMYFUNCTION("FILTER ('Web4Good Papers'!A:A,'Web4Good Papers'!B:B=B91)"),"web1104")</f>
        <v>web1104</v>
      </c>
      <c r="D91" s="147" t="str">
        <f t="shared" si="2"/>
        <v>Understanding the Consequences of VTuber Reincarnation
Yiluo Wei and Gareth Tyson
</v>
      </c>
      <c r="E91" s="147" t="str">
        <f>IFERROR(__xludf.DUMMYFUNCTION("TEXTJOIN(CHAR(10), TRUE,FILTER('Web4Good Papers'!$D:$D,'Web4Good Papers'!$A:$A=C91))"),"Yiluo Wei and Gareth Tyson")</f>
        <v>Yiluo Wei and Gareth Tyson</v>
      </c>
      <c r="F91" s="147" t="str">
        <f>IFERROR(__xludf.DUMMYFUNCTION("TEXTJOIN(CHAR(10), TRUE,FILTER ('Sheridan Main'!E:E,'Sheridan Main'!B:B=C91))"),"gtyson@ust.hk")</f>
        <v>gtyson@ust.hk</v>
      </c>
      <c r="G91" s="235" t="str">
        <f>IFERROR(__xludf.DUMMYFUNCTION("CONCATENATE(""https://dl.acm.org/doi/"",INDEX(FILTER('Sheridan Main'!A:A,'Sheridan Main'!B:B=C91),1))"),"https://dl.acm.org/doi/10.1145/3774904.3793056")</f>
        <v>https://dl.acm.org/doi/10.1145/3774904.3793056</v>
      </c>
      <c r="H91" s="221" t="s">
        <v>2862</v>
      </c>
      <c r="I91" s="135" t="s">
        <v>198</v>
      </c>
      <c r="J91" s="143"/>
    </row>
    <row r="92">
      <c r="A92" s="135" t="s">
        <v>2870</v>
      </c>
      <c r="B92" s="143" t="s">
        <v>2327</v>
      </c>
      <c r="C92" s="147" t="str">
        <f>IFERROR(__xludf.DUMMYFUNCTION("FILTER ('Web4Good Papers'!A:A,'Web4Good Papers'!B:B=B92)"),"web1113")</f>
        <v>web1113</v>
      </c>
      <c r="D92" s="147" t="str">
        <f t="shared" si="2"/>
        <v>Sustainable and Responsible ECG-Based AI Diagnostics: Masked Frequency Reconstruction with Peak-Aware Transformers
Wei Wang, Jian Chen, Junxin Chen, Zeling Xu, Yuntao Zou and Henry H. Y. Tong
</v>
      </c>
      <c r="E92" s="147" t="str">
        <f>IFERROR(__xludf.DUMMYFUNCTION("TEXTJOIN(CHAR(10), TRUE,FILTER('Web4Good Papers'!$D:$D,'Web4Good Papers'!$A:$A=C92))"),"Wei Wang, Jian Chen, Junxin Chen, Zeling Xu, Yuntao Zou and Henry H. Y. Tong")</f>
        <v>Wei Wang, Jian Chen, Junxin Chen, Zeling Xu, Yuntao Zou and Henry H. Y. Tong</v>
      </c>
      <c r="F92" s="147" t="str">
        <f>IFERROR(__xludf.DUMMYFUNCTION("TEXTJOIN(CHAR(10), TRUE,FILTER ('Sheridan Main'!E:E,'Sheridan Main'!B:B=C92))"),"ccccccj03@connect.hku.hk")</f>
        <v>ccccccj03@connect.hku.hk</v>
      </c>
      <c r="G92" s="235" t="str">
        <f>IFERROR(__xludf.DUMMYFUNCTION("CONCATENATE(""https://dl.acm.org/doi/"",INDEX(FILTER('Sheridan Main'!A:A,'Sheridan Main'!B:B=C92),1))"),"https://dl.acm.org/doi/10.1145/3774904.3793047")</f>
        <v>https://dl.acm.org/doi/10.1145/3774904.3793047</v>
      </c>
      <c r="H92" s="221" t="s">
        <v>2862</v>
      </c>
      <c r="I92" s="135" t="s">
        <v>2918</v>
      </c>
      <c r="J92" s="143"/>
    </row>
    <row r="93">
      <c r="A93" s="135" t="s">
        <v>2870</v>
      </c>
      <c r="B93" s="143" t="s">
        <v>2267</v>
      </c>
      <c r="C93" s="147" t="str">
        <f>IFERROR(__xludf.DUMMYFUNCTION("FILTER ('Web4Good Papers'!A:A,'Web4Good Papers'!B:B=B93)"),"web1150")</f>
        <v>web1150</v>
      </c>
      <c r="D93" s="147" t="str">
        <f t="shared" si="2"/>
        <v>How Green Is Your Login? A Cross-Protocol Benchmark of Authentication Energy &amp; Latency
Weizheng Wang, Qipeng Xie, Shiyu Wang, Qingqing Ye, Kaishun Wu and Haibo Hu
</v>
      </c>
      <c r="E93" s="147" t="str">
        <f>IFERROR(__xludf.DUMMYFUNCTION("TEXTJOIN(CHAR(10), TRUE,FILTER('Web4Good Papers'!$D:$D,'Web4Good Papers'!$A:$A=C93))"),"Weizheng Wang, Qipeng Xie, Shiyu Wang, Qingqing Ye, Kaishun Wu and Haibo Hu")</f>
        <v>Weizheng Wang, Qipeng Xie, Shiyu Wang, Qingqing Ye, Kaishun Wu and Haibo Hu</v>
      </c>
      <c r="F93" s="147" t="str">
        <f>IFERROR(__xludf.DUMMYFUNCTION("TEXTJOIN(CHAR(10), TRUE,FILTER ('Sheridan Main'!E:E,'Sheridan Main'!B:B=C93))"),"haibo.hu@polyu.edu.hk")</f>
        <v>haibo.hu@polyu.edu.hk</v>
      </c>
      <c r="G93" s="235" t="str">
        <f>IFERROR(__xludf.DUMMYFUNCTION("CONCATENATE(""https://dl.acm.org/doi/"",INDEX(FILTER('Sheridan Main'!A:A,'Sheridan Main'!B:B=C93),1))"),"https://dl.acm.org/doi/10.1145/3774904.3793017")</f>
        <v>https://dl.acm.org/doi/10.1145/3774904.3793017</v>
      </c>
      <c r="H93" s="221" t="s">
        <v>2862</v>
      </c>
      <c r="I93" s="135" t="s">
        <v>124</v>
      </c>
      <c r="J93" s="143"/>
    </row>
    <row r="94">
      <c r="A94" s="135" t="s">
        <v>2870</v>
      </c>
      <c r="B94" s="143" t="s">
        <v>2179</v>
      </c>
      <c r="C94" s="147" t="str">
        <f>IFERROR(__xludf.DUMMYFUNCTION("FILTER ('Web4Good Papers'!A:A,'Web4Good Papers'!B:B=B94)"),"web1168")</f>
        <v>web1168</v>
      </c>
      <c r="D94" s="147" t="str">
        <f t="shared" si="2"/>
        <v>AMID: Model-Agnostic Dataset Distillation by Adversarial Mutual Information Minimization
Aoqi Wu, Junming Liu, Yuwei Zhang, Weiquan Huang, Liang Hu, Yifan Yang, Qi Zhang, Jiaxing Miao, Yuhan Tang and Zhongyuan Lai
</v>
      </c>
      <c r="E94" s="147" t="str">
        <f>IFERROR(__xludf.DUMMYFUNCTION("TEXTJOIN(CHAR(10), TRUE,FILTER('Web4Good Papers'!$D:$D,'Web4Good Papers'!$A:$A=C94))"),"Aoqi Wu, Junming Liu, Yuwei Zhang, Weiquan Huang, Liang Hu, Yifan Yang, Qi Zhang, Jiaxing Miao, Yuhan Tang and Zhongyuan Lai")</f>
        <v>Aoqi Wu, Junming Liu, Yuwei Zhang, Weiquan Huang, Liang Hu, Yifan Yang, Qi Zhang, Jiaxing Miao, Yuhan Tang and Zhongyuan Lai</v>
      </c>
      <c r="F94" s="147" t="str">
        <f>IFERROR(__xludf.DUMMYFUNCTION("TEXTJOIN(CHAR(10), TRUE,FILTER ('Sheridan Main'!E:E,'Sheridan Main'!B:B=C94))"),"2331930@tongji.edu.cn")</f>
        <v>2331930@tongji.edu.cn</v>
      </c>
      <c r="G94" s="235" t="str">
        <f>IFERROR(__xludf.DUMMYFUNCTION("CONCATENATE(""https://dl.acm.org/doi/"",INDEX(FILTER('Sheridan Main'!A:A,'Sheridan Main'!B:B=C94),1))"),"https://dl.acm.org/doi/10.1145/3774904.3792973")</f>
        <v>https://dl.acm.org/doi/10.1145/3774904.3792973</v>
      </c>
      <c r="H94" s="221" t="s">
        <v>2862</v>
      </c>
      <c r="I94" s="135" t="s">
        <v>2919</v>
      </c>
      <c r="J94" s="143"/>
    </row>
    <row r="95">
      <c r="A95" s="135" t="s">
        <v>2870</v>
      </c>
      <c r="B95" s="143" t="s">
        <v>2203</v>
      </c>
      <c r="C95" s="147" t="str">
        <f>IFERROR(__xludf.DUMMYFUNCTION("FILTER ('Web4Good Papers'!A:A,'Web4Good Papers'!B:B=B95)"),"web1185")</f>
        <v>web1185</v>
      </c>
      <c r="D95" s="147" t="str">
        <f t="shared" si="2"/>
        <v>CompTox Ontology: Leveraging Knowledge Graphs for PFAS Monitoring and Decision-Making
Yinglun Zhang, Sonia Moavenzadeh, Jarrar Amjad, Onur Apul, Adrita Barua, Fatih Evrendilek, Torsten Hahmann, Ganga Hettiarachchi, Pascal Hitzler, David Kedrowski, Vasu Kilaru, Prayas Lashkari, Katrina Schweikert, Antony Williams and Hande McGinty
</v>
      </c>
      <c r="E95" s="147" t="str">
        <f>IFERROR(__xludf.DUMMYFUNCTION("TEXTJOIN(CHAR(10), TRUE,FILTER('Web4Good Papers'!$D:$D,'Web4Good Papers'!$A:$A=C95))"),"Yinglun Zhang, Sonia Moavenzadeh, Jarrar Amjad, Onur Apul, Adrita Barua, Fatih Evrendilek, Torsten Hahmann, Ganga Hettiarachchi, Pascal Hitzler, David Kedrowski, Vasu Kilaru, Prayas Lashkari, Katrina Schweikert, Antony Williams and Hande McGinty")</f>
        <v>Yinglun Zhang, Sonia Moavenzadeh, Jarrar Amjad, Onur Apul, Adrita Barua, Fatih Evrendilek, Torsten Hahmann, Ganga Hettiarachchi, Pascal Hitzler, David Kedrowski, Vasu Kilaru, Prayas Lashkari, Katrina Schweikert, Antony Williams and Hande McGinty</v>
      </c>
      <c r="F95" s="147" t="str">
        <f>IFERROR(__xludf.DUMMYFUNCTION("TEXTJOIN(CHAR(10), TRUE,FILTER ('Sheridan Main'!E:E,'Sheridan Main'!B:B=C95))"),"yinglun@ksu.edu
handekucukmcginty@gmail.com")</f>
        <v>yinglun@ksu.edu
handekucukmcginty@gmail.com</v>
      </c>
      <c r="G95" s="235" t="str">
        <f>IFERROR(__xludf.DUMMYFUNCTION("CONCATENATE(""https://dl.acm.org/doi/"",INDEX(FILTER('Sheridan Main'!A:A,'Sheridan Main'!B:B=C95),1))"),"https://dl.acm.org/doi/10.1145/3774904.3792985")</f>
        <v>https://dl.acm.org/doi/10.1145/3774904.3792985</v>
      </c>
      <c r="H95" s="221" t="s">
        <v>2862</v>
      </c>
      <c r="I95" s="135" t="s">
        <v>2920</v>
      </c>
      <c r="J95" s="143"/>
    </row>
    <row r="96">
      <c r="A96" s="135" t="s">
        <v>2870</v>
      </c>
      <c r="B96" s="143" t="s">
        <v>2271</v>
      </c>
      <c r="C96" s="147" t="str">
        <f>IFERROR(__xludf.DUMMYFUNCTION("FILTER ('Web4Good Papers'!A:A,'Web4Good Papers'!B:B=B96)"),"web1207")</f>
        <v>web1207</v>
      </c>
      <c r="D96" s="147" t="str">
        <f t="shared" si="2"/>
        <v>Intelli-Planner: Towards Customized Urban Planning via Large Language Model Empowered Reinforcement Learning
Xixian Yong, Peilin Sun, Zihe Wang and Xiao Zhou
</v>
      </c>
      <c r="E96" s="147" t="str">
        <f>IFERROR(__xludf.DUMMYFUNCTION("TEXTJOIN(CHAR(10), TRUE,FILTER('Web4Good Papers'!$D:$D,'Web4Good Papers'!$A:$A=C96))"),"Xixian Yong, Peilin Sun, Zihe Wang and Xiao Zhou")</f>
        <v>Xixian Yong, Peilin Sun, Zihe Wang and Xiao Zhou</v>
      </c>
      <c r="F96" s="147" t="str">
        <f>IFERROR(__xludf.DUMMYFUNCTION("TEXTJOIN(CHAR(10), TRUE,FILTER ('Sheridan Main'!E:E,'Sheridan Main'!B:B=C96))"),"xiaozhou@ruc.edu.cn")</f>
        <v>xiaozhou@ruc.edu.cn</v>
      </c>
      <c r="G96" s="235" t="str">
        <f>IFERROR(__xludf.DUMMYFUNCTION("CONCATENATE(""https://dl.acm.org/doi/"",INDEX(FILTER('Sheridan Main'!A:A,'Sheridan Main'!B:B=C96),1))"),"https://dl.acm.org/doi/10.1145/3774904.3793019")</f>
        <v>https://dl.acm.org/doi/10.1145/3774904.3793019</v>
      </c>
      <c r="H96" s="221" t="s">
        <v>2862</v>
      </c>
      <c r="I96" s="135" t="s">
        <v>198</v>
      </c>
      <c r="J96" s="143"/>
    </row>
    <row r="97">
      <c r="A97" s="135" t="s">
        <v>2870</v>
      </c>
      <c r="B97" s="143" t="s">
        <v>2241</v>
      </c>
      <c r="C97" s="147" t="str">
        <f>IFERROR(__xludf.DUMMYFUNCTION("FILTER ('Web4Good Papers'!A:A,'Web4Good Papers'!B:B=B97)"),"web1219")</f>
        <v>web1219</v>
      </c>
      <c r="D97" s="147" t="str">
        <f t="shared" si="2"/>
        <v>FairGU: Fairness-aware Graph Unlearning in Social Networks
Renqiang Luo, Yongshuai Yang, Huafei Huang, Qing Qing, Mingliang Hou, Ziqi Xu, Yi Yu, Jingjing Zhou and Feng Xia
</v>
      </c>
      <c r="E97" s="147" t="str">
        <f>IFERROR(__xludf.DUMMYFUNCTION("TEXTJOIN(CHAR(10), TRUE,FILTER('Web4Good Papers'!$D:$D,'Web4Good Papers'!$A:$A=C97))"),"Renqiang Luo, Yongshuai Yang, Huafei Huang, Qing Qing, Mingliang Hou, Ziqi Xu, Yi Yu, Jingjing Zhou and Feng Xia")</f>
        <v>Renqiang Luo, Yongshuai Yang, Huafei Huang, Qing Qing, Mingliang Hou, Ziqi Xu, Yi Yu, Jingjing Zhou and Feng Xia</v>
      </c>
      <c r="F97" s="147" t="str">
        <f>IFERROR(__xludf.DUMMYFUNCTION("TEXTJOIN(CHAR(10), TRUE,FILTER ('Sheridan Main'!E:E,'Sheridan Main'!B:B=C97))"),"ziqi.xu@rmit.edu.au")</f>
        <v>ziqi.xu@rmit.edu.au</v>
      </c>
      <c r="G97" s="235" t="str">
        <f>IFERROR(__xludf.DUMMYFUNCTION("CONCATENATE(""https://dl.acm.org/doi/"",INDEX(FILTER('Sheridan Main'!A:A,'Sheridan Main'!B:B=C97),1))"),"https://dl.acm.org/doi/10.1145/3774904.3793004")</f>
        <v>https://dl.acm.org/doi/10.1145/3774904.3793004</v>
      </c>
      <c r="H97" s="221" t="s">
        <v>2862</v>
      </c>
      <c r="I97" s="135" t="s">
        <v>2918</v>
      </c>
      <c r="J97" s="143"/>
    </row>
    <row r="98">
      <c r="A98" s="135" t="s">
        <v>2870</v>
      </c>
      <c r="B98" s="143" t="s">
        <v>2295</v>
      </c>
      <c r="C98" s="147" t="str">
        <f>IFERROR(__xludf.DUMMYFUNCTION("FILTER ('Web4Good Papers'!A:A,'Web4Good Papers'!B:B=B98)"),"web1250")</f>
        <v>web1250</v>
      </c>
      <c r="D98" s="147" t="str">
        <f t="shared" si="2"/>
        <v>MultiCheck: Strengthening Web Trust with Unified Multimodal Fact Verification
Aditya Kishore, Gaurav Kumar and Jasabanta Patro
</v>
      </c>
      <c r="E98" s="147" t="str">
        <f>IFERROR(__xludf.DUMMYFUNCTION("TEXTJOIN(CHAR(10), TRUE,FILTER('Web4Good Papers'!$D:$D,'Web4Good Papers'!$A:$A=C98))"),"Aditya Kishore, Gaurav Kumar and Jasabanta Patro")</f>
        <v>Aditya Kishore, Gaurav Kumar and Jasabanta Patro</v>
      </c>
      <c r="F98" s="147" t="str">
        <f>IFERROR(__xludf.DUMMYFUNCTION("TEXTJOIN(CHAR(10), TRUE,FILTER ('Sheridan Main'!E:E,'Sheridan Main'!B:B=C98))"),"adityak21@iiserb.ac.in")</f>
        <v>adityak21@iiserb.ac.in</v>
      </c>
      <c r="G98" s="235" t="str">
        <f>IFERROR(__xludf.DUMMYFUNCTION("CONCATENATE(""https://dl.acm.org/doi/"",INDEX(FILTER('Sheridan Main'!A:A,'Sheridan Main'!B:B=C98),1))"),"https://dl.acm.org/doi/10.1145/3774904.3793031")</f>
        <v>https://dl.acm.org/doi/10.1145/3774904.3793031</v>
      </c>
      <c r="H98" s="221" t="s">
        <v>2862</v>
      </c>
      <c r="I98" s="135" t="s">
        <v>124</v>
      </c>
      <c r="J98" s="143"/>
    </row>
    <row r="99">
      <c r="A99" s="135" t="s">
        <v>2870</v>
      </c>
      <c r="B99" s="143" t="s">
        <v>2245</v>
      </c>
      <c r="C99" s="147" t="str">
        <f>IFERROR(__xludf.DUMMYFUNCTION("FILTER ('Web4Good Papers'!A:A,'Web4Good Papers'!B:B=B99)"),"web1408")</f>
        <v>web1408</v>
      </c>
      <c r="D99" s="147" t="str">
        <f t="shared" si="2"/>
        <v>From Insight to Intervention: Interpretable Neuron Steering for Controlling Popularity Bias in Recommender Systems
Parviz Ahmadov and Masoud Mansoury
</v>
      </c>
      <c r="E99" s="147" t="str">
        <f>IFERROR(__xludf.DUMMYFUNCTION("TEXTJOIN(CHAR(10), TRUE,FILTER('Web4Good Papers'!$D:$D,'Web4Good Papers'!$A:$A=C99))"),"Parviz Ahmadov and Masoud Mansoury")</f>
        <v>Parviz Ahmadov and Masoud Mansoury</v>
      </c>
      <c r="F99" s="147" t="str">
        <f>IFERROR(__xludf.DUMMYFUNCTION("TEXTJOIN(CHAR(10), TRUE,FILTER ('Sheridan Main'!E:E,'Sheridan Main'!B:B=C99))"),"m.mansoury@tudelft.nl")</f>
        <v>m.mansoury@tudelft.nl</v>
      </c>
      <c r="G99" s="235" t="str">
        <f>IFERROR(__xludf.DUMMYFUNCTION("CONCATENATE(""https://dl.acm.org/doi/"",INDEX(FILTER('Sheridan Main'!A:A,'Sheridan Main'!B:B=C99),1))"),"https://dl.acm.org/doi/10.1145/3774904.3793006")</f>
        <v>https://dl.acm.org/doi/10.1145/3774904.3793006</v>
      </c>
      <c r="H99" s="221" t="s">
        <v>2862</v>
      </c>
      <c r="I99" s="135" t="s">
        <v>2919</v>
      </c>
      <c r="J99" s="143"/>
    </row>
    <row r="100">
      <c r="A100" s="135" t="s">
        <v>2870</v>
      </c>
      <c r="B100" s="143" t="s">
        <v>2305</v>
      </c>
      <c r="C100" s="147" t="str">
        <f>IFERROR(__xludf.DUMMYFUNCTION("FILTER ('Web4Good Papers'!A:A,'Web4Good Papers'!B:B=B100)"),"web1410")</f>
        <v>web1410</v>
      </c>
      <c r="D100" s="147" t="str">
        <f t="shared" si="2"/>
        <v>RegimeGuard: Continual Learning Queue Scheduling for Socially Critical Web Services
Zhipeng Liu, Ziming Zhao and Fan Zhang
</v>
      </c>
      <c r="E100" s="147" t="str">
        <f>IFERROR(__xludf.DUMMYFUNCTION("TEXTJOIN(CHAR(10), TRUE,FILTER('Web4Good Papers'!$D:$D,'Web4Good Papers'!$A:$A=C100))"),"Zhipeng Liu, Ziming Zhao and Fan Zhang")</f>
        <v>Zhipeng Liu, Ziming Zhao and Fan Zhang</v>
      </c>
      <c r="F100" s="147" t="str">
        <f>IFERROR(__xludf.DUMMYFUNCTION("TEXTJOIN(CHAR(10), TRUE,FILTER ('Sheridan Main'!E:E,'Sheridan Main'!B:B=C100))"),"zhaoziming@zju.edu.cn")</f>
        <v>zhaoziming@zju.edu.cn</v>
      </c>
      <c r="G100" s="235" t="str">
        <f>IFERROR(__xludf.DUMMYFUNCTION("CONCATENATE(""https://dl.acm.org/doi/"",INDEX(FILTER('Sheridan Main'!A:A,'Sheridan Main'!B:B=C100),1))"),"https://dl.acm.org/doi/10.1145/3774904.3793036")</f>
        <v>https://dl.acm.org/doi/10.1145/3774904.3793036</v>
      </c>
      <c r="H100" s="221" t="s">
        <v>2862</v>
      </c>
      <c r="I100" s="135" t="s">
        <v>2920</v>
      </c>
      <c r="J100" s="143"/>
    </row>
    <row r="101">
      <c r="A101" s="135" t="s">
        <v>2870</v>
      </c>
      <c r="B101" s="143" t="s">
        <v>2215</v>
      </c>
      <c r="C101" s="147" t="str">
        <f>IFERROR(__xludf.DUMMYFUNCTION("FILTER ('Web4Good Papers'!A:A,'Web4Good Papers'!B:B=B101)"),"web1223")</f>
        <v>web1223</v>
      </c>
      <c r="D101" s="147" t="str">
        <f t="shared" si="2"/>
        <v>Cross-Modal Rationale Transfer for Explainable Humanitarian Classification on Social Media
Thi Huyen Nguyen, Koustav Rudra and Wolfgang Nejdl
</v>
      </c>
      <c r="E101" s="147" t="str">
        <f>IFERROR(__xludf.DUMMYFUNCTION("TEXTJOIN(CHAR(10), TRUE,FILTER('Web4Good Papers'!$D:$D,'Web4Good Papers'!$A:$A=C101))"),"Thi Huyen Nguyen, Koustav Rudra and Wolfgang Nejdl")</f>
        <v>Thi Huyen Nguyen, Koustav Rudra and Wolfgang Nejdl</v>
      </c>
      <c r="F101" s="147" t="str">
        <f>IFERROR(__xludf.DUMMYFUNCTION("TEXTJOIN(CHAR(10), TRUE,FILTER ('Sheridan Main'!E:E,'Sheridan Main'!B:B=C101))"),"nguyen@l3s.de")</f>
        <v>nguyen@l3s.de</v>
      </c>
      <c r="G101" s="235" t="str">
        <f>IFERROR(__xludf.DUMMYFUNCTION("CONCATENATE(""https://dl.acm.org/doi/"",INDEX(FILTER('Sheridan Main'!A:A,'Sheridan Main'!B:B=C101),1))"),"https://dl.acm.org/doi/10.1145/3774904.3792991")</f>
        <v>https://dl.acm.org/doi/10.1145/3774904.3792991</v>
      </c>
      <c r="H101" s="221" t="s">
        <v>2862</v>
      </c>
      <c r="I101" s="135" t="s">
        <v>198</v>
      </c>
      <c r="J101" s="143"/>
    </row>
  </sheetData>
  <conditionalFormatting sqref="H7:H11">
    <cfRule type="cellIs" dxfId="5" priority="1" operator="equal">
      <formula>"TRUE"</formula>
    </cfRule>
  </conditionalFormatting>
  <dataValidations>
    <dataValidation type="list" allowBlank="1" showErrorMessage="1" sqref="H73">
      <formula1>"Web4GoodPoster,Web4Good1,Web4Good2,Web4Good3,Web4Good4,Cancelled"</formula1>
    </dataValidation>
    <dataValidation type="list" allowBlank="1" showErrorMessage="1" sqref="I27:I72 I74:I101">
      <formula1>"Web4GoodPoster1,Web4GoodPoster2,Web4GoodPoster3,Web4GoodPoster4,Web4GoodPoster5,Web4GoodPoster"</formula1>
    </dataValidation>
    <dataValidation type="list" allowBlank="1" showErrorMessage="1" sqref="I73">
      <formula1>"Web4GoodPoster1,Web4GoodPoster2,Web4GoodPoster3,Web4GoodPoster4,Web4GoodPoster5,Web4GoodPoster,Cancelled"</formula1>
    </dataValidation>
    <dataValidation type="list" allowBlank="1" showErrorMessage="1" sqref="H7:H72 H74:H101">
      <formula1>"Web4GoodPoster,Web4Good1,Web4Good2,Web4Good3,Web4Good4"</formula1>
    </dataValidation>
  </dataValidations>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87.75"/>
    <col customWidth="1" min="3" max="3" width="20.5"/>
    <col customWidth="1" min="4" max="4" width="108.13"/>
    <col customWidth="1" min="5" max="5" width="72.38"/>
  </cols>
  <sheetData>
    <row r="1">
      <c r="A1" s="229" t="s">
        <v>2947</v>
      </c>
      <c r="B1" s="229"/>
      <c r="C1" s="242" t="s">
        <v>2925</v>
      </c>
      <c r="D1" s="242" t="s">
        <v>2959</v>
      </c>
      <c r="E1" s="171" t="s">
        <v>2960</v>
      </c>
      <c r="F1" s="229" t="s">
        <v>2843</v>
      </c>
    </row>
    <row r="2">
      <c r="A2" s="135" t="s">
        <v>2961</v>
      </c>
      <c r="B2" s="143"/>
      <c r="C2" s="243"/>
      <c r="D2" s="243" t="str">
        <f>CONCATENATE("Welcome by History of Web Chairs",char(10),E2,char(10))</f>
        <v>Welcome by History of Web Chairs
Wendy Hall and Oshani Seneviratne
</v>
      </c>
      <c r="E2" s="244" t="s">
        <v>2962</v>
      </c>
      <c r="F2" s="143" t="s">
        <v>86</v>
      </c>
      <c r="H2" s="245"/>
      <c r="I2" s="246"/>
    </row>
    <row r="3">
      <c r="A3" s="135" t="s">
        <v>2961</v>
      </c>
      <c r="B3" s="143" t="s">
        <v>2963</v>
      </c>
      <c r="C3" s="243" t="s">
        <v>2964</v>
      </c>
      <c r="D3" s="247" t="str">
        <f t="shared" ref="D3:D6" si="1">concatenate(B3,char(10),E3,char(10))</f>
        <v>Seoul Test of Time Winner Presentation - LINE: Large-scale Information Network Embedding
Jian Tang
</v>
      </c>
      <c r="E3" s="244" t="s">
        <v>2965</v>
      </c>
      <c r="F3" s="143" t="s">
        <v>86</v>
      </c>
      <c r="H3" s="245"/>
      <c r="I3" s="246"/>
    </row>
    <row r="4">
      <c r="A4" s="135" t="s">
        <v>2961</v>
      </c>
      <c r="B4" s="143" t="s">
        <v>2966</v>
      </c>
      <c r="C4" s="243" t="s">
        <v>2967</v>
      </c>
      <c r="D4" s="247" t="str">
        <f t="shared" si="1"/>
        <v>The Semantic Web’s Second Act: Why Everything Old is New Again in Agentic AI
Natasha Noy
</v>
      </c>
      <c r="E4" s="143" t="s">
        <v>2968</v>
      </c>
      <c r="F4" s="143" t="s">
        <v>2935</v>
      </c>
      <c r="H4" s="245"/>
      <c r="I4" s="248"/>
    </row>
    <row r="5">
      <c r="A5" s="135" t="s">
        <v>2961</v>
      </c>
      <c r="B5" s="143" t="s">
        <v>2969</v>
      </c>
      <c r="C5" s="249" t="s">
        <v>2594</v>
      </c>
      <c r="D5" s="247" t="str">
        <f t="shared" si="1"/>
        <v>From Lexical and Semantic to Predictive Search: Evolution or Involution?
Ricardo Baeza-Yates
</v>
      </c>
      <c r="E5" s="143" t="s">
        <v>2970</v>
      </c>
      <c r="F5" s="143" t="s">
        <v>86</v>
      </c>
    </row>
    <row r="6">
      <c r="A6" s="135" t="s">
        <v>2961</v>
      </c>
      <c r="B6" s="143" t="s">
        <v>2971</v>
      </c>
      <c r="C6" s="249" t="s">
        <v>2596</v>
      </c>
      <c r="D6" s="247" t="str">
        <f t="shared" si="1"/>
        <v>On the historic roots of Agentic AI in Semantic Web Services
Axel Polleres
</v>
      </c>
      <c r="E6" s="143" t="s">
        <v>2972</v>
      </c>
      <c r="F6" s="143" t="s">
        <v>109</v>
      </c>
      <c r="H6" s="245"/>
      <c r="I6" s="246"/>
    </row>
    <row r="8">
      <c r="A8" s="135" t="s">
        <v>2961</v>
      </c>
      <c r="B8" s="143" t="s">
        <v>2593</v>
      </c>
      <c r="C8" s="249" t="s">
        <v>2592</v>
      </c>
      <c r="D8" s="247" t="str">
        <f t="shared" ref="D8:D9" si="2">concatenate(B8,char(10),E8,char(10))</f>
        <v>Evolving Notions of Success on the Web: From Retrieval to Experience
Mounia Lalmas
</v>
      </c>
      <c r="E8" s="143" t="s">
        <v>2973</v>
      </c>
      <c r="F8" s="143" t="s">
        <v>109</v>
      </c>
      <c r="H8" s="245"/>
      <c r="I8" s="246"/>
    </row>
    <row r="9">
      <c r="A9" s="135" t="s">
        <v>2961</v>
      </c>
      <c r="B9" s="143" t="s">
        <v>2974</v>
      </c>
      <c r="C9" s="250"/>
      <c r="D9" s="247" t="str">
        <f t="shared" si="2"/>
        <v>Panel
Yoelle Maarek, Ricardo Baeza-Yates, Wendy Hall moderated by Oshani Seneviratne
</v>
      </c>
      <c r="E9" s="143" t="s">
        <v>2975</v>
      </c>
      <c r="F9" s="143" t="s">
        <v>109</v>
      </c>
    </row>
    <row r="10">
      <c r="C10" s="250"/>
      <c r="D10" s="250"/>
    </row>
    <row r="11">
      <c r="C11" s="250"/>
      <c r="D11" s="250"/>
    </row>
    <row r="12">
      <c r="C12" s="250"/>
      <c r="D12" s="250"/>
    </row>
    <row r="13">
      <c r="C13" s="250"/>
      <c r="D13" s="250"/>
    </row>
    <row r="14">
      <c r="C14" s="250"/>
      <c r="D14" s="250"/>
    </row>
    <row r="15">
      <c r="C15" s="250"/>
      <c r="D15" s="250"/>
    </row>
    <row r="16">
      <c r="C16" s="250"/>
      <c r="D16" s="251"/>
    </row>
    <row r="17">
      <c r="C17" s="250"/>
      <c r="D17" s="252"/>
    </row>
    <row r="18">
      <c r="C18" s="250"/>
      <c r="D18" s="251"/>
    </row>
    <row r="19">
      <c r="C19" s="250"/>
      <c r="D19" s="252"/>
    </row>
    <row r="20">
      <c r="C20" s="250"/>
      <c r="D20" s="251"/>
    </row>
    <row r="21">
      <c r="C21" s="250"/>
      <c r="D21" s="252"/>
    </row>
    <row r="22">
      <c r="C22" s="250"/>
      <c r="D22" s="251"/>
    </row>
    <row r="23">
      <c r="C23" s="250"/>
      <c r="D23" s="252"/>
    </row>
    <row r="24">
      <c r="C24" s="250"/>
      <c r="D24" s="251"/>
    </row>
    <row r="25">
      <c r="C25" s="250"/>
      <c r="D25" s="252"/>
    </row>
    <row r="26">
      <c r="C26" s="250"/>
      <c r="D26" s="251"/>
    </row>
    <row r="27">
      <c r="C27" s="250"/>
      <c r="D27" s="252"/>
    </row>
    <row r="28">
      <c r="C28" s="250"/>
      <c r="D28" s="251"/>
    </row>
    <row r="29">
      <c r="C29" s="250"/>
      <c r="D29" s="250"/>
    </row>
    <row r="30">
      <c r="C30" s="250"/>
      <c r="D30" s="250"/>
    </row>
    <row r="31">
      <c r="C31" s="250"/>
      <c r="D31" s="250"/>
    </row>
    <row r="32">
      <c r="C32" s="250"/>
      <c r="D32" s="250"/>
    </row>
    <row r="33">
      <c r="C33" s="250"/>
      <c r="D33" s="250"/>
    </row>
    <row r="34">
      <c r="C34" s="250"/>
      <c r="D34" s="250"/>
    </row>
    <row r="35">
      <c r="C35" s="250"/>
      <c r="D35" s="250"/>
    </row>
    <row r="36">
      <c r="C36" s="250"/>
      <c r="D36" s="250"/>
    </row>
    <row r="37">
      <c r="C37" s="250"/>
      <c r="D37" s="250"/>
    </row>
    <row r="38">
      <c r="C38" s="250"/>
      <c r="D38" s="250"/>
    </row>
    <row r="39">
      <c r="C39" s="250"/>
      <c r="D39" s="250"/>
    </row>
    <row r="40">
      <c r="C40" s="250"/>
      <c r="D40" s="250"/>
    </row>
    <row r="41">
      <c r="C41" s="250"/>
      <c r="D41" s="250"/>
    </row>
    <row r="42">
      <c r="C42" s="250"/>
      <c r="D42" s="250"/>
    </row>
    <row r="43">
      <c r="C43" s="250"/>
      <c r="D43" s="250"/>
    </row>
    <row r="44">
      <c r="C44" s="250"/>
      <c r="D44" s="250"/>
    </row>
    <row r="45">
      <c r="C45" s="250"/>
      <c r="D45" s="250"/>
    </row>
    <row r="46">
      <c r="C46" s="250"/>
      <c r="D46" s="250"/>
    </row>
    <row r="47">
      <c r="C47" s="250"/>
      <c r="D47" s="250"/>
    </row>
    <row r="48">
      <c r="C48" s="250"/>
      <c r="D48" s="250"/>
    </row>
    <row r="49">
      <c r="C49" s="250"/>
      <c r="D49" s="250"/>
    </row>
    <row r="50">
      <c r="C50" s="250"/>
      <c r="D50" s="250"/>
    </row>
    <row r="51">
      <c r="C51" s="250"/>
      <c r="D51" s="250"/>
    </row>
    <row r="52">
      <c r="C52" s="250"/>
      <c r="D52" s="250"/>
    </row>
    <row r="53">
      <c r="C53" s="250"/>
      <c r="D53" s="250"/>
    </row>
    <row r="54">
      <c r="C54" s="250"/>
      <c r="D54" s="250"/>
    </row>
    <row r="55">
      <c r="C55" s="250"/>
      <c r="D55" s="250"/>
    </row>
    <row r="56">
      <c r="C56" s="250"/>
      <c r="D56" s="250"/>
    </row>
    <row r="57">
      <c r="C57" s="250"/>
      <c r="D57" s="250"/>
    </row>
    <row r="58">
      <c r="C58" s="250"/>
      <c r="D58" s="250"/>
    </row>
    <row r="59">
      <c r="C59" s="250"/>
      <c r="D59" s="250"/>
    </row>
    <row r="60">
      <c r="C60" s="250"/>
      <c r="D60" s="250"/>
    </row>
    <row r="61">
      <c r="C61" s="250"/>
      <c r="D61" s="250"/>
    </row>
    <row r="62">
      <c r="C62" s="250"/>
      <c r="D62" s="250"/>
    </row>
    <row r="63">
      <c r="C63" s="250"/>
      <c r="D63" s="250"/>
    </row>
    <row r="64">
      <c r="C64" s="250"/>
      <c r="D64" s="250"/>
    </row>
    <row r="65">
      <c r="C65" s="250"/>
      <c r="D65" s="250"/>
    </row>
    <row r="66">
      <c r="C66" s="250"/>
      <c r="D66" s="250"/>
    </row>
    <row r="67">
      <c r="C67" s="250"/>
      <c r="D67" s="250"/>
    </row>
    <row r="68">
      <c r="C68" s="250"/>
      <c r="D68" s="250"/>
    </row>
    <row r="69">
      <c r="C69" s="250"/>
      <c r="D69" s="250"/>
    </row>
    <row r="70">
      <c r="C70" s="250"/>
      <c r="D70" s="250"/>
    </row>
    <row r="71">
      <c r="C71" s="250"/>
      <c r="D71" s="250"/>
    </row>
    <row r="72">
      <c r="C72" s="250"/>
      <c r="D72" s="250"/>
    </row>
    <row r="73">
      <c r="C73" s="250"/>
      <c r="D73" s="250"/>
    </row>
    <row r="74">
      <c r="C74" s="250"/>
      <c r="D74" s="250"/>
    </row>
    <row r="75">
      <c r="C75" s="250"/>
      <c r="D75" s="250"/>
    </row>
    <row r="76">
      <c r="C76" s="250"/>
      <c r="D76" s="250"/>
    </row>
    <row r="77">
      <c r="C77" s="250"/>
      <c r="D77" s="250"/>
    </row>
    <row r="78">
      <c r="C78" s="250"/>
      <c r="D78" s="250"/>
    </row>
    <row r="79">
      <c r="C79" s="250"/>
      <c r="D79" s="250"/>
    </row>
    <row r="80">
      <c r="C80" s="250"/>
      <c r="D80" s="250"/>
    </row>
    <row r="81">
      <c r="C81" s="250"/>
      <c r="D81" s="250"/>
    </row>
    <row r="82">
      <c r="C82" s="250"/>
      <c r="D82" s="250"/>
    </row>
    <row r="83">
      <c r="C83" s="250"/>
      <c r="D83" s="250"/>
    </row>
    <row r="84">
      <c r="C84" s="250"/>
      <c r="D84" s="250"/>
    </row>
    <row r="85">
      <c r="C85" s="250"/>
      <c r="D85" s="250"/>
    </row>
    <row r="86">
      <c r="C86" s="250"/>
      <c r="D86" s="250"/>
    </row>
    <row r="87">
      <c r="C87" s="250"/>
      <c r="D87" s="250"/>
    </row>
    <row r="88">
      <c r="C88" s="250"/>
      <c r="D88" s="250"/>
    </row>
    <row r="89">
      <c r="C89" s="250"/>
      <c r="D89" s="250"/>
    </row>
    <row r="90">
      <c r="C90" s="250"/>
      <c r="D90" s="250"/>
    </row>
    <row r="91">
      <c r="C91" s="250"/>
      <c r="D91" s="250"/>
    </row>
    <row r="92">
      <c r="C92" s="250"/>
      <c r="D92" s="250"/>
    </row>
    <row r="93">
      <c r="C93" s="250"/>
      <c r="D93" s="250"/>
    </row>
    <row r="94">
      <c r="C94" s="250"/>
      <c r="D94" s="250"/>
    </row>
    <row r="95">
      <c r="C95" s="250"/>
      <c r="D95" s="250"/>
    </row>
    <row r="96">
      <c r="C96" s="250"/>
      <c r="D96" s="250"/>
    </row>
    <row r="97">
      <c r="C97" s="250"/>
      <c r="D97" s="250"/>
    </row>
    <row r="98">
      <c r="C98" s="250"/>
      <c r="D98" s="250"/>
    </row>
    <row r="99">
      <c r="C99" s="250"/>
      <c r="D99" s="250"/>
    </row>
    <row r="100">
      <c r="C100" s="250"/>
      <c r="D100" s="250"/>
    </row>
    <row r="101">
      <c r="C101" s="250"/>
      <c r="D101" s="250"/>
    </row>
    <row r="102">
      <c r="C102" s="250"/>
      <c r="D102" s="250"/>
    </row>
    <row r="103">
      <c r="C103" s="250"/>
      <c r="D103" s="250"/>
    </row>
    <row r="104">
      <c r="C104" s="250"/>
      <c r="D104" s="250"/>
    </row>
    <row r="105">
      <c r="C105" s="250"/>
      <c r="D105" s="250"/>
    </row>
    <row r="106">
      <c r="C106" s="250"/>
      <c r="D106" s="250"/>
    </row>
    <row r="107">
      <c r="C107" s="250"/>
      <c r="D107" s="250"/>
    </row>
    <row r="108">
      <c r="C108" s="250"/>
      <c r="D108" s="250"/>
    </row>
    <row r="109">
      <c r="C109" s="250"/>
      <c r="D109" s="250"/>
    </row>
    <row r="110">
      <c r="C110" s="250"/>
      <c r="D110" s="250"/>
    </row>
    <row r="111">
      <c r="C111" s="250"/>
      <c r="D111" s="250"/>
    </row>
    <row r="112">
      <c r="C112" s="250"/>
      <c r="D112" s="250"/>
    </row>
    <row r="113">
      <c r="C113" s="250"/>
      <c r="D113" s="250"/>
    </row>
    <row r="114">
      <c r="C114" s="250"/>
      <c r="D114" s="250"/>
    </row>
    <row r="115">
      <c r="C115" s="250"/>
      <c r="D115" s="250"/>
    </row>
    <row r="116">
      <c r="C116" s="250"/>
      <c r="D116" s="250"/>
    </row>
    <row r="117">
      <c r="C117" s="250"/>
      <c r="D117" s="250"/>
    </row>
    <row r="118">
      <c r="C118" s="250"/>
      <c r="D118" s="250"/>
    </row>
    <row r="119">
      <c r="C119" s="250"/>
      <c r="D119" s="250"/>
    </row>
    <row r="120">
      <c r="C120" s="250"/>
      <c r="D120" s="250"/>
    </row>
    <row r="121">
      <c r="C121" s="250"/>
      <c r="D121" s="250"/>
    </row>
    <row r="122">
      <c r="C122" s="250"/>
      <c r="D122" s="250"/>
    </row>
    <row r="123">
      <c r="C123" s="250"/>
      <c r="D123" s="250"/>
    </row>
    <row r="124">
      <c r="C124" s="250"/>
      <c r="D124" s="250"/>
    </row>
    <row r="125">
      <c r="C125" s="250"/>
      <c r="D125" s="250"/>
    </row>
    <row r="126">
      <c r="C126" s="250"/>
      <c r="D126" s="250"/>
    </row>
    <row r="127">
      <c r="C127" s="250"/>
      <c r="D127" s="250"/>
    </row>
    <row r="128">
      <c r="C128" s="250"/>
      <c r="D128" s="250"/>
    </row>
    <row r="129">
      <c r="C129" s="250"/>
      <c r="D129" s="250"/>
    </row>
    <row r="130">
      <c r="C130" s="250"/>
      <c r="D130" s="250"/>
    </row>
    <row r="131">
      <c r="C131" s="250"/>
      <c r="D131" s="250"/>
    </row>
    <row r="132">
      <c r="C132" s="250"/>
      <c r="D132" s="250"/>
    </row>
    <row r="133">
      <c r="C133" s="250"/>
      <c r="D133" s="250"/>
    </row>
    <row r="134">
      <c r="C134" s="250"/>
      <c r="D134" s="250"/>
    </row>
    <row r="135">
      <c r="C135" s="250"/>
      <c r="D135" s="250"/>
    </row>
    <row r="136">
      <c r="C136" s="250"/>
      <c r="D136" s="250"/>
    </row>
    <row r="137">
      <c r="C137" s="250"/>
      <c r="D137" s="250"/>
    </row>
    <row r="138">
      <c r="C138" s="250"/>
      <c r="D138" s="250"/>
    </row>
    <row r="139">
      <c r="C139" s="250"/>
      <c r="D139" s="250"/>
    </row>
    <row r="140">
      <c r="C140" s="250"/>
      <c r="D140" s="250"/>
    </row>
    <row r="141">
      <c r="C141" s="250"/>
      <c r="D141" s="250"/>
    </row>
    <row r="142">
      <c r="C142" s="250"/>
      <c r="D142" s="250"/>
    </row>
    <row r="143">
      <c r="C143" s="250"/>
      <c r="D143" s="250"/>
    </row>
    <row r="144">
      <c r="C144" s="250"/>
      <c r="D144" s="250"/>
    </row>
    <row r="145">
      <c r="C145" s="250"/>
      <c r="D145" s="250"/>
    </row>
    <row r="146">
      <c r="C146" s="250"/>
      <c r="D146" s="250"/>
    </row>
    <row r="147">
      <c r="C147" s="250"/>
      <c r="D147" s="250"/>
    </row>
    <row r="148">
      <c r="C148" s="250"/>
      <c r="D148" s="250"/>
    </row>
    <row r="149">
      <c r="C149" s="250"/>
      <c r="D149" s="250"/>
    </row>
    <row r="150">
      <c r="C150" s="250"/>
      <c r="D150" s="250"/>
    </row>
    <row r="151">
      <c r="C151" s="250"/>
      <c r="D151" s="250"/>
    </row>
    <row r="152">
      <c r="C152" s="250"/>
      <c r="D152" s="250"/>
    </row>
    <row r="153">
      <c r="C153" s="250"/>
      <c r="D153" s="250"/>
    </row>
    <row r="154">
      <c r="C154" s="250"/>
      <c r="D154" s="250"/>
    </row>
    <row r="155">
      <c r="C155" s="250"/>
      <c r="D155" s="250"/>
    </row>
    <row r="156">
      <c r="C156" s="250"/>
      <c r="D156" s="250"/>
    </row>
    <row r="157">
      <c r="C157" s="250"/>
      <c r="D157" s="250"/>
    </row>
    <row r="158">
      <c r="C158" s="250"/>
      <c r="D158" s="250"/>
    </row>
    <row r="159">
      <c r="C159" s="250"/>
      <c r="D159" s="250"/>
    </row>
    <row r="160">
      <c r="C160" s="250"/>
      <c r="D160" s="250"/>
    </row>
    <row r="161">
      <c r="C161" s="250"/>
      <c r="D161" s="250"/>
    </row>
    <row r="162">
      <c r="C162" s="250"/>
      <c r="D162" s="250"/>
    </row>
    <row r="163">
      <c r="C163" s="250"/>
      <c r="D163" s="250"/>
    </row>
    <row r="164">
      <c r="C164" s="250"/>
      <c r="D164" s="250"/>
    </row>
    <row r="165">
      <c r="C165" s="250"/>
      <c r="D165" s="250"/>
    </row>
    <row r="166">
      <c r="C166" s="250"/>
      <c r="D166" s="250"/>
    </row>
    <row r="167">
      <c r="C167" s="250"/>
      <c r="D167" s="250"/>
    </row>
    <row r="168">
      <c r="C168" s="250"/>
      <c r="D168" s="250"/>
    </row>
    <row r="169">
      <c r="C169" s="250"/>
      <c r="D169" s="250"/>
    </row>
    <row r="170">
      <c r="C170" s="250"/>
      <c r="D170" s="250"/>
    </row>
    <row r="171">
      <c r="C171" s="250"/>
      <c r="D171" s="250"/>
    </row>
    <row r="172">
      <c r="C172" s="250"/>
      <c r="D172" s="250"/>
    </row>
    <row r="173">
      <c r="C173" s="250"/>
      <c r="D173" s="250"/>
    </row>
    <row r="174">
      <c r="C174" s="250"/>
      <c r="D174" s="250"/>
    </row>
    <row r="175">
      <c r="C175" s="250"/>
      <c r="D175" s="250"/>
    </row>
    <row r="176">
      <c r="C176" s="250"/>
      <c r="D176" s="250"/>
    </row>
    <row r="177">
      <c r="C177" s="250"/>
      <c r="D177" s="250"/>
    </row>
    <row r="178">
      <c r="C178" s="250"/>
      <c r="D178" s="250"/>
    </row>
    <row r="179">
      <c r="C179" s="250"/>
      <c r="D179" s="250"/>
    </row>
    <row r="180">
      <c r="C180" s="250"/>
      <c r="D180" s="250"/>
    </row>
    <row r="181">
      <c r="C181" s="250"/>
      <c r="D181" s="250"/>
    </row>
    <row r="182">
      <c r="C182" s="250"/>
      <c r="D182" s="250"/>
    </row>
    <row r="183">
      <c r="C183" s="250"/>
      <c r="D183" s="250"/>
    </row>
    <row r="184">
      <c r="C184" s="250"/>
      <c r="D184" s="250"/>
    </row>
    <row r="185">
      <c r="C185" s="250"/>
      <c r="D185" s="250"/>
    </row>
    <row r="186">
      <c r="C186" s="250"/>
      <c r="D186" s="250"/>
    </row>
    <row r="187">
      <c r="C187" s="250"/>
      <c r="D187" s="250"/>
    </row>
    <row r="188">
      <c r="C188" s="250"/>
      <c r="D188" s="250"/>
    </row>
    <row r="189">
      <c r="C189" s="250"/>
      <c r="D189" s="250"/>
    </row>
    <row r="190">
      <c r="C190" s="250"/>
      <c r="D190" s="250"/>
    </row>
    <row r="191">
      <c r="C191" s="250"/>
      <c r="D191" s="250"/>
    </row>
    <row r="192">
      <c r="C192" s="250"/>
      <c r="D192" s="250"/>
    </row>
    <row r="193">
      <c r="C193" s="250"/>
      <c r="D193" s="250"/>
    </row>
    <row r="194">
      <c r="C194" s="250"/>
      <c r="D194" s="250"/>
    </row>
    <row r="195">
      <c r="C195" s="250"/>
      <c r="D195" s="250"/>
    </row>
    <row r="196">
      <c r="C196" s="250"/>
      <c r="D196" s="250"/>
    </row>
    <row r="197">
      <c r="C197" s="250"/>
      <c r="D197" s="250"/>
    </row>
    <row r="198">
      <c r="C198" s="250"/>
      <c r="D198" s="250"/>
    </row>
    <row r="199">
      <c r="C199" s="250"/>
      <c r="D199" s="250"/>
    </row>
    <row r="200">
      <c r="C200" s="250"/>
      <c r="D200" s="250"/>
    </row>
    <row r="201">
      <c r="C201" s="250"/>
      <c r="D201" s="250"/>
    </row>
    <row r="202">
      <c r="C202" s="250"/>
      <c r="D202" s="250"/>
    </row>
    <row r="203">
      <c r="C203" s="250"/>
      <c r="D203" s="250"/>
    </row>
    <row r="204">
      <c r="C204" s="250"/>
      <c r="D204" s="250"/>
    </row>
    <row r="205">
      <c r="C205" s="250"/>
      <c r="D205" s="250"/>
    </row>
    <row r="206">
      <c r="C206" s="250"/>
      <c r="D206" s="250"/>
    </row>
    <row r="207">
      <c r="C207" s="250"/>
      <c r="D207" s="250"/>
    </row>
    <row r="208">
      <c r="C208" s="250"/>
      <c r="D208" s="250"/>
    </row>
    <row r="209">
      <c r="C209" s="250"/>
      <c r="D209" s="250"/>
    </row>
    <row r="210">
      <c r="C210" s="250"/>
      <c r="D210" s="250"/>
    </row>
    <row r="211">
      <c r="C211" s="250"/>
      <c r="D211" s="250"/>
    </row>
    <row r="212">
      <c r="C212" s="250"/>
      <c r="D212" s="250"/>
    </row>
    <row r="213">
      <c r="C213" s="250"/>
      <c r="D213" s="250"/>
    </row>
    <row r="214">
      <c r="C214" s="250"/>
      <c r="D214" s="250"/>
    </row>
    <row r="215">
      <c r="C215" s="250"/>
      <c r="D215" s="250"/>
    </row>
    <row r="216">
      <c r="C216" s="250"/>
      <c r="D216" s="250"/>
    </row>
    <row r="217">
      <c r="C217" s="250"/>
      <c r="D217" s="250"/>
    </row>
    <row r="218">
      <c r="C218" s="250"/>
      <c r="D218" s="250"/>
    </row>
    <row r="219">
      <c r="C219" s="250"/>
      <c r="D219" s="250"/>
    </row>
    <row r="220">
      <c r="C220" s="250"/>
      <c r="D220" s="250"/>
    </row>
    <row r="221">
      <c r="C221" s="250"/>
      <c r="D221" s="250"/>
    </row>
    <row r="222">
      <c r="C222" s="250"/>
      <c r="D222" s="250"/>
    </row>
    <row r="223">
      <c r="C223" s="250"/>
      <c r="D223" s="250"/>
    </row>
    <row r="224">
      <c r="C224" s="250"/>
      <c r="D224" s="250"/>
    </row>
    <row r="225">
      <c r="C225" s="250"/>
      <c r="D225" s="250"/>
    </row>
    <row r="226">
      <c r="C226" s="250"/>
      <c r="D226" s="250"/>
    </row>
    <row r="227">
      <c r="C227" s="250"/>
      <c r="D227" s="250"/>
    </row>
    <row r="228">
      <c r="C228" s="250"/>
      <c r="D228" s="250"/>
    </row>
    <row r="229">
      <c r="C229" s="250"/>
      <c r="D229" s="250"/>
    </row>
    <row r="230">
      <c r="C230" s="250"/>
      <c r="D230" s="250"/>
    </row>
    <row r="231">
      <c r="C231" s="250"/>
      <c r="D231" s="250"/>
    </row>
    <row r="232">
      <c r="C232" s="250"/>
      <c r="D232" s="250"/>
    </row>
    <row r="233">
      <c r="C233" s="250"/>
      <c r="D233" s="250"/>
    </row>
    <row r="234">
      <c r="C234" s="250"/>
      <c r="D234" s="250"/>
    </row>
    <row r="235">
      <c r="C235" s="250"/>
      <c r="D235" s="250"/>
    </row>
    <row r="236">
      <c r="C236" s="250"/>
      <c r="D236" s="250"/>
    </row>
    <row r="237">
      <c r="C237" s="250"/>
      <c r="D237" s="250"/>
    </row>
    <row r="238">
      <c r="C238" s="250"/>
      <c r="D238" s="250"/>
    </row>
    <row r="239">
      <c r="C239" s="250"/>
      <c r="D239" s="250"/>
    </row>
    <row r="240">
      <c r="C240" s="250"/>
      <c r="D240" s="250"/>
    </row>
    <row r="241">
      <c r="C241" s="250"/>
      <c r="D241" s="250"/>
    </row>
    <row r="242">
      <c r="C242" s="250"/>
      <c r="D242" s="250"/>
    </row>
    <row r="243">
      <c r="C243" s="250"/>
      <c r="D243" s="250"/>
    </row>
    <row r="244">
      <c r="C244" s="250"/>
      <c r="D244" s="250"/>
    </row>
    <row r="245">
      <c r="C245" s="250"/>
      <c r="D245" s="250"/>
    </row>
    <row r="246">
      <c r="C246" s="250"/>
      <c r="D246" s="250"/>
    </row>
    <row r="247">
      <c r="C247" s="250"/>
      <c r="D247" s="250"/>
    </row>
    <row r="248">
      <c r="C248" s="250"/>
      <c r="D248" s="250"/>
    </row>
    <row r="249">
      <c r="C249" s="250"/>
      <c r="D249" s="250"/>
    </row>
    <row r="250">
      <c r="C250" s="250"/>
      <c r="D250" s="250"/>
    </row>
    <row r="251">
      <c r="C251" s="250"/>
      <c r="D251" s="250"/>
    </row>
    <row r="252">
      <c r="C252" s="250"/>
      <c r="D252" s="250"/>
    </row>
    <row r="253">
      <c r="C253" s="250"/>
      <c r="D253" s="250"/>
    </row>
    <row r="254">
      <c r="C254" s="250"/>
      <c r="D254" s="250"/>
    </row>
    <row r="255">
      <c r="C255" s="250"/>
      <c r="D255" s="250"/>
    </row>
    <row r="256">
      <c r="C256" s="250"/>
      <c r="D256" s="250"/>
    </row>
    <row r="257">
      <c r="C257" s="250"/>
      <c r="D257" s="250"/>
    </row>
    <row r="258">
      <c r="C258" s="250"/>
      <c r="D258" s="250"/>
    </row>
    <row r="259">
      <c r="C259" s="250"/>
      <c r="D259" s="250"/>
    </row>
    <row r="260">
      <c r="C260" s="250"/>
      <c r="D260" s="250"/>
    </row>
    <row r="261">
      <c r="C261" s="250"/>
      <c r="D261" s="250"/>
    </row>
    <row r="262">
      <c r="C262" s="250"/>
      <c r="D262" s="250"/>
    </row>
    <row r="263">
      <c r="C263" s="250"/>
      <c r="D263" s="250"/>
    </row>
    <row r="264">
      <c r="C264" s="250"/>
      <c r="D264" s="250"/>
    </row>
    <row r="265">
      <c r="C265" s="250"/>
      <c r="D265" s="250"/>
    </row>
    <row r="266">
      <c r="C266" s="250"/>
      <c r="D266" s="250"/>
    </row>
    <row r="267">
      <c r="C267" s="250"/>
      <c r="D267" s="250"/>
    </row>
    <row r="268">
      <c r="C268" s="250"/>
      <c r="D268" s="250"/>
    </row>
    <row r="269">
      <c r="C269" s="250"/>
      <c r="D269" s="250"/>
    </row>
    <row r="270">
      <c r="C270" s="250"/>
      <c r="D270" s="250"/>
    </row>
    <row r="271">
      <c r="C271" s="250"/>
      <c r="D271" s="250"/>
    </row>
    <row r="272">
      <c r="C272" s="250"/>
      <c r="D272" s="250"/>
    </row>
    <row r="273">
      <c r="C273" s="250"/>
      <c r="D273" s="250"/>
    </row>
    <row r="274">
      <c r="C274" s="250"/>
      <c r="D274" s="250"/>
    </row>
    <row r="275">
      <c r="C275" s="250"/>
      <c r="D275" s="250"/>
    </row>
    <row r="276">
      <c r="C276" s="250"/>
      <c r="D276" s="250"/>
    </row>
    <row r="277">
      <c r="C277" s="250"/>
      <c r="D277" s="250"/>
    </row>
    <row r="278">
      <c r="C278" s="250"/>
      <c r="D278" s="250"/>
    </row>
    <row r="279">
      <c r="C279" s="250"/>
      <c r="D279" s="250"/>
    </row>
    <row r="280">
      <c r="C280" s="250"/>
      <c r="D280" s="250"/>
    </row>
    <row r="281">
      <c r="C281" s="250"/>
      <c r="D281" s="250"/>
    </row>
    <row r="282">
      <c r="C282" s="250"/>
      <c r="D282" s="250"/>
    </row>
    <row r="283">
      <c r="C283" s="250"/>
      <c r="D283" s="250"/>
    </row>
    <row r="284">
      <c r="C284" s="250"/>
      <c r="D284" s="250"/>
    </row>
    <row r="285">
      <c r="C285" s="250"/>
      <c r="D285" s="250"/>
    </row>
    <row r="286">
      <c r="C286" s="250"/>
      <c r="D286" s="250"/>
    </row>
    <row r="287">
      <c r="C287" s="250"/>
      <c r="D287" s="250"/>
    </row>
    <row r="288">
      <c r="C288" s="250"/>
      <c r="D288" s="250"/>
    </row>
    <row r="289">
      <c r="C289" s="250"/>
      <c r="D289" s="250"/>
    </row>
    <row r="290">
      <c r="C290" s="250"/>
      <c r="D290" s="250"/>
    </row>
    <row r="291">
      <c r="C291" s="250"/>
      <c r="D291" s="250"/>
    </row>
    <row r="292">
      <c r="C292" s="250"/>
      <c r="D292" s="250"/>
    </row>
    <row r="293">
      <c r="C293" s="250"/>
      <c r="D293" s="250"/>
    </row>
    <row r="294">
      <c r="C294" s="250"/>
      <c r="D294" s="250"/>
    </row>
    <row r="295">
      <c r="C295" s="250"/>
      <c r="D295" s="250"/>
    </row>
    <row r="296">
      <c r="C296" s="250"/>
      <c r="D296" s="250"/>
    </row>
    <row r="297">
      <c r="C297" s="250"/>
      <c r="D297" s="250"/>
    </row>
    <row r="298">
      <c r="C298" s="250"/>
      <c r="D298" s="250"/>
    </row>
    <row r="299">
      <c r="C299" s="250"/>
      <c r="D299" s="250"/>
    </row>
    <row r="300">
      <c r="C300" s="250"/>
      <c r="D300" s="250"/>
    </row>
    <row r="301">
      <c r="C301" s="250"/>
      <c r="D301" s="250"/>
    </row>
    <row r="302">
      <c r="C302" s="250"/>
      <c r="D302" s="250"/>
    </row>
    <row r="303">
      <c r="C303" s="250"/>
      <c r="D303" s="250"/>
    </row>
    <row r="304">
      <c r="C304" s="250"/>
      <c r="D304" s="250"/>
    </row>
    <row r="305">
      <c r="C305" s="250"/>
      <c r="D305" s="250"/>
    </row>
    <row r="306">
      <c r="C306" s="250"/>
      <c r="D306" s="250"/>
    </row>
    <row r="307">
      <c r="C307" s="250"/>
      <c r="D307" s="250"/>
    </row>
    <row r="308">
      <c r="C308" s="250"/>
      <c r="D308" s="250"/>
    </row>
    <row r="309">
      <c r="C309" s="250"/>
      <c r="D309" s="250"/>
    </row>
    <row r="310">
      <c r="C310" s="250"/>
      <c r="D310" s="250"/>
    </row>
    <row r="311">
      <c r="C311" s="250"/>
      <c r="D311" s="250"/>
    </row>
    <row r="312">
      <c r="C312" s="250"/>
      <c r="D312" s="250"/>
    </row>
    <row r="313">
      <c r="C313" s="250"/>
      <c r="D313" s="250"/>
    </row>
    <row r="314">
      <c r="C314" s="250"/>
      <c r="D314" s="250"/>
    </row>
    <row r="315">
      <c r="C315" s="250"/>
      <c r="D315" s="250"/>
    </row>
    <row r="316">
      <c r="C316" s="250"/>
      <c r="D316" s="250"/>
    </row>
    <row r="317">
      <c r="C317" s="250"/>
      <c r="D317" s="250"/>
    </row>
    <row r="318">
      <c r="C318" s="250"/>
      <c r="D318" s="250"/>
    </row>
    <row r="319">
      <c r="C319" s="250"/>
      <c r="D319" s="250"/>
    </row>
    <row r="320">
      <c r="C320" s="250"/>
      <c r="D320" s="250"/>
    </row>
    <row r="321">
      <c r="C321" s="250"/>
      <c r="D321" s="250"/>
    </row>
    <row r="322">
      <c r="C322" s="250"/>
      <c r="D322" s="250"/>
    </row>
    <row r="323">
      <c r="C323" s="250"/>
      <c r="D323" s="250"/>
    </row>
    <row r="324">
      <c r="C324" s="250"/>
      <c r="D324" s="250"/>
    </row>
    <row r="325">
      <c r="C325" s="250"/>
      <c r="D325" s="250"/>
    </row>
    <row r="326">
      <c r="C326" s="250"/>
      <c r="D326" s="250"/>
    </row>
    <row r="327">
      <c r="C327" s="250"/>
      <c r="D327" s="250"/>
    </row>
    <row r="328">
      <c r="C328" s="250"/>
      <c r="D328" s="250"/>
    </row>
    <row r="329">
      <c r="C329" s="250"/>
      <c r="D329" s="250"/>
    </row>
    <row r="330">
      <c r="C330" s="250"/>
      <c r="D330" s="250"/>
    </row>
    <row r="331">
      <c r="C331" s="250"/>
      <c r="D331" s="250"/>
    </row>
    <row r="332">
      <c r="C332" s="250"/>
      <c r="D332" s="250"/>
    </row>
    <row r="333">
      <c r="C333" s="250"/>
      <c r="D333" s="250"/>
    </row>
    <row r="334">
      <c r="C334" s="250"/>
      <c r="D334" s="250"/>
    </row>
    <row r="335">
      <c r="C335" s="250"/>
      <c r="D335" s="250"/>
    </row>
    <row r="336">
      <c r="C336" s="250"/>
      <c r="D336" s="250"/>
    </row>
    <row r="337">
      <c r="C337" s="250"/>
      <c r="D337" s="250"/>
    </row>
    <row r="338">
      <c r="C338" s="250"/>
      <c r="D338" s="250"/>
    </row>
    <row r="339">
      <c r="C339" s="250"/>
      <c r="D339" s="250"/>
    </row>
    <row r="340">
      <c r="C340" s="250"/>
      <c r="D340" s="250"/>
    </row>
    <row r="341">
      <c r="C341" s="250"/>
      <c r="D341" s="250"/>
    </row>
    <row r="342">
      <c r="C342" s="250"/>
      <c r="D342" s="250"/>
    </row>
    <row r="343">
      <c r="C343" s="250"/>
      <c r="D343" s="250"/>
    </row>
    <row r="344">
      <c r="C344" s="250"/>
      <c r="D344" s="250"/>
    </row>
    <row r="345">
      <c r="C345" s="250"/>
      <c r="D345" s="250"/>
    </row>
    <row r="346">
      <c r="C346" s="250"/>
      <c r="D346" s="250"/>
    </row>
    <row r="347">
      <c r="C347" s="250"/>
      <c r="D347" s="250"/>
    </row>
    <row r="348">
      <c r="C348" s="250"/>
      <c r="D348" s="250"/>
    </row>
    <row r="349">
      <c r="C349" s="250"/>
      <c r="D349" s="250"/>
    </row>
    <row r="350">
      <c r="C350" s="250"/>
      <c r="D350" s="250"/>
    </row>
    <row r="351">
      <c r="C351" s="250"/>
      <c r="D351" s="250"/>
    </row>
    <row r="352">
      <c r="C352" s="250"/>
      <c r="D352" s="250"/>
    </row>
    <row r="353">
      <c r="C353" s="250"/>
      <c r="D353" s="250"/>
    </row>
    <row r="354">
      <c r="C354" s="250"/>
      <c r="D354" s="250"/>
    </row>
    <row r="355">
      <c r="C355" s="250"/>
      <c r="D355" s="250"/>
    </row>
    <row r="356">
      <c r="C356" s="250"/>
      <c r="D356" s="250"/>
    </row>
    <row r="357">
      <c r="C357" s="250"/>
      <c r="D357" s="250"/>
    </row>
    <row r="358">
      <c r="C358" s="250"/>
      <c r="D358" s="250"/>
    </row>
    <row r="359">
      <c r="C359" s="250"/>
      <c r="D359" s="250"/>
    </row>
    <row r="360">
      <c r="C360" s="250"/>
      <c r="D360" s="250"/>
    </row>
    <row r="361">
      <c r="C361" s="250"/>
      <c r="D361" s="250"/>
    </row>
    <row r="362">
      <c r="C362" s="250"/>
      <c r="D362" s="250"/>
    </row>
    <row r="363">
      <c r="C363" s="250"/>
      <c r="D363" s="250"/>
    </row>
    <row r="364">
      <c r="C364" s="250"/>
      <c r="D364" s="250"/>
    </row>
    <row r="365">
      <c r="C365" s="250"/>
      <c r="D365" s="250"/>
    </row>
    <row r="366">
      <c r="C366" s="250"/>
      <c r="D366" s="250"/>
    </row>
    <row r="367">
      <c r="C367" s="250"/>
      <c r="D367" s="250"/>
    </row>
    <row r="368">
      <c r="C368" s="250"/>
      <c r="D368" s="250"/>
    </row>
    <row r="369">
      <c r="C369" s="250"/>
      <c r="D369" s="250"/>
    </row>
    <row r="370">
      <c r="C370" s="250"/>
      <c r="D370" s="250"/>
    </row>
    <row r="371">
      <c r="C371" s="250"/>
      <c r="D371" s="250"/>
    </row>
    <row r="372">
      <c r="C372" s="250"/>
      <c r="D372" s="250"/>
    </row>
    <row r="373">
      <c r="C373" s="250"/>
      <c r="D373" s="250"/>
    </row>
    <row r="374">
      <c r="C374" s="250"/>
      <c r="D374" s="250"/>
    </row>
    <row r="375">
      <c r="C375" s="250"/>
      <c r="D375" s="250"/>
    </row>
    <row r="376">
      <c r="C376" s="250"/>
      <c r="D376" s="250"/>
    </row>
    <row r="377">
      <c r="C377" s="250"/>
      <c r="D377" s="250"/>
    </row>
    <row r="378">
      <c r="C378" s="250"/>
      <c r="D378" s="250"/>
    </row>
    <row r="379">
      <c r="C379" s="250"/>
      <c r="D379" s="250"/>
    </row>
    <row r="380">
      <c r="C380" s="250"/>
      <c r="D380" s="250"/>
    </row>
    <row r="381">
      <c r="C381" s="250"/>
      <c r="D381" s="250"/>
    </row>
    <row r="382">
      <c r="C382" s="250"/>
      <c r="D382" s="250"/>
    </row>
    <row r="383">
      <c r="C383" s="250"/>
      <c r="D383" s="250"/>
    </row>
    <row r="384">
      <c r="C384" s="250"/>
      <c r="D384" s="250"/>
    </row>
    <row r="385">
      <c r="C385" s="250"/>
      <c r="D385" s="250"/>
    </row>
    <row r="386">
      <c r="C386" s="250"/>
      <c r="D386" s="250"/>
    </row>
    <row r="387">
      <c r="C387" s="250"/>
      <c r="D387" s="250"/>
    </row>
    <row r="388">
      <c r="C388" s="250"/>
      <c r="D388" s="250"/>
    </row>
    <row r="389">
      <c r="C389" s="250"/>
      <c r="D389" s="250"/>
    </row>
    <row r="390">
      <c r="C390" s="250"/>
      <c r="D390" s="250"/>
    </row>
    <row r="391">
      <c r="C391" s="250"/>
      <c r="D391" s="250"/>
    </row>
    <row r="392">
      <c r="C392" s="250"/>
      <c r="D392" s="250"/>
    </row>
    <row r="393">
      <c r="C393" s="250"/>
      <c r="D393" s="250"/>
    </row>
    <row r="394">
      <c r="C394" s="250"/>
      <c r="D394" s="250"/>
    </row>
    <row r="395">
      <c r="C395" s="250"/>
      <c r="D395" s="250"/>
    </row>
    <row r="396">
      <c r="C396" s="250"/>
      <c r="D396" s="250"/>
    </row>
    <row r="397">
      <c r="C397" s="250"/>
      <c r="D397" s="250"/>
    </row>
    <row r="398">
      <c r="C398" s="250"/>
      <c r="D398" s="250"/>
    </row>
    <row r="399">
      <c r="C399" s="250"/>
      <c r="D399" s="250"/>
    </row>
    <row r="400">
      <c r="C400" s="250"/>
      <c r="D400" s="250"/>
    </row>
    <row r="401">
      <c r="C401" s="250"/>
      <c r="D401" s="250"/>
    </row>
    <row r="402">
      <c r="C402" s="250"/>
      <c r="D402" s="250"/>
    </row>
    <row r="403">
      <c r="C403" s="250"/>
      <c r="D403" s="250"/>
    </row>
    <row r="404">
      <c r="C404" s="250"/>
      <c r="D404" s="250"/>
    </row>
    <row r="405">
      <c r="C405" s="250"/>
      <c r="D405" s="250"/>
    </row>
    <row r="406">
      <c r="C406" s="250"/>
      <c r="D406" s="250"/>
    </row>
    <row r="407">
      <c r="C407" s="250"/>
      <c r="D407" s="250"/>
    </row>
    <row r="408">
      <c r="C408" s="250"/>
      <c r="D408" s="250"/>
    </row>
    <row r="409">
      <c r="C409" s="250"/>
      <c r="D409" s="250"/>
    </row>
    <row r="410">
      <c r="C410" s="250"/>
      <c r="D410" s="250"/>
    </row>
    <row r="411">
      <c r="C411" s="250"/>
      <c r="D411" s="250"/>
    </row>
    <row r="412">
      <c r="C412" s="250"/>
      <c r="D412" s="250"/>
    </row>
    <row r="413">
      <c r="C413" s="250"/>
      <c r="D413" s="250"/>
    </row>
    <row r="414">
      <c r="C414" s="250"/>
      <c r="D414" s="250"/>
    </row>
    <row r="415">
      <c r="C415" s="250"/>
      <c r="D415" s="250"/>
    </row>
    <row r="416">
      <c r="C416" s="250"/>
      <c r="D416" s="250"/>
    </row>
    <row r="417">
      <c r="C417" s="250"/>
      <c r="D417" s="250"/>
    </row>
    <row r="418">
      <c r="C418" s="250"/>
      <c r="D418" s="250"/>
    </row>
    <row r="419">
      <c r="C419" s="250"/>
      <c r="D419" s="250"/>
    </row>
    <row r="420">
      <c r="C420" s="250"/>
      <c r="D420" s="250"/>
    </row>
    <row r="421">
      <c r="C421" s="250"/>
      <c r="D421" s="250"/>
    </row>
    <row r="422">
      <c r="C422" s="250"/>
      <c r="D422" s="250"/>
    </row>
    <row r="423">
      <c r="C423" s="250"/>
      <c r="D423" s="250"/>
    </row>
    <row r="424">
      <c r="C424" s="250"/>
      <c r="D424" s="250"/>
    </row>
    <row r="425">
      <c r="C425" s="250"/>
      <c r="D425" s="250"/>
    </row>
    <row r="426">
      <c r="C426" s="250"/>
      <c r="D426" s="250"/>
    </row>
    <row r="427">
      <c r="C427" s="250"/>
      <c r="D427" s="250"/>
    </row>
    <row r="428">
      <c r="C428" s="250"/>
      <c r="D428" s="250"/>
    </row>
    <row r="429">
      <c r="C429" s="250"/>
      <c r="D429" s="250"/>
    </row>
    <row r="430">
      <c r="C430" s="250"/>
      <c r="D430" s="250"/>
    </row>
    <row r="431">
      <c r="C431" s="250"/>
      <c r="D431" s="250"/>
    </row>
    <row r="432">
      <c r="C432" s="250"/>
      <c r="D432" s="250"/>
    </row>
    <row r="433">
      <c r="C433" s="250"/>
      <c r="D433" s="250"/>
    </row>
    <row r="434">
      <c r="C434" s="250"/>
      <c r="D434" s="250"/>
    </row>
    <row r="435">
      <c r="C435" s="250"/>
      <c r="D435" s="250"/>
    </row>
    <row r="436">
      <c r="C436" s="250"/>
      <c r="D436" s="250"/>
    </row>
    <row r="437">
      <c r="C437" s="250"/>
      <c r="D437" s="250"/>
    </row>
    <row r="438">
      <c r="C438" s="250"/>
      <c r="D438" s="250"/>
    </row>
    <row r="439">
      <c r="C439" s="250"/>
      <c r="D439" s="250"/>
    </row>
    <row r="440">
      <c r="C440" s="250"/>
      <c r="D440" s="250"/>
    </row>
    <row r="441">
      <c r="C441" s="250"/>
      <c r="D441" s="250"/>
    </row>
    <row r="442">
      <c r="C442" s="250"/>
      <c r="D442" s="250"/>
    </row>
    <row r="443">
      <c r="C443" s="250"/>
      <c r="D443" s="250"/>
    </row>
    <row r="444">
      <c r="C444" s="250"/>
      <c r="D444" s="250"/>
    </row>
    <row r="445">
      <c r="C445" s="250"/>
      <c r="D445" s="250"/>
    </row>
    <row r="446">
      <c r="C446" s="250"/>
      <c r="D446" s="250"/>
    </row>
    <row r="447">
      <c r="C447" s="250"/>
      <c r="D447" s="250"/>
    </row>
    <row r="448">
      <c r="C448" s="250"/>
      <c r="D448" s="250"/>
    </row>
    <row r="449">
      <c r="C449" s="250"/>
      <c r="D449" s="250"/>
    </row>
    <row r="450">
      <c r="C450" s="250"/>
      <c r="D450" s="250"/>
    </row>
    <row r="451">
      <c r="C451" s="250"/>
      <c r="D451" s="250"/>
    </row>
    <row r="452">
      <c r="C452" s="250"/>
      <c r="D452" s="250"/>
    </row>
    <row r="453">
      <c r="C453" s="250"/>
      <c r="D453" s="250"/>
    </row>
    <row r="454">
      <c r="C454" s="250"/>
      <c r="D454" s="250"/>
    </row>
    <row r="455">
      <c r="C455" s="250"/>
      <c r="D455" s="250"/>
    </row>
    <row r="456">
      <c r="C456" s="250"/>
      <c r="D456" s="250"/>
    </row>
    <row r="457">
      <c r="C457" s="250"/>
      <c r="D457" s="250"/>
    </row>
    <row r="458">
      <c r="C458" s="250"/>
      <c r="D458" s="250"/>
    </row>
    <row r="459">
      <c r="C459" s="250"/>
      <c r="D459" s="250"/>
    </row>
    <row r="460">
      <c r="C460" s="250"/>
      <c r="D460" s="250"/>
    </row>
    <row r="461">
      <c r="C461" s="250"/>
      <c r="D461" s="250"/>
    </row>
    <row r="462">
      <c r="C462" s="250"/>
      <c r="D462" s="250"/>
    </row>
    <row r="463">
      <c r="C463" s="250"/>
      <c r="D463" s="250"/>
    </row>
    <row r="464">
      <c r="C464" s="250"/>
      <c r="D464" s="250"/>
    </row>
    <row r="465">
      <c r="C465" s="250"/>
      <c r="D465" s="250"/>
    </row>
    <row r="466">
      <c r="C466" s="250"/>
      <c r="D466" s="250"/>
    </row>
    <row r="467">
      <c r="C467" s="250"/>
      <c r="D467" s="250"/>
    </row>
    <row r="468">
      <c r="C468" s="250"/>
      <c r="D468" s="250"/>
    </row>
    <row r="469">
      <c r="C469" s="250"/>
      <c r="D469" s="250"/>
    </row>
    <row r="470">
      <c r="C470" s="250"/>
      <c r="D470" s="250"/>
    </row>
    <row r="471">
      <c r="C471" s="250"/>
      <c r="D471" s="250"/>
    </row>
    <row r="472">
      <c r="C472" s="250"/>
      <c r="D472" s="250"/>
    </row>
    <row r="473">
      <c r="C473" s="250"/>
      <c r="D473" s="250"/>
    </row>
    <row r="474">
      <c r="C474" s="250"/>
      <c r="D474" s="250"/>
    </row>
    <row r="475">
      <c r="C475" s="250"/>
      <c r="D475" s="250"/>
    </row>
    <row r="476">
      <c r="C476" s="250"/>
      <c r="D476" s="250"/>
    </row>
    <row r="477">
      <c r="C477" s="250"/>
      <c r="D477" s="250"/>
    </row>
    <row r="478">
      <c r="C478" s="250"/>
      <c r="D478" s="250"/>
    </row>
    <row r="479">
      <c r="C479" s="250"/>
      <c r="D479" s="250"/>
    </row>
    <row r="480">
      <c r="C480" s="250"/>
      <c r="D480" s="250"/>
    </row>
    <row r="481">
      <c r="C481" s="250"/>
      <c r="D481" s="250"/>
    </row>
    <row r="482">
      <c r="C482" s="250"/>
      <c r="D482" s="250"/>
    </row>
    <row r="483">
      <c r="C483" s="250"/>
      <c r="D483" s="250"/>
    </row>
    <row r="484">
      <c r="C484" s="250"/>
      <c r="D484" s="250"/>
    </row>
    <row r="485">
      <c r="C485" s="250"/>
      <c r="D485" s="250"/>
    </row>
    <row r="486">
      <c r="C486" s="250"/>
      <c r="D486" s="250"/>
    </row>
    <row r="487">
      <c r="C487" s="250"/>
      <c r="D487" s="250"/>
    </row>
    <row r="488">
      <c r="C488" s="250"/>
      <c r="D488" s="250"/>
    </row>
    <row r="489">
      <c r="C489" s="250"/>
      <c r="D489" s="250"/>
    </row>
    <row r="490">
      <c r="C490" s="250"/>
      <c r="D490" s="250"/>
    </row>
    <row r="491">
      <c r="C491" s="250"/>
      <c r="D491" s="250"/>
    </row>
    <row r="492">
      <c r="C492" s="250"/>
      <c r="D492" s="250"/>
    </row>
    <row r="493">
      <c r="C493" s="250"/>
      <c r="D493" s="250"/>
    </row>
    <row r="494">
      <c r="C494" s="250"/>
      <c r="D494" s="250"/>
    </row>
    <row r="495">
      <c r="C495" s="250"/>
      <c r="D495" s="250"/>
    </row>
    <row r="496">
      <c r="C496" s="250"/>
      <c r="D496" s="250"/>
    </row>
    <row r="497">
      <c r="C497" s="250"/>
      <c r="D497" s="250"/>
    </row>
    <row r="498">
      <c r="C498" s="250"/>
      <c r="D498" s="250"/>
    </row>
    <row r="499">
      <c r="C499" s="250"/>
      <c r="D499" s="250"/>
    </row>
    <row r="500">
      <c r="C500" s="250"/>
      <c r="D500" s="250"/>
    </row>
    <row r="501">
      <c r="C501" s="250"/>
      <c r="D501" s="250"/>
    </row>
    <row r="502">
      <c r="C502" s="250"/>
      <c r="D502" s="250"/>
    </row>
    <row r="503">
      <c r="C503" s="250"/>
      <c r="D503" s="250"/>
    </row>
    <row r="504">
      <c r="C504" s="250"/>
      <c r="D504" s="250"/>
    </row>
    <row r="505">
      <c r="C505" s="250"/>
      <c r="D505" s="250"/>
    </row>
    <row r="506">
      <c r="C506" s="250"/>
      <c r="D506" s="250"/>
    </row>
    <row r="507">
      <c r="C507" s="250"/>
      <c r="D507" s="250"/>
    </row>
    <row r="508">
      <c r="C508" s="250"/>
      <c r="D508" s="250"/>
    </row>
    <row r="509">
      <c r="C509" s="250"/>
      <c r="D509" s="250"/>
    </row>
    <row r="510">
      <c r="C510" s="250"/>
      <c r="D510" s="250"/>
    </row>
    <row r="511">
      <c r="C511" s="250"/>
      <c r="D511" s="250"/>
    </row>
    <row r="512">
      <c r="C512" s="250"/>
      <c r="D512" s="250"/>
    </row>
    <row r="513">
      <c r="C513" s="250"/>
      <c r="D513" s="250"/>
    </row>
    <row r="514">
      <c r="C514" s="250"/>
      <c r="D514" s="250"/>
    </row>
    <row r="515">
      <c r="C515" s="250"/>
      <c r="D515" s="250"/>
    </row>
    <row r="516">
      <c r="C516" s="250"/>
      <c r="D516" s="250"/>
    </row>
    <row r="517">
      <c r="C517" s="250"/>
      <c r="D517" s="250"/>
    </row>
    <row r="518">
      <c r="C518" s="250"/>
      <c r="D518" s="250"/>
    </row>
    <row r="519">
      <c r="C519" s="250"/>
      <c r="D519" s="250"/>
    </row>
    <row r="520">
      <c r="C520" s="250"/>
      <c r="D520" s="250"/>
    </row>
    <row r="521">
      <c r="C521" s="250"/>
      <c r="D521" s="250"/>
    </row>
    <row r="522">
      <c r="C522" s="250"/>
      <c r="D522" s="250"/>
    </row>
    <row r="523">
      <c r="C523" s="250"/>
      <c r="D523" s="250"/>
    </row>
    <row r="524">
      <c r="C524" s="250"/>
      <c r="D524" s="250"/>
    </row>
    <row r="525">
      <c r="C525" s="250"/>
      <c r="D525" s="250"/>
    </row>
    <row r="526">
      <c r="C526" s="250"/>
      <c r="D526" s="250"/>
    </row>
    <row r="527">
      <c r="C527" s="250"/>
      <c r="D527" s="250"/>
    </row>
    <row r="528">
      <c r="C528" s="250"/>
      <c r="D528" s="250"/>
    </row>
    <row r="529">
      <c r="C529" s="250"/>
      <c r="D529" s="250"/>
    </row>
    <row r="530">
      <c r="C530" s="250"/>
      <c r="D530" s="250"/>
    </row>
    <row r="531">
      <c r="C531" s="250"/>
      <c r="D531" s="250"/>
    </row>
    <row r="532">
      <c r="C532" s="250"/>
      <c r="D532" s="250"/>
    </row>
    <row r="533">
      <c r="C533" s="250"/>
      <c r="D533" s="250"/>
    </row>
    <row r="534">
      <c r="C534" s="250"/>
      <c r="D534" s="250"/>
    </row>
    <row r="535">
      <c r="C535" s="250"/>
      <c r="D535" s="250"/>
    </row>
    <row r="536">
      <c r="C536" s="250"/>
      <c r="D536" s="250"/>
    </row>
    <row r="537">
      <c r="C537" s="250"/>
      <c r="D537" s="250"/>
    </row>
    <row r="538">
      <c r="C538" s="250"/>
      <c r="D538" s="250"/>
    </row>
    <row r="539">
      <c r="C539" s="250"/>
      <c r="D539" s="250"/>
    </row>
    <row r="540">
      <c r="C540" s="250"/>
      <c r="D540" s="250"/>
    </row>
    <row r="541">
      <c r="C541" s="250"/>
      <c r="D541" s="250"/>
    </row>
    <row r="542">
      <c r="C542" s="250"/>
      <c r="D542" s="250"/>
    </row>
    <row r="543">
      <c r="C543" s="250"/>
      <c r="D543" s="250"/>
    </row>
    <row r="544">
      <c r="C544" s="250"/>
      <c r="D544" s="250"/>
    </row>
    <row r="545">
      <c r="C545" s="250"/>
      <c r="D545" s="250"/>
    </row>
    <row r="546">
      <c r="C546" s="250"/>
      <c r="D546" s="250"/>
    </row>
    <row r="547">
      <c r="C547" s="250"/>
      <c r="D547" s="250"/>
    </row>
    <row r="548">
      <c r="C548" s="250"/>
      <c r="D548" s="250"/>
    </row>
    <row r="549">
      <c r="C549" s="250"/>
      <c r="D549" s="250"/>
    </row>
    <row r="550">
      <c r="C550" s="250"/>
      <c r="D550" s="250"/>
    </row>
    <row r="551">
      <c r="C551" s="250"/>
      <c r="D551" s="250"/>
    </row>
    <row r="552">
      <c r="C552" s="250"/>
      <c r="D552" s="250"/>
    </row>
    <row r="553">
      <c r="C553" s="250"/>
      <c r="D553" s="250"/>
    </row>
    <row r="554">
      <c r="C554" s="250"/>
      <c r="D554" s="250"/>
    </row>
    <row r="555">
      <c r="C555" s="250"/>
      <c r="D555" s="250"/>
    </row>
    <row r="556">
      <c r="C556" s="250"/>
      <c r="D556" s="250"/>
    </row>
    <row r="557">
      <c r="C557" s="250"/>
      <c r="D557" s="250"/>
    </row>
    <row r="558">
      <c r="C558" s="250"/>
      <c r="D558" s="250"/>
    </row>
    <row r="559">
      <c r="C559" s="250"/>
      <c r="D559" s="250"/>
    </row>
    <row r="560">
      <c r="C560" s="250"/>
      <c r="D560" s="250"/>
    </row>
    <row r="561">
      <c r="C561" s="250"/>
      <c r="D561" s="250"/>
    </row>
    <row r="562">
      <c r="C562" s="250"/>
      <c r="D562" s="250"/>
    </row>
    <row r="563">
      <c r="C563" s="250"/>
      <c r="D563" s="250"/>
    </row>
    <row r="564">
      <c r="C564" s="250"/>
      <c r="D564" s="250"/>
    </row>
    <row r="565">
      <c r="C565" s="250"/>
      <c r="D565" s="250"/>
    </row>
    <row r="566">
      <c r="C566" s="250"/>
      <c r="D566" s="250"/>
    </row>
    <row r="567">
      <c r="C567" s="250"/>
      <c r="D567" s="250"/>
    </row>
    <row r="568">
      <c r="C568" s="250"/>
      <c r="D568" s="250"/>
    </row>
    <row r="569">
      <c r="C569" s="250"/>
      <c r="D569" s="250"/>
    </row>
    <row r="570">
      <c r="C570" s="250"/>
      <c r="D570" s="250"/>
    </row>
    <row r="571">
      <c r="C571" s="250"/>
      <c r="D571" s="250"/>
    </row>
    <row r="572">
      <c r="C572" s="250"/>
      <c r="D572" s="250"/>
    </row>
    <row r="573">
      <c r="C573" s="250"/>
      <c r="D573" s="250"/>
    </row>
    <row r="574">
      <c r="C574" s="250"/>
      <c r="D574" s="250"/>
    </row>
    <row r="575">
      <c r="C575" s="250"/>
      <c r="D575" s="250"/>
    </row>
    <row r="576">
      <c r="C576" s="250"/>
      <c r="D576" s="250"/>
    </row>
    <row r="577">
      <c r="C577" s="250"/>
      <c r="D577" s="250"/>
    </row>
    <row r="578">
      <c r="C578" s="250"/>
      <c r="D578" s="250"/>
    </row>
    <row r="579">
      <c r="C579" s="250"/>
      <c r="D579" s="250"/>
    </row>
    <row r="580">
      <c r="C580" s="250"/>
      <c r="D580" s="250"/>
    </row>
    <row r="581">
      <c r="C581" s="250"/>
      <c r="D581" s="250"/>
    </row>
    <row r="582">
      <c r="C582" s="250"/>
      <c r="D582" s="250"/>
    </row>
    <row r="583">
      <c r="C583" s="250"/>
      <c r="D583" s="250"/>
    </row>
    <row r="584">
      <c r="C584" s="250"/>
      <c r="D584" s="250"/>
    </row>
    <row r="585">
      <c r="C585" s="250"/>
      <c r="D585" s="250"/>
    </row>
    <row r="586">
      <c r="C586" s="250"/>
      <c r="D586" s="250"/>
    </row>
    <row r="587">
      <c r="C587" s="250"/>
      <c r="D587" s="250"/>
    </row>
    <row r="588">
      <c r="C588" s="250"/>
      <c r="D588" s="250"/>
    </row>
    <row r="589">
      <c r="C589" s="250"/>
      <c r="D589" s="250"/>
    </row>
    <row r="590">
      <c r="C590" s="250"/>
      <c r="D590" s="250"/>
    </row>
    <row r="591">
      <c r="C591" s="250"/>
      <c r="D591" s="250"/>
    </row>
    <row r="592">
      <c r="C592" s="250"/>
      <c r="D592" s="250"/>
    </row>
    <row r="593">
      <c r="C593" s="250"/>
      <c r="D593" s="250"/>
    </row>
    <row r="594">
      <c r="C594" s="250"/>
      <c r="D594" s="250"/>
    </row>
    <row r="595">
      <c r="C595" s="250"/>
      <c r="D595" s="250"/>
    </row>
    <row r="596">
      <c r="C596" s="250"/>
      <c r="D596" s="250"/>
    </row>
    <row r="597">
      <c r="C597" s="250"/>
      <c r="D597" s="250"/>
    </row>
    <row r="598">
      <c r="C598" s="250"/>
      <c r="D598" s="250"/>
    </row>
    <row r="599">
      <c r="C599" s="250"/>
      <c r="D599" s="250"/>
    </row>
    <row r="600">
      <c r="C600" s="250"/>
      <c r="D600" s="250"/>
    </row>
    <row r="601">
      <c r="C601" s="250"/>
      <c r="D601" s="250"/>
    </row>
    <row r="602">
      <c r="C602" s="250"/>
      <c r="D602" s="250"/>
    </row>
    <row r="603">
      <c r="C603" s="250"/>
      <c r="D603" s="250"/>
    </row>
    <row r="604">
      <c r="C604" s="250"/>
      <c r="D604" s="250"/>
    </row>
    <row r="605">
      <c r="C605" s="250"/>
      <c r="D605" s="250"/>
    </row>
    <row r="606">
      <c r="C606" s="250"/>
      <c r="D606" s="250"/>
    </row>
    <row r="607">
      <c r="C607" s="250"/>
      <c r="D607" s="250"/>
    </row>
    <row r="608">
      <c r="C608" s="250"/>
      <c r="D608" s="250"/>
    </row>
    <row r="609">
      <c r="C609" s="250"/>
      <c r="D609" s="250"/>
    </row>
    <row r="610">
      <c r="C610" s="250"/>
      <c r="D610" s="250"/>
    </row>
    <row r="611">
      <c r="C611" s="250"/>
      <c r="D611" s="250"/>
    </row>
    <row r="612">
      <c r="C612" s="250"/>
      <c r="D612" s="250"/>
    </row>
    <row r="613">
      <c r="C613" s="250"/>
      <c r="D613" s="250"/>
    </row>
    <row r="614">
      <c r="C614" s="250"/>
      <c r="D614" s="250"/>
    </row>
    <row r="615">
      <c r="C615" s="250"/>
      <c r="D615" s="250"/>
    </row>
    <row r="616">
      <c r="C616" s="250"/>
      <c r="D616" s="250"/>
    </row>
    <row r="617">
      <c r="C617" s="250"/>
      <c r="D617" s="250"/>
    </row>
    <row r="618">
      <c r="C618" s="250"/>
      <c r="D618" s="250"/>
    </row>
    <row r="619">
      <c r="C619" s="250"/>
      <c r="D619" s="250"/>
    </row>
    <row r="620">
      <c r="C620" s="250"/>
      <c r="D620" s="250"/>
    </row>
    <row r="621">
      <c r="C621" s="250"/>
      <c r="D621" s="250"/>
    </row>
    <row r="622">
      <c r="C622" s="250"/>
      <c r="D622" s="250"/>
    </row>
    <row r="623">
      <c r="C623" s="250"/>
      <c r="D623" s="250"/>
    </row>
    <row r="624">
      <c r="C624" s="250"/>
      <c r="D624" s="250"/>
    </row>
    <row r="625">
      <c r="C625" s="250"/>
      <c r="D625" s="250"/>
    </row>
    <row r="626">
      <c r="C626" s="250"/>
      <c r="D626" s="250"/>
    </row>
    <row r="627">
      <c r="C627" s="250"/>
      <c r="D627" s="250"/>
    </row>
    <row r="628">
      <c r="C628" s="250"/>
      <c r="D628" s="250"/>
    </row>
    <row r="629">
      <c r="C629" s="250"/>
      <c r="D629" s="250"/>
    </row>
    <row r="630">
      <c r="C630" s="250"/>
      <c r="D630" s="250"/>
    </row>
    <row r="631">
      <c r="C631" s="250"/>
      <c r="D631" s="250"/>
    </row>
    <row r="632">
      <c r="C632" s="250"/>
      <c r="D632" s="250"/>
    </row>
    <row r="633">
      <c r="C633" s="250"/>
      <c r="D633" s="250"/>
    </row>
    <row r="634">
      <c r="C634" s="250"/>
      <c r="D634" s="250"/>
    </row>
    <row r="635">
      <c r="C635" s="250"/>
      <c r="D635" s="250"/>
    </row>
    <row r="636">
      <c r="C636" s="250"/>
      <c r="D636" s="250"/>
    </row>
    <row r="637">
      <c r="C637" s="250"/>
      <c r="D637" s="250"/>
    </row>
    <row r="638">
      <c r="C638" s="250"/>
      <c r="D638" s="250"/>
    </row>
    <row r="639">
      <c r="C639" s="250"/>
      <c r="D639" s="250"/>
    </row>
    <row r="640">
      <c r="C640" s="250"/>
      <c r="D640" s="250"/>
    </row>
    <row r="641">
      <c r="C641" s="250"/>
      <c r="D641" s="250"/>
    </row>
    <row r="642">
      <c r="C642" s="250"/>
      <c r="D642" s="250"/>
    </row>
    <row r="643">
      <c r="C643" s="250"/>
      <c r="D643" s="250"/>
    </row>
    <row r="644">
      <c r="C644" s="250"/>
      <c r="D644" s="250"/>
    </row>
    <row r="645">
      <c r="C645" s="250"/>
      <c r="D645" s="250"/>
    </row>
    <row r="646">
      <c r="C646" s="250"/>
      <c r="D646" s="250"/>
    </row>
    <row r="647">
      <c r="C647" s="250"/>
      <c r="D647" s="250"/>
    </row>
    <row r="648">
      <c r="C648" s="250"/>
      <c r="D648" s="250"/>
    </row>
    <row r="649">
      <c r="C649" s="250"/>
      <c r="D649" s="250"/>
    </row>
    <row r="650">
      <c r="C650" s="250"/>
      <c r="D650" s="250"/>
    </row>
    <row r="651">
      <c r="C651" s="250"/>
      <c r="D651" s="250"/>
    </row>
    <row r="652">
      <c r="C652" s="250"/>
      <c r="D652" s="250"/>
    </row>
    <row r="653">
      <c r="C653" s="250"/>
      <c r="D653" s="250"/>
    </row>
    <row r="654">
      <c r="C654" s="250"/>
      <c r="D654" s="250"/>
    </row>
    <row r="655">
      <c r="C655" s="250"/>
      <c r="D655" s="250"/>
    </row>
    <row r="656">
      <c r="C656" s="250"/>
      <c r="D656" s="250"/>
    </row>
    <row r="657">
      <c r="C657" s="250"/>
      <c r="D657" s="250"/>
    </row>
    <row r="658">
      <c r="C658" s="250"/>
      <c r="D658" s="250"/>
    </row>
    <row r="659">
      <c r="C659" s="250"/>
      <c r="D659" s="250"/>
    </row>
    <row r="660">
      <c r="C660" s="250"/>
      <c r="D660" s="250"/>
    </row>
    <row r="661">
      <c r="C661" s="250"/>
      <c r="D661" s="250"/>
    </row>
    <row r="662">
      <c r="C662" s="250"/>
      <c r="D662" s="250"/>
    </row>
    <row r="663">
      <c r="C663" s="250"/>
      <c r="D663" s="250"/>
    </row>
    <row r="664">
      <c r="C664" s="250"/>
      <c r="D664" s="250"/>
    </row>
    <row r="665">
      <c r="C665" s="250"/>
      <c r="D665" s="250"/>
    </row>
    <row r="666">
      <c r="C666" s="250"/>
      <c r="D666" s="250"/>
    </row>
    <row r="667">
      <c r="C667" s="250"/>
      <c r="D667" s="250"/>
    </row>
    <row r="668">
      <c r="C668" s="250"/>
      <c r="D668" s="250"/>
    </row>
    <row r="669">
      <c r="C669" s="250"/>
      <c r="D669" s="250"/>
    </row>
    <row r="670">
      <c r="C670" s="250"/>
      <c r="D670" s="250"/>
    </row>
    <row r="671">
      <c r="C671" s="250"/>
      <c r="D671" s="250"/>
    </row>
    <row r="672">
      <c r="C672" s="250"/>
      <c r="D672" s="250"/>
    </row>
    <row r="673">
      <c r="C673" s="250"/>
      <c r="D673" s="250"/>
    </row>
    <row r="674">
      <c r="C674" s="250"/>
      <c r="D674" s="250"/>
    </row>
    <row r="675">
      <c r="C675" s="250"/>
      <c r="D675" s="250"/>
    </row>
    <row r="676">
      <c r="C676" s="250"/>
      <c r="D676" s="250"/>
    </row>
    <row r="677">
      <c r="C677" s="250"/>
      <c r="D677" s="250"/>
    </row>
    <row r="678">
      <c r="C678" s="250"/>
      <c r="D678" s="250"/>
    </row>
    <row r="679">
      <c r="C679" s="250"/>
      <c r="D679" s="250"/>
    </row>
    <row r="680">
      <c r="C680" s="250"/>
      <c r="D680" s="250"/>
    </row>
    <row r="681">
      <c r="C681" s="250"/>
      <c r="D681" s="250"/>
    </row>
    <row r="682">
      <c r="C682" s="250"/>
      <c r="D682" s="250"/>
    </row>
    <row r="683">
      <c r="C683" s="250"/>
      <c r="D683" s="250"/>
    </row>
    <row r="684">
      <c r="C684" s="250"/>
      <c r="D684" s="250"/>
    </row>
    <row r="685">
      <c r="C685" s="250"/>
      <c r="D685" s="250"/>
    </row>
    <row r="686">
      <c r="C686" s="250"/>
      <c r="D686" s="250"/>
    </row>
    <row r="687">
      <c r="C687" s="250"/>
      <c r="D687" s="250"/>
    </row>
    <row r="688">
      <c r="C688" s="250"/>
      <c r="D688" s="250"/>
    </row>
    <row r="689">
      <c r="C689" s="250"/>
      <c r="D689" s="250"/>
    </row>
    <row r="690">
      <c r="C690" s="250"/>
      <c r="D690" s="250"/>
    </row>
    <row r="691">
      <c r="C691" s="250"/>
      <c r="D691" s="250"/>
    </row>
    <row r="692">
      <c r="C692" s="250"/>
      <c r="D692" s="250"/>
    </row>
    <row r="693">
      <c r="C693" s="250"/>
      <c r="D693" s="250"/>
    </row>
    <row r="694">
      <c r="C694" s="250"/>
      <c r="D694" s="250"/>
    </row>
    <row r="695">
      <c r="C695" s="250"/>
      <c r="D695" s="250"/>
    </row>
    <row r="696">
      <c r="C696" s="250"/>
      <c r="D696" s="250"/>
    </row>
    <row r="697">
      <c r="C697" s="250"/>
      <c r="D697" s="250"/>
    </row>
    <row r="698">
      <c r="C698" s="250"/>
      <c r="D698" s="250"/>
    </row>
    <row r="699">
      <c r="C699" s="250"/>
      <c r="D699" s="250"/>
    </row>
    <row r="700">
      <c r="C700" s="250"/>
      <c r="D700" s="250"/>
    </row>
    <row r="701">
      <c r="C701" s="250"/>
      <c r="D701" s="250"/>
    </row>
    <row r="702">
      <c r="C702" s="250"/>
      <c r="D702" s="250"/>
    </row>
    <row r="703">
      <c r="C703" s="250"/>
      <c r="D703" s="250"/>
    </row>
    <row r="704">
      <c r="C704" s="250"/>
      <c r="D704" s="250"/>
    </row>
    <row r="705">
      <c r="C705" s="250"/>
      <c r="D705" s="250"/>
    </row>
    <row r="706">
      <c r="C706" s="250"/>
      <c r="D706" s="250"/>
    </row>
    <row r="707">
      <c r="C707" s="250"/>
      <c r="D707" s="250"/>
    </row>
    <row r="708">
      <c r="C708" s="250"/>
      <c r="D708" s="250"/>
    </row>
    <row r="709">
      <c r="C709" s="250"/>
      <c r="D709" s="250"/>
    </row>
    <row r="710">
      <c r="C710" s="250"/>
      <c r="D710" s="250"/>
    </row>
    <row r="711">
      <c r="C711" s="250"/>
      <c r="D711" s="250"/>
    </row>
    <row r="712">
      <c r="C712" s="250"/>
      <c r="D712" s="250"/>
    </row>
    <row r="713">
      <c r="C713" s="250"/>
      <c r="D713" s="250"/>
    </row>
    <row r="714">
      <c r="C714" s="250"/>
      <c r="D714" s="250"/>
    </row>
    <row r="715">
      <c r="C715" s="250"/>
      <c r="D715" s="250"/>
    </row>
    <row r="716">
      <c r="C716" s="250"/>
      <c r="D716" s="250"/>
    </row>
    <row r="717">
      <c r="C717" s="250"/>
      <c r="D717" s="250"/>
    </row>
    <row r="718">
      <c r="C718" s="250"/>
      <c r="D718" s="250"/>
    </row>
    <row r="719">
      <c r="C719" s="250"/>
      <c r="D719" s="250"/>
    </row>
    <row r="720">
      <c r="C720" s="250"/>
      <c r="D720" s="250"/>
    </row>
    <row r="721">
      <c r="C721" s="250"/>
      <c r="D721" s="250"/>
    </row>
    <row r="722">
      <c r="C722" s="250"/>
      <c r="D722" s="250"/>
    </row>
    <row r="723">
      <c r="C723" s="250"/>
      <c r="D723" s="250"/>
    </row>
    <row r="724">
      <c r="C724" s="250"/>
      <c r="D724" s="250"/>
    </row>
    <row r="725">
      <c r="C725" s="250"/>
      <c r="D725" s="250"/>
    </row>
    <row r="726">
      <c r="C726" s="250"/>
      <c r="D726" s="250"/>
    </row>
    <row r="727">
      <c r="C727" s="250"/>
      <c r="D727" s="250"/>
    </row>
    <row r="728">
      <c r="C728" s="250"/>
      <c r="D728" s="250"/>
    </row>
    <row r="729">
      <c r="C729" s="250"/>
      <c r="D729" s="250"/>
    </row>
    <row r="730">
      <c r="C730" s="250"/>
      <c r="D730" s="250"/>
    </row>
    <row r="731">
      <c r="C731" s="250"/>
      <c r="D731" s="250"/>
    </row>
    <row r="732">
      <c r="C732" s="250"/>
      <c r="D732" s="250"/>
    </row>
    <row r="733">
      <c r="C733" s="250"/>
      <c r="D733" s="250"/>
    </row>
    <row r="734">
      <c r="C734" s="250"/>
      <c r="D734" s="250"/>
    </row>
    <row r="735">
      <c r="C735" s="250"/>
      <c r="D735" s="250"/>
    </row>
    <row r="736">
      <c r="C736" s="250"/>
      <c r="D736" s="250"/>
    </row>
    <row r="737">
      <c r="C737" s="250"/>
      <c r="D737" s="250"/>
    </row>
    <row r="738">
      <c r="C738" s="250"/>
      <c r="D738" s="250"/>
    </row>
    <row r="739">
      <c r="C739" s="250"/>
      <c r="D739" s="250"/>
    </row>
    <row r="740">
      <c r="C740" s="250"/>
      <c r="D740" s="250"/>
    </row>
    <row r="741">
      <c r="C741" s="250"/>
      <c r="D741" s="250"/>
    </row>
    <row r="742">
      <c r="C742" s="250"/>
      <c r="D742" s="250"/>
    </row>
    <row r="743">
      <c r="C743" s="250"/>
      <c r="D743" s="250"/>
    </row>
    <row r="744">
      <c r="C744" s="250"/>
      <c r="D744" s="250"/>
    </row>
    <row r="745">
      <c r="C745" s="250"/>
      <c r="D745" s="250"/>
    </row>
    <row r="746">
      <c r="C746" s="250"/>
      <c r="D746" s="250"/>
    </row>
    <row r="747">
      <c r="C747" s="250"/>
      <c r="D747" s="250"/>
    </row>
    <row r="748">
      <c r="C748" s="250"/>
      <c r="D748" s="250"/>
    </row>
    <row r="749">
      <c r="C749" s="250"/>
      <c r="D749" s="250"/>
    </row>
    <row r="750">
      <c r="C750" s="250"/>
      <c r="D750" s="250"/>
    </row>
    <row r="751">
      <c r="C751" s="250"/>
      <c r="D751" s="250"/>
    </row>
    <row r="752">
      <c r="C752" s="250"/>
      <c r="D752" s="250"/>
    </row>
    <row r="753">
      <c r="C753" s="250"/>
      <c r="D753" s="250"/>
    </row>
    <row r="754">
      <c r="C754" s="250"/>
      <c r="D754" s="250"/>
    </row>
    <row r="755">
      <c r="C755" s="250"/>
      <c r="D755" s="250"/>
    </row>
    <row r="756">
      <c r="C756" s="250"/>
      <c r="D756" s="250"/>
    </row>
    <row r="757">
      <c r="C757" s="250"/>
      <c r="D757" s="250"/>
    </row>
    <row r="758">
      <c r="C758" s="250"/>
      <c r="D758" s="250"/>
    </row>
    <row r="759">
      <c r="C759" s="250"/>
      <c r="D759" s="250"/>
    </row>
    <row r="760">
      <c r="C760" s="250"/>
      <c r="D760" s="250"/>
    </row>
    <row r="761">
      <c r="C761" s="250"/>
      <c r="D761" s="250"/>
    </row>
    <row r="762">
      <c r="C762" s="250"/>
      <c r="D762" s="250"/>
    </row>
    <row r="763">
      <c r="C763" s="250"/>
      <c r="D763" s="250"/>
    </row>
    <row r="764">
      <c r="C764" s="250"/>
      <c r="D764" s="250"/>
    </row>
    <row r="765">
      <c r="C765" s="250"/>
      <c r="D765" s="250"/>
    </row>
    <row r="766">
      <c r="C766" s="250"/>
      <c r="D766" s="250"/>
    </row>
    <row r="767">
      <c r="C767" s="250"/>
      <c r="D767" s="250"/>
    </row>
    <row r="768">
      <c r="C768" s="250"/>
      <c r="D768" s="250"/>
    </row>
    <row r="769">
      <c r="C769" s="250"/>
      <c r="D769" s="250"/>
    </row>
    <row r="770">
      <c r="C770" s="250"/>
      <c r="D770" s="250"/>
    </row>
    <row r="771">
      <c r="C771" s="250"/>
      <c r="D771" s="250"/>
    </row>
    <row r="772">
      <c r="C772" s="250"/>
      <c r="D772" s="250"/>
    </row>
    <row r="773">
      <c r="C773" s="250"/>
      <c r="D773" s="250"/>
    </row>
    <row r="774">
      <c r="C774" s="250"/>
      <c r="D774" s="250"/>
    </row>
    <row r="775">
      <c r="C775" s="250"/>
      <c r="D775" s="250"/>
    </row>
    <row r="776">
      <c r="C776" s="250"/>
      <c r="D776" s="250"/>
    </row>
    <row r="777">
      <c r="C777" s="250"/>
      <c r="D777" s="250"/>
    </row>
    <row r="778">
      <c r="C778" s="250"/>
      <c r="D778" s="250"/>
    </row>
    <row r="779">
      <c r="C779" s="250"/>
      <c r="D779" s="250"/>
    </row>
    <row r="780">
      <c r="C780" s="250"/>
      <c r="D780" s="250"/>
    </row>
    <row r="781">
      <c r="C781" s="250"/>
      <c r="D781" s="250"/>
    </row>
    <row r="782">
      <c r="C782" s="250"/>
      <c r="D782" s="250"/>
    </row>
    <row r="783">
      <c r="C783" s="250"/>
      <c r="D783" s="250"/>
    </row>
    <row r="784">
      <c r="C784" s="250"/>
      <c r="D784" s="250"/>
    </row>
    <row r="785">
      <c r="C785" s="250"/>
      <c r="D785" s="250"/>
    </row>
    <row r="786">
      <c r="C786" s="250"/>
      <c r="D786" s="250"/>
    </row>
    <row r="787">
      <c r="C787" s="250"/>
      <c r="D787" s="250"/>
    </row>
    <row r="788">
      <c r="C788" s="250"/>
      <c r="D788" s="250"/>
    </row>
    <row r="789">
      <c r="C789" s="250"/>
      <c r="D789" s="250"/>
    </row>
    <row r="790">
      <c r="C790" s="250"/>
      <c r="D790" s="250"/>
    </row>
    <row r="791">
      <c r="C791" s="250"/>
      <c r="D791" s="250"/>
    </row>
    <row r="792">
      <c r="C792" s="250"/>
      <c r="D792" s="250"/>
    </row>
    <row r="793">
      <c r="C793" s="250"/>
      <c r="D793" s="250"/>
    </row>
    <row r="794">
      <c r="C794" s="250"/>
      <c r="D794" s="250"/>
    </row>
    <row r="795">
      <c r="C795" s="250"/>
      <c r="D795" s="250"/>
    </row>
    <row r="796">
      <c r="C796" s="250"/>
      <c r="D796" s="250"/>
    </row>
    <row r="797">
      <c r="C797" s="250"/>
      <c r="D797" s="250"/>
    </row>
    <row r="798">
      <c r="C798" s="250"/>
      <c r="D798" s="250"/>
    </row>
    <row r="799">
      <c r="C799" s="250"/>
      <c r="D799" s="250"/>
    </row>
    <row r="800">
      <c r="C800" s="250"/>
      <c r="D800" s="250"/>
    </row>
    <row r="801">
      <c r="C801" s="250"/>
      <c r="D801" s="250"/>
    </row>
    <row r="802">
      <c r="C802" s="250"/>
      <c r="D802" s="250"/>
    </row>
    <row r="803">
      <c r="C803" s="250"/>
      <c r="D803" s="250"/>
    </row>
    <row r="804">
      <c r="C804" s="250"/>
      <c r="D804" s="250"/>
    </row>
    <row r="805">
      <c r="C805" s="250"/>
      <c r="D805" s="250"/>
    </row>
    <row r="806">
      <c r="C806" s="250"/>
      <c r="D806" s="250"/>
    </row>
    <row r="807">
      <c r="C807" s="250"/>
      <c r="D807" s="250"/>
    </row>
    <row r="808">
      <c r="C808" s="250"/>
      <c r="D808" s="250"/>
    </row>
    <row r="809">
      <c r="C809" s="250"/>
      <c r="D809" s="250"/>
    </row>
    <row r="810">
      <c r="C810" s="250"/>
      <c r="D810" s="250"/>
    </row>
    <row r="811">
      <c r="C811" s="250"/>
      <c r="D811" s="250"/>
    </row>
    <row r="812">
      <c r="C812" s="250"/>
      <c r="D812" s="250"/>
    </row>
    <row r="813">
      <c r="C813" s="250"/>
      <c r="D813" s="250"/>
    </row>
    <row r="814">
      <c r="C814" s="250"/>
      <c r="D814" s="250"/>
    </row>
    <row r="815">
      <c r="C815" s="250"/>
      <c r="D815" s="250"/>
    </row>
    <row r="816">
      <c r="C816" s="250"/>
      <c r="D816" s="250"/>
    </row>
    <row r="817">
      <c r="C817" s="250"/>
      <c r="D817" s="250"/>
    </row>
    <row r="818">
      <c r="C818" s="250"/>
      <c r="D818" s="250"/>
    </row>
    <row r="819">
      <c r="C819" s="250"/>
      <c r="D819" s="250"/>
    </row>
    <row r="820">
      <c r="C820" s="250"/>
      <c r="D820" s="250"/>
    </row>
    <row r="821">
      <c r="C821" s="250"/>
      <c r="D821" s="250"/>
    </row>
    <row r="822">
      <c r="C822" s="250"/>
      <c r="D822" s="250"/>
    </row>
    <row r="823">
      <c r="C823" s="250"/>
      <c r="D823" s="250"/>
    </row>
    <row r="824">
      <c r="C824" s="250"/>
      <c r="D824" s="250"/>
    </row>
    <row r="825">
      <c r="C825" s="250"/>
      <c r="D825" s="250"/>
    </row>
    <row r="826">
      <c r="C826" s="250"/>
      <c r="D826" s="250"/>
    </row>
    <row r="827">
      <c r="C827" s="250"/>
      <c r="D827" s="250"/>
    </row>
    <row r="828">
      <c r="C828" s="250"/>
      <c r="D828" s="250"/>
    </row>
    <row r="829">
      <c r="C829" s="250"/>
      <c r="D829" s="250"/>
    </row>
    <row r="830">
      <c r="C830" s="250"/>
      <c r="D830" s="250"/>
    </row>
    <row r="831">
      <c r="C831" s="250"/>
      <c r="D831" s="250"/>
    </row>
    <row r="832">
      <c r="C832" s="250"/>
      <c r="D832" s="250"/>
    </row>
    <row r="833">
      <c r="C833" s="250"/>
      <c r="D833" s="250"/>
    </row>
    <row r="834">
      <c r="C834" s="250"/>
      <c r="D834" s="250"/>
    </row>
    <row r="835">
      <c r="C835" s="250"/>
      <c r="D835" s="250"/>
    </row>
    <row r="836">
      <c r="C836" s="250"/>
      <c r="D836" s="250"/>
    </row>
    <row r="837">
      <c r="C837" s="250"/>
      <c r="D837" s="250"/>
    </row>
    <row r="838">
      <c r="C838" s="250"/>
      <c r="D838" s="250"/>
    </row>
    <row r="839">
      <c r="C839" s="250"/>
      <c r="D839" s="250"/>
    </row>
    <row r="840">
      <c r="C840" s="250"/>
      <c r="D840" s="250"/>
    </row>
    <row r="841">
      <c r="C841" s="250"/>
      <c r="D841" s="250"/>
    </row>
    <row r="842">
      <c r="C842" s="250"/>
      <c r="D842" s="250"/>
    </row>
    <row r="843">
      <c r="C843" s="250"/>
      <c r="D843" s="250"/>
    </row>
    <row r="844">
      <c r="C844" s="250"/>
      <c r="D844" s="250"/>
    </row>
    <row r="845">
      <c r="C845" s="250"/>
      <c r="D845" s="250"/>
    </row>
    <row r="846">
      <c r="C846" s="250"/>
      <c r="D846" s="250"/>
    </row>
    <row r="847">
      <c r="C847" s="250"/>
      <c r="D847" s="250"/>
    </row>
    <row r="848">
      <c r="C848" s="250"/>
      <c r="D848" s="250"/>
    </row>
    <row r="849">
      <c r="C849" s="250"/>
      <c r="D849" s="250"/>
    </row>
    <row r="850">
      <c r="C850" s="250"/>
      <c r="D850" s="250"/>
    </row>
    <row r="851">
      <c r="C851" s="250"/>
      <c r="D851" s="250"/>
    </row>
    <row r="852">
      <c r="C852" s="250"/>
      <c r="D852" s="250"/>
    </row>
    <row r="853">
      <c r="C853" s="250"/>
      <c r="D853" s="250"/>
    </row>
    <row r="854">
      <c r="C854" s="250"/>
      <c r="D854" s="250"/>
    </row>
    <row r="855">
      <c r="C855" s="250"/>
      <c r="D855" s="250"/>
    </row>
    <row r="856">
      <c r="C856" s="250"/>
      <c r="D856" s="250"/>
    </row>
    <row r="857">
      <c r="C857" s="250"/>
      <c r="D857" s="250"/>
    </row>
    <row r="858">
      <c r="C858" s="250"/>
      <c r="D858" s="250"/>
    </row>
    <row r="859">
      <c r="C859" s="250"/>
      <c r="D859" s="250"/>
    </row>
    <row r="860">
      <c r="C860" s="250"/>
      <c r="D860" s="250"/>
    </row>
    <row r="861">
      <c r="C861" s="250"/>
      <c r="D861" s="250"/>
    </row>
    <row r="862">
      <c r="C862" s="250"/>
      <c r="D862" s="250"/>
    </row>
    <row r="863">
      <c r="C863" s="250"/>
      <c r="D863" s="250"/>
    </row>
    <row r="864">
      <c r="C864" s="250"/>
      <c r="D864" s="250"/>
    </row>
    <row r="865">
      <c r="C865" s="250"/>
      <c r="D865" s="250"/>
    </row>
    <row r="866">
      <c r="C866" s="250"/>
      <c r="D866" s="250"/>
    </row>
    <row r="867">
      <c r="C867" s="250"/>
      <c r="D867" s="250"/>
    </row>
    <row r="868">
      <c r="C868" s="250"/>
      <c r="D868" s="250"/>
    </row>
    <row r="869">
      <c r="C869" s="250"/>
      <c r="D869" s="250"/>
    </row>
    <row r="870">
      <c r="C870" s="250"/>
      <c r="D870" s="250"/>
    </row>
    <row r="871">
      <c r="C871" s="250"/>
      <c r="D871" s="250"/>
    </row>
    <row r="872">
      <c r="C872" s="250"/>
      <c r="D872" s="250"/>
    </row>
    <row r="873">
      <c r="C873" s="250"/>
      <c r="D873" s="250"/>
    </row>
    <row r="874">
      <c r="C874" s="250"/>
      <c r="D874" s="250"/>
    </row>
    <row r="875">
      <c r="C875" s="250"/>
      <c r="D875" s="250"/>
    </row>
    <row r="876">
      <c r="C876" s="250"/>
      <c r="D876" s="250"/>
    </row>
    <row r="877">
      <c r="C877" s="250"/>
      <c r="D877" s="250"/>
    </row>
    <row r="878">
      <c r="C878" s="250"/>
      <c r="D878" s="250"/>
    </row>
    <row r="879">
      <c r="C879" s="250"/>
      <c r="D879" s="250"/>
    </row>
    <row r="880">
      <c r="C880" s="250"/>
      <c r="D880" s="250"/>
    </row>
    <row r="881">
      <c r="C881" s="250"/>
      <c r="D881" s="250"/>
    </row>
    <row r="882">
      <c r="C882" s="250"/>
      <c r="D882" s="250"/>
    </row>
    <row r="883">
      <c r="C883" s="250"/>
      <c r="D883" s="250"/>
    </row>
    <row r="884">
      <c r="C884" s="250"/>
      <c r="D884" s="250"/>
    </row>
    <row r="885">
      <c r="C885" s="250"/>
      <c r="D885" s="250"/>
    </row>
    <row r="886">
      <c r="C886" s="250"/>
      <c r="D886" s="250"/>
    </row>
    <row r="887">
      <c r="C887" s="250"/>
      <c r="D887" s="250"/>
    </row>
    <row r="888">
      <c r="C888" s="250"/>
      <c r="D888" s="250"/>
    </row>
    <row r="889">
      <c r="C889" s="250"/>
      <c r="D889" s="250"/>
    </row>
    <row r="890">
      <c r="C890" s="250"/>
      <c r="D890" s="250"/>
    </row>
    <row r="891">
      <c r="C891" s="250"/>
      <c r="D891" s="250"/>
    </row>
    <row r="892">
      <c r="C892" s="250"/>
      <c r="D892" s="250"/>
    </row>
    <row r="893">
      <c r="C893" s="250"/>
      <c r="D893" s="250"/>
    </row>
    <row r="894">
      <c r="C894" s="250"/>
      <c r="D894" s="250"/>
    </row>
    <row r="895">
      <c r="C895" s="250"/>
      <c r="D895" s="250"/>
    </row>
    <row r="896">
      <c r="C896" s="250"/>
      <c r="D896" s="250"/>
    </row>
    <row r="897">
      <c r="C897" s="250"/>
      <c r="D897" s="250"/>
    </row>
    <row r="898">
      <c r="C898" s="250"/>
      <c r="D898" s="250"/>
    </row>
    <row r="899">
      <c r="C899" s="250"/>
      <c r="D899" s="250"/>
    </row>
    <row r="900">
      <c r="C900" s="250"/>
      <c r="D900" s="250"/>
    </row>
    <row r="901">
      <c r="C901" s="250"/>
      <c r="D901" s="250"/>
    </row>
    <row r="902">
      <c r="C902" s="250"/>
      <c r="D902" s="250"/>
    </row>
    <row r="903">
      <c r="C903" s="250"/>
      <c r="D903" s="250"/>
    </row>
    <row r="904">
      <c r="C904" s="250"/>
      <c r="D904" s="250"/>
    </row>
    <row r="905">
      <c r="C905" s="250"/>
      <c r="D905" s="250"/>
    </row>
    <row r="906">
      <c r="C906" s="250"/>
      <c r="D906" s="250"/>
    </row>
    <row r="907">
      <c r="C907" s="250"/>
      <c r="D907" s="250"/>
    </row>
    <row r="908">
      <c r="C908" s="250"/>
      <c r="D908" s="250"/>
    </row>
    <row r="909">
      <c r="C909" s="250"/>
      <c r="D909" s="250"/>
    </row>
    <row r="910">
      <c r="C910" s="250"/>
      <c r="D910" s="250"/>
    </row>
    <row r="911">
      <c r="C911" s="250"/>
      <c r="D911" s="250"/>
    </row>
    <row r="912">
      <c r="C912" s="250"/>
      <c r="D912" s="250"/>
    </row>
    <row r="913">
      <c r="C913" s="250"/>
      <c r="D913" s="250"/>
    </row>
    <row r="914">
      <c r="C914" s="250"/>
      <c r="D914" s="250"/>
    </row>
    <row r="915">
      <c r="C915" s="250"/>
      <c r="D915" s="250"/>
    </row>
    <row r="916">
      <c r="C916" s="250"/>
      <c r="D916" s="250"/>
    </row>
    <row r="917">
      <c r="C917" s="250"/>
      <c r="D917" s="250"/>
    </row>
    <row r="918">
      <c r="C918" s="250"/>
      <c r="D918" s="250"/>
    </row>
    <row r="919">
      <c r="C919" s="250"/>
      <c r="D919" s="250"/>
    </row>
    <row r="920">
      <c r="C920" s="250"/>
      <c r="D920" s="250"/>
    </row>
    <row r="921">
      <c r="C921" s="250"/>
      <c r="D921" s="250"/>
    </row>
    <row r="922">
      <c r="C922" s="250"/>
      <c r="D922" s="250"/>
    </row>
    <row r="923">
      <c r="C923" s="250"/>
      <c r="D923" s="250"/>
    </row>
    <row r="924">
      <c r="C924" s="250"/>
      <c r="D924" s="250"/>
    </row>
    <row r="925">
      <c r="C925" s="250"/>
      <c r="D925" s="250"/>
    </row>
    <row r="926">
      <c r="C926" s="250"/>
      <c r="D926" s="250"/>
    </row>
    <row r="927">
      <c r="C927" s="250"/>
      <c r="D927" s="250"/>
    </row>
    <row r="928">
      <c r="C928" s="250"/>
      <c r="D928" s="250"/>
    </row>
    <row r="929">
      <c r="C929" s="250"/>
      <c r="D929" s="250"/>
    </row>
    <row r="930">
      <c r="C930" s="250"/>
      <c r="D930" s="250"/>
    </row>
    <row r="931">
      <c r="C931" s="250"/>
      <c r="D931" s="250"/>
    </row>
    <row r="932">
      <c r="C932" s="250"/>
      <c r="D932" s="250"/>
    </row>
    <row r="933">
      <c r="C933" s="250"/>
      <c r="D933" s="250"/>
    </row>
    <row r="934">
      <c r="C934" s="250"/>
      <c r="D934" s="250"/>
    </row>
    <row r="935">
      <c r="C935" s="250"/>
      <c r="D935" s="250"/>
    </row>
    <row r="936">
      <c r="C936" s="250"/>
      <c r="D936" s="250"/>
    </row>
    <row r="937">
      <c r="C937" s="250"/>
      <c r="D937" s="250"/>
    </row>
    <row r="938">
      <c r="C938" s="250"/>
      <c r="D938" s="250"/>
    </row>
    <row r="939">
      <c r="C939" s="250"/>
      <c r="D939" s="250"/>
    </row>
    <row r="940">
      <c r="C940" s="250"/>
      <c r="D940" s="250"/>
    </row>
    <row r="941">
      <c r="C941" s="250"/>
      <c r="D941" s="250"/>
    </row>
    <row r="942">
      <c r="C942" s="250"/>
      <c r="D942" s="250"/>
    </row>
    <row r="943">
      <c r="C943" s="250"/>
      <c r="D943" s="250"/>
    </row>
    <row r="944">
      <c r="C944" s="250"/>
      <c r="D944" s="250"/>
    </row>
    <row r="945">
      <c r="C945" s="250"/>
      <c r="D945" s="250"/>
    </row>
    <row r="946">
      <c r="C946" s="250"/>
      <c r="D946" s="250"/>
    </row>
    <row r="947">
      <c r="C947" s="250"/>
      <c r="D947" s="250"/>
    </row>
    <row r="948">
      <c r="C948" s="250"/>
      <c r="D948" s="250"/>
    </row>
    <row r="949">
      <c r="C949" s="250"/>
      <c r="D949" s="250"/>
    </row>
    <row r="950">
      <c r="C950" s="250"/>
      <c r="D950" s="250"/>
    </row>
    <row r="951">
      <c r="C951" s="250"/>
      <c r="D951" s="250"/>
    </row>
    <row r="952">
      <c r="C952" s="250"/>
      <c r="D952" s="250"/>
    </row>
    <row r="953">
      <c r="C953" s="250"/>
      <c r="D953" s="250"/>
    </row>
    <row r="954">
      <c r="C954" s="250"/>
      <c r="D954" s="250"/>
    </row>
    <row r="955">
      <c r="C955" s="250"/>
      <c r="D955" s="250"/>
    </row>
    <row r="956">
      <c r="C956" s="250"/>
      <c r="D956" s="250"/>
    </row>
    <row r="957">
      <c r="C957" s="250"/>
      <c r="D957" s="250"/>
    </row>
    <row r="958">
      <c r="C958" s="250"/>
      <c r="D958" s="250"/>
    </row>
    <row r="959">
      <c r="C959" s="250"/>
      <c r="D959" s="250"/>
    </row>
    <row r="960">
      <c r="C960" s="250"/>
      <c r="D960" s="250"/>
    </row>
    <row r="961">
      <c r="C961" s="250"/>
      <c r="D961" s="250"/>
    </row>
    <row r="962">
      <c r="C962" s="250"/>
      <c r="D962" s="250"/>
    </row>
    <row r="963">
      <c r="C963" s="250"/>
      <c r="D963" s="250"/>
    </row>
    <row r="964">
      <c r="C964" s="250"/>
      <c r="D964" s="250"/>
    </row>
    <row r="965">
      <c r="C965" s="250"/>
      <c r="D965" s="250"/>
    </row>
    <row r="966">
      <c r="C966" s="250"/>
      <c r="D966" s="250"/>
    </row>
    <row r="967">
      <c r="C967" s="250"/>
      <c r="D967" s="250"/>
    </row>
    <row r="968">
      <c r="C968" s="250"/>
      <c r="D968" s="250"/>
    </row>
    <row r="969">
      <c r="C969" s="250"/>
      <c r="D969" s="250"/>
    </row>
    <row r="970">
      <c r="C970" s="250"/>
      <c r="D970" s="250"/>
    </row>
    <row r="971">
      <c r="C971" s="250"/>
      <c r="D971" s="250"/>
    </row>
    <row r="972">
      <c r="C972" s="250"/>
      <c r="D972" s="250"/>
    </row>
    <row r="973">
      <c r="C973" s="250"/>
      <c r="D973" s="250"/>
    </row>
    <row r="974">
      <c r="C974" s="250"/>
      <c r="D974" s="250"/>
    </row>
    <row r="975">
      <c r="C975" s="250"/>
      <c r="D975" s="250"/>
    </row>
    <row r="976">
      <c r="C976" s="250"/>
      <c r="D976" s="250"/>
    </row>
    <row r="977">
      <c r="C977" s="250"/>
      <c r="D977" s="250"/>
    </row>
    <row r="978">
      <c r="C978" s="250"/>
      <c r="D978" s="250"/>
    </row>
    <row r="979">
      <c r="C979" s="250"/>
      <c r="D979" s="250"/>
    </row>
    <row r="980">
      <c r="C980" s="250"/>
      <c r="D980" s="250"/>
    </row>
    <row r="981">
      <c r="C981" s="250"/>
      <c r="D981" s="250"/>
    </row>
    <row r="982">
      <c r="C982" s="250"/>
      <c r="D982" s="250"/>
    </row>
    <row r="983">
      <c r="C983" s="250"/>
      <c r="D983" s="250"/>
    </row>
    <row r="984">
      <c r="C984" s="250"/>
      <c r="D984" s="250"/>
    </row>
    <row r="985">
      <c r="C985" s="250"/>
      <c r="D985" s="250"/>
    </row>
    <row r="986">
      <c r="C986" s="250"/>
      <c r="D986" s="250"/>
    </row>
  </sheetData>
  <conditionalFormatting sqref="F2:F9">
    <cfRule type="cellIs" dxfId="5" priority="1" operator="equal">
      <formula>"TRUE"</formula>
    </cfRule>
  </conditionalFormatting>
  <dataValidations>
    <dataValidation type="list" allowBlank="1" showErrorMessage="1" sqref="F2:F3 F5:F6 F8:F9">
      <formula1>"History1,History2"</formula1>
    </dataValidation>
    <dataValidation type="list" allowBlank="1" showErrorMessage="1" sqref="F4">
      <formula1>"History1,History2,Canceled"</formula1>
    </dataValidation>
  </dataValidation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8.0" topLeftCell="A9" activePane="bottomLeft" state="frozen"/>
      <selection activeCell="B10" sqref="B10" pane="bottomLeft"/>
    </sheetView>
  </sheetViews>
  <sheetFormatPr customHeight="1" defaultColWidth="12.63" defaultRowHeight="15.75"/>
  <cols>
    <col customWidth="1" min="3" max="3" width="65.0"/>
    <col customWidth="1" min="4" max="4" width="44.13"/>
    <col customWidth="1" min="5" max="5" width="50.63"/>
    <col customWidth="1" min="6" max="6" width="25.25"/>
    <col customWidth="1" min="7" max="7" width="50.63"/>
    <col customWidth="1" min="8" max="8" width="44.75"/>
  </cols>
  <sheetData>
    <row r="1">
      <c r="A1" s="253"/>
      <c r="B1" s="253" t="s">
        <v>2976</v>
      </c>
      <c r="C1" s="254" t="s">
        <v>2845</v>
      </c>
      <c r="D1" s="172"/>
      <c r="E1" s="172"/>
      <c r="F1" s="172"/>
      <c r="G1" s="172"/>
      <c r="H1" s="172"/>
      <c r="I1" s="172"/>
      <c r="J1" s="172"/>
      <c r="K1" s="172"/>
      <c r="L1" s="172"/>
      <c r="M1" s="172"/>
      <c r="N1" s="172"/>
      <c r="O1" s="172"/>
      <c r="P1" s="172"/>
      <c r="Q1" s="172"/>
      <c r="R1" s="172"/>
      <c r="S1" s="172"/>
      <c r="T1" s="172"/>
      <c r="U1" s="172"/>
      <c r="V1" s="172"/>
      <c r="W1" s="172"/>
      <c r="X1" s="172"/>
      <c r="Y1" s="172"/>
      <c r="Z1" s="172"/>
      <c r="AA1" s="172"/>
      <c r="AB1" s="172"/>
      <c r="AC1" s="172"/>
    </row>
    <row r="2">
      <c r="A2" s="253"/>
      <c r="B2" s="253" t="s">
        <v>90</v>
      </c>
      <c r="C2" s="246">
        <f t="shared" ref="C2:C6" si="1">countif(H:H,B2)</f>
        <v>25</v>
      </c>
      <c r="D2" s="172"/>
      <c r="E2" s="172"/>
      <c r="F2" s="172"/>
      <c r="G2" s="172"/>
      <c r="H2" s="172"/>
      <c r="I2" s="172"/>
      <c r="J2" s="172"/>
      <c r="K2" s="172"/>
      <c r="L2" s="172"/>
      <c r="M2" s="172"/>
      <c r="N2" s="172"/>
      <c r="O2" s="172"/>
      <c r="P2" s="172"/>
      <c r="Q2" s="172"/>
      <c r="R2" s="172"/>
      <c r="S2" s="172"/>
      <c r="T2" s="172"/>
      <c r="U2" s="172"/>
      <c r="V2" s="172"/>
      <c r="W2" s="172"/>
      <c r="X2" s="172"/>
      <c r="Y2" s="172"/>
      <c r="Z2" s="172"/>
      <c r="AA2" s="172"/>
      <c r="AB2" s="172"/>
      <c r="AC2" s="172"/>
    </row>
    <row r="3">
      <c r="A3" s="253"/>
      <c r="B3" s="253" t="s">
        <v>113</v>
      </c>
      <c r="C3" s="246">
        <f t="shared" si="1"/>
        <v>25</v>
      </c>
      <c r="D3" s="172"/>
      <c r="E3" s="172"/>
      <c r="F3" s="172"/>
      <c r="G3" s="172"/>
      <c r="H3" s="172"/>
      <c r="I3" s="172"/>
      <c r="J3" s="172"/>
      <c r="K3" s="172"/>
      <c r="L3" s="172"/>
      <c r="M3" s="172"/>
      <c r="N3" s="172"/>
      <c r="O3" s="172"/>
      <c r="P3" s="172"/>
      <c r="Q3" s="172"/>
      <c r="R3" s="172"/>
      <c r="S3" s="172"/>
      <c r="T3" s="172"/>
      <c r="U3" s="172"/>
      <c r="V3" s="172"/>
      <c r="W3" s="172"/>
      <c r="X3" s="172"/>
      <c r="Y3" s="172"/>
      <c r="Z3" s="172"/>
      <c r="AA3" s="172"/>
      <c r="AB3" s="172"/>
      <c r="AC3" s="172"/>
    </row>
    <row r="4">
      <c r="A4" s="253"/>
      <c r="B4" s="253" t="s">
        <v>146</v>
      </c>
      <c r="C4" s="246">
        <f t="shared" si="1"/>
        <v>25</v>
      </c>
      <c r="D4" s="172"/>
      <c r="E4" s="172"/>
      <c r="F4" s="172"/>
      <c r="G4" s="172"/>
      <c r="H4" s="172"/>
      <c r="I4" s="172"/>
      <c r="J4" s="172"/>
      <c r="K4" s="172"/>
      <c r="L4" s="172"/>
      <c r="M4" s="172"/>
      <c r="N4" s="172"/>
      <c r="O4" s="172"/>
      <c r="P4" s="172"/>
      <c r="Q4" s="172"/>
      <c r="R4" s="172"/>
      <c r="S4" s="172"/>
      <c r="T4" s="172"/>
      <c r="U4" s="172"/>
      <c r="V4" s="172"/>
      <c r="W4" s="172"/>
      <c r="X4" s="172"/>
      <c r="Y4" s="172"/>
      <c r="Z4" s="172"/>
      <c r="AA4" s="172"/>
      <c r="AB4" s="172"/>
      <c r="AC4" s="172"/>
    </row>
    <row r="5">
      <c r="A5" s="253"/>
      <c r="B5" s="253" t="s">
        <v>169</v>
      </c>
      <c r="C5" s="246">
        <f t="shared" si="1"/>
        <v>24</v>
      </c>
      <c r="D5" s="172"/>
      <c r="E5" s="172"/>
      <c r="F5" s="172"/>
      <c r="G5" s="172"/>
      <c r="H5" s="172"/>
      <c r="I5" s="172"/>
      <c r="J5" s="172"/>
      <c r="K5" s="172"/>
      <c r="L5" s="172"/>
      <c r="M5" s="172"/>
      <c r="N5" s="172"/>
      <c r="O5" s="172"/>
      <c r="P5" s="172"/>
      <c r="Q5" s="172"/>
      <c r="R5" s="172"/>
      <c r="S5" s="172"/>
      <c r="T5" s="172"/>
      <c r="U5" s="172"/>
      <c r="V5" s="172"/>
      <c r="W5" s="172"/>
      <c r="X5" s="172"/>
      <c r="Y5" s="172"/>
      <c r="Z5" s="172"/>
      <c r="AA5" s="172"/>
      <c r="AB5" s="172"/>
      <c r="AC5" s="172"/>
    </row>
    <row r="6">
      <c r="A6" s="253"/>
      <c r="B6" s="253" t="s">
        <v>188</v>
      </c>
      <c r="C6" s="246">
        <f t="shared" si="1"/>
        <v>25</v>
      </c>
      <c r="D6" s="172"/>
      <c r="E6" s="172"/>
      <c r="F6" s="172"/>
      <c r="G6" s="172"/>
      <c r="H6" s="172"/>
      <c r="I6" s="172"/>
      <c r="J6" s="172"/>
      <c r="K6" s="172"/>
      <c r="L6" s="172"/>
      <c r="M6" s="172"/>
      <c r="N6" s="172"/>
      <c r="O6" s="172"/>
      <c r="P6" s="172"/>
      <c r="Q6" s="172"/>
      <c r="R6" s="172"/>
      <c r="S6" s="172"/>
      <c r="T6" s="172"/>
      <c r="U6" s="172"/>
      <c r="V6" s="172"/>
      <c r="W6" s="172"/>
      <c r="X6" s="172"/>
      <c r="Y6" s="172"/>
      <c r="Z6" s="172"/>
      <c r="AA6" s="172"/>
      <c r="AB6" s="172"/>
      <c r="AC6" s="172"/>
    </row>
    <row r="7">
      <c r="A7" s="253"/>
      <c r="B7" s="253" t="s">
        <v>2871</v>
      </c>
      <c r="C7" s="246">
        <f>sum(C2:C6)</f>
        <v>124</v>
      </c>
      <c r="D7" s="172"/>
      <c r="E7" s="172"/>
      <c r="F7" s="172"/>
      <c r="G7" s="172"/>
      <c r="H7" s="172"/>
      <c r="I7" s="172"/>
      <c r="J7" s="172"/>
      <c r="K7" s="172"/>
      <c r="L7" s="172"/>
      <c r="M7" s="172"/>
      <c r="N7" s="172"/>
      <c r="O7" s="172"/>
      <c r="P7" s="172"/>
      <c r="Q7" s="172"/>
      <c r="R7" s="172"/>
      <c r="S7" s="172"/>
      <c r="T7" s="172"/>
      <c r="U7" s="172"/>
      <c r="V7" s="172"/>
      <c r="W7" s="172"/>
      <c r="X7" s="172"/>
      <c r="Y7" s="172"/>
      <c r="Z7" s="172"/>
      <c r="AA7" s="172"/>
      <c r="AB7" s="172"/>
      <c r="AC7" s="172"/>
    </row>
    <row r="8">
      <c r="A8" s="253"/>
      <c r="B8" s="253" t="s">
        <v>2949</v>
      </c>
      <c r="C8" s="254" t="s">
        <v>2977</v>
      </c>
      <c r="D8" s="171" t="s">
        <v>2927</v>
      </c>
      <c r="E8" s="171" t="s">
        <v>2959</v>
      </c>
      <c r="F8" s="224" t="s">
        <v>2928</v>
      </c>
      <c r="G8" s="224" t="s">
        <v>2951</v>
      </c>
      <c r="H8" s="171" t="s">
        <v>2843</v>
      </c>
      <c r="I8" s="172"/>
      <c r="J8" s="172"/>
      <c r="K8" s="172"/>
      <c r="L8" s="172"/>
      <c r="M8" s="172"/>
      <c r="N8" s="172"/>
      <c r="O8" s="172"/>
      <c r="P8" s="172"/>
      <c r="Q8" s="172"/>
      <c r="R8" s="172"/>
      <c r="S8" s="172"/>
      <c r="T8" s="172"/>
      <c r="U8" s="172"/>
      <c r="V8" s="172"/>
      <c r="W8" s="172"/>
      <c r="X8" s="172"/>
      <c r="Y8" s="172"/>
      <c r="Z8" s="172"/>
      <c r="AA8" s="172"/>
      <c r="AB8" s="172"/>
      <c r="AC8" s="172"/>
    </row>
    <row r="9">
      <c r="A9" s="255" t="s">
        <v>2978</v>
      </c>
      <c r="B9" s="255" t="s">
        <v>1922</v>
      </c>
      <c r="C9" s="255" t="s">
        <v>1923</v>
      </c>
      <c r="D9" s="256" t="s">
        <v>2979</v>
      </c>
      <c r="E9" s="169" t="str">
        <f t="shared" ref="E9:E132" si="2">CONCATENATE(C9,char(10),D9,char(10))</f>
        <v>DOS: Dual-Flow Orthogonal Semantic IDs for Recommendation in Meituan
Junwei Yin, Senjie Kou, Changhao Li, Shuli Wang, Yinqiu Huang, Xue Wei, Yinhua Zhu, Haitao Wang and Xingxing Wang
</v>
      </c>
      <c r="F9" s="169" t="str">
        <f>IFERROR(__xludf.DUMMYFUNCTION("TEXTJOIN(CHAR(10), TRUE,FILTER ('Sheridan Main'!E:E,'Sheridan Main'!B:B=B9))"),"shuliw1996@gmail.com")</f>
        <v>shuliw1996@gmail.com</v>
      </c>
      <c r="G9" s="170" t="str">
        <f>IFERROR(__xludf.DUMMYFUNCTION("CONCATENATE(""https://dl.acm.org/doi/"",INDEX(FILTER('Sheridan Main'!A:A,'Sheridan Main'!B:B=B9),1))"),"https://dl.acm.org/doi/10.1145/3774904.3792845")</f>
        <v>https://dl.acm.org/doi/10.1145/3774904.3792845</v>
      </c>
      <c r="H9" s="143" t="s">
        <v>90</v>
      </c>
    </row>
    <row r="10">
      <c r="A10" s="255" t="s">
        <v>2978</v>
      </c>
      <c r="B10" s="255" t="s">
        <v>1924</v>
      </c>
      <c r="C10" s="255" t="s">
        <v>1925</v>
      </c>
      <c r="D10" s="256" t="s">
        <v>2980</v>
      </c>
      <c r="E10" s="169" t="str">
        <f t="shared" si="2"/>
        <v>RASTP: Representation-Aware Semantic Token Pruning for Generative Recommendation with Semantic Identifiers
Tianyu Zhan, Kairui Fu, Zheqi Lv and Shengyu Zhang
</v>
      </c>
      <c r="F10" s="169" t="str">
        <f>IFERROR(__xludf.DUMMYFUNCTION("TEXTJOIN(CHAR(10), TRUE,FILTER ('Sheridan Main'!E:E,'Sheridan Main'!B:B=B10))"),"yuzt@zju.edu.cn")</f>
        <v>yuzt@zju.edu.cn</v>
      </c>
      <c r="G10" s="170" t="str">
        <f>IFERROR(__xludf.DUMMYFUNCTION("CONCATENATE(""https://dl.acm.org/doi/"",INDEX(FILTER('Sheridan Main'!A:A,'Sheridan Main'!B:B=B10),1))"),"https://dl.acm.org/doi/10.1145/3774904.3792846")</f>
        <v>https://dl.acm.org/doi/10.1145/3774904.3792846</v>
      </c>
      <c r="H10" s="143" t="s">
        <v>90</v>
      </c>
    </row>
    <row r="11">
      <c r="A11" s="255" t="s">
        <v>2978</v>
      </c>
      <c r="B11" s="255" t="s">
        <v>1926</v>
      </c>
      <c r="C11" s="255" t="s">
        <v>1927</v>
      </c>
      <c r="D11" s="256" t="s">
        <v>2981</v>
      </c>
      <c r="E11" s="169" t="str">
        <f t="shared" si="2"/>
        <v>Few-shot and Zero-shot Audience Expansion with User and Task Model Pre-training on Tabular Data
Siwei Qiang, Pengyu Li, Zhe Yu, Mengyao Sun, Jun Chen and Bo Zheng
</v>
      </c>
      <c r="F11" s="169" t="str">
        <f>IFERROR(__xludf.DUMMYFUNCTION("TEXTJOIN(CHAR(10), TRUE,FILTER ('Sheridan Main'!E:E,'Sheridan Main'!B:B=B11))"),"boyue.qsw@mybank.cn")</f>
        <v>boyue.qsw@mybank.cn</v>
      </c>
      <c r="G11" s="170" t="str">
        <f>IFERROR(__xludf.DUMMYFUNCTION("CONCATENATE(""https://dl.acm.org/doi/"",INDEX(FILTER('Sheridan Main'!A:A,'Sheridan Main'!B:B=B11),1))"),"https://dl.acm.org/doi/10.1145/3774904.3792847")</f>
        <v>https://dl.acm.org/doi/10.1145/3774904.3792847</v>
      </c>
      <c r="H11" s="143" t="s">
        <v>90</v>
      </c>
    </row>
    <row r="12">
      <c r="A12" s="255" t="s">
        <v>2978</v>
      </c>
      <c r="B12" s="255" t="s">
        <v>1928</v>
      </c>
      <c r="C12" s="255" t="s">
        <v>1929</v>
      </c>
      <c r="D12" s="256" t="s">
        <v>2982</v>
      </c>
      <c r="E12" s="169" t="str">
        <f t="shared" si="2"/>
        <v>Learning To Generate Effective Health Advertisements
Yuval Saadaty and Elad Yom-Tov
</v>
      </c>
      <c r="F12" s="169" t="str">
        <f>IFERROR(__xludf.DUMMYFUNCTION("TEXTJOIN(CHAR(10), TRUE,FILTER ('Sheridan Main'!E:E,'Sheridan Main'!B:B=B12))"),"elad@ieee.org")</f>
        <v>elad@ieee.org</v>
      </c>
      <c r="G12" s="170" t="str">
        <f>IFERROR(__xludf.DUMMYFUNCTION("CONCATENATE(""https://dl.acm.org/doi/"",INDEX(FILTER('Sheridan Main'!A:A,'Sheridan Main'!B:B=B12),1))"),"https://dl.acm.org/doi/10.1145/3774904.3792848")</f>
        <v>https://dl.acm.org/doi/10.1145/3774904.3792848</v>
      </c>
      <c r="H12" s="143" t="s">
        <v>90</v>
      </c>
    </row>
    <row r="13">
      <c r="A13" s="255" t="s">
        <v>2978</v>
      </c>
      <c r="B13" s="255" t="s">
        <v>1930</v>
      </c>
      <c r="C13" s="255" t="s">
        <v>1931</v>
      </c>
      <c r="D13" s="256" t="s">
        <v>2983</v>
      </c>
      <c r="E13" s="169" t="str">
        <f t="shared" si="2"/>
        <v>Decentralized in Name Only: The Centralization of DAO Labor
Lingling Zhang, Morteza Zihayat and Ebrahim Bagheri
</v>
      </c>
      <c r="F13" s="169" t="str">
        <f>IFERROR(__xludf.DUMMYFUNCTION("TEXTJOIN(CHAR(10), TRUE,FILTER ('Sheridan Main'!E:E,'Sheridan Main'!B:B=B13))"),"mzihayat@torontomu.ca")</f>
        <v>mzihayat@torontomu.ca</v>
      </c>
      <c r="G13" s="170" t="str">
        <f>IFERROR(__xludf.DUMMYFUNCTION("CONCATENATE(""https://dl.acm.org/doi/"",INDEX(FILTER('Sheridan Main'!A:A,'Sheridan Main'!B:B=B13),1))"),"https://dl.acm.org/doi/10.1145/3774904.3792849")</f>
        <v>https://dl.acm.org/doi/10.1145/3774904.3792849</v>
      </c>
      <c r="H13" s="143" t="s">
        <v>90</v>
      </c>
    </row>
    <row r="14">
      <c r="A14" s="255" t="s">
        <v>2978</v>
      </c>
      <c r="B14" s="255" t="s">
        <v>1932</v>
      </c>
      <c r="C14" s="255" t="s">
        <v>1933</v>
      </c>
      <c r="D14" s="256" t="s">
        <v>2984</v>
      </c>
      <c r="E14" s="169" t="str">
        <f t="shared" si="2"/>
        <v>A Reinforcement Learning Based Hyper-Parameter Generation System Guided by LLM-Powered Virtual Users
Changlin Qiu, Bang Lin, Tao Zhang and Chengfu Huo
</v>
      </c>
      <c r="F14" s="169" t="str">
        <f>IFERROR(__xludf.DUMMYFUNCTION("TEXTJOIN(CHAR(10), TRUE,FILTER ('Sheridan Main'!E:E,'Sheridan Main'!B:B=B14))"),"qiuchanglin.qcl@taobao.com")</f>
        <v>qiuchanglin.qcl@taobao.com</v>
      </c>
      <c r="G14" s="170" t="str">
        <f>IFERROR(__xludf.DUMMYFUNCTION("CONCATENATE(""https://dl.acm.org/doi/"",INDEX(FILTER('Sheridan Main'!A:A,'Sheridan Main'!B:B=B14),1))"),"https://dl.acm.org/doi/10.1145/3774904.3792850")</f>
        <v>https://dl.acm.org/doi/10.1145/3774904.3792850</v>
      </c>
      <c r="H14" s="143" t="s">
        <v>90</v>
      </c>
    </row>
    <row r="15">
      <c r="A15" s="255" t="s">
        <v>2978</v>
      </c>
      <c r="B15" s="255" t="s">
        <v>1934</v>
      </c>
      <c r="C15" s="255" t="s">
        <v>1935</v>
      </c>
      <c r="D15" s="256" t="s">
        <v>2985</v>
      </c>
      <c r="E15" s="169" t="str">
        <f t="shared" si="2"/>
        <v>DualGR: Generative Retrieval with Long and Short-Term Interests Modeling
Zhongchao Yi, Kai Feng, Xiaojian Ma, Yalong Wang, Yongqi Liu, Han Li, Zhengyang Zhou and Yang Wang
</v>
      </c>
      <c r="F15" s="169" t="str">
        <f>IFERROR(__xludf.DUMMYFUNCTION("TEXTJOIN(CHAR(10), TRUE,FILTER ('Sheridan Main'!E:E,'Sheridan Main'!B:B=B15))"),"zzy0929@ustc.edu.cn")</f>
        <v>zzy0929@ustc.edu.cn</v>
      </c>
      <c r="G15" s="170" t="str">
        <f>IFERROR(__xludf.DUMMYFUNCTION("CONCATENATE(""https://dl.acm.org/doi/"",INDEX(FILTER('Sheridan Main'!A:A,'Sheridan Main'!B:B=B15),1))"),"https://dl.acm.org/doi/10.1145/3774904.3792851")</f>
        <v>https://dl.acm.org/doi/10.1145/3774904.3792851</v>
      </c>
      <c r="H15" s="143" t="s">
        <v>90</v>
      </c>
    </row>
    <row r="16">
      <c r="A16" s="255" t="s">
        <v>2978</v>
      </c>
      <c r="B16" s="255" t="s">
        <v>1936</v>
      </c>
      <c r="C16" s="255" t="s">
        <v>1937</v>
      </c>
      <c r="D16" s="256" t="s">
        <v>2986</v>
      </c>
      <c r="E16" s="169" t="str">
        <f t="shared" si="2"/>
        <v>Cascaded Verification Framework: A Progressive Approach for Mitigating Hallucinations in Large Language Models
Shu Zhou, Yufei Song, Jinman Leng, Xin Wang, Tao Fan and Hao Wang
</v>
      </c>
      <c r="F16" s="169" t="str">
        <f>IFERROR(__xludf.DUMMYFUNCTION("TEXTJOIN(CHAR(10), TRUE,FILTER ('Sheridan Main'!E:E,'Sheridan Main'!B:B=B16))"),"shuzhou@smail.nju.edu.cn")</f>
        <v>shuzhou@smail.nju.edu.cn</v>
      </c>
      <c r="G16" s="170" t="str">
        <f>IFERROR(__xludf.DUMMYFUNCTION("CONCATENATE(""https://dl.acm.org/doi/"",INDEX(FILTER('Sheridan Main'!A:A,'Sheridan Main'!B:B=B16),1))"),"https://dl.acm.org/doi/10.1145/3774904.3792852")</f>
        <v>https://dl.acm.org/doi/10.1145/3774904.3792852</v>
      </c>
      <c r="H16" s="143" t="s">
        <v>90</v>
      </c>
    </row>
    <row r="17">
      <c r="A17" s="255" t="s">
        <v>2978</v>
      </c>
      <c r="B17" s="255" t="s">
        <v>1938</v>
      </c>
      <c r="C17" s="255" t="s">
        <v>1939</v>
      </c>
      <c r="D17" s="256" t="s">
        <v>2987</v>
      </c>
      <c r="E17" s="169" t="str">
        <f t="shared" si="2"/>
        <v>Hidden-in-Plain-Text: A Benchmark for Social-Web Indirect Prompt Injection in RAG
Haoze Guo and Ziqi Wei
</v>
      </c>
      <c r="F17" s="169" t="str">
        <f>IFERROR(__xludf.DUMMYFUNCTION("TEXTJOIN(CHAR(10), TRUE,FILTER ('Sheridan Main'!E:E,'Sheridan Main'!B:B=B17))"),"hguo246@wisc.edu")</f>
        <v>hguo246@wisc.edu</v>
      </c>
      <c r="G17" s="170" t="str">
        <f>IFERROR(__xludf.DUMMYFUNCTION("CONCATENATE(""https://dl.acm.org/doi/"",INDEX(FILTER('Sheridan Main'!A:A,'Sheridan Main'!B:B=B17),1))"),"https://dl.acm.org/doi/10.1145/3774904.3792853")</f>
        <v>https://dl.acm.org/doi/10.1145/3774904.3792853</v>
      </c>
      <c r="H17" s="143" t="s">
        <v>90</v>
      </c>
    </row>
    <row r="18">
      <c r="A18" s="255" t="s">
        <v>2978</v>
      </c>
      <c r="B18" s="255" t="s">
        <v>1940</v>
      </c>
      <c r="C18" s="255" t="s">
        <v>1941</v>
      </c>
      <c r="D18" s="256" t="s">
        <v>2986</v>
      </c>
      <c r="E18" s="169" t="str">
        <f t="shared" si="2"/>
        <v>Activation Caching for Retrieval-Augmented Generation
Shu Zhou, Yufei Song, Jinman Leng, Xin Wang, Tao Fan and Hao Wang
</v>
      </c>
      <c r="F18" s="169" t="str">
        <f>IFERROR(__xludf.DUMMYFUNCTION("TEXTJOIN(CHAR(10), TRUE,FILTER ('Sheridan Main'!E:E,'Sheridan Main'!B:B=B18))"),"shuzhou@smail.nju.edu.cn")</f>
        <v>shuzhou@smail.nju.edu.cn</v>
      </c>
      <c r="G18" s="170" t="str">
        <f>IFERROR(__xludf.DUMMYFUNCTION("CONCATENATE(""https://dl.acm.org/doi/"",INDEX(FILTER('Sheridan Main'!A:A,'Sheridan Main'!B:B=B18),1))"),"https://dl.acm.org/doi/10.1145/3774904.3792854")</f>
        <v>https://dl.acm.org/doi/10.1145/3774904.3792854</v>
      </c>
      <c r="H18" s="143" t="s">
        <v>90</v>
      </c>
    </row>
    <row r="19">
      <c r="A19" s="255" t="s">
        <v>2978</v>
      </c>
      <c r="B19" s="255" t="s">
        <v>1942</v>
      </c>
      <c r="C19" s="255" t="s">
        <v>1943</v>
      </c>
      <c r="D19" s="256" t="s">
        <v>2988</v>
      </c>
      <c r="E19" s="169" t="str">
        <f t="shared" si="2"/>
        <v>PH-EMO: Decoding Emotions from the Brain Inward – EEG-Grounded Multimodal Reasoning with LLMs
Kehong Liu, Yang Liu and Jiming Liu
</v>
      </c>
      <c r="F19" s="169" t="str">
        <f>IFERROR(__xludf.DUMMYFUNCTION("TEXTJOIN(CHAR(10), TRUE,FILTER ('Sheridan Main'!E:E,'Sheridan Main'!B:B=B19))"),"csygliu@comp.hkbu.edu.hk")</f>
        <v>csygliu@comp.hkbu.edu.hk</v>
      </c>
      <c r="G19" s="170" t="str">
        <f>IFERROR(__xludf.DUMMYFUNCTION("CONCATENATE(""https://dl.acm.org/doi/"",INDEX(FILTER('Sheridan Main'!A:A,'Sheridan Main'!B:B=B19),1))"),"https://dl.acm.org/doi/10.1145/3774904.3792855")</f>
        <v>https://dl.acm.org/doi/10.1145/3774904.3792855</v>
      </c>
      <c r="H19" s="143" t="s">
        <v>90</v>
      </c>
    </row>
    <row r="20">
      <c r="A20" s="255" t="s">
        <v>2978</v>
      </c>
      <c r="B20" s="255" t="s">
        <v>1944</v>
      </c>
      <c r="C20" s="255" t="s">
        <v>1945</v>
      </c>
      <c r="D20" s="256" t="s">
        <v>2989</v>
      </c>
      <c r="E20" s="169" t="str">
        <f t="shared" si="2"/>
        <v>GPR: Empowering Generation with Graph-Pretrained Retriever
Xiaochen Wang, Zongyu Wu, Yuan Zhong, Xiang Zhang, Suhang Wang and Fenglong Ma
</v>
      </c>
      <c r="F20" s="169" t="str">
        <f>IFERROR(__xludf.DUMMYFUNCTION("TEXTJOIN(CHAR(10), TRUE,FILTER ('Sheridan Main'!E:E,'Sheridan Main'!B:B=B20))"),"xmw5190@psu.edu")</f>
        <v>xmw5190@psu.edu</v>
      </c>
      <c r="G20" s="170" t="str">
        <f>IFERROR(__xludf.DUMMYFUNCTION("CONCATENATE(""https://dl.acm.org/doi/"",INDEX(FILTER('Sheridan Main'!A:A,'Sheridan Main'!B:B=B20),1))"),"https://dl.acm.org/doi/10.1145/3774904.3792856")</f>
        <v>https://dl.acm.org/doi/10.1145/3774904.3792856</v>
      </c>
      <c r="H20" s="143" t="s">
        <v>90</v>
      </c>
    </row>
    <row r="21">
      <c r="A21" s="255" t="s">
        <v>2978</v>
      </c>
      <c r="B21" s="255" t="s">
        <v>1946</v>
      </c>
      <c r="C21" s="255" t="s">
        <v>1947</v>
      </c>
      <c r="D21" s="256" t="s">
        <v>2990</v>
      </c>
      <c r="E21" s="169" t="str">
        <f t="shared" si="2"/>
        <v>Graph Discrete Prompt Optimization for Knowledge Graph Question Answering
Wooyoung Kim, Haemin Jung, Byeongjin Kim, Suhyeon Kwon and Wooju Kim
</v>
      </c>
      <c r="F21" s="169" t="str">
        <f>IFERROR(__xludf.DUMMYFUNCTION("TEXTJOIN(CHAR(10), TRUE,FILTER ('Sheridan Main'!E:E,'Sheridan Main'!B:B=B21))"),"wkim@yonsei.ac.kr")</f>
        <v>wkim@yonsei.ac.kr</v>
      </c>
      <c r="G21" s="170" t="str">
        <f>IFERROR(__xludf.DUMMYFUNCTION("CONCATENATE(""https://dl.acm.org/doi/"",INDEX(FILTER('Sheridan Main'!A:A,'Sheridan Main'!B:B=B21),1))"),"https://dl.acm.org/doi/10.1145/3774904.3792857")</f>
        <v>https://dl.acm.org/doi/10.1145/3774904.3792857</v>
      </c>
      <c r="H21" s="143" t="s">
        <v>90</v>
      </c>
    </row>
    <row r="22">
      <c r="A22" s="255" t="s">
        <v>2978</v>
      </c>
      <c r="B22" s="255" t="s">
        <v>1948</v>
      </c>
      <c r="C22" s="255" t="s">
        <v>1949</v>
      </c>
      <c r="D22" s="256" t="s">
        <v>2991</v>
      </c>
      <c r="E22" s="169" t="str">
        <f t="shared" si="2"/>
        <v>WITHDRAWN 1/29/26, email from chairs -- Exploring Latent Preference with Interest-Guided Collaborative Expansion for Multimodal Recommendation
Jiuqiang Li and Hongjun Wang
</v>
      </c>
      <c r="F22" s="169" t="str">
        <f>IFERROR(__xludf.DUMMYFUNCTION("TEXTJOIN(CHAR(10), TRUE,FILTER ('Sheridan Main'!E:E,'Sheridan Main'!B:B=B22))"),"jiuqiangli@outlook.com")</f>
        <v>jiuqiangli@outlook.com</v>
      </c>
      <c r="G22" s="170" t="str">
        <f>IFERROR(__xludf.DUMMYFUNCTION("CONCATENATE(""https://dl.acm.org/doi/"",INDEX(FILTER('Sheridan Main'!A:A,'Sheridan Main'!B:B=B22),1))"),"https://dl.acm.org/doi/10.1145/3774904.3792858")</f>
        <v>https://dl.acm.org/doi/10.1145/3774904.3792858</v>
      </c>
      <c r="H22" s="143" t="s">
        <v>90</v>
      </c>
    </row>
    <row r="23">
      <c r="A23" s="255" t="s">
        <v>2978</v>
      </c>
      <c r="B23" s="255" t="s">
        <v>1950</v>
      </c>
      <c r="C23" s="255" t="s">
        <v>1951</v>
      </c>
      <c r="D23" s="256" t="s">
        <v>2992</v>
      </c>
      <c r="E23" s="169" t="str">
        <f t="shared" si="2"/>
        <v>Improving the Accuracy of Community Detection on Signed Networks via Community Refinement and Contrastive Learning
Hyunuk Shin, Hojin Kim, Chanyoung Lee, Yeon-Chang Lee and David Yoon Suk Kang
</v>
      </c>
      <c r="F23" s="169" t="str">
        <f>IFERROR(__xludf.DUMMYFUNCTION("TEXTJOIN(CHAR(10), TRUE,FILTER ('Sheridan Main'!E:E,'Sheridan Main'!B:B=B23))"),"dyskang@cbnu.ac.kr")</f>
        <v>dyskang@cbnu.ac.kr</v>
      </c>
      <c r="G23" s="170" t="str">
        <f>IFERROR(__xludf.DUMMYFUNCTION("CONCATENATE(""https://dl.acm.org/doi/"",INDEX(FILTER('Sheridan Main'!A:A,'Sheridan Main'!B:B=B23),1))"),"https://dl.acm.org/doi/10.1145/3774904.3792859")</f>
        <v>https://dl.acm.org/doi/10.1145/3774904.3792859</v>
      </c>
      <c r="H23" s="143" t="s">
        <v>90</v>
      </c>
    </row>
    <row r="24">
      <c r="A24" s="255" t="s">
        <v>2978</v>
      </c>
      <c r="B24" s="255" t="s">
        <v>1952</v>
      </c>
      <c r="C24" s="255" t="s">
        <v>1953</v>
      </c>
      <c r="D24" s="256" t="s">
        <v>2993</v>
      </c>
      <c r="E24" s="169" t="str">
        <f t="shared" si="2"/>
        <v>AIMER: Affective Intention-guided Multimodal Emotion Reasoner for Visual Emotion Analysis in Social Media
Yubeen Lee, Shinyu Park, Jiwon Park and Eunil Park
</v>
      </c>
      <c r="F24" s="169" t="str">
        <f>IFERROR(__xludf.DUMMYFUNCTION("TEXTJOIN(CHAR(10), TRUE,FILTER ('Sheridan Main'!E:E,'Sheridan Main'!B:B=B24))"),"eunilpark@skku.edu")</f>
        <v>eunilpark@skku.edu</v>
      </c>
      <c r="G24" s="170" t="str">
        <f>IFERROR(__xludf.DUMMYFUNCTION("CONCATENATE(""https://dl.acm.org/doi/"",INDEX(FILTER('Sheridan Main'!A:A,'Sheridan Main'!B:B=B24),1))"),"https://dl.acm.org/doi/10.1145/3774904.3792860")</f>
        <v>https://dl.acm.org/doi/10.1145/3774904.3792860</v>
      </c>
      <c r="H24" s="143" t="s">
        <v>90</v>
      </c>
    </row>
    <row r="25">
      <c r="A25" s="255" t="s">
        <v>2978</v>
      </c>
      <c r="B25" s="255" t="s">
        <v>1954</v>
      </c>
      <c r="C25" s="255" t="s">
        <v>1955</v>
      </c>
      <c r="D25" s="256" t="s">
        <v>2994</v>
      </c>
      <c r="E25" s="169" t="str">
        <f t="shared" si="2"/>
        <v>SIR-Teach: Student-Implicit Reward Teaching
Haochen You and Baojing Liu
</v>
      </c>
      <c r="F25" s="169" t="str">
        <f>IFERROR(__xludf.DUMMYFUNCTION("TEXTJOIN(CHAR(10), TRUE,FILTER ('Sheridan Main'!E:E,'Sheridan Main'!B:B=B25))"),"hy2854@columbia.edu")</f>
        <v>hy2854@columbia.edu</v>
      </c>
      <c r="G25" s="170" t="str">
        <f>IFERROR(__xludf.DUMMYFUNCTION("CONCATENATE(""https://dl.acm.org/doi/"",INDEX(FILTER('Sheridan Main'!A:A,'Sheridan Main'!B:B=B25),1))"),"https://dl.acm.org/doi/10.1145/3774904.3792861")</f>
        <v>https://dl.acm.org/doi/10.1145/3774904.3792861</v>
      </c>
      <c r="H25" s="143" t="s">
        <v>90</v>
      </c>
    </row>
    <row r="26">
      <c r="A26" s="255" t="s">
        <v>2978</v>
      </c>
      <c r="B26" s="255" t="s">
        <v>1956</v>
      </c>
      <c r="C26" s="255" t="s">
        <v>1957</v>
      </c>
      <c r="D26" s="256" t="s">
        <v>2995</v>
      </c>
      <c r="E26" s="169" t="str">
        <f t="shared" si="2"/>
        <v>Generative Retrieval for E‑commerce: Jointly Learning Embedding and Codebook with Same Product Cluster
Songtao Fang, Zihao Xu, Shaowei Wei, Jin Zhang and Zhuojun Wang
</v>
      </c>
      <c r="F26" s="169" t="str">
        <f>IFERROR(__xludf.DUMMYFUNCTION("TEXTJOIN(CHAR(10), TRUE,FILTER ('Sheridan Main'!E:E,'Sheridan Main'!B:B=B26))"),"fangsongtao.fst@taobao.com")</f>
        <v>fangsongtao.fst@taobao.com</v>
      </c>
      <c r="G26" s="170" t="str">
        <f>IFERROR(__xludf.DUMMYFUNCTION("CONCATENATE(""https://dl.acm.org/doi/"",INDEX(FILTER('Sheridan Main'!A:A,'Sheridan Main'!B:B=B26),1))"),"https://dl.acm.org/doi/10.1145/3774904.3792862")</f>
        <v>https://dl.acm.org/doi/10.1145/3774904.3792862</v>
      </c>
      <c r="H26" s="143" t="s">
        <v>90</v>
      </c>
    </row>
    <row r="27">
      <c r="A27" s="255" t="s">
        <v>2978</v>
      </c>
      <c r="B27" s="255" t="s">
        <v>1958</v>
      </c>
      <c r="C27" s="255" t="s">
        <v>1959</v>
      </c>
      <c r="D27" s="256" t="s">
        <v>2996</v>
      </c>
      <c r="E27" s="169" t="str">
        <f t="shared" si="2"/>
        <v>Rethink Web Service Resilience in Space: A Radiation-Aware and Sustainable Transmission Solution
Long Chen, Hao Fang, Yi Ching Chou, Haoyuan Zhao, Xiaoyi Fan, Zhe Chen, Hengzhi Wang and Jiangchuan Liu
</v>
      </c>
      <c r="F27" s="169" t="str">
        <f>IFERROR(__xludf.DUMMYFUNCTION("TEXTJOIN(CHAR(10), TRUE,FILTER ('Sheridan Main'!E:E,'Sheridan Main'!B:B=B27))"),"xiaoyi.fan@ieee.org")</f>
        <v>xiaoyi.fan@ieee.org</v>
      </c>
      <c r="G27" s="170" t="str">
        <f>IFERROR(__xludf.DUMMYFUNCTION("CONCATENATE(""https://dl.acm.org/doi/"",INDEX(FILTER('Sheridan Main'!A:A,'Sheridan Main'!B:B=B27),1))"),"https://dl.acm.org/doi/10.1145/3774904.3792863")</f>
        <v>https://dl.acm.org/doi/10.1145/3774904.3792863</v>
      </c>
      <c r="H27" s="143" t="s">
        <v>90</v>
      </c>
    </row>
    <row r="28">
      <c r="A28" s="255" t="s">
        <v>2978</v>
      </c>
      <c r="B28" s="255" t="s">
        <v>1960</v>
      </c>
      <c r="C28" s="255" t="s">
        <v>1961</v>
      </c>
      <c r="D28" s="256" t="s">
        <v>2997</v>
      </c>
      <c r="E28" s="169" t="str">
        <f t="shared" si="2"/>
        <v>Access Controlled Website Interaction for Agentic AI with Delegated Critical Tasks
Sunyoung Kim and Hokeun Kim
</v>
      </c>
      <c r="F28" s="169" t="str">
        <f>IFERROR(__xludf.DUMMYFUNCTION("TEXTJOIN(CHAR(10), TRUE,FILTER ('Sheridan Main'!E:E,'Sheridan Main'!B:B=B28))"),"hokeun@asu.edu")</f>
        <v>hokeun@asu.edu</v>
      </c>
      <c r="G28" s="170" t="str">
        <f>IFERROR(__xludf.DUMMYFUNCTION("CONCATENATE(""https://dl.acm.org/doi/"",INDEX(FILTER('Sheridan Main'!A:A,'Sheridan Main'!B:B=B28),1))"),"https://dl.acm.org/doi/10.1145/3774904.3792864")</f>
        <v>https://dl.acm.org/doi/10.1145/3774904.3792864</v>
      </c>
      <c r="H28" s="143" t="s">
        <v>90</v>
      </c>
    </row>
    <row r="29">
      <c r="A29" s="255" t="s">
        <v>2978</v>
      </c>
      <c r="B29" s="255" t="s">
        <v>1962</v>
      </c>
      <c r="C29" s="255" t="s">
        <v>1963</v>
      </c>
      <c r="D29" s="256" t="s">
        <v>2998</v>
      </c>
      <c r="E29" s="169" t="str">
        <f t="shared" si="2"/>
        <v>Infer As You Train: A Symmetric Paradigm of Masked Generative for Click-Through Rate Prediction
Moyu Zhang, Yujun Jin, Yun Chen, Jinxin Hu, Yu Zhang and Xiaoyi Zeng
</v>
      </c>
      <c r="F29" s="169" t="str">
        <f>IFERROR(__xludf.DUMMYFUNCTION("TEXTJOIN(CHAR(10), TRUE,FILTER ('Sheridan Main'!E:E,'Sheridan Main'!B:B=B29))"),"zhangmoyu@bupt.cn")</f>
        <v>zhangmoyu@bupt.cn</v>
      </c>
      <c r="G29" s="170" t="str">
        <f>IFERROR(__xludf.DUMMYFUNCTION("CONCATENATE(""https://dl.acm.org/doi/"",INDEX(FILTER('Sheridan Main'!A:A,'Sheridan Main'!B:B=B29),1))"),"https://dl.acm.org/doi/10.1145/3774904.3792865")</f>
        <v>https://dl.acm.org/doi/10.1145/3774904.3792865</v>
      </c>
      <c r="H29" s="143" t="s">
        <v>90</v>
      </c>
    </row>
    <row r="30">
      <c r="A30" s="255" t="s">
        <v>2978</v>
      </c>
      <c r="B30" s="255" t="s">
        <v>1964</v>
      </c>
      <c r="C30" s="255" t="s">
        <v>1965</v>
      </c>
      <c r="D30" s="256" t="s">
        <v>2999</v>
      </c>
      <c r="E30" s="169" t="str">
        <f t="shared" si="2"/>
        <v>Learning Probabilistic Distributions for CTR Uncertainty
Biho Kim
</v>
      </c>
      <c r="F30" s="169" t="str">
        <f>IFERROR(__xludf.DUMMYFUNCTION("TEXTJOIN(CHAR(10), TRUE,FILTER ('Sheridan Main'!E:E,'Sheridan Main'!B:B=B30))"),"louie.kim@kakaocorp.com")</f>
        <v>louie.kim@kakaocorp.com</v>
      </c>
      <c r="G30" s="170" t="str">
        <f>IFERROR(__xludf.DUMMYFUNCTION("CONCATENATE(""https://dl.acm.org/doi/"",INDEX(FILTER('Sheridan Main'!A:A,'Sheridan Main'!B:B=B30),1))"),"https://dl.acm.org/doi/10.1145/3774904.3792866")</f>
        <v>https://dl.acm.org/doi/10.1145/3774904.3792866</v>
      </c>
      <c r="H30" s="143" t="s">
        <v>90</v>
      </c>
    </row>
    <row r="31">
      <c r="A31" s="255" t="s">
        <v>2978</v>
      </c>
      <c r="B31" s="255" t="s">
        <v>1966</v>
      </c>
      <c r="C31" s="255" t="s">
        <v>1967</v>
      </c>
      <c r="D31" s="256" t="s">
        <v>3000</v>
      </c>
      <c r="E31" s="169" t="str">
        <f t="shared" si="2"/>
        <v>Structure Over Scale: Diagnosing Liquidity Fragility in Concentrated-Liquidity AMMs
Qiangqiang Liu, Runfa Jiang, Qian Huang, Frank Fan, Kunpeng Ren and Wei Cai
</v>
      </c>
      <c r="F31" s="169" t="str">
        <f>IFERROR(__xludf.DUMMYFUNCTION("TEXTJOIN(CHAR(10), TRUE,FILTER ('Sheridan Main'!E:E,'Sheridan Main'!B:B=B31))"),"codi.l@binance.com")</f>
        <v>codi.l@binance.com</v>
      </c>
      <c r="G31" s="170" t="str">
        <f>IFERROR(__xludf.DUMMYFUNCTION("CONCATENATE(""https://dl.acm.org/doi/"",INDEX(FILTER('Sheridan Main'!A:A,'Sheridan Main'!B:B=B31),1))"),"https://dl.acm.org/doi/10.1145/3774904.3792867")</f>
        <v>https://dl.acm.org/doi/10.1145/3774904.3792867</v>
      </c>
      <c r="H31" s="143" t="s">
        <v>90</v>
      </c>
    </row>
    <row r="32">
      <c r="A32" s="255" t="s">
        <v>2978</v>
      </c>
      <c r="B32" s="255" t="s">
        <v>1968</v>
      </c>
      <c r="C32" s="255" t="s">
        <v>1969</v>
      </c>
      <c r="D32" s="256" t="s">
        <v>3001</v>
      </c>
      <c r="E32" s="169" t="str">
        <f t="shared" si="2"/>
        <v>Fedivertex: a Graph Dataset based on Decentralized Social Media
Marc Damie and Edwige Cyffers
</v>
      </c>
      <c r="F32" s="169" t="str">
        <f>IFERROR(__xludf.DUMMYFUNCTION("TEXTJOIN(CHAR(10), TRUE,FILTER ('Sheridan Main'!E:E,'Sheridan Main'!B:B=B32))"),"marc@damie.eu")</f>
        <v>marc@damie.eu</v>
      </c>
      <c r="G32" s="170" t="str">
        <f>IFERROR(__xludf.DUMMYFUNCTION("CONCATENATE(""https://dl.acm.org/doi/"",INDEX(FILTER('Sheridan Main'!A:A,'Sheridan Main'!B:B=B32),1))"),"https://dl.acm.org/doi/10.1145/3774904.3792868")</f>
        <v>https://dl.acm.org/doi/10.1145/3774904.3792868</v>
      </c>
      <c r="H32" s="143" t="s">
        <v>90</v>
      </c>
    </row>
    <row r="33">
      <c r="A33" s="255" t="s">
        <v>2978</v>
      </c>
      <c r="B33" s="255" t="s">
        <v>1970</v>
      </c>
      <c r="C33" s="255" t="s">
        <v>1971</v>
      </c>
      <c r="D33" s="256" t="s">
        <v>3002</v>
      </c>
      <c r="E33" s="169" t="str">
        <f t="shared" si="2"/>
        <v>Cost Ratio Aware Algorithm for Representative Subset Selection
Tong Cheng and Xueyan Tang
</v>
      </c>
      <c r="F33" s="169" t="str">
        <f>IFERROR(__xludf.DUMMYFUNCTION("TEXTJOIN(CHAR(10), TRUE,FILTER ('Sheridan Main'!E:E,'Sheridan Main'!B:B=B33))"),"asxytang@ntu.edu.sg")</f>
        <v>asxytang@ntu.edu.sg</v>
      </c>
      <c r="G33" s="170" t="str">
        <f>IFERROR(__xludf.DUMMYFUNCTION("CONCATENATE(""https://dl.acm.org/doi/"",INDEX(FILTER('Sheridan Main'!A:A,'Sheridan Main'!B:B=B33),1))"),"https://dl.acm.org/doi/10.1145/3774904.3792869")</f>
        <v>https://dl.acm.org/doi/10.1145/3774904.3792869</v>
      </c>
      <c r="H33" s="143" t="s">
        <v>90</v>
      </c>
    </row>
    <row r="34">
      <c r="A34" s="255" t="s">
        <v>2978</v>
      </c>
      <c r="B34" s="255" t="s">
        <v>1972</v>
      </c>
      <c r="C34" s="255" t="s">
        <v>1973</v>
      </c>
      <c r="D34" s="256" t="s">
        <v>3003</v>
      </c>
      <c r="E34" s="169" t="str">
        <f t="shared" si="2"/>
        <v>Let It Try First: Uncertainty-Guided Retrieval Switching for Retrieval-Augmented Question Answering
Xiaohai Wang, Yu Liang, Wei Zhou and Sixing Wu
</v>
      </c>
      <c r="F34" s="169" t="str">
        <f>IFERROR(__xludf.DUMMYFUNCTION("TEXTJOIN(CHAR(10), TRUE,FILTER ('Sheridan Main'!E:E,'Sheridan Main'!B:B=B34))"),"wusixing@ynu.edu.cn")</f>
        <v>wusixing@ynu.edu.cn</v>
      </c>
      <c r="G34" s="170" t="str">
        <f>IFERROR(__xludf.DUMMYFUNCTION("CONCATENATE(""https://dl.acm.org/doi/"",INDEX(FILTER('Sheridan Main'!A:A,'Sheridan Main'!B:B=B34),1))"),"https://dl.acm.org/doi/10.1145/3774904.3792870")</f>
        <v>https://dl.acm.org/doi/10.1145/3774904.3792870</v>
      </c>
      <c r="H34" s="143" t="s">
        <v>113</v>
      </c>
    </row>
    <row r="35">
      <c r="A35" s="255" t="s">
        <v>2978</v>
      </c>
      <c r="B35" s="255" t="s">
        <v>1974</v>
      </c>
      <c r="C35" s="255" t="s">
        <v>1975</v>
      </c>
      <c r="D35" s="256" t="s">
        <v>3004</v>
      </c>
      <c r="E35" s="169" t="str">
        <f t="shared" si="2"/>
        <v>DiffusionGS: Generative Search with Query Conditioned Diffusion in Kuaishou
Qinyao Li, Xiaoyang Zheng, Qihang Zhao, Ke Xu, Zhongbo Sun, Chao Wang, Chenyi Lei, Han Li and Wenwu Ou
</v>
      </c>
      <c r="F35" s="169" t="str">
        <f>IFERROR(__xludf.DUMMYFUNCTION("TEXTJOIN(CHAR(10), TRUE,FILTER ('Sheridan Main'!E:E,'Sheridan Main'!B:B=B35))"),"kkangwing@gmail.com")</f>
        <v>kkangwing@gmail.com</v>
      </c>
      <c r="G35" s="170" t="str">
        <f>IFERROR(__xludf.DUMMYFUNCTION("CONCATENATE(""https://dl.acm.org/doi/"",INDEX(FILTER('Sheridan Main'!A:A,'Sheridan Main'!B:B=B35),1))"),"https://dl.acm.org/doi/10.1145/3774904.3792871")</f>
        <v>https://dl.acm.org/doi/10.1145/3774904.3792871</v>
      </c>
      <c r="H35" s="143" t="s">
        <v>113</v>
      </c>
    </row>
    <row r="36">
      <c r="A36" s="255" t="s">
        <v>2978</v>
      </c>
      <c r="B36" s="255" t="s">
        <v>1976</v>
      </c>
      <c r="C36" s="255" t="s">
        <v>1977</v>
      </c>
      <c r="D36" s="256" t="s">
        <v>3005</v>
      </c>
      <c r="E36" s="169" t="str">
        <f t="shared" si="2"/>
        <v>LLM Reasoning for Cold-Start Item Recommendation
Shijun Li, Yu Wang, Jin Wang, Ying Li, Joydeep Ghosh and Anne Cocos
</v>
      </c>
      <c r="F36" s="169" t="str">
        <f>IFERROR(__xludf.DUMMYFUNCTION("TEXTJOIN(CHAR(10), TRUE,FILTER ('Sheridan Main'!E:E,'Sheridan Main'!B:B=B36))"),"shijunli@utexas.edu")</f>
        <v>shijunli@utexas.edu</v>
      </c>
      <c r="G36" s="170" t="str">
        <f>IFERROR(__xludf.DUMMYFUNCTION("CONCATENATE(""https://dl.acm.org/doi/"",INDEX(FILTER('Sheridan Main'!A:A,'Sheridan Main'!B:B=B36),1))"),"https://dl.acm.org/doi/10.1145/3774904.3792872")</f>
        <v>https://dl.acm.org/doi/10.1145/3774904.3792872</v>
      </c>
      <c r="H36" s="143" t="s">
        <v>113</v>
      </c>
    </row>
    <row r="37">
      <c r="A37" s="255" t="s">
        <v>2978</v>
      </c>
      <c r="B37" s="255" t="s">
        <v>1978</v>
      </c>
      <c r="C37" s="255" t="s">
        <v>1979</v>
      </c>
      <c r="D37" s="256" t="s">
        <v>3006</v>
      </c>
      <c r="E37" s="169" t="str">
        <f t="shared" si="2"/>
        <v>Hierarchical Layer Attention with Contrastive Learning for Robust Audio Deepfake Detection
Zhili Nicholas Liang, Soyeon Caren Han, Qizhou Wang and Christopher Leckie
</v>
      </c>
      <c r="F37" s="169" t="str">
        <f>IFERROR(__xludf.DUMMYFUNCTION("TEXTJOIN(CHAR(10), TRUE,FILTER ('Sheridan Main'!E:E,'Sheridan Main'!B:B=B37))"),"caren.han@unimelb.edu.au")</f>
        <v>caren.han@unimelb.edu.au</v>
      </c>
      <c r="G37" s="170" t="str">
        <f>IFERROR(__xludf.DUMMYFUNCTION("CONCATENATE(""https://dl.acm.org/doi/"",INDEX(FILTER('Sheridan Main'!A:A,'Sheridan Main'!B:B=B37),1))"),"https://dl.acm.org/doi/10.1145/3774904.3792873")</f>
        <v>https://dl.acm.org/doi/10.1145/3774904.3792873</v>
      </c>
      <c r="H37" s="143" t="s">
        <v>113</v>
      </c>
    </row>
    <row r="38">
      <c r="A38" s="255" t="s">
        <v>2978</v>
      </c>
      <c r="B38" s="255" t="s">
        <v>1980</v>
      </c>
      <c r="C38" s="255" t="s">
        <v>1981</v>
      </c>
      <c r="D38" s="256" t="s">
        <v>3007</v>
      </c>
      <c r="E38" s="169" t="str">
        <f t="shared" si="2"/>
        <v>Online Bidding Algorithms with Strict Return on Spend (ROS) Constraint
Rahul Vaze and Abhishek Sinha
</v>
      </c>
      <c r="F38" s="169" t="str">
        <f>IFERROR(__xludf.DUMMYFUNCTION("TEXTJOIN(CHAR(10), TRUE,FILTER ('Sheridan Main'!E:E,'Sheridan Main'!B:B=B38))"),"rahul.vaze@gmail.com")</f>
        <v>rahul.vaze@gmail.com</v>
      </c>
      <c r="G38" s="170" t="str">
        <f>IFERROR(__xludf.DUMMYFUNCTION("CONCATENATE(""https://dl.acm.org/doi/"",INDEX(FILTER('Sheridan Main'!A:A,'Sheridan Main'!B:B=B38),1))"),"https://dl.acm.org/doi/10.1145/3774904.3792874")</f>
        <v>https://dl.acm.org/doi/10.1145/3774904.3792874</v>
      </c>
      <c r="H38" s="143" t="s">
        <v>113</v>
      </c>
    </row>
    <row r="39">
      <c r="A39" s="255" t="s">
        <v>2978</v>
      </c>
      <c r="B39" s="255" t="s">
        <v>1982</v>
      </c>
      <c r="C39" s="255" t="s">
        <v>1983</v>
      </c>
      <c r="D39" s="256" t="s">
        <v>3008</v>
      </c>
      <c r="E39" s="169" t="str">
        <f t="shared" si="2"/>
        <v>OMGRec: One-time Matching-based Generative Rerank with Permutation-level Modeling in E-commerce
Junwei Xu, Zhibo Xiao, Chuxin Chen, Chengyu Lai, Qijie Shen, Jiuning Lin, Dimin Wang, Jialin Zhu and Xiao-Ping Zhang
</v>
      </c>
      <c r="F39" s="169" t="str">
        <f>IFERROR(__xludf.DUMMYFUNCTION("TEXTJOIN(CHAR(10), TRUE,FILTER ('Sheridan Main'!E:E,'Sheridan Main'!B:B=B39))"),"xjw23@mails.tsinghua.edu.cn")</f>
        <v>xjw23@mails.tsinghua.edu.cn</v>
      </c>
      <c r="G39" s="170" t="str">
        <f>IFERROR(__xludf.DUMMYFUNCTION("CONCATENATE(""https://dl.acm.org/doi/"",INDEX(FILTER('Sheridan Main'!A:A,'Sheridan Main'!B:B=B39),1))"),"https://dl.acm.org/doi/10.1145/3774904.3792875")</f>
        <v>https://dl.acm.org/doi/10.1145/3774904.3792875</v>
      </c>
      <c r="H39" s="143" t="s">
        <v>113</v>
      </c>
    </row>
    <row r="40">
      <c r="A40" s="255" t="s">
        <v>2978</v>
      </c>
      <c r="B40" s="255" t="s">
        <v>1984</v>
      </c>
      <c r="C40" s="255" t="s">
        <v>1985</v>
      </c>
      <c r="D40" s="256" t="s">
        <v>3009</v>
      </c>
      <c r="E40" s="169" t="str">
        <f t="shared" si="2"/>
        <v>LPEdit: Locality-Preserving Knowledge Editing for MultiModal Large Language Models
Tianyu Zhang, Junfeng Fang, Houcheng Jiang, Xingyu Zhu, Xiang Wang and Xiangnan He
</v>
      </c>
      <c r="F40" s="169" t="str">
        <f>IFERROR(__xludf.DUMMYFUNCTION("TEXTJOIN(CHAR(10), TRUE,FILTER ('Sheridan Main'!E:E,'Sheridan Main'!B:B=B40))"),"fangjf@nus.edu.sg")</f>
        <v>fangjf@nus.edu.sg</v>
      </c>
      <c r="G40" s="170" t="str">
        <f>IFERROR(__xludf.DUMMYFUNCTION("CONCATENATE(""https://dl.acm.org/doi/"",INDEX(FILTER('Sheridan Main'!A:A,'Sheridan Main'!B:B=B40),1))"),"https://dl.acm.org/doi/10.1145/3774904.3792876")</f>
        <v>https://dl.acm.org/doi/10.1145/3774904.3792876</v>
      </c>
      <c r="H40" s="143" t="s">
        <v>113</v>
      </c>
    </row>
    <row r="41">
      <c r="A41" s="255" t="s">
        <v>2978</v>
      </c>
      <c r="B41" s="255" t="s">
        <v>1986</v>
      </c>
      <c r="C41" s="255" t="s">
        <v>1987</v>
      </c>
      <c r="D41" s="256" t="s">
        <v>3010</v>
      </c>
      <c r="E41" s="169" t="str">
        <f t="shared" si="2"/>
        <v>Img2KG: Ontology-Driven Correction of Visual Triples
Christina Kanetou and Yannis Tzitzikas
</v>
      </c>
      <c r="F41" s="169" t="str">
        <f>IFERROR(__xludf.DUMMYFUNCTION("TEXTJOIN(CHAR(10), TRUE,FILTER ('Sheridan Main'!E:E,'Sheridan Main'!B:B=B41))"),"tzitzik@ics.forth.gr")</f>
        <v>tzitzik@ics.forth.gr</v>
      </c>
      <c r="G41" s="170" t="str">
        <f>IFERROR(__xludf.DUMMYFUNCTION("CONCATENATE(""https://dl.acm.org/doi/"",INDEX(FILTER('Sheridan Main'!A:A,'Sheridan Main'!B:B=B41),1))"),"https://dl.acm.org/doi/10.1145/3774904.3792877")</f>
        <v>https://dl.acm.org/doi/10.1145/3774904.3792877</v>
      </c>
      <c r="H41" s="143" t="s">
        <v>113</v>
      </c>
    </row>
    <row r="42">
      <c r="A42" s="255" t="s">
        <v>2978</v>
      </c>
      <c r="B42" s="255" t="s">
        <v>1988</v>
      </c>
      <c r="C42" s="255" t="s">
        <v>1989</v>
      </c>
      <c r="D42" s="256" t="s">
        <v>3011</v>
      </c>
      <c r="E42" s="169" t="str">
        <f t="shared" si="2"/>
        <v>A Life‑Cycle Assessment of the Hidden Environmental Cost of Selfies
Tilen Hliš, Urška Butolen, Iztok Fister and Iztok Fister
</v>
      </c>
      <c r="F42" s="169" t="str">
        <f>IFERROR(__xludf.DUMMYFUNCTION("TEXTJOIN(CHAR(10), TRUE,FILTER ('Sheridan Main'!E:E,'Sheridan Main'!B:B=B42))"),"iztok.fister1@um.si")</f>
        <v>iztok.fister1@um.si</v>
      </c>
      <c r="G42" s="170" t="str">
        <f>IFERROR(__xludf.DUMMYFUNCTION("CONCATENATE(""https://dl.acm.org/doi/"",INDEX(FILTER('Sheridan Main'!A:A,'Sheridan Main'!B:B=B42),1))"),"https://dl.acm.org/doi/10.1145/3774904.3792878")</f>
        <v>https://dl.acm.org/doi/10.1145/3774904.3792878</v>
      </c>
      <c r="H42" s="143" t="s">
        <v>113</v>
      </c>
    </row>
    <row r="43">
      <c r="A43" s="255" t="s">
        <v>2978</v>
      </c>
      <c r="B43" s="255" t="s">
        <v>1990</v>
      </c>
      <c r="C43" s="255" t="s">
        <v>1991</v>
      </c>
      <c r="D43" s="256" t="s">
        <v>3012</v>
      </c>
      <c r="E43" s="169" t="str">
        <f t="shared" si="2"/>
        <v>We May Not Need Much Visual Encoding of Web Data for Question Answering
Tan Yue, Qiong Wu and Dongyan Zhao
</v>
      </c>
      <c r="F43" s="169" t="str">
        <f>IFERROR(__xludf.DUMMYFUNCTION("TEXTJOIN(CHAR(10), TRUE,FILTER ('Sheridan Main'!E:E,'Sheridan Main'!B:B=B43))"),"zhaody@pku.edu.cn")</f>
        <v>zhaody@pku.edu.cn</v>
      </c>
      <c r="G43" s="170" t="str">
        <f>IFERROR(__xludf.DUMMYFUNCTION("CONCATENATE(""https://dl.acm.org/doi/"",INDEX(FILTER('Sheridan Main'!A:A,'Sheridan Main'!B:B=B43),1))"),"https://dl.acm.org/doi/10.1145/3774904.3792879")</f>
        <v>https://dl.acm.org/doi/10.1145/3774904.3792879</v>
      </c>
      <c r="H43" s="143" t="s">
        <v>113</v>
      </c>
    </row>
    <row r="44">
      <c r="A44" s="255" t="s">
        <v>2978</v>
      </c>
      <c r="B44" s="255" t="s">
        <v>1992</v>
      </c>
      <c r="C44" s="255" t="s">
        <v>1993</v>
      </c>
      <c r="D44" s="256" t="s">
        <v>3013</v>
      </c>
      <c r="E44" s="169" t="str">
        <f t="shared" si="2"/>
        <v>CityVerse: A Unified Data Framework for Evaluating Large Language Models in Urban Computing
Yaqiao Zhu, Hongkai Wen, Mark Birkin and Man Luo
</v>
      </c>
      <c r="F44" s="169" t="str">
        <f>IFERROR(__xludf.DUMMYFUNCTION("TEXTJOIN(CHAR(10), TRUE,FILTER ('Sheridan Main'!E:E,'Sheridan Main'!B:B=B44))"),"m.luo@exeter.ac.uk")</f>
        <v>m.luo@exeter.ac.uk</v>
      </c>
      <c r="G44" s="170" t="str">
        <f>IFERROR(__xludf.DUMMYFUNCTION("CONCATENATE(""https://dl.acm.org/doi/"",INDEX(FILTER('Sheridan Main'!A:A,'Sheridan Main'!B:B=B44),1))"),"https://dl.acm.org/doi/10.1145/3774904.3792880")</f>
        <v>https://dl.acm.org/doi/10.1145/3774904.3792880</v>
      </c>
      <c r="H44" s="143" t="s">
        <v>113</v>
      </c>
    </row>
    <row r="45">
      <c r="A45" s="255" t="s">
        <v>2978</v>
      </c>
      <c r="B45" s="255" t="s">
        <v>1994</v>
      </c>
      <c r="C45" s="255" t="s">
        <v>1995</v>
      </c>
      <c r="D45" s="256" t="s">
        <v>3014</v>
      </c>
      <c r="E45" s="169" t="str">
        <f t="shared" si="2"/>
        <v>An Improved Combinatorial Algorithm for Edge-Colored Clustering in Hypergraphs
Seongjune Han and Nate Veldt
</v>
      </c>
      <c r="F45" s="169" t="str">
        <f>IFERROR(__xludf.DUMMYFUNCTION("TEXTJOIN(CHAR(10), TRUE,FILTER ('Sheridan Main'!E:E,'Sheridan Main'!B:B=B45))"),"shan@tamu.edu")</f>
        <v>shan@tamu.edu</v>
      </c>
      <c r="G45" s="170" t="str">
        <f>IFERROR(__xludf.DUMMYFUNCTION("CONCATENATE(""https://dl.acm.org/doi/"",INDEX(FILTER('Sheridan Main'!A:A,'Sheridan Main'!B:B=B45),1))"),"https://dl.acm.org/doi/10.1145/3774904.3792881")</f>
        <v>https://dl.acm.org/doi/10.1145/3774904.3792881</v>
      </c>
      <c r="H45" s="143" t="s">
        <v>113</v>
      </c>
    </row>
    <row r="46">
      <c r="A46" s="255" t="s">
        <v>2978</v>
      </c>
      <c r="B46" s="255" t="s">
        <v>1996</v>
      </c>
      <c r="C46" s="255" t="s">
        <v>1997</v>
      </c>
      <c r="D46" s="256" t="s">
        <v>3015</v>
      </c>
      <c r="E46" s="169" t="str">
        <f t="shared" si="2"/>
        <v>BitHeteroNet: A Heterogeneous Network Benchmark for Enhanced Anomaly Detection in Bitcoin Transactions
Zheng Gong, Shuheng Shen, Changhua Meng and Ying Sun
</v>
      </c>
      <c r="F46" s="169" t="str">
        <f>IFERROR(__xludf.DUMMYFUNCTION("TEXTJOIN(CHAR(10), TRUE,FILTER ('Sheridan Main'!E:E,'Sheridan Main'!B:B=B46))"),"yings@hkust-gz.edu.cn")</f>
        <v>yings@hkust-gz.edu.cn</v>
      </c>
      <c r="G46" s="170" t="str">
        <f>IFERROR(__xludf.DUMMYFUNCTION("CONCATENATE(""https://dl.acm.org/doi/"",INDEX(FILTER('Sheridan Main'!A:A,'Sheridan Main'!B:B=B46),1))"),"https://dl.acm.org/doi/10.1145/3774904.3792882")</f>
        <v>https://dl.acm.org/doi/10.1145/3774904.3792882</v>
      </c>
      <c r="H46" s="143" t="s">
        <v>113</v>
      </c>
    </row>
    <row r="47">
      <c r="A47" s="255" t="s">
        <v>2978</v>
      </c>
      <c r="B47" s="255" t="s">
        <v>1998</v>
      </c>
      <c r="C47" s="255" t="s">
        <v>1999</v>
      </c>
      <c r="D47" s="256" t="s">
        <v>3016</v>
      </c>
      <c r="E47" s="169" t="str">
        <f t="shared" si="2"/>
        <v>Feature-PI: A Data Repository for Learning-based Feature Importance Estimation
Yin Lou
</v>
      </c>
      <c r="F47" s="169" t="str">
        <f>IFERROR(__xludf.DUMMYFUNCTION("TEXTJOIN(CHAR(10), TRUE,FILTER ('Sheridan Main'!E:E,'Sheridan Main'!B:B=B47))"),"yin.lou@antgroup.com")</f>
        <v>yin.lou@antgroup.com</v>
      </c>
      <c r="G47" s="170" t="str">
        <f>IFERROR(__xludf.DUMMYFUNCTION("CONCATENATE(""https://dl.acm.org/doi/"",INDEX(FILTER('Sheridan Main'!A:A,'Sheridan Main'!B:B=B47),1))"),"https://dl.acm.org/doi/10.1145/3774904.3792883")</f>
        <v>https://dl.acm.org/doi/10.1145/3774904.3792883</v>
      </c>
      <c r="H47" s="143" t="s">
        <v>113</v>
      </c>
    </row>
    <row r="48">
      <c r="A48" s="255" t="s">
        <v>2978</v>
      </c>
      <c r="B48" s="255" t="s">
        <v>2000</v>
      </c>
      <c r="C48" s="255" t="s">
        <v>2001</v>
      </c>
      <c r="D48" s="256" t="s">
        <v>3017</v>
      </c>
      <c r="E48" s="169" t="str">
        <f t="shared" si="2"/>
        <v>BiCare: Bi-Objective Set Similarity with Box Embeddings for Safe and Effective Healthcare Decision Support
Guofang Ma, Pengxiang Zhan, Haoze Huang and Yanchao Tan
</v>
      </c>
      <c r="F48" s="169" t="str">
        <f>IFERROR(__xludf.DUMMYFUNCTION("TEXTJOIN(CHAR(10), TRUE,FILTER ('Sheridan Main'!E:E,'Sheridan Main'!B:B=B48))"),"yctan@fzu.edu.cn")</f>
        <v>yctan@fzu.edu.cn</v>
      </c>
      <c r="G48" s="170" t="str">
        <f>IFERROR(__xludf.DUMMYFUNCTION("CONCATENATE(""https://dl.acm.org/doi/"",INDEX(FILTER('Sheridan Main'!A:A,'Sheridan Main'!B:B=B48),1))"),"https://dl.acm.org/doi/10.1145/3774904.3792884")</f>
        <v>https://dl.acm.org/doi/10.1145/3774904.3792884</v>
      </c>
      <c r="H48" s="143" t="s">
        <v>113</v>
      </c>
    </row>
    <row r="49">
      <c r="A49" s="255" t="s">
        <v>2978</v>
      </c>
      <c r="B49" s="255" t="s">
        <v>2002</v>
      </c>
      <c r="C49" s="255" t="s">
        <v>2003</v>
      </c>
      <c r="D49" s="256" t="s">
        <v>3018</v>
      </c>
      <c r="E49" s="169" t="str">
        <f t="shared" si="2"/>
        <v>ReMi-ReMath: A Reverse-Mutual Reasoning Framework for Enhancing Mathematical Thinking in Small Language Models
Dae Kyoo Kim, Sang Kyu Moon and Eunil Park
</v>
      </c>
      <c r="F49" s="169" t="str">
        <f>IFERROR(__xludf.DUMMYFUNCTION("TEXTJOIN(CHAR(10), TRUE,FILTER ('Sheridan Main'!E:E,'Sheridan Main'!B:B=B49))"),"eunilpark@skku.edu")</f>
        <v>eunilpark@skku.edu</v>
      </c>
      <c r="G49" s="170" t="str">
        <f>IFERROR(__xludf.DUMMYFUNCTION("CONCATENATE(""https://dl.acm.org/doi/"",INDEX(FILTER('Sheridan Main'!A:A,'Sheridan Main'!B:B=B49),1))"),"https://dl.acm.org/doi/10.1145/3774904.3792885")</f>
        <v>https://dl.acm.org/doi/10.1145/3774904.3792885</v>
      </c>
      <c r="H49" s="143" t="s">
        <v>113</v>
      </c>
    </row>
    <row r="50">
      <c r="A50" s="255" t="s">
        <v>2978</v>
      </c>
      <c r="B50" s="255" t="s">
        <v>2004</v>
      </c>
      <c r="C50" s="255" t="s">
        <v>2005</v>
      </c>
      <c r="D50" s="256" t="s">
        <v>3019</v>
      </c>
      <c r="E50" s="169" t="str">
        <f t="shared" si="2"/>
        <v>Beyond Isolated Clients: Integrating Graph-Based Embeddings into Event Sequence Models
Harry Proshian, Nikita Severin, Sergey Nikolenko, Ivan Kireev, Andrey Savchenko, Ivan Sergeev, Maria Postnova and Ilya Makarov
</v>
      </c>
      <c r="F50" s="169" t="str">
        <f>IFERROR(__xludf.DUMMYFUNCTION("TEXTJOIN(CHAR(10), TRUE,FILTER ('Sheridan Main'!E:E,'Sheridan Main'!B:B=B50))"),"nseverin@hse.ru")</f>
        <v>nseverin@hse.ru</v>
      </c>
      <c r="G50" s="170" t="str">
        <f>IFERROR(__xludf.DUMMYFUNCTION("CONCATENATE(""https://dl.acm.org/doi/"",INDEX(FILTER('Sheridan Main'!A:A,'Sheridan Main'!B:B=B50),1))"),"https://dl.acm.org/doi/10.1145/3774904.3792886")</f>
        <v>https://dl.acm.org/doi/10.1145/3774904.3792886</v>
      </c>
      <c r="H50" s="143" t="s">
        <v>113</v>
      </c>
    </row>
    <row r="51">
      <c r="A51" s="255" t="s">
        <v>2978</v>
      </c>
      <c r="B51" s="255" t="s">
        <v>2006</v>
      </c>
      <c r="C51" s="255" t="s">
        <v>2007</v>
      </c>
      <c r="D51" s="256" t="s">
        <v>3020</v>
      </c>
      <c r="E51" s="169" t="str">
        <f t="shared" si="2"/>
        <v>GlotWeb: Web Indexing for Minority Languages
Abdullah Al Sefat, Amir Hossein Kargaran, François Yvon and Hinrich Schütze
</v>
      </c>
      <c r="F51" s="169" t="str">
        <f>IFERROR(__xludf.DUMMYFUNCTION("TEXTJOIN(CHAR(10), TRUE,FILTER ('Sheridan Main'!E:E,'Sheridan Main'!B:B=B51))"),"in.sefat@tum.de")</f>
        <v>in.sefat@tum.de</v>
      </c>
      <c r="G51" s="170" t="str">
        <f>IFERROR(__xludf.DUMMYFUNCTION("CONCATENATE(""https://dl.acm.org/doi/"",INDEX(FILTER('Sheridan Main'!A:A,'Sheridan Main'!B:B=B51),1))"),"https://dl.acm.org/doi/10.1145/3774904.3792887")</f>
        <v>https://dl.acm.org/doi/10.1145/3774904.3792887</v>
      </c>
      <c r="H51" s="143" t="s">
        <v>113</v>
      </c>
    </row>
    <row r="52">
      <c r="A52" s="255" t="s">
        <v>2978</v>
      </c>
      <c r="B52" s="255" t="s">
        <v>2008</v>
      </c>
      <c r="C52" s="255" t="s">
        <v>2009</v>
      </c>
      <c r="D52" s="256" t="s">
        <v>3021</v>
      </c>
      <c r="E52" s="169" t="str">
        <f t="shared" si="2"/>
        <v>Graph Poisoning for Node Rank Manipulation
Seyed Mohammad Hosseini, Radin Hamidi Rad, Morteza Zihayat and Ebrahim Bagheri
</v>
      </c>
      <c r="F52" s="169" t="str">
        <f>IFERROR(__xludf.DUMMYFUNCTION("TEXTJOIN(CHAR(10), TRUE,FILTER ('Sheridan Main'!E:E,'Sheridan Main'!B:B=B52))"),"m1hosseini@torontomu.ca")</f>
        <v>m1hosseini@torontomu.ca</v>
      </c>
      <c r="G52" s="170" t="str">
        <f>IFERROR(__xludf.DUMMYFUNCTION("CONCATENATE(""https://dl.acm.org/doi/"",INDEX(FILTER('Sheridan Main'!A:A,'Sheridan Main'!B:B=B52),1))"),"https://dl.acm.org/doi/10.1145/3774904.3792888")</f>
        <v>https://dl.acm.org/doi/10.1145/3774904.3792888</v>
      </c>
      <c r="H52" s="143" t="s">
        <v>113</v>
      </c>
    </row>
    <row r="53">
      <c r="A53" s="255" t="s">
        <v>2978</v>
      </c>
      <c r="B53" s="255" t="s">
        <v>2010</v>
      </c>
      <c r="C53" s="255" t="s">
        <v>2011</v>
      </c>
      <c r="D53" s="256" t="s">
        <v>3022</v>
      </c>
      <c r="E53" s="169" t="str">
        <f t="shared" si="2"/>
        <v>P-Aligner: Pre-Aligning LLMs via Principled Instruction Synthesis
Feifan Song, Bofei Gao, Yifan Song, Yi Liu, Weimin Xiong, Yuyang Song, Tianyu Liu, Guoyin Wang and Houfeng Wang
</v>
      </c>
      <c r="F53" s="169" t="str">
        <f>IFERROR(__xludf.DUMMYFUNCTION("TEXTJOIN(CHAR(10), TRUE,FILTER ('Sheridan Main'!E:E,'Sheridan Main'!B:B=B53))"),"songff@stu.pku.edu.cn")</f>
        <v>songff@stu.pku.edu.cn</v>
      </c>
      <c r="G53" s="170" t="str">
        <f>IFERROR(__xludf.DUMMYFUNCTION("CONCATENATE(""https://dl.acm.org/doi/"",INDEX(FILTER('Sheridan Main'!A:A,'Sheridan Main'!B:B=B53),1))"),"https://dl.acm.org/doi/10.1145/3774904.3792889")</f>
        <v>https://dl.acm.org/doi/10.1145/3774904.3792889</v>
      </c>
      <c r="H53" s="143" t="s">
        <v>113</v>
      </c>
    </row>
    <row r="54">
      <c r="A54" s="255" t="s">
        <v>2978</v>
      </c>
      <c r="B54" s="255" t="s">
        <v>2012</v>
      </c>
      <c r="C54" s="255" t="s">
        <v>2013</v>
      </c>
      <c r="D54" s="256" t="s">
        <v>3023</v>
      </c>
      <c r="E54" s="169" t="str">
        <f t="shared" si="2"/>
        <v>Interaction-level Membership Inference Attack for Recommender Systems via Cluster-based User Modeling
Danyang Zong, Kaike Zhang, Qi Cao, Du Su and Fei Sun
</v>
      </c>
      <c r="F54" s="169" t="str">
        <f>IFERROR(__xludf.DUMMYFUNCTION("TEXTJOIN(CHAR(10), TRUE,FILTER ('Sheridan Main'!E:E,'Sheridan Main'!B:B=B54))"),"sunfei@ict.ac.cn")</f>
        <v>sunfei@ict.ac.cn</v>
      </c>
      <c r="G54" s="170" t="str">
        <f>IFERROR(__xludf.DUMMYFUNCTION("CONCATENATE(""https://dl.acm.org/doi/"",INDEX(FILTER('Sheridan Main'!A:A,'Sheridan Main'!B:B=B54),1))"),"https://dl.acm.org/doi/10.1145/3774904.3792890")</f>
        <v>https://dl.acm.org/doi/10.1145/3774904.3792890</v>
      </c>
      <c r="H54" s="143" t="s">
        <v>113</v>
      </c>
    </row>
    <row r="55">
      <c r="A55" s="255" t="s">
        <v>2978</v>
      </c>
      <c r="B55" s="255" t="s">
        <v>2014</v>
      </c>
      <c r="C55" s="255" t="s">
        <v>2015</v>
      </c>
      <c r="D55" s="256" t="s">
        <v>3024</v>
      </c>
      <c r="E55" s="169" t="str">
        <f t="shared" si="2"/>
        <v>CytoCrowd: A Multi-Annotator Benchmark Dataset for Cytology Image Analysis
Yonghao Si, Xingyuan Zeng, Zhao Chen, Libin Zheng, Caleb Chen Cao, Chen Lei and Jian Yin
</v>
      </c>
      <c r="F55" s="169" t="str">
        <f>IFERROR(__xludf.DUMMYFUNCTION("TEXTJOIN(CHAR(10), TRUE,FILTER ('Sheridan Main'!E:E,'Sheridan Main'!B:B=B55))"),"zhenglb6@mail.sysu.edu.cn")</f>
        <v>zhenglb6@mail.sysu.edu.cn</v>
      </c>
      <c r="G55" s="170" t="str">
        <f>IFERROR(__xludf.DUMMYFUNCTION("CONCATENATE(""https://dl.acm.org/doi/"",INDEX(FILTER('Sheridan Main'!A:A,'Sheridan Main'!B:B=B55),1))"),"https://dl.acm.org/doi/10.1145/3774904.3792891")</f>
        <v>https://dl.acm.org/doi/10.1145/3774904.3792891</v>
      </c>
      <c r="H55" s="143" t="s">
        <v>113</v>
      </c>
    </row>
    <row r="56">
      <c r="A56" s="255" t="s">
        <v>2978</v>
      </c>
      <c r="B56" s="255" t="s">
        <v>2016</v>
      </c>
      <c r="C56" s="255" t="s">
        <v>2017</v>
      </c>
      <c r="D56" s="256" t="s">
        <v>3025</v>
      </c>
      <c r="E56" s="169" t="str">
        <f t="shared" si="2"/>
        <v>FilterRec: An Intent-Aware Framework for Dynamic Filter Recommendation
Dingxian Wang, Jiacheng Dong, Jiaqi Deng, Jing Long, Ted Liu, George Barelas, Arya Taylor, Spyros Kapnissis, Frank Yang, Andrew Rabinovich and Guandong Xu
</v>
      </c>
      <c r="F56" s="169" t="str">
        <f>IFERROR(__xludf.DUMMYFUNCTION("TEXTJOIN(CHAR(10), TRUE,FILTER ('Sheridan Main'!E:E,'Sheridan Main'!B:B=B56))"),"Jing.Long@uts.edu.au")</f>
        <v>Jing.Long@uts.edu.au</v>
      </c>
      <c r="G56" s="170" t="str">
        <f>IFERROR(__xludf.DUMMYFUNCTION("CONCATENATE(""https://dl.acm.org/doi/"",INDEX(FILTER('Sheridan Main'!A:A,'Sheridan Main'!B:B=B56),1))"),"https://dl.acm.org/doi/10.1145/3774904.3792892")</f>
        <v>https://dl.acm.org/doi/10.1145/3774904.3792892</v>
      </c>
      <c r="H56" s="143" t="s">
        <v>113</v>
      </c>
    </row>
    <row r="57">
      <c r="A57" s="255" t="s">
        <v>2978</v>
      </c>
      <c r="B57" s="255" t="s">
        <v>2018</v>
      </c>
      <c r="C57" s="255" t="s">
        <v>2019</v>
      </c>
      <c r="D57" s="256" t="s">
        <v>3026</v>
      </c>
      <c r="E57" s="169" t="str">
        <f t="shared" si="2"/>
        <v>MCP vs RAG vs NLWeb vs HTML: A Comparison of the Effectiveness and Efficiency of Different Agent Interfaces to the Web
Aaron Steiner, Ralph Peeters and Christian Bizer
</v>
      </c>
      <c r="F57" s="169" t="str">
        <f>IFERROR(__xludf.DUMMYFUNCTION("TEXTJOIN(CHAR(10), TRUE,FILTER ('Sheridan Main'!E:E,'Sheridan Main'!B:B=B57))"),"aaron.steiner@uni-mannheim.de")</f>
        <v>aaron.steiner@uni-mannheim.de</v>
      </c>
      <c r="G57" s="170" t="str">
        <f>IFERROR(__xludf.DUMMYFUNCTION("CONCATENATE(""https://dl.acm.org/doi/"",INDEX(FILTER('Sheridan Main'!A:A,'Sheridan Main'!B:B=B57),1))"),"https://dl.acm.org/doi/10.1145/3774904.3792893")</f>
        <v>https://dl.acm.org/doi/10.1145/3774904.3792893</v>
      </c>
      <c r="H57" s="143" t="s">
        <v>113</v>
      </c>
    </row>
    <row r="58">
      <c r="A58" s="255" t="s">
        <v>2978</v>
      </c>
      <c r="B58" s="255" t="s">
        <v>2020</v>
      </c>
      <c r="C58" s="255" t="s">
        <v>2021</v>
      </c>
      <c r="D58" s="256" t="s">
        <v>3027</v>
      </c>
      <c r="E58" s="169" t="str">
        <f t="shared" si="2"/>
        <v>SIT-KGED: Simply Inject Topology into LLM for Knowledge Graph Error Detection
Ting Li, Xingyi Mao, Yipeng Yu and Liang Yao
</v>
      </c>
      <c r="F58" s="169" t="str">
        <f>IFERROR(__xludf.DUMMYFUNCTION("TEXTJOIN(CHAR(10), TRUE,FILTER ('Sheridan Main'!E:E,'Sheridan Main'!B:B=B58))"),"yaoliang3@mail.sysu.edu.cn")</f>
        <v>yaoliang3@mail.sysu.edu.cn</v>
      </c>
      <c r="G58" s="170" t="str">
        <f>IFERROR(__xludf.DUMMYFUNCTION("CONCATENATE(""https://dl.acm.org/doi/"",INDEX(FILTER('Sheridan Main'!A:A,'Sheridan Main'!B:B=B58),1))"),"https://dl.acm.org/doi/10.1145/3774904.3792894")</f>
        <v>https://dl.acm.org/doi/10.1145/3774904.3792894</v>
      </c>
      <c r="H58" s="143" t="s">
        <v>113</v>
      </c>
    </row>
    <row r="59">
      <c r="A59" s="255" t="s">
        <v>2978</v>
      </c>
      <c r="B59" s="255" t="s">
        <v>2022</v>
      </c>
      <c r="C59" s="255" t="s">
        <v>2023</v>
      </c>
      <c r="D59" s="256" t="s">
        <v>3028</v>
      </c>
      <c r="E59" s="169" t="str">
        <f t="shared" si="2"/>
        <v>ReFuGe: Feature Generation for Prediction Tasks on Relational Databases with LLM Agents
Kyungho Kim, Geon Lee, Juyeon Kim, Dongwon Choi, Shinhwan Kang and Kijung Shin
</v>
      </c>
      <c r="F59" s="169" t="str">
        <f>IFERROR(__xludf.DUMMYFUNCTION("TEXTJOIN(CHAR(10), TRUE,FILTER ('Sheridan Main'!E:E,'Sheridan Main'!B:B=B59))"),"kijungs@kaist.ac.kr")</f>
        <v>kijungs@kaist.ac.kr</v>
      </c>
      <c r="G59" s="170" t="str">
        <f>IFERROR(__xludf.DUMMYFUNCTION("CONCATENATE(""https://dl.acm.org/doi/"",INDEX(FILTER('Sheridan Main'!A:A,'Sheridan Main'!B:B=B59),1))"),"https://dl.acm.org/doi/10.1145/3774904.3792895")</f>
        <v>https://dl.acm.org/doi/10.1145/3774904.3792895</v>
      </c>
      <c r="H59" s="143" t="s">
        <v>146</v>
      </c>
    </row>
    <row r="60">
      <c r="A60" s="255" t="s">
        <v>2978</v>
      </c>
      <c r="B60" s="255" t="s">
        <v>2024</v>
      </c>
      <c r="C60" s="255" t="s">
        <v>2025</v>
      </c>
      <c r="D60" s="256" t="s">
        <v>3029</v>
      </c>
      <c r="E60" s="169" t="str">
        <f t="shared" si="2"/>
        <v>Suppression or Deletion: A Restoration-Based Representation-Level Analysis of Machine Unlearning
Yurim Jang, Jaeung Lee, Dohyun Kim, Jaemin Jo and Simon S Woo
</v>
      </c>
      <c r="F60" s="169" t="str">
        <f>IFERROR(__xludf.DUMMYFUNCTION("TEXTJOIN(CHAR(10), TRUE,FILTER ('Sheridan Main'!E:E,'Sheridan Main'!B:B=B60))"),"swoo@g.skku.edu")</f>
        <v>swoo@g.skku.edu</v>
      </c>
      <c r="G60" s="170" t="str">
        <f>IFERROR(__xludf.DUMMYFUNCTION("CONCATENATE(""https://dl.acm.org/doi/"",INDEX(FILTER('Sheridan Main'!A:A,'Sheridan Main'!B:B=B60),1))"),"https://dl.acm.org/doi/10.1145/3774904.3792896")</f>
        <v>https://dl.acm.org/doi/10.1145/3774904.3792896</v>
      </c>
      <c r="H60" s="143" t="s">
        <v>146</v>
      </c>
    </row>
    <row r="61">
      <c r="A61" s="255" t="s">
        <v>2978</v>
      </c>
      <c r="B61" s="255" t="s">
        <v>2026</v>
      </c>
      <c r="C61" s="255" t="s">
        <v>2027</v>
      </c>
      <c r="D61" s="256" t="s">
        <v>3030</v>
      </c>
      <c r="E61" s="169" t="str">
        <f t="shared" si="2"/>
        <v>C^2-SFL:Class-Balanced and Cost-Aware Split Federated Learning for Mobile Edge Computing
Kai Cheng, Zhengyu Zhang, Tong Wu, Huan Zhou and Xinggang Fan
</v>
      </c>
      <c r="F61" s="169" t="str">
        <f>IFERROR(__xludf.DUMMYFUNCTION("TEXTJOIN(CHAR(10), TRUE,FILTER ('Sheridan Main'!E:E,'Sheridan Main'!B:B=B61))"),"zhouhuan117@gmail.com")</f>
        <v>zhouhuan117@gmail.com</v>
      </c>
      <c r="G61" s="170" t="str">
        <f>IFERROR(__xludf.DUMMYFUNCTION("CONCATENATE(""https://dl.acm.org/doi/"",INDEX(FILTER('Sheridan Main'!A:A,'Sheridan Main'!B:B=B61),1))"),"https://dl.acm.org/doi/10.1145/3774904.3792897")</f>
        <v>https://dl.acm.org/doi/10.1145/3774904.3792897</v>
      </c>
      <c r="H61" s="143" t="s">
        <v>146</v>
      </c>
    </row>
    <row r="62">
      <c r="A62" s="255" t="s">
        <v>2978</v>
      </c>
      <c r="B62" s="255" t="s">
        <v>2028</v>
      </c>
      <c r="C62" s="255" t="s">
        <v>2029</v>
      </c>
      <c r="D62" s="256" t="s">
        <v>3031</v>
      </c>
      <c r="E62" s="169" t="str">
        <f t="shared" si="2"/>
        <v>SAGE-Prompt: Structured Attribution Guarded Explanation for Explainable Deepfake Question Answering
Jong-Chan Park, Myeongjun Kim, So-Hee Lim, Sang-Min Choi and Gun-Woo Kim
</v>
      </c>
      <c r="F62" s="169" t="str">
        <f>IFERROR(__xludf.DUMMYFUNCTION("TEXTJOIN(CHAR(10), TRUE,FILTER ('Sheridan Main'!E:E,'Sheridan Main'!B:B=B62))"),"gunwoo.kim@gnu.ac.kr")</f>
        <v>gunwoo.kim@gnu.ac.kr</v>
      </c>
      <c r="G62" s="170" t="str">
        <f>IFERROR(__xludf.DUMMYFUNCTION("CONCATENATE(""https://dl.acm.org/doi/"",INDEX(FILTER('Sheridan Main'!A:A,'Sheridan Main'!B:B=B62),1))"),"https://dl.acm.org/doi/10.1145/3774904.3792898")</f>
        <v>https://dl.acm.org/doi/10.1145/3774904.3792898</v>
      </c>
      <c r="H62" s="143" t="s">
        <v>146</v>
      </c>
    </row>
    <row r="63">
      <c r="A63" s="255" t="s">
        <v>2978</v>
      </c>
      <c r="B63" s="255" t="s">
        <v>2030</v>
      </c>
      <c r="C63" s="255" t="s">
        <v>2031</v>
      </c>
      <c r="D63" s="256" t="s">
        <v>3032</v>
      </c>
      <c r="E63" s="169" t="str">
        <f t="shared" si="2"/>
        <v>Multi-source Multi-level Multi-token Ethereum Dataset and Benchmark Platform
Haoyuan Li, Mengxiao Zhang, Maoyuan Li, Jianzheng Li, Zijian Zhang, Junyi Yang, Shuangyan Deng and Jiamou Liu
</v>
      </c>
      <c r="F63" s="169" t="str">
        <f>IFERROR(__xludf.DUMMYFUNCTION("TEXTJOIN(CHAR(10), TRUE,FILTER ('Sheridan Main'!E:E,'Sheridan Main'!B:B=B63))"),"hli962@aucklanduni.ac.nz")</f>
        <v>hli962@aucklanduni.ac.nz</v>
      </c>
      <c r="G63" s="170" t="str">
        <f>IFERROR(__xludf.DUMMYFUNCTION("CONCATENATE(""https://dl.acm.org/doi/"",INDEX(FILTER('Sheridan Main'!A:A,'Sheridan Main'!B:B=B63),1))"),"https://dl.acm.org/doi/10.1145/3774904.3792899")</f>
        <v>https://dl.acm.org/doi/10.1145/3774904.3792899</v>
      </c>
      <c r="H63" s="143" t="s">
        <v>146</v>
      </c>
    </row>
    <row r="64">
      <c r="A64" s="255" t="s">
        <v>2978</v>
      </c>
      <c r="B64" s="255" t="s">
        <v>2032</v>
      </c>
      <c r="C64" s="255" t="s">
        <v>2033</v>
      </c>
      <c r="D64" s="256" t="s">
        <v>3033</v>
      </c>
      <c r="E64" s="169" t="str">
        <f t="shared" si="2"/>
        <v>Is More Context Always Better? Examining LLM Reasoning Capability for Time Interval Prediction
Yanan Cao, Farnaz Fallahi, Murali Mohana Krishna Dandu, Lalitesh Morishetti, Kai Zhao, Luyi Ma, Sinduja Subramaniam, Jianpeng Xu, Evren Korpeoglu, Kaushiki Nag, Sushant Kumar and Kannan Achan
</v>
      </c>
      <c r="F64" s="169" t="str">
        <f>IFERROR(__xludf.DUMMYFUNCTION("TEXTJOIN(CHAR(10), TRUE,FILTER ('Sheridan Main'!E:E,'Sheridan Main'!B:B=B64))"),"yanan.cao@walmart.com")</f>
        <v>yanan.cao@walmart.com</v>
      </c>
      <c r="G64" s="170" t="str">
        <f>IFERROR(__xludf.DUMMYFUNCTION("CONCATENATE(""https://dl.acm.org/doi/"",INDEX(FILTER('Sheridan Main'!A:A,'Sheridan Main'!B:B=B64),1))"),"https://dl.acm.org/doi/10.1145/3774904.3792900")</f>
        <v>https://dl.acm.org/doi/10.1145/3774904.3792900</v>
      </c>
      <c r="H64" s="143" t="s">
        <v>146</v>
      </c>
    </row>
    <row r="65">
      <c r="A65" s="255" t="s">
        <v>2978</v>
      </c>
      <c r="B65" s="255" t="s">
        <v>2034</v>
      </c>
      <c r="C65" s="255" t="s">
        <v>2035</v>
      </c>
      <c r="D65" s="256" t="s">
        <v>3034</v>
      </c>
      <c r="E65" s="169" t="str">
        <f t="shared" si="2"/>
        <v>Beyond Playtesting: A Generative Multi-Agent Simulation System for Massively Multiplayer Online Games
Zhang Ran, Kun Ouyang, Tiancheng Ma, Yida Yang and Dong Fang
</v>
      </c>
      <c r="F65" s="169" t="str">
        <f>IFERROR(__xludf.DUMMYFUNCTION("TEXTJOIN(CHAR(10), TRUE,FILTER ('Sheridan Main'!E:E,'Sheridan Main'!B:B=B65))"),"rzhang008@e.ntu.edu.sg")</f>
        <v>rzhang008@e.ntu.edu.sg</v>
      </c>
      <c r="G65" s="170" t="str">
        <f>IFERROR(__xludf.DUMMYFUNCTION("CONCATENATE(""https://dl.acm.org/doi/"",INDEX(FILTER('Sheridan Main'!A:A,'Sheridan Main'!B:B=B65),1))"),"https://dl.acm.org/doi/10.1145/3774904.3792901")</f>
        <v>https://dl.acm.org/doi/10.1145/3774904.3792901</v>
      </c>
      <c r="H65" s="143" t="s">
        <v>146</v>
      </c>
    </row>
    <row r="66">
      <c r="A66" s="255" t="s">
        <v>2978</v>
      </c>
      <c r="B66" s="255" t="s">
        <v>2036</v>
      </c>
      <c r="C66" s="255" t="s">
        <v>2037</v>
      </c>
      <c r="D66" s="256" t="s">
        <v>3035</v>
      </c>
      <c r="E66" s="169" t="str">
        <f t="shared" si="2"/>
        <v>COINS: Semantic Ids Enhanced Cold Item Representation for Click-through Rate Prediction in E-commerce Search
Qihang Zhao, Zhongbo Sun, Xiaoyang Zheng, Xian Guo, Siyuan Wang, Zihan Liang, Mingcan Peng, Ben Chen and Chenyi Lei
</v>
      </c>
      <c r="F66" s="169" t="str">
        <f>IFERROR(__xludf.DUMMYFUNCTION("TEXTJOIN(CHAR(10), TRUE,FILTER ('Sheridan Main'!E:E,'Sheridan Main'!B:B=B66))"),"chenben03@kuaishou.com")</f>
        <v>chenben03@kuaishou.com</v>
      </c>
      <c r="G66" s="170" t="str">
        <f>IFERROR(__xludf.DUMMYFUNCTION("CONCATENATE(""https://dl.acm.org/doi/"",INDEX(FILTER('Sheridan Main'!A:A,'Sheridan Main'!B:B=B66),1))"),"https://dl.acm.org/doi/10.1145/3774904.3792902")</f>
        <v>https://dl.acm.org/doi/10.1145/3774904.3792902</v>
      </c>
      <c r="H66" s="143" t="s">
        <v>146</v>
      </c>
    </row>
    <row r="67">
      <c r="A67" s="255" t="s">
        <v>2978</v>
      </c>
      <c r="B67" s="255" t="s">
        <v>2038</v>
      </c>
      <c r="C67" s="255" t="s">
        <v>2039</v>
      </c>
      <c r="D67" s="256" t="s">
        <v>3036</v>
      </c>
      <c r="E67" s="169" t="str">
        <f t="shared" si="2"/>
        <v>AWMA-MoE: Attention-Guided Watermark Adapter with MoE for Latent Diffusion Models
Yicheng Huang, Xinyu Xiao, Jian Zhang, Shuhan Qi, Yulin Wu and Xuan Wang
</v>
      </c>
      <c r="F67" s="169" t="str">
        <f>IFERROR(__xludf.DUMMYFUNCTION("TEXTJOIN(CHAR(10), TRUE,FILTER ('Sheridan Main'!E:E,'Sheridan Main'!B:B=B67))"),"shuhanqi@cs.hitsz.edu.cn")</f>
        <v>shuhanqi@cs.hitsz.edu.cn</v>
      </c>
      <c r="G67" s="170" t="str">
        <f>IFERROR(__xludf.DUMMYFUNCTION("CONCATENATE(""https://dl.acm.org/doi/"",INDEX(FILTER('Sheridan Main'!A:A,'Sheridan Main'!B:B=B67),1))"),"https://dl.acm.org/doi/10.1145/3774904.3792903")</f>
        <v>https://dl.acm.org/doi/10.1145/3774904.3792903</v>
      </c>
      <c r="H67" s="143" t="s">
        <v>146</v>
      </c>
    </row>
    <row r="68">
      <c r="A68" s="255" t="s">
        <v>2978</v>
      </c>
      <c r="B68" s="255" t="s">
        <v>2040</v>
      </c>
      <c r="C68" s="255" t="s">
        <v>2041</v>
      </c>
      <c r="D68" s="256" t="s">
        <v>3037</v>
      </c>
      <c r="E68" s="169" t="str">
        <f t="shared" si="2"/>
        <v>Towards Responsible Recommendations: A Daily Updated Ranking Model for Content Issue Detection
Haoze Wu, Chenghui Yu, Bingfeng Deng and Daniel Chen
</v>
      </c>
      <c r="F68" s="169" t="str">
        <f>IFERROR(__xludf.DUMMYFUNCTION("TEXTJOIN(CHAR(10), TRUE,FILTER ('Sheridan Main'!E:E,'Sheridan Main'!B:B=B68))"),"dengbingfeng@tiktok.com")</f>
        <v>dengbingfeng@tiktok.com</v>
      </c>
      <c r="G68" s="170" t="str">
        <f>IFERROR(__xludf.DUMMYFUNCTION("CONCATENATE(""https://dl.acm.org/doi/"",INDEX(FILTER('Sheridan Main'!A:A,'Sheridan Main'!B:B=B68),1))"),"https://dl.acm.org/doi/10.1145/3774904.3792904")</f>
        <v>https://dl.acm.org/doi/10.1145/3774904.3792904</v>
      </c>
      <c r="H68" s="143" t="s">
        <v>146</v>
      </c>
    </row>
    <row r="69">
      <c r="A69" s="255" t="s">
        <v>2978</v>
      </c>
      <c r="B69" s="255" t="s">
        <v>2042</v>
      </c>
      <c r="C69" s="255" t="s">
        <v>2043</v>
      </c>
      <c r="D69" s="256" t="s">
        <v>3038</v>
      </c>
      <c r="E69" s="169" t="str">
        <f t="shared" si="2"/>
        <v>ThinkTank-ME: A Multi-Expert Framework for Middle East Event Forecasting
Haoxuan Li, He Chang, Yunshan Ma, Yi Bin, Yang Yang, See-Kiong Ng and Tat-Seng Chua
</v>
      </c>
      <c r="F69" s="169" t="str">
        <f>IFERROR(__xludf.DUMMYFUNCTION("TEXTJOIN(CHAR(10), TRUE,FILTER ('Sheridan Main'!E:E,'Sheridan Main'!B:B=B69))"),"ysma@smu.edu.sg")</f>
        <v>ysma@smu.edu.sg</v>
      </c>
      <c r="G69" s="170" t="str">
        <f>IFERROR(__xludf.DUMMYFUNCTION("CONCATENATE(""https://dl.acm.org/doi/"",INDEX(FILTER('Sheridan Main'!A:A,'Sheridan Main'!B:B=B69),1))"),"https://dl.acm.org/doi/10.1145/3774904.3792905")</f>
        <v>https://dl.acm.org/doi/10.1145/3774904.3792905</v>
      </c>
      <c r="H69" s="143" t="s">
        <v>146</v>
      </c>
    </row>
    <row r="70">
      <c r="A70" s="255" t="s">
        <v>2978</v>
      </c>
      <c r="B70" s="255" t="s">
        <v>2044</v>
      </c>
      <c r="C70" s="255" t="s">
        <v>2045</v>
      </c>
      <c r="D70" s="256" t="s">
        <v>3039</v>
      </c>
      <c r="E70" s="169" t="str">
        <f t="shared" si="2"/>
        <v>An 8-Way Taxonomy for Multimodal Disinformation and Detection Benchmark
Shuhan Cui, Ruimin Chu, Hanrui Wang, Patrick H. Chen, Ching-Chun Chang and Isao Echizen
</v>
      </c>
      <c r="F70" s="169" t="str">
        <f>IFERROR(__xludf.DUMMYFUNCTION("TEXTJOIN(CHAR(10), TRUE,FILTER ('Sheridan Main'!E:E,'Sheridan Main'!B:B=B70))"),"syokan@g.ecc.u-tokyo.ac.jp")</f>
        <v>syokan@g.ecc.u-tokyo.ac.jp</v>
      </c>
      <c r="G70" s="170" t="str">
        <f>IFERROR(__xludf.DUMMYFUNCTION("CONCATENATE(""https://dl.acm.org/doi/"",INDEX(FILTER('Sheridan Main'!A:A,'Sheridan Main'!B:B=B70),1))"),"https://dl.acm.org/doi/10.1145/3774904.3792906")</f>
        <v>https://dl.acm.org/doi/10.1145/3774904.3792906</v>
      </c>
      <c r="H70" s="143" t="s">
        <v>146</v>
      </c>
    </row>
    <row r="71">
      <c r="A71" s="255" t="s">
        <v>2978</v>
      </c>
      <c r="B71" s="255" t="s">
        <v>2046</v>
      </c>
      <c r="C71" s="255" t="s">
        <v>2047</v>
      </c>
      <c r="D71" s="256" t="s">
        <v>3040</v>
      </c>
      <c r="E71" s="169" t="str">
        <f t="shared" si="2"/>
        <v>DTRec: Learning Dynamic Reasoning Trajectories for Sequential Recommendation
Yifan Shao, Peilin Zhou, Shoujin Wang, Weizhi Zhang, Sunghun Kim and Xu Cai
</v>
      </c>
      <c r="F71" s="169" t="str">
        <f>IFERROR(__xludf.DUMMYFUNCTION("TEXTJOIN(CHAR(10), TRUE,FILTER ('Sheridan Main'!E:E,'Sheridan Main'!B:B=B71))"),"yifashao209@gmail.com")</f>
        <v>yifashao209@gmail.com</v>
      </c>
      <c r="G71" s="170" t="str">
        <f>IFERROR(__xludf.DUMMYFUNCTION("CONCATENATE(""https://dl.acm.org/doi/"",INDEX(FILTER('Sheridan Main'!A:A,'Sheridan Main'!B:B=B71),1))"),"https://dl.acm.org/doi/10.1145/3774904.3792907")</f>
        <v>https://dl.acm.org/doi/10.1145/3774904.3792907</v>
      </c>
      <c r="H71" s="143" t="s">
        <v>146</v>
      </c>
    </row>
    <row r="72">
      <c r="A72" s="255" t="s">
        <v>2978</v>
      </c>
      <c r="B72" s="255" t="s">
        <v>2048</v>
      </c>
      <c r="C72" s="255" t="s">
        <v>2049</v>
      </c>
      <c r="D72" s="256" t="s">
        <v>3041</v>
      </c>
      <c r="E72" s="169" t="str">
        <f t="shared" si="2"/>
        <v>Machine Learning as a Service (MLaaS) Dataset Generator Framework for IoT Environments
Deepak Kanneganti, Sajib Mistry, Sheik Mohammad Mostakim Fattah, Joshua Boland and Aneesh Krishna
</v>
      </c>
      <c r="F72" s="169" t="str">
        <f>IFERROR(__xludf.DUMMYFUNCTION("TEXTJOIN(CHAR(10), TRUE,FILTER ('Sheridan Main'!E:E,'Sheridan Main'!B:B=B72))"),"s.kanneganti@curtin.edu.au")</f>
        <v>s.kanneganti@curtin.edu.au</v>
      </c>
      <c r="G72" s="170" t="str">
        <f>IFERROR(__xludf.DUMMYFUNCTION("CONCATENATE(""https://dl.acm.org/doi/"",INDEX(FILTER('Sheridan Main'!A:A,'Sheridan Main'!B:B=B72),1))"),"https://dl.acm.org/doi/10.1145/3774904.3792908")</f>
        <v>https://dl.acm.org/doi/10.1145/3774904.3792908</v>
      </c>
      <c r="H72" s="143" t="s">
        <v>146</v>
      </c>
    </row>
    <row r="73">
      <c r="A73" s="255" t="s">
        <v>2978</v>
      </c>
      <c r="B73" s="255" t="s">
        <v>2050</v>
      </c>
      <c r="C73" s="255" t="s">
        <v>2051</v>
      </c>
      <c r="D73" s="256" t="s">
        <v>3042</v>
      </c>
      <c r="E73" s="169" t="str">
        <f t="shared" si="2"/>
        <v>Explainable Graph Sparsification with Shapley Values
Selahattin Akkas and Ariful Azad
</v>
      </c>
      <c r="F73" s="169" t="str">
        <f>IFERROR(__xludf.DUMMYFUNCTION("TEXTJOIN(CHAR(10), TRUE,FILTER ('Sheridan Main'!E:E,'Sheridan Main'!B:B=B73))"),"ariful@tamu.edu")</f>
        <v>ariful@tamu.edu</v>
      </c>
      <c r="G73" s="170" t="str">
        <f>IFERROR(__xludf.DUMMYFUNCTION("CONCATENATE(""https://dl.acm.org/doi/"",INDEX(FILTER('Sheridan Main'!A:A,'Sheridan Main'!B:B=B73),1))"),"https://dl.acm.org/doi/10.1145/3774904.3792909")</f>
        <v>https://dl.acm.org/doi/10.1145/3774904.3792909</v>
      </c>
      <c r="H73" s="143" t="s">
        <v>146</v>
      </c>
    </row>
    <row r="74">
      <c r="A74" s="255" t="s">
        <v>2978</v>
      </c>
      <c r="B74" s="255" t="s">
        <v>2052</v>
      </c>
      <c r="C74" s="255" t="s">
        <v>2053</v>
      </c>
      <c r="D74" s="256" t="s">
        <v>3043</v>
      </c>
      <c r="E74" s="169" t="str">
        <f t="shared" si="2"/>
        <v>Coarse-Fine: A Novel VPA Strategy for Boosting Resource Utilization of Transient Offline Tasks
Yingying Wen, Yingzhi Chu, Zhongyu Wang, Zhecheng Lin, Fan Jiang, Wu Xiang and Rui Shi
</v>
      </c>
      <c r="F74" s="169" t="str">
        <f>IFERROR(__xludf.DUMMYFUNCTION("TEXTJOIN(CHAR(10), TRUE,FILTER ('Sheridan Main'!E:E,'Sheridan Main'!B:B=B74))"),"wingwingtwo@hotmail.com")</f>
        <v>wingwingtwo@hotmail.com</v>
      </c>
      <c r="G74" s="170" t="str">
        <f>IFERROR(__xludf.DUMMYFUNCTION("CONCATENATE(""https://dl.acm.org/doi/"",INDEX(FILTER('Sheridan Main'!A:A,'Sheridan Main'!B:B=B74),1))"),"https://dl.acm.org/doi/10.1145/3774904.3792910")</f>
        <v>https://dl.acm.org/doi/10.1145/3774904.3792910</v>
      </c>
      <c r="H74" s="143" t="s">
        <v>146</v>
      </c>
    </row>
    <row r="75">
      <c r="A75" s="255" t="s">
        <v>2978</v>
      </c>
      <c r="B75" s="255" t="s">
        <v>2054</v>
      </c>
      <c r="C75" s="255" t="s">
        <v>2055</v>
      </c>
      <c r="D75" s="256" t="s">
        <v>3044</v>
      </c>
      <c r="E75" s="169" t="str">
        <f t="shared" si="2"/>
        <v>PAOSC: Plug-and-play Attention Optimization for Semantic Consistency in LLMs
Chang Li, Yawei Liu, Chun Long, Jing Zhao and Guanyao Du
</v>
      </c>
      <c r="F75" s="169" t="str">
        <f>IFERROR(__xludf.DUMMYFUNCTION("TEXTJOIN(CHAR(10), TRUE,FILTER ('Sheridan Main'!E:E,'Sheridan Main'!B:B=B75))"),"anquanip@cnic.cn")</f>
        <v>anquanip@cnic.cn</v>
      </c>
      <c r="G75" s="170" t="str">
        <f>IFERROR(__xludf.DUMMYFUNCTION("CONCATENATE(""https://dl.acm.org/doi/"",INDEX(FILTER('Sheridan Main'!A:A,'Sheridan Main'!B:B=B75),1))"),"https://dl.acm.org/doi/10.1145/3774904.3792911")</f>
        <v>https://dl.acm.org/doi/10.1145/3774904.3792911</v>
      </c>
      <c r="H75" s="143" t="s">
        <v>146</v>
      </c>
    </row>
    <row r="76">
      <c r="A76" s="255" t="s">
        <v>2978</v>
      </c>
      <c r="B76" s="255" t="s">
        <v>2056</v>
      </c>
      <c r="C76" s="255" t="s">
        <v>2057</v>
      </c>
      <c r="D76" s="256" t="s">
        <v>3045</v>
      </c>
      <c r="E76" s="169" t="str">
        <f t="shared" si="2"/>
        <v>Breaking Semantic-Aware Watermarks via LLM-Guided Coherence-Preserving Semantic Injection
Zheng Gao, Xiaoyu Li, Zhicheng Bao, Xiaoyan Feng and Jiaojiao Jiang
</v>
      </c>
      <c r="F76" s="169" t="str">
        <f>IFERROR(__xludf.DUMMYFUNCTION("TEXTJOIN(CHAR(10), TRUE,FILTER ('Sheridan Main'!E:E,'Sheridan Main'!B:B=B76))"),"zheng.gao1@unsw.edu.au")</f>
        <v>zheng.gao1@unsw.edu.au</v>
      </c>
      <c r="G76" s="170" t="str">
        <f>IFERROR(__xludf.DUMMYFUNCTION("CONCATENATE(""https://dl.acm.org/doi/"",INDEX(FILTER('Sheridan Main'!A:A,'Sheridan Main'!B:B=B76),1))"),"https://dl.acm.org/doi/10.1145/3774904.3792912")</f>
        <v>https://dl.acm.org/doi/10.1145/3774904.3792912</v>
      </c>
      <c r="H76" s="143" t="s">
        <v>146</v>
      </c>
    </row>
    <row r="77">
      <c r="A77" s="255" t="s">
        <v>2978</v>
      </c>
      <c r="B77" s="255" t="s">
        <v>2058</v>
      </c>
      <c r="C77" s="255" t="s">
        <v>2059</v>
      </c>
      <c r="D77" s="256" t="s">
        <v>3046</v>
      </c>
      <c r="E77" s="169" t="str">
        <f t="shared" si="2"/>
        <v>Anonymous Linear Bandits for Multi-User Systems
Mohammad Reza Badri, Hossein Esfandiari, Samira Hossein Ghorban and Alireza Rezaeimoghadam
</v>
      </c>
      <c r="F77" s="169" t="str">
        <f>IFERROR(__xludf.DUMMYFUNCTION("TEXTJOIN(CHAR(10), TRUE,FILTER ('Sheridan Main'!E:E,'Sheridan Main'!B:B=B77))"),"esfandiari@google.com")</f>
        <v>esfandiari@google.com</v>
      </c>
      <c r="G77" s="170" t="str">
        <f>IFERROR(__xludf.DUMMYFUNCTION("CONCATENATE(""https://dl.acm.org/doi/"",INDEX(FILTER('Sheridan Main'!A:A,'Sheridan Main'!B:B=B77),1))"),"https://dl.acm.org/doi/10.1145/3774904.3792913")</f>
        <v>https://dl.acm.org/doi/10.1145/3774904.3792913</v>
      </c>
      <c r="H77" s="143" t="s">
        <v>146</v>
      </c>
    </row>
    <row r="78">
      <c r="A78" s="255" t="s">
        <v>2978</v>
      </c>
      <c r="B78" s="255" t="s">
        <v>2060</v>
      </c>
      <c r="C78" s="255" t="s">
        <v>2061</v>
      </c>
      <c r="D78" s="256" t="s">
        <v>3047</v>
      </c>
      <c r="E78" s="169" t="str">
        <f t="shared" si="2"/>
        <v>Efficient Learning of Sparse Representations from Interactions
Vojtech Vancura, Martin Spišák, Rodrigo Alves and Ladislav Peska
</v>
      </c>
      <c r="F78" s="169" t="str">
        <f>IFERROR(__xludf.DUMMYFUNCTION("TEXTJOIN(CHAR(10), TRUE,FILTER ('Sheridan Main'!E:E,'Sheridan Main'!B:B=B78))"),"ladislav.peska@matfyz.cuni.cz")</f>
        <v>ladislav.peska@matfyz.cuni.cz</v>
      </c>
      <c r="G78" s="170" t="str">
        <f>IFERROR(__xludf.DUMMYFUNCTION("CONCATENATE(""https://dl.acm.org/doi/"",INDEX(FILTER('Sheridan Main'!A:A,'Sheridan Main'!B:B=B78),1))"),"https://dl.acm.org/doi/10.1145/3774904.3792914")</f>
        <v>https://dl.acm.org/doi/10.1145/3774904.3792914</v>
      </c>
      <c r="H78" s="143" t="s">
        <v>146</v>
      </c>
    </row>
    <row r="79">
      <c r="A79" s="255" t="s">
        <v>2978</v>
      </c>
      <c r="B79" s="255" t="s">
        <v>2062</v>
      </c>
      <c r="C79" s="255" t="s">
        <v>2063</v>
      </c>
      <c r="D79" s="256" t="s">
        <v>3048</v>
      </c>
      <c r="E79" s="169" t="str">
        <f t="shared" si="2"/>
        <v>Back to the Future: Look-ahead Augmentation and Parallel Self-Refinement for Time Series Forecasting
Sunho Kim and Susik Yoon
</v>
      </c>
      <c r="F79" s="169" t="str">
        <f>IFERROR(__xludf.DUMMYFUNCTION("TEXTJOIN(CHAR(10), TRUE,FILTER ('Sheridan Main'!E:E,'Sheridan Main'!B:B=B79))"),"susik@korea.ac.kr")</f>
        <v>susik@korea.ac.kr</v>
      </c>
      <c r="G79" s="170" t="str">
        <f>IFERROR(__xludf.DUMMYFUNCTION("CONCATENATE(""https://dl.acm.org/doi/"",INDEX(FILTER('Sheridan Main'!A:A,'Sheridan Main'!B:B=B79),1))"),"https://dl.acm.org/doi/10.1145/3774904.3792915")</f>
        <v>https://dl.acm.org/doi/10.1145/3774904.3792915</v>
      </c>
      <c r="H79" s="143" t="s">
        <v>146</v>
      </c>
    </row>
    <row r="80">
      <c r="A80" s="255" t="s">
        <v>2978</v>
      </c>
      <c r="B80" s="255" t="s">
        <v>2064</v>
      </c>
      <c r="C80" s="255" t="s">
        <v>2065</v>
      </c>
      <c r="D80" s="256" t="s">
        <v>3049</v>
      </c>
      <c r="E80" s="169" t="str">
        <f t="shared" si="2"/>
        <v>CGPT: Cluster-Guided Partial Tables with LLM-Generated Supervision for Table Retrieval
Tsung-Hsiang Chou, Chen-Jui Yu, Shui-Hsiang Hsu and Yao-Chung Fan
</v>
      </c>
      <c r="F80" s="169" t="str">
        <f>IFERROR(__xludf.DUMMYFUNCTION("TEXTJOIN(CHAR(10), TRUE,FILTER ('Sheridan Main'!E:E,'Sheridan Main'!B:B=B80))"),"yfan@nchu.edu.tw")</f>
        <v>yfan@nchu.edu.tw</v>
      </c>
      <c r="G80" s="170" t="str">
        <f>IFERROR(__xludf.DUMMYFUNCTION("CONCATENATE(""https://dl.acm.org/doi/"",INDEX(FILTER('Sheridan Main'!A:A,'Sheridan Main'!B:B=B80),1))"),"https://dl.acm.org/doi/10.1145/3774904.3792916")</f>
        <v>https://dl.acm.org/doi/10.1145/3774904.3792916</v>
      </c>
      <c r="H80" s="143" t="s">
        <v>146</v>
      </c>
    </row>
    <row r="81">
      <c r="A81" s="255" t="s">
        <v>2978</v>
      </c>
      <c r="B81" s="255" t="s">
        <v>2066</v>
      </c>
      <c r="C81" s="255" t="s">
        <v>2067</v>
      </c>
      <c r="D81" s="256" t="s">
        <v>3050</v>
      </c>
      <c r="E81" s="169" t="str">
        <f t="shared" si="2"/>
        <v>EDTF: A Plug-and-Play Learning Framework for Estimated Delivery Time Task
Yichen Song, Jianfeng Zhou, Renhao Cao and Jian-Ya Ding
</v>
      </c>
      <c r="F81" s="169" t="str">
        <f>IFERROR(__xludf.DUMMYFUNCTION("TEXTJOIN(CHAR(10), TRUE,FILTER ('Sheridan Main'!E:E,'Sheridan Main'!B:B=B81))"),"syc_1203@zju.edu.cn")</f>
        <v>syc_1203@zju.edu.cn</v>
      </c>
      <c r="G81" s="170" t="str">
        <f>IFERROR(__xludf.DUMMYFUNCTION("CONCATENATE(""https://dl.acm.org/doi/"",INDEX(FILTER('Sheridan Main'!A:A,'Sheridan Main'!B:B=B81),1))"),"https://dl.acm.org/doi/10.1145/3774904.3792917")</f>
        <v>https://dl.acm.org/doi/10.1145/3774904.3792917</v>
      </c>
      <c r="H81" s="143" t="s">
        <v>146</v>
      </c>
    </row>
    <row r="82">
      <c r="A82" s="255" t="s">
        <v>2978</v>
      </c>
      <c r="B82" s="255" t="s">
        <v>2068</v>
      </c>
      <c r="C82" s="255" t="s">
        <v>2069</v>
      </c>
      <c r="D82" s="256" t="s">
        <v>3051</v>
      </c>
      <c r="E82" s="169" t="str">
        <f t="shared" si="2"/>
        <v>Understanding Post-Exploit Laundering Behavior on Ethereum
Xihan Xiong and Junliang Luo
</v>
      </c>
      <c r="F82" s="169" t="str">
        <f>IFERROR(__xludf.DUMMYFUNCTION("TEXTJOIN(CHAR(10), TRUE,FILTER ('Sheridan Main'!E:E,'Sheridan Main'!B:B=B82))"),"xihan.xiong20@imperial.ac.uk")</f>
        <v>xihan.xiong20@imperial.ac.uk</v>
      </c>
      <c r="G82" s="170" t="str">
        <f>IFERROR(__xludf.DUMMYFUNCTION("CONCATENATE(""https://dl.acm.org/doi/"",INDEX(FILTER('Sheridan Main'!A:A,'Sheridan Main'!B:B=B82),1))"),"https://dl.acm.org/doi/10.1145/3774904.3792918")</f>
        <v>https://dl.acm.org/doi/10.1145/3774904.3792918</v>
      </c>
      <c r="H82" s="143" t="s">
        <v>146</v>
      </c>
    </row>
    <row r="83">
      <c r="A83" s="255" t="s">
        <v>2978</v>
      </c>
      <c r="B83" s="255" t="s">
        <v>2070</v>
      </c>
      <c r="C83" s="255" t="s">
        <v>2071</v>
      </c>
      <c r="D83" s="256" t="s">
        <v>3052</v>
      </c>
      <c r="E83" s="169" t="str">
        <f t="shared" si="2"/>
        <v>HAUTE: Harmonizing Action Units with Temporal-contextual Embeddings for Deepfake Detection
Chaewon Kang, Youjin Lee and Jinyoung Han
</v>
      </c>
      <c r="F83" s="169" t="str">
        <f>IFERROR(__xludf.DUMMYFUNCTION("TEXTJOIN(CHAR(10), TRUE,FILTER ('Sheridan Main'!E:E,'Sheridan Main'!B:B=B83))"),"jinyounghan@skku.edu")</f>
        <v>jinyounghan@skku.edu</v>
      </c>
      <c r="G83" s="170" t="str">
        <f>IFERROR(__xludf.DUMMYFUNCTION("CONCATENATE(""https://dl.acm.org/doi/"",INDEX(FILTER('Sheridan Main'!A:A,'Sheridan Main'!B:B=B83),1))"),"https://dl.acm.org/doi/10.1145/3774904.3792919")</f>
        <v>https://dl.acm.org/doi/10.1145/3774904.3792919</v>
      </c>
      <c r="H83" s="143" t="s">
        <v>146</v>
      </c>
    </row>
    <row r="84">
      <c r="A84" s="255" t="s">
        <v>2978</v>
      </c>
      <c r="B84" s="255" t="s">
        <v>2072</v>
      </c>
      <c r="C84" s="255" t="s">
        <v>2073</v>
      </c>
      <c r="D84" s="256" t="s">
        <v>3053</v>
      </c>
      <c r="E84" s="169" t="str">
        <f t="shared" si="2"/>
        <v>Auditing Textual Context in Sequence-Aware Explainable Recommendation
Alejandro Ariza-Casabona, Maria Salamó and Ludovico Boratto
</v>
      </c>
      <c r="F84" s="169" t="str">
        <f>IFERROR(__xludf.DUMMYFUNCTION("TEXTJOIN(CHAR(10), TRUE,FILTER ('Sheridan Main'!E:E,'Sheridan Main'!B:B=B84))"),"ludovico.boratto@acm.org")</f>
        <v>ludovico.boratto@acm.org</v>
      </c>
      <c r="G84" s="170" t="str">
        <f>IFERROR(__xludf.DUMMYFUNCTION("CONCATENATE(""https://dl.acm.org/doi/"",INDEX(FILTER('Sheridan Main'!A:A,'Sheridan Main'!B:B=B84),1))"),"https://dl.acm.org/doi/10.1145/3774904.3792920")</f>
        <v>https://dl.acm.org/doi/10.1145/3774904.3792920</v>
      </c>
      <c r="H84" s="143" t="s">
        <v>169</v>
      </c>
    </row>
    <row r="85">
      <c r="A85" s="255" t="s">
        <v>2978</v>
      </c>
      <c r="B85" s="255" t="s">
        <v>2074</v>
      </c>
      <c r="C85" s="255" t="s">
        <v>2075</v>
      </c>
      <c r="D85" s="256" t="s">
        <v>3054</v>
      </c>
      <c r="E85" s="169" t="str">
        <f t="shared" si="2"/>
        <v>MACA: A Multi-Agent Cognitive Adaptation Framework for Human–Agent Collaborative Decision Making
Youn Jun Seong and Ha Young Oh
</v>
      </c>
      <c r="F85" s="169" t="str">
        <f>IFERROR(__xludf.DUMMYFUNCTION("TEXTJOIN(CHAR(10), TRUE,FILTER ('Sheridan Main'!E:E,'Sheridan Main'!B:B=B85))"),"hyoh79@skku.edu")</f>
        <v>hyoh79@skku.edu</v>
      </c>
      <c r="G85" s="170" t="str">
        <f>IFERROR(__xludf.DUMMYFUNCTION("CONCATENATE(""https://dl.acm.org/doi/"",INDEX(FILTER('Sheridan Main'!A:A,'Sheridan Main'!B:B=B85),1))"),"https://dl.acm.org/doi/10.1145/3774904.3792921")</f>
        <v>https://dl.acm.org/doi/10.1145/3774904.3792921</v>
      </c>
      <c r="H85" s="143" t="s">
        <v>169</v>
      </c>
    </row>
    <row r="86">
      <c r="A86" s="255" t="s">
        <v>2978</v>
      </c>
      <c r="B86" s="255" t="s">
        <v>2076</v>
      </c>
      <c r="C86" s="255" t="s">
        <v>2077</v>
      </c>
      <c r="D86" s="256" t="s">
        <v>3055</v>
      </c>
      <c r="E86" s="169" t="str">
        <f t="shared" si="2"/>
        <v>Rethinking MoE with Retrieval-Memory Synergy: Towards Efficient Expert Coordination
Wanjie Tao, Qun Dai, Yantong Lv, Quan Lu, Ning Jiang and Zulong Chen
</v>
      </c>
      <c r="F86" s="169" t="str">
        <f>IFERROR(__xludf.DUMMYFUNCTION("TEXTJOIN(CHAR(10), TRUE,FILTER ('Sheridan Main'!E:E,'Sheridan Main'!B:B=B86))"),"daiqun@nuaa.edu.cn")</f>
        <v>daiqun@nuaa.edu.cn</v>
      </c>
      <c r="G86" s="170" t="str">
        <f>IFERROR(__xludf.DUMMYFUNCTION("CONCATENATE(""https://dl.acm.org/doi/"",INDEX(FILTER('Sheridan Main'!A:A,'Sheridan Main'!B:B=B86),1))"),"https://dl.acm.org/doi/10.1145/3774904.3792922")</f>
        <v>https://dl.acm.org/doi/10.1145/3774904.3792922</v>
      </c>
      <c r="H86" s="143" t="s">
        <v>169</v>
      </c>
    </row>
    <row r="87">
      <c r="A87" s="255" t="s">
        <v>2978</v>
      </c>
      <c r="B87" s="255" t="s">
        <v>2078</v>
      </c>
      <c r="C87" s="255" t="s">
        <v>2079</v>
      </c>
      <c r="D87" s="256" t="s">
        <v>3056</v>
      </c>
      <c r="E87" s="169" t="str">
        <f t="shared" si="2"/>
        <v>Exploring Fine-Tuning for Tabular Foundation Models
Aditya Tanna, Pratinav Seth, Mohamed Bouadi and Vinay Kumar Sankarapu
</v>
      </c>
      <c r="F87" s="169" t="str">
        <f>IFERROR(__xludf.DUMMYFUNCTION("TEXTJOIN(CHAR(10), TRUE,FILTER ('Sheridan Main'!E:E,'Sheridan Main'!B:B=B87))"),"pratinav.seth@lexsi.ai")</f>
        <v>pratinav.seth@lexsi.ai</v>
      </c>
      <c r="G87" s="170" t="str">
        <f>IFERROR(__xludf.DUMMYFUNCTION("CONCATENATE(""https://dl.acm.org/doi/"",INDEX(FILTER('Sheridan Main'!A:A,'Sheridan Main'!B:B=B87),1))"),"https://dl.acm.org/doi/10.1145/3774904.3792923")</f>
        <v>https://dl.acm.org/doi/10.1145/3774904.3792923</v>
      </c>
      <c r="H87" s="143" t="s">
        <v>169</v>
      </c>
    </row>
    <row r="88">
      <c r="A88" s="255" t="s">
        <v>2978</v>
      </c>
      <c r="B88" s="255" t="s">
        <v>2080</v>
      </c>
      <c r="C88" s="255" t="s">
        <v>2081</v>
      </c>
      <c r="D88" s="256" t="s">
        <v>3057</v>
      </c>
      <c r="E88" s="169" t="str">
        <f t="shared" si="2"/>
        <v>MGK-RAG: Multi-Granularity Knowledge Guided Retrieval-Augmented Generation for Radiology Report
Jiaqing Ma, Xiaodong Yue, Yufei Chen, Jie Shi, Zhipeng Wei and Zeyu Jia
</v>
      </c>
      <c r="F88" s="169" t="str">
        <f>IFERROR(__xludf.DUMMYFUNCTION("TEXTJOIN(CHAR(10), TRUE,FILTER ('Sheridan Main'!E:E,'Sheridan Main'!B:B=B88))"),"yswantfly@shu.edu.cn")</f>
        <v>yswantfly@shu.edu.cn</v>
      </c>
      <c r="G88" s="170" t="str">
        <f>IFERROR(__xludf.DUMMYFUNCTION("CONCATENATE(""https://dl.acm.org/doi/"",INDEX(FILTER('Sheridan Main'!A:A,'Sheridan Main'!B:B=B88),1))"),"https://dl.acm.org/doi/10.1145/3774904.3792924")</f>
        <v>https://dl.acm.org/doi/10.1145/3774904.3792924</v>
      </c>
      <c r="H88" s="143" t="s">
        <v>169</v>
      </c>
    </row>
    <row r="89">
      <c r="A89" s="255" t="s">
        <v>2978</v>
      </c>
      <c r="B89" s="257" t="s">
        <v>2358</v>
      </c>
      <c r="C89" s="257" t="s">
        <v>2359</v>
      </c>
      <c r="D89" s="225" t="s">
        <v>3058</v>
      </c>
      <c r="E89" s="169" t="str">
        <f t="shared" si="2"/>
        <v>Linguistic Signatures for Enhanced Emotion Detection
Florian Lecourt, Madalina Croitoru and Konstantin Todorov
</v>
      </c>
      <c r="F89" s="169" t="str">
        <f>IFERROR(__xludf.DUMMYFUNCTION("TEXTJOIN(CHAR(10), TRUE,FILTER ('Sheridan Main'!E:E,'Sheridan Main'!B:B=B89))"),"florian.lecourt@lirmm.fr")</f>
        <v>florian.lecourt@lirmm.fr</v>
      </c>
      <c r="G89" s="170" t="str">
        <f>IFERROR(__xludf.DUMMYFUNCTION("CONCATENATE(""https://dl.acm.org/doi/"",INDEX(FILTER('Sheridan Main'!A:A,'Sheridan Main'!B:B=B89),1))"),"https://dl.acm.org/doi/10.1145/3774904.3793805")</f>
        <v>https://dl.acm.org/doi/10.1145/3774904.3793805</v>
      </c>
      <c r="H89" s="143" t="s">
        <v>188</v>
      </c>
    </row>
    <row r="90">
      <c r="A90" s="255" t="s">
        <v>2978</v>
      </c>
      <c r="B90" s="255" t="s">
        <v>2082</v>
      </c>
      <c r="C90" s="255" t="s">
        <v>2083</v>
      </c>
      <c r="D90" s="256" t="s">
        <v>3059</v>
      </c>
      <c r="E90" s="169" t="str">
        <f t="shared" si="2"/>
        <v>Do You Trust Me? Cognitive–Affective Signatures of Trustworthiness in Large Language Models
Gerard C. Yeo, Svetlana Churina and Kokil Jaidka
</v>
      </c>
      <c r="F90" s="169" t="str">
        <f>IFERROR(__xludf.DUMMYFUNCTION("TEXTJOIN(CHAR(10), TRUE,FILTER ('Sheridan Main'!E:E,'Sheridan Main'!B:B=B90))"),"e0545159@u.nus.edu")</f>
        <v>e0545159@u.nus.edu</v>
      </c>
      <c r="G90" s="170" t="str">
        <f>IFERROR(__xludf.DUMMYFUNCTION("CONCATENATE(""https://dl.acm.org/doi/"",INDEX(FILTER('Sheridan Main'!A:A,'Sheridan Main'!B:B=B90),1))"),"https://dl.acm.org/doi/10.1145/3774904.3792925")</f>
        <v>https://dl.acm.org/doi/10.1145/3774904.3792925</v>
      </c>
      <c r="H90" s="143" t="s">
        <v>169</v>
      </c>
    </row>
    <row r="91">
      <c r="A91" s="255" t="s">
        <v>2978</v>
      </c>
      <c r="B91" s="255" t="s">
        <v>2084</v>
      </c>
      <c r="C91" s="255" t="s">
        <v>2085</v>
      </c>
      <c r="D91" s="256" t="s">
        <v>3060</v>
      </c>
      <c r="E91" s="169" t="str">
        <f t="shared" si="2"/>
        <v>Active Retrieval-Augmented Generation with Conflict-Fused Uncertainty Quantification
Tao Tang, Xiaodong Yue, Yufei Chen, Jie Shi and Shijie Ding
</v>
      </c>
      <c r="F91" s="169" t="str">
        <f>IFERROR(__xludf.DUMMYFUNCTION("TEXTJOIN(CHAR(10), TRUE,FILTER ('Sheridan Main'!E:E,'Sheridan Main'!B:B=B91))"),"yswantfly@shu.edu.cn")</f>
        <v>yswantfly@shu.edu.cn</v>
      </c>
      <c r="G91" s="170" t="str">
        <f>IFERROR(__xludf.DUMMYFUNCTION("CONCATENATE(""https://dl.acm.org/doi/"",INDEX(FILTER('Sheridan Main'!A:A,'Sheridan Main'!B:B=B91),1))"),"https://dl.acm.org/doi/10.1145/3774904.3792926")</f>
        <v>https://dl.acm.org/doi/10.1145/3774904.3792926</v>
      </c>
      <c r="H91" s="143" t="s">
        <v>169</v>
      </c>
    </row>
    <row r="92">
      <c r="A92" s="255" t="s">
        <v>2978</v>
      </c>
      <c r="B92" s="255" t="s">
        <v>2086</v>
      </c>
      <c r="C92" s="255" t="s">
        <v>2087</v>
      </c>
      <c r="D92" s="256" t="s">
        <v>3061</v>
      </c>
      <c r="E92" s="169" t="str">
        <f t="shared" si="2"/>
        <v>Fact-Checking Strategies in Web: Lateral Navigation in the Browser Boosts Health Misinformation Detection Even Under Confirmation Bias
Elena Artemenko, Olessia Koltsova, Maksim Terpilovskii and Natalia Khazova
</v>
      </c>
      <c r="F92" s="169" t="str">
        <f>IFERROR(__xludf.DUMMYFUNCTION("TEXTJOIN(CHAR(10), TRUE,FILTER ('Sheridan Main'!E:E,'Sheridan Main'!B:B=B92))"),"nekrasovaed@gmail.com")</f>
        <v>nekrasovaed@gmail.com</v>
      </c>
      <c r="G92" s="170" t="str">
        <f>IFERROR(__xludf.DUMMYFUNCTION("CONCATENATE(""https://dl.acm.org/doi/"",INDEX(FILTER('Sheridan Main'!A:A,'Sheridan Main'!B:B=B92),1))"),"https://dl.acm.org/doi/10.1145/3774904.3792927")</f>
        <v>https://dl.acm.org/doi/10.1145/3774904.3792927</v>
      </c>
      <c r="H92" s="143" t="s">
        <v>169</v>
      </c>
    </row>
    <row r="93">
      <c r="A93" s="255" t="s">
        <v>2978</v>
      </c>
      <c r="B93" s="255" t="s">
        <v>2088</v>
      </c>
      <c r="C93" s="255" t="s">
        <v>2089</v>
      </c>
      <c r="D93" s="256" t="s">
        <v>3062</v>
      </c>
      <c r="E93" s="169" t="str">
        <f t="shared" si="2"/>
        <v>Revisiting IPS-based Algorithms for Off-Policy Evaluation of Contextual Bandits
Daria Korovaitceva, Marina Sheshukova, Evgeny Frolov and Sergey Samsonov
</v>
      </c>
      <c r="F93" s="169" t="str">
        <f>IFERROR(__xludf.DUMMYFUNCTION("TEXTJOIN(CHAR(10), TRUE,FILTER ('Sheridan Main'!E:E,'Sheridan Main'!B:B=B93))"),"svsamsonov@hse.ru")</f>
        <v>svsamsonov@hse.ru</v>
      </c>
      <c r="G93" s="170" t="str">
        <f>IFERROR(__xludf.DUMMYFUNCTION("CONCATENATE(""https://dl.acm.org/doi/"",INDEX(FILTER('Sheridan Main'!A:A,'Sheridan Main'!B:B=B93),1))"),"https://dl.acm.org/doi/10.1145/3774904.3792928")</f>
        <v>https://dl.acm.org/doi/10.1145/3774904.3792928</v>
      </c>
      <c r="H93" s="143" t="s">
        <v>169</v>
      </c>
    </row>
    <row r="94">
      <c r="A94" s="255" t="s">
        <v>2978</v>
      </c>
      <c r="B94" s="255" t="s">
        <v>2090</v>
      </c>
      <c r="C94" s="255" t="s">
        <v>2091</v>
      </c>
      <c r="D94" s="256" t="s">
        <v>3063</v>
      </c>
      <c r="E94" s="169" t="str">
        <f t="shared" si="2"/>
        <v>SAGE-RAI: Design Patterns for Transparent RAG Systems
Joseph Kwarteng, Aisling Third, Alexander Mikroyannidis, David Tarrant and John Domingue
</v>
      </c>
      <c r="F94" s="169" t="str">
        <f>IFERROR(__xludf.DUMMYFUNCTION("TEXTJOIN(CHAR(10), TRUE,FILTER ('Sheridan Main'!E:E,'Sheridan Main'!B:B=B94))"),"joseph.kwarteng@open.ac.uk")</f>
        <v>joseph.kwarteng@open.ac.uk</v>
      </c>
      <c r="G94" s="170" t="str">
        <f>IFERROR(__xludf.DUMMYFUNCTION("CONCATENATE(""https://dl.acm.org/doi/"",INDEX(FILTER('Sheridan Main'!A:A,'Sheridan Main'!B:B=B94),1))"),"https://dl.acm.org/doi/10.1145/3774904.3792929")</f>
        <v>https://dl.acm.org/doi/10.1145/3774904.3792929</v>
      </c>
      <c r="H94" s="143" t="s">
        <v>169</v>
      </c>
    </row>
    <row r="95">
      <c r="A95" s="255" t="s">
        <v>2978</v>
      </c>
      <c r="B95" s="255" t="s">
        <v>2092</v>
      </c>
      <c r="C95" s="255" t="s">
        <v>2093</v>
      </c>
      <c r="D95" s="256" t="s">
        <v>3064</v>
      </c>
      <c r="E95" s="169" t="str">
        <f t="shared" si="2"/>
        <v>Towards Efficient and Interpretable Medical Concept Representation via Ontology-driven Residual Vector Quantization
Hang Lv, Kaisong Zhang, Yanchao Tan and Xing Chen
</v>
      </c>
      <c r="F95" s="169" t="str">
        <f>IFERROR(__xludf.DUMMYFUNCTION("TEXTJOIN(CHAR(10), TRUE,FILTER ('Sheridan Main'!E:E,'Sheridan Main'!B:B=B95))"),"yctan@fzu.edu.cn")</f>
        <v>yctan@fzu.edu.cn</v>
      </c>
      <c r="G95" s="170" t="str">
        <f>IFERROR(__xludf.DUMMYFUNCTION("CONCATENATE(""https://dl.acm.org/doi/"",INDEX(FILTER('Sheridan Main'!A:A,'Sheridan Main'!B:B=B95),1))"),"https://dl.acm.org/doi/10.1145/3774904.3792930")</f>
        <v>https://dl.acm.org/doi/10.1145/3774904.3792930</v>
      </c>
      <c r="H95" s="143" t="s">
        <v>169</v>
      </c>
    </row>
    <row r="96">
      <c r="A96" s="255" t="s">
        <v>2978</v>
      </c>
      <c r="B96" s="255" t="s">
        <v>2094</v>
      </c>
      <c r="C96" s="255" t="s">
        <v>2095</v>
      </c>
      <c r="D96" s="256" t="s">
        <v>3065</v>
      </c>
      <c r="E96" s="169" t="str">
        <f t="shared" si="2"/>
        <v>Multi-Agent Collaborative Filtering: Orchestrating Users and Items for Agentic Recommendations
Yu Xia, Sungchul Kim, Tong Yu, Ryan A. Rossi and Julian McAuley
</v>
      </c>
      <c r="F96" s="169" t="str">
        <f>IFERROR(__xludf.DUMMYFUNCTION("TEXTJOIN(CHAR(10), TRUE,FILTER ('Sheridan Main'!E:E,'Sheridan Main'!B:B=B96))"),"yux078@ucsd.edu")</f>
        <v>yux078@ucsd.edu</v>
      </c>
      <c r="G96" s="170" t="str">
        <f>IFERROR(__xludf.DUMMYFUNCTION("CONCATENATE(""https://dl.acm.org/doi/"",INDEX(FILTER('Sheridan Main'!A:A,'Sheridan Main'!B:B=B96),1))"),"https://dl.acm.org/doi/10.1145/3774904.3792931")</f>
        <v>https://dl.acm.org/doi/10.1145/3774904.3792931</v>
      </c>
      <c r="H96" s="143" t="s">
        <v>169</v>
      </c>
    </row>
    <row r="97">
      <c r="A97" s="255" t="s">
        <v>2978</v>
      </c>
      <c r="B97" s="255" t="s">
        <v>2096</v>
      </c>
      <c r="C97" s="255" t="s">
        <v>2097</v>
      </c>
      <c r="D97" s="256" t="s">
        <v>3066</v>
      </c>
      <c r="E97" s="169" t="str">
        <f t="shared" si="2"/>
        <v>Tuning Qwen2.5-VL to Improve Its Web Interaction Skills
Alexandra Yakovleva, Henrik Pärssinen, Harri Valpola, Juho Kannala and Alexander Ilin
</v>
      </c>
      <c r="F97" s="169" t="str">
        <f>IFERROR(__xludf.DUMMYFUNCTION("TEXTJOIN(CHAR(10), TRUE,FILTER ('Sheridan Main'!E:E,'Sheridan Main'!B:B=B97))"),"alexandra.yakovleva@aalto.fi")</f>
        <v>alexandra.yakovleva@aalto.fi</v>
      </c>
      <c r="G97" s="170" t="str">
        <f>IFERROR(__xludf.DUMMYFUNCTION("CONCATENATE(""https://dl.acm.org/doi/"",INDEX(FILTER('Sheridan Main'!A:A,'Sheridan Main'!B:B=B97),1))"),"https://dl.acm.org/doi/10.1145/3774904.3792932")</f>
        <v>https://dl.acm.org/doi/10.1145/3774904.3792932</v>
      </c>
      <c r="H97" s="143" t="s">
        <v>169</v>
      </c>
    </row>
    <row r="98">
      <c r="A98" s="255" t="s">
        <v>2978</v>
      </c>
      <c r="B98" s="255" t="s">
        <v>2098</v>
      </c>
      <c r="C98" s="255" t="s">
        <v>2099</v>
      </c>
      <c r="D98" s="256" t="s">
        <v>3067</v>
      </c>
      <c r="E98" s="169" t="str">
        <f t="shared" si="2"/>
        <v>VK-LSVD: A Large-Scale Industrial Dataset for Short-Video Recommendation
Aleksandr Poslavsky, Alexander D'yakonov, Yuriy Dorn and Andrey Zimovnov
</v>
      </c>
      <c r="F98" s="169" t="str">
        <f>IFERROR(__xludf.DUMMYFUNCTION("TEXTJOIN(CHAR(10), TRUE,FILTER ('Sheridan Main'!E:E,'Sheridan Main'!B:B=B98))"),"dornyv@my.msu.ru")</f>
        <v>dornyv@my.msu.ru</v>
      </c>
      <c r="G98" s="170" t="str">
        <f>IFERROR(__xludf.DUMMYFUNCTION("CONCATENATE(""https://dl.acm.org/doi/"",INDEX(FILTER('Sheridan Main'!A:A,'Sheridan Main'!B:B=B98),1))"),"https://dl.acm.org/doi/10.1145/3774904.3792933")</f>
        <v>https://dl.acm.org/doi/10.1145/3774904.3792933</v>
      </c>
      <c r="H98" s="143" t="s">
        <v>169</v>
      </c>
    </row>
    <row r="99">
      <c r="A99" s="255" t="s">
        <v>2978</v>
      </c>
      <c r="B99" s="255" t="s">
        <v>2100</v>
      </c>
      <c r="C99" s="255" t="s">
        <v>2101</v>
      </c>
      <c r="D99" s="256" t="s">
        <v>3068</v>
      </c>
      <c r="E99" s="169" t="str">
        <f t="shared" si="2"/>
        <v>NERdME: A Named Entity Recognition Dataset for Indexing Research Artifacts in Code Repositories
Genet Asefa Gesese, Zongxiong Chen, Shufan Jiang, Mary Ann Tan, Zhaotai Liu, Sonja Schimmler and Harald Sack
</v>
      </c>
      <c r="F99" s="169" t="str">
        <f>IFERROR(__xludf.DUMMYFUNCTION("TEXTJOIN(CHAR(10), TRUE,FILTER ('Sheridan Main'!E:E,'Sheridan Main'!B:B=B99))"),"deb_liban@yahoo.com")</f>
        <v>deb_liban@yahoo.com</v>
      </c>
      <c r="G99" s="170" t="str">
        <f>IFERROR(__xludf.DUMMYFUNCTION("CONCATENATE(""https://dl.acm.org/doi/"",INDEX(FILTER('Sheridan Main'!A:A,'Sheridan Main'!B:B=B99),1))"),"https://dl.acm.org/doi/10.1145/3774904.3792934")</f>
        <v>https://dl.acm.org/doi/10.1145/3774904.3792934</v>
      </c>
      <c r="H99" s="143" t="s">
        <v>169</v>
      </c>
    </row>
    <row r="100">
      <c r="A100" s="255" t="s">
        <v>2978</v>
      </c>
      <c r="B100" s="255" t="s">
        <v>2102</v>
      </c>
      <c r="C100" s="255" t="s">
        <v>2103</v>
      </c>
      <c r="D100" s="256" t="s">
        <v>3069</v>
      </c>
      <c r="E100" s="169" t="str">
        <f t="shared" si="2"/>
        <v>Beyond Item-Level Prediction: Fine-Grained CVR Modeling with Price SKU in E-Commerce Recommendation
Huiling Wu, Ao Zhang, Junwei Xu, Boya Du, Jialin Zhu, Yuning Jiang and Dakai Zhai
</v>
      </c>
      <c r="F100" s="169" t="str">
        <f>IFERROR(__xludf.DUMMYFUNCTION("TEXTJOIN(CHAR(10), TRUE,FILTER ('Sheridan Main'!E:E,'Sheridan Main'!B:B=B100))"),"24210690115@m.fudan.edu.cn")</f>
        <v>24210690115@m.fudan.edu.cn</v>
      </c>
      <c r="G100" s="170" t="str">
        <f>IFERROR(__xludf.DUMMYFUNCTION("CONCATENATE(""https://dl.acm.org/doi/"",INDEX(FILTER('Sheridan Main'!A:A,'Sheridan Main'!B:B=B100),1))"),"https://dl.acm.org/doi/10.1145/3774904.3792935")</f>
        <v>https://dl.acm.org/doi/10.1145/3774904.3792935</v>
      </c>
      <c r="H100" s="143" t="s">
        <v>169</v>
      </c>
    </row>
    <row r="101">
      <c r="A101" s="255" t="s">
        <v>2978</v>
      </c>
      <c r="B101" s="255" t="s">
        <v>2104</v>
      </c>
      <c r="C101" s="255" t="s">
        <v>2105</v>
      </c>
      <c r="D101" s="256" t="s">
        <v>3070</v>
      </c>
      <c r="E101" s="169" t="str">
        <f t="shared" si="2"/>
        <v>Enhancing Trusted Multi-View Classification via Adaptive Regularization Guided by View-Specific Biases
Zhiyuan Liu, Xiaodong Yue, Yufei Chen, Shijie Ding and Jie Shi
</v>
      </c>
      <c r="F101" s="169" t="str">
        <f>IFERROR(__xludf.DUMMYFUNCTION("TEXTJOIN(CHAR(10), TRUE,FILTER ('Sheridan Main'!E:E,'Sheridan Main'!B:B=B101))"),"yswantfly@shu.edu.cn")</f>
        <v>yswantfly@shu.edu.cn</v>
      </c>
      <c r="G101" s="170" t="str">
        <f>IFERROR(__xludf.DUMMYFUNCTION("CONCATENATE(""https://dl.acm.org/doi/"",INDEX(FILTER('Sheridan Main'!A:A,'Sheridan Main'!B:B=B101),1))"),"https://dl.acm.org/doi/10.1145/3774904.3792936")</f>
        <v>https://dl.acm.org/doi/10.1145/3774904.3792936</v>
      </c>
      <c r="H101" s="143" t="s">
        <v>169</v>
      </c>
    </row>
    <row r="102">
      <c r="A102" s="255" t="s">
        <v>2978</v>
      </c>
      <c r="B102" s="255" t="s">
        <v>2106</v>
      </c>
      <c r="C102" s="255" t="s">
        <v>2107</v>
      </c>
      <c r="D102" s="256" t="s">
        <v>3071</v>
      </c>
      <c r="E102" s="169" t="str">
        <f t="shared" si="2"/>
        <v>Orion-Bix: Bi-Axial Attention for Tabular In-Context Learning
Mohamed Bouadi, Pratinav Seth, Aditya Tanna and Vinay Kumar Sankarapu
</v>
      </c>
      <c r="F102" s="169" t="str">
        <f>IFERROR(__xludf.DUMMYFUNCTION("TEXTJOIN(CHAR(10), TRUE,FILTER ('Sheridan Main'!E:E,'Sheridan Main'!B:B=B102))"),"pratinav.seth@lexsi.ai")</f>
        <v>pratinav.seth@lexsi.ai</v>
      </c>
      <c r="G102" s="170" t="str">
        <f>IFERROR(__xludf.DUMMYFUNCTION("CONCATENATE(""https://dl.acm.org/doi/"",INDEX(FILTER('Sheridan Main'!A:A,'Sheridan Main'!B:B=B102),1))"),"https://dl.acm.org/doi/10.1145/3774904.3792937")</f>
        <v>https://dl.acm.org/doi/10.1145/3774904.3792937</v>
      </c>
      <c r="H102" s="143" t="s">
        <v>169</v>
      </c>
    </row>
    <row r="103">
      <c r="A103" s="255" t="s">
        <v>2978</v>
      </c>
      <c r="B103" s="255" t="s">
        <v>2108</v>
      </c>
      <c r="C103" s="255" t="s">
        <v>2109</v>
      </c>
      <c r="D103" s="256" t="s">
        <v>3072</v>
      </c>
      <c r="E103" s="169" t="str">
        <f t="shared" si="2"/>
        <v>Truth with a Twist: The Rhetoric of Persuasion in Professional vs. Community-Authored Fact-Checks
Olesya Razuvayevskaya and Kalina Bontcheva
</v>
      </c>
      <c r="F103" s="169" t="str">
        <f>IFERROR(__xludf.DUMMYFUNCTION("TEXTJOIN(CHAR(10), TRUE,FILTER ('Sheridan Main'!E:E,'Sheridan Main'!B:B=B103))"),"o.razuvayevskaya@sheffield.ac.uk")</f>
        <v>o.razuvayevskaya@sheffield.ac.uk</v>
      </c>
      <c r="G103" s="170" t="str">
        <f>IFERROR(__xludf.DUMMYFUNCTION("CONCATENATE(""https://dl.acm.org/doi/"",INDEX(FILTER('Sheridan Main'!A:A,'Sheridan Main'!B:B=B103),1))"),"https://dl.acm.org/doi/10.1145/3774904.3792938")</f>
        <v>https://dl.acm.org/doi/10.1145/3774904.3792938</v>
      </c>
      <c r="H103" s="143" t="s">
        <v>169</v>
      </c>
    </row>
    <row r="104">
      <c r="A104" s="255" t="s">
        <v>2978</v>
      </c>
      <c r="B104" s="255" t="s">
        <v>2110</v>
      </c>
      <c r="C104" s="255" t="s">
        <v>2111</v>
      </c>
      <c r="D104" s="256" t="s">
        <v>3073</v>
      </c>
      <c r="E104" s="169" t="str">
        <f t="shared" si="2"/>
        <v>Multi-Behavior Sequential Modeling with Transition-Aware Graph Attention Network for E-Commerce Recommendation
Hanqi Jin, Gaoming Yang, Zhangming Chan, Yapeng Yuan, Longbin Li, Fei Sun, Yeqiu Yang, Jian Wu, Yuning Jiang and Bo Zheng
</v>
      </c>
      <c r="F104" s="169" t="str">
        <f>IFERROR(__xludf.DUMMYFUNCTION("TEXTJOIN(CHAR(10), TRUE,FILTER ('Sheridan Main'!E:E,'Sheridan Main'!B:B=B104))"),"jinhanqi.jhq@alibaba-inc.com")</f>
        <v>jinhanqi.jhq@alibaba-inc.com</v>
      </c>
      <c r="G104" s="170" t="str">
        <f>IFERROR(__xludf.DUMMYFUNCTION("CONCATENATE(""https://dl.acm.org/doi/"",INDEX(FILTER('Sheridan Main'!A:A,'Sheridan Main'!B:B=B104),1))"),"https://dl.acm.org/doi/10.1145/3774904.3792939")</f>
        <v>https://dl.acm.org/doi/10.1145/3774904.3792939</v>
      </c>
      <c r="H104" s="143" t="s">
        <v>169</v>
      </c>
    </row>
    <row r="105">
      <c r="A105" s="255" t="s">
        <v>2978</v>
      </c>
      <c r="B105" s="255" t="s">
        <v>2112</v>
      </c>
      <c r="C105" s="255" t="s">
        <v>2113</v>
      </c>
      <c r="D105" s="256" t="s">
        <v>3074</v>
      </c>
      <c r="E105" s="169" t="str">
        <f t="shared" si="2"/>
        <v>Vertical Semi-Federated Learning for Efficient Online Advertising
Wenjie Li, Shu-Tao Xia, Jiangke Fan, Teng Zhang and Xingxing Wang
</v>
      </c>
      <c r="F105" s="169" t="str">
        <f>IFERROR(__xludf.DUMMYFUNCTION("TEXTJOIN(CHAR(10), TRUE,FILTER ('Sheridan Main'!E:E,'Sheridan Main'!B:B=B105))"),"liwj20@mails.tsinghua.edu.cn")</f>
        <v>liwj20@mails.tsinghua.edu.cn</v>
      </c>
      <c r="G105" s="170" t="str">
        <f>IFERROR(__xludf.DUMMYFUNCTION("CONCATENATE(""https://dl.acm.org/doi/"",INDEX(FILTER('Sheridan Main'!A:A,'Sheridan Main'!B:B=B105),1))"),"https://dl.acm.org/doi/10.1145/3774904.3792940")</f>
        <v>https://dl.acm.org/doi/10.1145/3774904.3792940</v>
      </c>
      <c r="H105" s="143" t="s">
        <v>169</v>
      </c>
    </row>
    <row r="106">
      <c r="A106" s="255" t="s">
        <v>2978</v>
      </c>
      <c r="B106" s="255" t="s">
        <v>2114</v>
      </c>
      <c r="C106" s="255" t="s">
        <v>2115</v>
      </c>
      <c r="D106" s="256" t="s">
        <v>3075</v>
      </c>
      <c r="E106" s="169" t="str">
        <f t="shared" si="2"/>
        <v>MiniAMIE: Quick and Dirty Rule Mining on Knowledge Graphs
Luis Galárraga, Julianne Guerbette, Isseïnie Sinouvassane and Paul Viallard
</v>
      </c>
      <c r="F106" s="169" t="str">
        <f>IFERROR(__xludf.DUMMYFUNCTION("TEXTJOIN(CHAR(10), TRUE,FILTER ('Sheridan Main'!E:E,'Sheridan Main'!B:B=B106))"),"luis.galarraga@inria.fr")</f>
        <v>luis.galarraga@inria.fr</v>
      </c>
      <c r="G106" s="170" t="str">
        <f>IFERROR(__xludf.DUMMYFUNCTION("CONCATENATE(""https://dl.acm.org/doi/"",INDEX(FILTER('Sheridan Main'!A:A,'Sheridan Main'!B:B=B106),1))"),"https://dl.acm.org/doi/10.1145/3774904.3792941")</f>
        <v>https://dl.acm.org/doi/10.1145/3774904.3792941</v>
      </c>
      <c r="H106" s="143" t="s">
        <v>169</v>
      </c>
    </row>
    <row r="107">
      <c r="A107" s="255" t="s">
        <v>2978</v>
      </c>
      <c r="B107" s="255" t="s">
        <v>2116</v>
      </c>
      <c r="C107" s="255" t="s">
        <v>2117</v>
      </c>
      <c r="D107" s="256" t="s">
        <v>3076</v>
      </c>
      <c r="E107" s="169" t="str">
        <f t="shared" si="2"/>
        <v>How Graphs Can Help You Stay Informed in an Evolving World
MohammadHossein Bateni, Lin Chen, Hossein Esfandiari and Sasan Tavakkol
</v>
      </c>
      <c r="F107" s="169" t="str">
        <f>IFERROR(__xludf.DUMMYFUNCTION("TEXTJOIN(CHAR(10), TRUE,FILTER ('Sheridan Main'!E:E,'Sheridan Main'!B:B=B107))"),"linche@google.com")</f>
        <v>linche@google.com</v>
      </c>
      <c r="G107" s="170" t="str">
        <f>IFERROR(__xludf.DUMMYFUNCTION("CONCATENATE(""https://dl.acm.org/doi/"",INDEX(FILTER('Sheridan Main'!A:A,'Sheridan Main'!B:B=B107),1))"),"https://dl.acm.org/doi/10.1145/3774904.3792942")</f>
        <v>https://dl.acm.org/doi/10.1145/3774904.3792942</v>
      </c>
      <c r="H107" s="143" t="s">
        <v>169</v>
      </c>
    </row>
    <row r="108">
      <c r="A108" s="255" t="s">
        <v>2978</v>
      </c>
      <c r="B108" s="255" t="s">
        <v>2118</v>
      </c>
      <c r="C108" s="255" t="s">
        <v>2119</v>
      </c>
      <c r="D108" s="256" t="s">
        <v>3077</v>
      </c>
      <c r="E108" s="169" t="str">
        <f t="shared" si="2"/>
        <v>What Is Your AI Agent Buying? Evaluation, Biases, Model Dependence, &amp; Emerging Implications of Agentic E-Commerce
Amine Allouah, Omar Besbes, Josué D. Figueroa, Yash Kanoria and Akshit Kumar
</v>
      </c>
      <c r="F108" s="169" t="str">
        <f>IFERROR(__xludf.DUMMYFUNCTION("TEXTJOIN(CHAR(10), TRUE,FILTER ('Sheridan Main'!E:E,'Sheridan Main'!B:B=B108))"),"akshit.kumar@yale.edu")</f>
        <v>akshit.kumar@yale.edu</v>
      </c>
      <c r="G108" s="170" t="str">
        <f>IFERROR(__xludf.DUMMYFUNCTION("CONCATENATE(""https://dl.acm.org/doi/"",INDEX(FILTER('Sheridan Main'!A:A,'Sheridan Main'!B:B=B108),1))"),"https://dl.acm.org/doi/10.1145/3774904.3792943")</f>
        <v>https://dl.acm.org/doi/10.1145/3774904.3792943</v>
      </c>
      <c r="H108" s="143" t="s">
        <v>169</v>
      </c>
    </row>
    <row r="109">
      <c r="A109" s="255" t="s">
        <v>2978</v>
      </c>
      <c r="B109" s="255" t="s">
        <v>2120</v>
      </c>
      <c r="C109" s="255" t="s">
        <v>2121</v>
      </c>
      <c r="D109" s="256" t="s">
        <v>3078</v>
      </c>
      <c r="E109" s="169" t="str">
        <f t="shared" si="2"/>
        <v>PRISM: LLM-Guided Semantic Clustering for High-Precision Topics
Connor Douglas, Utkucan Balci and Joseph Aylett-Bullock
</v>
      </c>
      <c r="F109" s="169" t="str">
        <f>IFERROR(__xludf.DUMMYFUNCTION("TEXTJOIN(CHAR(10), TRUE,FILTER ('Sheridan Main'!E:E,'Sheridan Main'!B:B=B109))"),"cpd8405@nyu.edu")</f>
        <v>cpd8405@nyu.edu</v>
      </c>
      <c r="G109" s="170" t="str">
        <f>IFERROR(__xludf.DUMMYFUNCTION("CONCATENATE(""https://dl.acm.org/doi/"",INDEX(FILTER('Sheridan Main'!A:A,'Sheridan Main'!B:B=B109),1))"),"https://dl.acm.org/doi/10.1145/3774904.3792944")</f>
        <v>https://dl.acm.org/doi/10.1145/3774904.3792944</v>
      </c>
      <c r="H109" s="143" t="s">
        <v>188</v>
      </c>
    </row>
    <row r="110">
      <c r="A110" s="255" t="s">
        <v>2978</v>
      </c>
      <c r="B110" s="255" t="s">
        <v>2122</v>
      </c>
      <c r="C110" s="255" t="s">
        <v>2123</v>
      </c>
      <c r="D110" s="256" t="s">
        <v>3079</v>
      </c>
      <c r="E110" s="169" t="str">
        <f t="shared" si="2"/>
        <v>CitiLink-Summ: A Dataset of Discussion Subjects Summaries in European Portuguese Municipal Meeting Minutes
Miguel Marques, Ana Luísa Fernandes, Ana Filipa Pacheco, Rute Rebouças, Inês Cantante, José Isidro, Luís Filipe Cunha, Alípio Jorge, Nuno Guimarães, Sérgio Nunes, António Leal, Purificação Silvano and Ricardo Campos
</v>
      </c>
      <c r="F110" s="169" t="str">
        <f>IFERROR(__xludf.DUMMYFUNCTION("TEXTJOIN(CHAR(10), TRUE,FILTER ('Sheridan Main'!E:E,'Sheridan Main'!B:B=B110))"),"nuno.r.guimaraes@inesctec.pt")</f>
        <v>nuno.r.guimaraes@inesctec.pt</v>
      </c>
      <c r="G110" s="170" t="str">
        <f>IFERROR(__xludf.DUMMYFUNCTION("CONCATENATE(""https://dl.acm.org/doi/"",INDEX(FILTER('Sheridan Main'!A:A,'Sheridan Main'!B:B=B110),1))"),"https://dl.acm.org/doi/10.1145/3774904.3792945")</f>
        <v>https://dl.acm.org/doi/10.1145/3774904.3792945</v>
      </c>
      <c r="H110" s="143" t="s">
        <v>188</v>
      </c>
    </row>
    <row r="111">
      <c r="A111" s="255" t="s">
        <v>2978</v>
      </c>
      <c r="B111" s="255" t="s">
        <v>2124</v>
      </c>
      <c r="C111" s="255" t="s">
        <v>2125</v>
      </c>
      <c r="D111" s="256" t="s">
        <v>3080</v>
      </c>
      <c r="E111" s="169" t="str">
        <f t="shared" si="2"/>
        <v>Multi-Modal Enhanced Graph Transfer Learning for Digital Finance Fraud Detection
Yuxin Liu, Stephen Chan, Jeffrey Chu, Yuanyuan Zhang, Chenguang Yang, Zihao Wang, Yulia R. Gel and Yuzhou Chen
</v>
      </c>
      <c r="F111" s="169" t="str">
        <f>IFERROR(__xludf.DUMMYFUNCTION("TEXTJOIN(CHAR(10), TRUE,FILTER ('Sheridan Main'!E:E,'Sheridan Main'!B:B=B111))"),"yuzhou.chen@ucr.edu")</f>
        <v>yuzhou.chen@ucr.edu</v>
      </c>
      <c r="G111" s="170" t="str">
        <f>IFERROR(__xludf.DUMMYFUNCTION("CONCATENATE(""https://dl.acm.org/doi/"",INDEX(FILTER('Sheridan Main'!A:A,'Sheridan Main'!B:B=B111),1))"),"https://dl.acm.org/doi/10.1145/3774904.3792946")</f>
        <v>https://dl.acm.org/doi/10.1145/3774904.3792946</v>
      </c>
      <c r="H111" s="143" t="s">
        <v>188</v>
      </c>
    </row>
    <row r="112">
      <c r="A112" s="255" t="s">
        <v>2978</v>
      </c>
      <c r="B112" s="255" t="s">
        <v>2126</v>
      </c>
      <c r="C112" s="255" t="s">
        <v>2127</v>
      </c>
      <c r="D112" s="256" t="s">
        <v>3081</v>
      </c>
      <c r="E112" s="169" t="str">
        <f t="shared" si="2"/>
        <v>Designing for the Next Click: Bandits for Real-Time Page Layout
Bhavtosh Rath, Harshith Narasimhamurthy, Bob Eisinger, Cole Stiegler, Adnan Awow and Amit Pande
</v>
      </c>
      <c r="F112" s="169" t="str">
        <f>IFERROR(__xludf.DUMMYFUNCTION("TEXTJOIN(CHAR(10), TRUE,FILTER ('Sheridan Main'!E:E,'Sheridan Main'!B:B=B112))"),"bhavtosh.rath@target.com")</f>
        <v>bhavtosh.rath@target.com</v>
      </c>
      <c r="G112" s="170" t="str">
        <f>IFERROR(__xludf.DUMMYFUNCTION("CONCATENATE(""https://dl.acm.org/doi/"",INDEX(FILTER('Sheridan Main'!A:A,'Sheridan Main'!B:B=B112),1))"),"https://dl.acm.org/doi/10.1145/3774904.3792947")</f>
        <v>https://dl.acm.org/doi/10.1145/3774904.3792947</v>
      </c>
      <c r="H112" s="143" t="s">
        <v>188</v>
      </c>
    </row>
    <row r="113">
      <c r="A113" s="255" t="s">
        <v>2978</v>
      </c>
      <c r="B113" s="255" t="s">
        <v>2128</v>
      </c>
      <c r="C113" s="255" t="s">
        <v>2129</v>
      </c>
      <c r="D113" s="256" t="s">
        <v>3082</v>
      </c>
      <c r="E113" s="169" t="str">
        <f t="shared" si="2"/>
        <v>Deepfakes in the 2025 Canadian Election: Prevalence, Partisanship, and Platform Dynamics
Victor Livernoche, Andreea Musulan, Zachary Yang, Jean-François Godbout and Reihaneh Rabbany
</v>
      </c>
      <c r="F113" s="169" t="str">
        <f>IFERROR(__xludf.DUMMYFUNCTION("TEXTJOIN(CHAR(10), TRUE,FILTER ('Sheridan Main'!E:E,'Sheridan Main'!B:B=B113))"),"victor.livernoche@mail.mcgill.ca")</f>
        <v>victor.livernoche@mail.mcgill.ca</v>
      </c>
      <c r="G113" s="170" t="str">
        <f>IFERROR(__xludf.DUMMYFUNCTION("CONCATENATE(""https://dl.acm.org/doi/"",INDEX(FILTER('Sheridan Main'!A:A,'Sheridan Main'!B:B=B113),1))"),"https://dl.acm.org/doi/10.1145/3774904.3792948")</f>
        <v>https://dl.acm.org/doi/10.1145/3774904.3792948</v>
      </c>
      <c r="H113" s="143" t="s">
        <v>188</v>
      </c>
    </row>
    <row r="114">
      <c r="A114" s="255" t="s">
        <v>2978</v>
      </c>
      <c r="B114" s="255" t="s">
        <v>2130</v>
      </c>
      <c r="C114" s="255" t="s">
        <v>2131</v>
      </c>
      <c r="D114" s="256" t="s">
        <v>3083</v>
      </c>
      <c r="E114" s="169" t="str">
        <f t="shared" si="2"/>
        <v>Edit-Level Tracking of Narrative Changes in 10-K Filings
Xiao Li, Changhong Jin, Yingjie Niu, Jingyi Wang and Ruihai Dong
</v>
      </c>
      <c r="F114" s="169" t="str">
        <f>IFERROR(__xludf.DUMMYFUNCTION("TEXTJOIN(CHAR(10), TRUE,FILTER ('Sheridan Main'!E:E,'Sheridan Main'!B:B=B114))"),"xiao.li@ucdconnect.ie")</f>
        <v>xiao.li@ucdconnect.ie</v>
      </c>
      <c r="G114" s="170" t="str">
        <f>IFERROR(__xludf.DUMMYFUNCTION("CONCATENATE(""https://dl.acm.org/doi/"",INDEX(FILTER('Sheridan Main'!A:A,'Sheridan Main'!B:B=B114),1))"),"https://dl.acm.org/doi/10.1145/3774904.3792949")</f>
        <v>https://dl.acm.org/doi/10.1145/3774904.3792949</v>
      </c>
      <c r="H114" s="143" t="s">
        <v>188</v>
      </c>
    </row>
    <row r="115">
      <c r="A115" s="255" t="s">
        <v>2978</v>
      </c>
      <c r="B115" s="255" t="s">
        <v>2132</v>
      </c>
      <c r="C115" s="255" t="s">
        <v>2133</v>
      </c>
      <c r="D115" s="256" t="s">
        <v>3084</v>
      </c>
      <c r="E115" s="169" t="str">
        <f t="shared" si="2"/>
        <v>Real-Time Trend Prediction via Continually-Aligned LLM Query Generation
Zijing Hui, Wenhan Lyu, Shusen Wang, Li Chen and Chu Wang
</v>
      </c>
      <c r="F115" s="169" t="str">
        <f>IFERROR(__xludf.DUMMYFUNCTION("TEXTJOIN(CHAR(10), TRUE,FILTER ('Sheridan Main'!E:E,'Sheridan Main'!B:B=B115))"),"zijihui@meta.com")</f>
        <v>zijihui@meta.com</v>
      </c>
      <c r="G115" s="170" t="str">
        <f>IFERROR(__xludf.DUMMYFUNCTION("CONCATENATE(""https://dl.acm.org/doi/"",INDEX(FILTER('Sheridan Main'!A:A,'Sheridan Main'!B:B=B115),1))"),"https://dl.acm.org/doi/10.1145/3774904.3792950")</f>
        <v>https://dl.acm.org/doi/10.1145/3774904.3792950</v>
      </c>
      <c r="H115" s="143" t="s">
        <v>188</v>
      </c>
    </row>
    <row r="116">
      <c r="A116" s="255" t="s">
        <v>2978</v>
      </c>
      <c r="B116" s="255" t="s">
        <v>2134</v>
      </c>
      <c r="C116" s="255" t="s">
        <v>2135</v>
      </c>
      <c r="D116" s="256" t="s">
        <v>3085</v>
      </c>
      <c r="E116" s="169" t="str">
        <f t="shared" si="2"/>
        <v>Uncertainty-Aware Web-Conditioned Scientific Fact-Checking
Ashwin Vinod and Katrin Erk
</v>
      </c>
      <c r="F116" s="169" t="str">
        <f>IFERROR(__xludf.DUMMYFUNCTION("TEXTJOIN(CHAR(10), TRUE,FILTER ('Sheridan Main'!E:E,'Sheridan Main'!B:B=B116))"),"ashwinnair2323@gmail.com")</f>
        <v>ashwinnair2323@gmail.com</v>
      </c>
      <c r="G116" s="170" t="str">
        <f>IFERROR(__xludf.DUMMYFUNCTION("CONCATENATE(""https://dl.acm.org/doi/"",INDEX(FILTER('Sheridan Main'!A:A,'Sheridan Main'!B:B=B116),1))"),"https://dl.acm.org/doi/10.1145/3774904.3792951")</f>
        <v>https://dl.acm.org/doi/10.1145/3774904.3792951</v>
      </c>
      <c r="H116" s="143" t="s">
        <v>188</v>
      </c>
    </row>
    <row r="117">
      <c r="A117" s="255" t="s">
        <v>2978</v>
      </c>
      <c r="B117" s="255" t="s">
        <v>2136</v>
      </c>
      <c r="C117" s="255" t="s">
        <v>2137</v>
      </c>
      <c r="D117" s="256" t="s">
        <v>3086</v>
      </c>
      <c r="E117" s="169" t="str">
        <f t="shared" si="2"/>
        <v>Towards Token-Level Text Anomaly Detection
Yang Cao, Bicheng Yu, Sikun Yang, Ming Liu and Yujiu Yang
</v>
      </c>
      <c r="F117" s="169" t="str">
        <f>IFERROR(__xludf.DUMMYFUNCTION("TEXTJOIN(CHAR(10), TRUE,FILTER ('Sheridan Main'!E:E,'Sheridan Main'!B:B=B117))"),"sikunyang@gbu.edu.cn")</f>
        <v>sikunyang@gbu.edu.cn</v>
      </c>
      <c r="G117" s="170" t="str">
        <f>IFERROR(__xludf.DUMMYFUNCTION("CONCATENATE(""https://dl.acm.org/doi/"",INDEX(FILTER('Sheridan Main'!A:A,'Sheridan Main'!B:B=B117),1))"),"https://dl.acm.org/doi/10.1145/3774904.3792952")</f>
        <v>https://dl.acm.org/doi/10.1145/3774904.3792952</v>
      </c>
      <c r="H117" s="143" t="s">
        <v>188</v>
      </c>
    </row>
    <row r="118">
      <c r="A118" s="255" t="s">
        <v>2978</v>
      </c>
      <c r="B118" s="255" t="s">
        <v>2138</v>
      </c>
      <c r="C118" s="255" t="s">
        <v>2139</v>
      </c>
      <c r="D118" s="256" t="s">
        <v>3087</v>
      </c>
      <c r="E118" s="169" t="str">
        <f t="shared" si="2"/>
        <v>llm-tuna - Hyperparameter Optimization for LLM Inference
Thameem Abbas Ibrahim Bathusha, Aanya Sharma, Andy Huynh, Rehan Samaratunga and Ashish Kamra
</v>
      </c>
      <c r="F118" s="169" t="str">
        <f>IFERROR(__xludf.DUMMYFUNCTION("TEXTJOIN(CHAR(10), TRUE,FILTER ('Sheridan Main'!E:E,'Sheridan Main'!B:B=B118))"),"thibrahi@redhat.com")</f>
        <v>thibrahi@redhat.com</v>
      </c>
      <c r="G118" s="170" t="str">
        <f>IFERROR(__xludf.DUMMYFUNCTION("CONCATENATE(""https://dl.acm.org/doi/"",INDEX(FILTER('Sheridan Main'!A:A,'Sheridan Main'!B:B=B118),1))"),"https://dl.acm.org/doi/10.1145/3774904.3792953")</f>
        <v>https://dl.acm.org/doi/10.1145/3774904.3792953</v>
      </c>
      <c r="H118" s="143" t="s">
        <v>188</v>
      </c>
    </row>
    <row r="119">
      <c r="A119" s="255" t="s">
        <v>2978</v>
      </c>
      <c r="B119" s="255" t="s">
        <v>2140</v>
      </c>
      <c r="C119" s="255" t="s">
        <v>2141</v>
      </c>
      <c r="D119" s="256" t="s">
        <v>3088</v>
      </c>
      <c r="E119" s="169" t="str">
        <f t="shared" si="2"/>
        <v>From Random Forget-Sets to Realistic Natural-Language Deletion Requests
Imran Ahsan, Jinsung Kim and Mucheol Kim
</v>
      </c>
      <c r="F119" s="169" t="str">
        <f>IFERROR(__xludf.DUMMYFUNCTION("TEXTJOIN(CHAR(10), TRUE,FILTER ('Sheridan Main'!E:E,'Sheridan Main'!B:B=B119))"),"kimm@cau.ac.kr")</f>
        <v>kimm@cau.ac.kr</v>
      </c>
      <c r="G119" s="170" t="str">
        <f>IFERROR(__xludf.DUMMYFUNCTION("CONCATENATE(""https://dl.acm.org/doi/"",INDEX(FILTER('Sheridan Main'!A:A,'Sheridan Main'!B:B=B119),1))"),"https://dl.acm.org/doi/10.1145/3774904.3792954")</f>
        <v>https://dl.acm.org/doi/10.1145/3774904.3792954</v>
      </c>
      <c r="H119" s="143" t="s">
        <v>188</v>
      </c>
    </row>
    <row r="120">
      <c r="A120" s="255" t="s">
        <v>2978</v>
      </c>
      <c r="B120" s="255" t="s">
        <v>2142</v>
      </c>
      <c r="C120" s="255" t="s">
        <v>2143</v>
      </c>
      <c r="D120" s="256" t="s">
        <v>3089</v>
      </c>
      <c r="E120" s="169" t="str">
        <f t="shared" si="2"/>
        <v>Retrieval Collapses When AI Pollutes the Web
Hongyeon Yu, Dongchan Kim and Young-Bum Kim
</v>
      </c>
      <c r="F120" s="169" t="str">
        <f>IFERROR(__xludf.DUMMYFUNCTION("TEXTJOIN(CHAR(10), TRUE,FILTER ('Sheridan Main'!E:E,'Sheridan Main'!B:B=B120))"),"hongyeon.yu@gmail.com")</f>
        <v>hongyeon.yu@gmail.com</v>
      </c>
      <c r="G120" s="170" t="str">
        <f>IFERROR(__xludf.DUMMYFUNCTION("CONCATENATE(""https://dl.acm.org/doi/"",INDEX(FILTER('Sheridan Main'!A:A,'Sheridan Main'!B:B=B120),1))"),"https://dl.acm.org/doi/10.1145/3774904.3792955")</f>
        <v>https://dl.acm.org/doi/10.1145/3774904.3792955</v>
      </c>
      <c r="H120" s="143" t="s">
        <v>188</v>
      </c>
    </row>
    <row r="121">
      <c r="A121" s="255" t="s">
        <v>2978</v>
      </c>
      <c r="B121" s="255" t="s">
        <v>2144</v>
      </c>
      <c r="C121" s="255" t="s">
        <v>2145</v>
      </c>
      <c r="D121" s="256" t="s">
        <v>3090</v>
      </c>
      <c r="E121" s="169" t="str">
        <f t="shared" si="2"/>
        <v>Multimodal Topic Discovery in Web Media via von Mises-Fisher Mixture Neural Topic Models
Dayu Guo, Zhiwen Luo, Nizar Bouguila and Wentao Fan
</v>
      </c>
      <c r="F121" s="169" t="str">
        <f>IFERROR(__xludf.DUMMYFUNCTION("TEXTJOIN(CHAR(10), TRUE,FILTER ('Sheridan Main'!E:E,'Sheridan Main'!B:B=B121))"),"wentaofan@bnbu.edu.cn")</f>
        <v>wentaofan@bnbu.edu.cn</v>
      </c>
      <c r="G121" s="170" t="str">
        <f>IFERROR(__xludf.DUMMYFUNCTION("CONCATENATE(""https://dl.acm.org/doi/"",INDEX(FILTER('Sheridan Main'!A:A,'Sheridan Main'!B:B=B121),1))"),"https://dl.acm.org/doi/10.1145/3774904.3792956")</f>
        <v>https://dl.acm.org/doi/10.1145/3774904.3792956</v>
      </c>
      <c r="H121" s="143" t="s">
        <v>188</v>
      </c>
    </row>
    <row r="122">
      <c r="A122" s="255" t="s">
        <v>2978</v>
      </c>
      <c r="B122" s="255" t="s">
        <v>2146</v>
      </c>
      <c r="C122" s="255" t="s">
        <v>2147</v>
      </c>
      <c r="D122" s="256" t="s">
        <v>3091</v>
      </c>
      <c r="E122" s="169" t="str">
        <f t="shared" si="2"/>
        <v>Predicting Expectancy Violations Using Eye-Tracking Features: A Machine Learning Approach
Sakrapee Paisalnan and Yashar Moshfeghi
</v>
      </c>
      <c r="F122" s="169" t="str">
        <f>IFERROR(__xludf.DUMMYFUNCTION("TEXTJOIN(CHAR(10), TRUE,FILTER ('Sheridan Main'!E:E,'Sheridan Main'!B:B=B122))"),"paisalnan_s@su.ac.th")</f>
        <v>paisalnan_s@su.ac.th</v>
      </c>
      <c r="G122" s="170" t="str">
        <f>IFERROR(__xludf.DUMMYFUNCTION("CONCATENATE(""https://dl.acm.org/doi/"",INDEX(FILTER('Sheridan Main'!A:A,'Sheridan Main'!B:B=B122),1))"),"https://dl.acm.org/doi/10.1145/3774904.3792957")</f>
        <v>https://dl.acm.org/doi/10.1145/3774904.3792957</v>
      </c>
      <c r="H122" s="143" t="s">
        <v>188</v>
      </c>
    </row>
    <row r="123">
      <c r="A123" s="255" t="s">
        <v>2978</v>
      </c>
      <c r="B123" s="255" t="s">
        <v>2148</v>
      </c>
      <c r="C123" s="255" t="s">
        <v>2149</v>
      </c>
      <c r="D123" s="256" t="s">
        <v>3092</v>
      </c>
      <c r="E123" s="169" t="str">
        <f t="shared" si="2"/>
        <v>SEER: Set Encoding for Efficient Representation in Large-Scale E-commerce
Yining Lin, Yuming Shen, Yipeng Zhang and Canran Xu
</v>
      </c>
      <c r="F123" s="169" t="str">
        <f>IFERROR(__xludf.DUMMYFUNCTION("TEXTJOIN(CHAR(10), TRUE,FILTER ('Sheridan Main'!E:E,'Sheridan Main'!B:B=B123))"),"canxu@ebay.com")</f>
        <v>canxu@ebay.com</v>
      </c>
      <c r="G123" s="170" t="str">
        <f>IFERROR(__xludf.DUMMYFUNCTION("CONCATENATE(""https://dl.acm.org/doi/"",INDEX(FILTER('Sheridan Main'!A:A,'Sheridan Main'!B:B=B123),1))"),"https://dl.acm.org/doi/10.1145/3774904.3792958")</f>
        <v>https://dl.acm.org/doi/10.1145/3774904.3792958</v>
      </c>
      <c r="H123" s="143" t="s">
        <v>188</v>
      </c>
    </row>
    <row r="124">
      <c r="A124" s="255" t="s">
        <v>2978</v>
      </c>
      <c r="B124" s="255" t="s">
        <v>2150</v>
      </c>
      <c r="C124" s="255" t="s">
        <v>2151</v>
      </c>
      <c r="D124" s="256" t="s">
        <v>3093</v>
      </c>
      <c r="E124" s="169" t="str">
        <f t="shared" si="2"/>
        <v>ReSuMe: Retriever-Summarizer Mutual Enhancement via Reinforcement Learning
Owais Makroo, Nikhil Pattisapu, Karan Gupta, Ankit Gandhi, Vijay Huddar and Atul Saroop
</v>
      </c>
      <c r="F124" s="169" t="str">
        <f>IFERROR(__xludf.DUMMYFUNCTION("TEXTJOIN(CHAR(10), TRUE,FILTER ('Sheridan Main'!E:E,'Sheridan Main'!B:B=B124))"),"makroo.owais@gmail.com")</f>
        <v>makroo.owais@gmail.com</v>
      </c>
      <c r="G124" s="170" t="str">
        <f>IFERROR(__xludf.DUMMYFUNCTION("CONCATENATE(""https://dl.acm.org/doi/"",INDEX(FILTER('Sheridan Main'!A:A,'Sheridan Main'!B:B=B124),1))"),"https://dl.acm.org/doi/10.1145/3774904.3792959")</f>
        <v>https://dl.acm.org/doi/10.1145/3774904.3792959</v>
      </c>
      <c r="H124" s="143" t="s">
        <v>188</v>
      </c>
    </row>
    <row r="125">
      <c r="A125" s="255" t="s">
        <v>2978</v>
      </c>
      <c r="B125" s="255" t="s">
        <v>2152</v>
      </c>
      <c r="C125" s="255" t="s">
        <v>2153</v>
      </c>
      <c r="D125" s="256" t="s">
        <v>3094</v>
      </c>
      <c r="E125" s="169" t="str">
        <f t="shared" si="2"/>
        <v>Agent-Enhanced Heterogeneous Graph RAG for Academic Question Answering
Runsong Jia, Mengjia Wu, Ying Ding, Jie Lu and Yi Zhang
</v>
      </c>
      <c r="F125" s="169" t="str">
        <f>IFERROR(__xludf.DUMMYFUNCTION("TEXTJOIN(CHAR(10), TRUE,FILTER ('Sheridan Main'!E:E,'Sheridan Main'!B:B=B125))"),"Yi.Zhang@uts.edu.au")</f>
        <v>Yi.Zhang@uts.edu.au</v>
      </c>
      <c r="G125" s="170" t="str">
        <f>IFERROR(__xludf.DUMMYFUNCTION("CONCATENATE(""https://dl.acm.org/doi/"",INDEX(FILTER('Sheridan Main'!A:A,'Sheridan Main'!B:B=B125),1))"),"https://dl.acm.org/doi/10.1145/3774904.3792960")</f>
        <v>https://dl.acm.org/doi/10.1145/3774904.3792960</v>
      </c>
      <c r="H125" s="143" t="s">
        <v>188</v>
      </c>
    </row>
    <row r="126">
      <c r="A126" s="255" t="s">
        <v>2978</v>
      </c>
      <c r="B126" s="255" t="s">
        <v>2154</v>
      </c>
      <c r="C126" s="255" t="s">
        <v>2155</v>
      </c>
      <c r="D126" s="256" t="s">
        <v>3095</v>
      </c>
      <c r="E126" s="169" t="str">
        <f t="shared" si="2"/>
        <v>Causal Pre-training Under the Fairness Lens: An Empirical Study of TabPFN
Qinyi Liu, Mohammad Khalil and Naman Goel
</v>
      </c>
      <c r="F126" s="169" t="str">
        <f>IFERROR(__xludf.DUMMYFUNCTION("TEXTJOIN(CHAR(10), TRUE,FILTER ('Sheridan Main'!E:E,'Sheridan Main'!B:B=B126))"),"qinyi.liu@uib.no")</f>
        <v>qinyi.liu@uib.no</v>
      </c>
      <c r="G126" s="170" t="str">
        <f>IFERROR(__xludf.DUMMYFUNCTION("CONCATENATE(""https://dl.acm.org/doi/"",INDEX(FILTER('Sheridan Main'!A:A,'Sheridan Main'!B:B=B126),1))"),"https://dl.acm.org/doi/10.1145/3774904.3792961")</f>
        <v>https://dl.acm.org/doi/10.1145/3774904.3792961</v>
      </c>
      <c r="H126" s="143" t="s">
        <v>188</v>
      </c>
    </row>
    <row r="127">
      <c r="A127" s="255" t="s">
        <v>2978</v>
      </c>
      <c r="B127" s="255" t="s">
        <v>2156</v>
      </c>
      <c r="C127" s="255" t="s">
        <v>2157</v>
      </c>
      <c r="D127" s="256" t="s">
        <v>3096</v>
      </c>
      <c r="E127" s="169" t="str">
        <f t="shared" si="2"/>
        <v>STAR: Semantic Table Representation with Header-Aware Clustering and Adaptive Weighted Fusion
Shui-Hsiang Hsu, Tsung-Hsiang Chou, Chen-Jui Yu and Yao-Chung Fan
</v>
      </c>
      <c r="F127" s="169" t="str">
        <f>IFERROR(__xludf.DUMMYFUNCTION("TEXTJOIN(CHAR(10), TRUE,FILTER ('Sheridan Main'!E:E,'Sheridan Main'!B:B=B127))"),"g113056055@smail.nchu.edu.tw")</f>
        <v>g113056055@smail.nchu.edu.tw</v>
      </c>
      <c r="G127" s="170" t="str">
        <f>IFERROR(__xludf.DUMMYFUNCTION("CONCATENATE(""https://dl.acm.org/doi/"",INDEX(FILTER('Sheridan Main'!A:A,'Sheridan Main'!B:B=B127),1))"),"https://dl.acm.org/doi/10.1145/3774904.3792962")</f>
        <v>https://dl.acm.org/doi/10.1145/3774904.3792962</v>
      </c>
      <c r="H127" s="143" t="s">
        <v>188</v>
      </c>
    </row>
    <row r="128">
      <c r="A128" s="255" t="s">
        <v>2978</v>
      </c>
      <c r="B128" s="255" t="s">
        <v>2158</v>
      </c>
      <c r="C128" s="255" t="s">
        <v>2159</v>
      </c>
      <c r="D128" s="256" t="s">
        <v>3097</v>
      </c>
      <c r="E128" s="169" t="str">
        <f t="shared" si="2"/>
        <v>ULoR: Uncertainty-Aware Leave-One-Out Refinement Framework for Diagnosis Prediction
Jie Zhang, Wanzi Shao and Tan Yanchao
</v>
      </c>
      <c r="F128" s="169" t="str">
        <f>IFERROR(__xludf.DUMMYFUNCTION("TEXTJOIN(CHAR(10), TRUE,FILTER ('Sheridan Main'!E:E,'Sheridan Main'!B:B=B128))"),"ee6r1c7@gmail.com")</f>
        <v>ee6r1c7@gmail.com</v>
      </c>
      <c r="G128" s="170" t="str">
        <f>IFERROR(__xludf.DUMMYFUNCTION("CONCATENATE(""https://dl.acm.org/doi/"",INDEX(FILTER('Sheridan Main'!A:A,'Sheridan Main'!B:B=B128),1))"),"https://dl.acm.org/doi/10.1145/3774904.3792963")</f>
        <v>https://dl.acm.org/doi/10.1145/3774904.3792963</v>
      </c>
      <c r="H128" s="143" t="s">
        <v>188</v>
      </c>
    </row>
    <row r="129">
      <c r="A129" s="255" t="s">
        <v>2978</v>
      </c>
      <c r="B129" s="255" t="s">
        <v>2160</v>
      </c>
      <c r="C129" s="255" t="s">
        <v>2161</v>
      </c>
      <c r="D129" s="256" t="s">
        <v>3098</v>
      </c>
      <c r="E129" s="169" t="str">
        <f t="shared" si="2"/>
        <v>Lurkers, Interactors, Creators: Modeling Behavioral and Ideological Diversity on X
Cai Yang, Kokil Jaidka, Yphtach Lelkes and Subhayan Mukerjee
</v>
      </c>
      <c r="F129" s="169" t="str">
        <f>IFERROR(__xludf.DUMMYFUNCTION("TEXTJOIN(CHAR(10), TRUE,FILTER ('Sheridan Main'!E:E,'Sheridan Main'!B:B=B129))"),"kokil.j@gmail.com")</f>
        <v>kokil.j@gmail.com</v>
      </c>
      <c r="G129" s="170" t="str">
        <f>IFERROR(__xludf.DUMMYFUNCTION("CONCATENATE(""https://dl.acm.org/doi/"",INDEX(FILTER('Sheridan Main'!A:A,'Sheridan Main'!B:B=B129),1))"),"https://dl.acm.org/doi/10.1145/3774904.3792964")</f>
        <v>https://dl.acm.org/doi/10.1145/3774904.3792964</v>
      </c>
      <c r="H129" s="143" t="s">
        <v>188</v>
      </c>
    </row>
    <row r="130">
      <c r="A130" s="255" t="s">
        <v>2978</v>
      </c>
      <c r="B130" s="255" t="s">
        <v>2162</v>
      </c>
      <c r="C130" s="255" t="s">
        <v>2163</v>
      </c>
      <c r="D130" s="256" t="s">
        <v>3099</v>
      </c>
      <c r="E130" s="169" t="str">
        <f t="shared" si="2"/>
        <v>Tabular Foundation Models are Strong Graph Anomaly Detectors
Yunhui Liu, Tieke He, Yongchao Liu, Can Yi, Hong Jin and Chuntao Hong
</v>
      </c>
      <c r="F130" s="169" t="str">
        <f>IFERROR(__xludf.DUMMYFUNCTION("TEXTJOIN(CHAR(10), TRUE,FILTER ('Sheridan Main'!E:E,'Sheridan Main'!B:B=B130))"),"hetieke@gmail.com")</f>
        <v>hetieke@gmail.com</v>
      </c>
      <c r="G130" s="170" t="str">
        <f>IFERROR(__xludf.DUMMYFUNCTION("CONCATENATE(""https://dl.acm.org/doi/"",INDEX(FILTER('Sheridan Main'!A:A,'Sheridan Main'!B:B=B130),1))"),"https://dl.acm.org/doi/10.1145/3774904.3792965")</f>
        <v>https://dl.acm.org/doi/10.1145/3774904.3792965</v>
      </c>
      <c r="H130" s="143" t="s">
        <v>188</v>
      </c>
    </row>
    <row r="131">
      <c r="A131" s="255" t="s">
        <v>2978</v>
      </c>
      <c r="B131" s="255" t="s">
        <v>2164</v>
      </c>
      <c r="C131" s="255" t="s">
        <v>2165</v>
      </c>
      <c r="D131" s="256" t="s">
        <v>3100</v>
      </c>
      <c r="E131" s="169" t="str">
        <f t="shared" si="2"/>
        <v>Weighted Reservoir Sampling with Replacement from Data Streams
Adriano Meligrana and Adriano Fazzone
</v>
      </c>
      <c r="F131" s="169" t="str">
        <f>IFERROR(__xludf.DUMMYFUNCTION("TEXTJOIN(CHAR(10), TRUE,FILTER ('Sheridan Main'!E:E,'Sheridan Main'!B:B=B131))"),"adriano.meligrana@diag.uniroma1.it")</f>
        <v>adriano.meligrana@diag.uniroma1.it</v>
      </c>
      <c r="G131" s="170" t="str">
        <f>IFERROR(__xludf.DUMMYFUNCTION("CONCATENATE(""https://dl.acm.org/doi/"",INDEX(FILTER('Sheridan Main'!A:A,'Sheridan Main'!B:B=B131),1))"),"https://dl.acm.org/doi/10.1145/3774904.3792966")</f>
        <v>https://dl.acm.org/doi/10.1145/3774904.3792966</v>
      </c>
      <c r="H131" s="143" t="s">
        <v>188</v>
      </c>
    </row>
    <row r="132">
      <c r="A132" s="255" t="s">
        <v>2978</v>
      </c>
      <c r="B132" s="255" t="s">
        <v>2166</v>
      </c>
      <c r="C132" s="255" t="s">
        <v>2167</v>
      </c>
      <c r="D132" s="256" t="s">
        <v>3101</v>
      </c>
      <c r="E132" s="169" t="str">
        <f t="shared" si="2"/>
        <v>Multi-field Balance-aware Calibration of Predictions in Online Advertising
Zi-Kang Wang, Lei Gong, Shu-Ting Shi, Lan-Zhe Guo and Mu-Yu Zhang
</v>
      </c>
      <c r="F132" s="169" t="str">
        <f>IFERROR(__xludf.DUMMYFUNCTION("TEXTJOIN(CHAR(10), TRUE,FILTER ('Sheridan Main'!E:E,'Sheridan Main'!B:B=B132))"),"zhangmuyu@huawei.com")</f>
        <v>zhangmuyu@huawei.com</v>
      </c>
      <c r="G132" s="170" t="str">
        <f>IFERROR(__xludf.DUMMYFUNCTION("CONCATENATE(""https://dl.acm.org/doi/"",INDEX(FILTER('Sheridan Main'!A:A,'Sheridan Main'!B:B=B132),1))"),"https://dl.acm.org/doi/10.1145/3774904.3792967")</f>
        <v>https://dl.acm.org/doi/10.1145/3774904.3792967</v>
      </c>
      <c r="H132" s="143" t="s">
        <v>188</v>
      </c>
    </row>
  </sheetData>
  <conditionalFormatting sqref="H9:H132">
    <cfRule type="cellIs" dxfId="5" priority="1" operator="equal">
      <formula>"TRUE"</formula>
    </cfRule>
  </conditionalFormatting>
  <dataValidations>
    <dataValidation type="list" allowBlank="1" showErrorMessage="1" sqref="H9:H132">
      <formula1>"ShortPapers1,ShortPapers2,ShortPapers3,ShortPapers4,ShortPapers5"</formula1>
    </dataValidation>
  </dataValidation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8.0" topLeftCell="A9" activePane="bottomLeft" state="frozen"/>
      <selection activeCell="B10" sqref="B10" pane="bottomLeft"/>
    </sheetView>
  </sheetViews>
  <sheetFormatPr customHeight="1" defaultColWidth="12.63" defaultRowHeight="15.75"/>
  <cols>
    <col customWidth="1" min="2" max="2" width="41.13"/>
    <col customWidth="1" min="3" max="3" width="58.25"/>
    <col customWidth="1" min="4" max="4" width="51.13"/>
    <col customWidth="1" min="5" max="5" width="35.0"/>
    <col customWidth="1" min="6" max="6" width="51.13"/>
    <col customWidth="1" min="7" max="7" width="34.75"/>
  </cols>
  <sheetData>
    <row r="1">
      <c r="A1" s="253" t="s">
        <v>2843</v>
      </c>
      <c r="B1" s="254" t="s">
        <v>2845</v>
      </c>
      <c r="C1" s="172"/>
      <c r="D1" s="172"/>
      <c r="E1" s="224" t="s">
        <v>2928</v>
      </c>
      <c r="F1" s="224" t="s">
        <v>2951</v>
      </c>
      <c r="G1" s="172"/>
      <c r="H1" s="172"/>
      <c r="I1" s="172"/>
      <c r="J1" s="172"/>
      <c r="K1" s="172"/>
      <c r="L1" s="172"/>
      <c r="M1" s="172"/>
      <c r="N1" s="172"/>
      <c r="O1" s="172"/>
      <c r="P1" s="172"/>
      <c r="Q1" s="172"/>
      <c r="R1" s="172"/>
      <c r="S1" s="172"/>
      <c r="T1" s="172"/>
      <c r="U1" s="172"/>
      <c r="V1" s="172"/>
      <c r="W1" s="172"/>
      <c r="X1" s="172"/>
      <c r="Y1" s="172"/>
      <c r="Z1" s="172"/>
      <c r="AA1" s="172"/>
      <c r="AB1" s="172"/>
    </row>
    <row r="2">
      <c r="A2" s="253" t="s">
        <v>89</v>
      </c>
      <c r="B2" s="246">
        <f t="shared" ref="B2:B6" si="1">countif(G:G,A2)</f>
        <v>8</v>
      </c>
      <c r="C2" s="172"/>
      <c r="D2" s="172"/>
      <c r="E2" s="172"/>
      <c r="F2" s="172"/>
      <c r="G2" s="172"/>
      <c r="H2" s="172"/>
      <c r="I2" s="172"/>
      <c r="J2" s="172"/>
      <c r="K2" s="172"/>
      <c r="L2" s="172"/>
      <c r="M2" s="172"/>
      <c r="N2" s="172"/>
      <c r="O2" s="172"/>
      <c r="P2" s="172"/>
      <c r="Q2" s="172"/>
      <c r="R2" s="172"/>
      <c r="S2" s="172"/>
      <c r="T2" s="172"/>
      <c r="U2" s="172"/>
      <c r="V2" s="172"/>
      <c r="W2" s="172"/>
      <c r="X2" s="172"/>
      <c r="Y2" s="172"/>
      <c r="Z2" s="172"/>
      <c r="AA2" s="172"/>
      <c r="AB2" s="172"/>
    </row>
    <row r="3">
      <c r="A3" s="253" t="s">
        <v>112</v>
      </c>
      <c r="B3" s="246">
        <f t="shared" si="1"/>
        <v>8</v>
      </c>
      <c r="C3" s="172"/>
      <c r="D3" s="172"/>
      <c r="E3" s="172"/>
      <c r="F3" s="172"/>
      <c r="G3" s="172"/>
      <c r="H3" s="172"/>
      <c r="I3" s="172"/>
      <c r="J3" s="172"/>
      <c r="K3" s="172"/>
      <c r="L3" s="172"/>
      <c r="M3" s="172"/>
      <c r="N3" s="172"/>
      <c r="O3" s="172"/>
      <c r="P3" s="172"/>
      <c r="Q3" s="172"/>
      <c r="R3" s="172"/>
      <c r="S3" s="172"/>
      <c r="T3" s="172"/>
      <c r="U3" s="172"/>
      <c r="V3" s="172"/>
      <c r="W3" s="172"/>
      <c r="X3" s="172"/>
      <c r="Y3" s="172"/>
      <c r="Z3" s="172"/>
      <c r="AA3" s="172"/>
      <c r="AB3" s="172"/>
    </row>
    <row r="4">
      <c r="A4" s="253" t="s">
        <v>145</v>
      </c>
      <c r="B4" s="246">
        <f t="shared" si="1"/>
        <v>8</v>
      </c>
      <c r="C4" s="172"/>
      <c r="D4" s="172"/>
      <c r="E4" s="172"/>
      <c r="F4" s="172"/>
      <c r="G4" s="172"/>
      <c r="H4" s="172"/>
      <c r="I4" s="172"/>
      <c r="J4" s="172"/>
      <c r="K4" s="172"/>
      <c r="L4" s="172"/>
      <c r="M4" s="172"/>
      <c r="N4" s="172"/>
      <c r="O4" s="172"/>
      <c r="P4" s="172"/>
      <c r="Q4" s="172"/>
      <c r="R4" s="172"/>
      <c r="S4" s="172"/>
      <c r="T4" s="172"/>
      <c r="U4" s="172"/>
      <c r="V4" s="172"/>
      <c r="W4" s="172"/>
      <c r="X4" s="172"/>
      <c r="Y4" s="172"/>
      <c r="Z4" s="172"/>
      <c r="AA4" s="172"/>
      <c r="AB4" s="172"/>
    </row>
    <row r="5">
      <c r="A5" s="253" t="s">
        <v>168</v>
      </c>
      <c r="B5" s="246">
        <f t="shared" si="1"/>
        <v>8</v>
      </c>
      <c r="C5" s="172"/>
      <c r="D5" s="172"/>
      <c r="E5" s="172"/>
      <c r="F5" s="172"/>
      <c r="G5" s="172"/>
      <c r="H5" s="172"/>
      <c r="I5" s="172"/>
      <c r="J5" s="172"/>
      <c r="K5" s="172"/>
      <c r="L5" s="172"/>
      <c r="M5" s="172"/>
      <c r="N5" s="172"/>
      <c r="O5" s="172"/>
      <c r="P5" s="172"/>
      <c r="Q5" s="172"/>
      <c r="R5" s="172"/>
      <c r="S5" s="172"/>
      <c r="T5" s="172"/>
      <c r="U5" s="172"/>
      <c r="V5" s="172"/>
      <c r="W5" s="172"/>
      <c r="X5" s="172"/>
      <c r="Y5" s="172"/>
      <c r="Z5" s="172"/>
      <c r="AA5" s="172"/>
      <c r="AB5" s="172"/>
    </row>
    <row r="6">
      <c r="A6" s="253" t="s">
        <v>187</v>
      </c>
      <c r="B6" s="246">
        <f t="shared" si="1"/>
        <v>8</v>
      </c>
      <c r="C6" s="172"/>
      <c r="D6" s="172"/>
      <c r="E6" s="172"/>
      <c r="F6" s="172"/>
      <c r="G6" s="172"/>
      <c r="H6" s="172"/>
      <c r="I6" s="172"/>
      <c r="J6" s="172"/>
      <c r="K6" s="172"/>
      <c r="L6" s="172"/>
      <c r="M6" s="172"/>
      <c r="N6" s="172"/>
      <c r="O6" s="172"/>
      <c r="P6" s="172"/>
      <c r="Q6" s="172"/>
      <c r="R6" s="172"/>
      <c r="S6" s="172"/>
      <c r="T6" s="172"/>
      <c r="U6" s="172"/>
      <c r="V6" s="172"/>
      <c r="W6" s="172"/>
      <c r="X6" s="172"/>
      <c r="Y6" s="172"/>
      <c r="Z6" s="172"/>
      <c r="AA6" s="172"/>
      <c r="AB6" s="172"/>
    </row>
    <row r="7">
      <c r="A7" s="253" t="s">
        <v>2871</v>
      </c>
      <c r="B7" s="258">
        <f>sum(B2:B6)</f>
        <v>40</v>
      </c>
      <c r="C7" s="172"/>
      <c r="D7" s="172"/>
      <c r="E7" s="172"/>
      <c r="F7" s="172"/>
      <c r="G7" s="172"/>
      <c r="H7" s="172"/>
      <c r="I7" s="172"/>
      <c r="J7" s="172"/>
      <c r="K7" s="172"/>
      <c r="L7" s="172"/>
      <c r="M7" s="172"/>
      <c r="N7" s="172"/>
      <c r="O7" s="172"/>
      <c r="P7" s="172"/>
      <c r="Q7" s="172"/>
      <c r="R7" s="172"/>
      <c r="S7" s="172"/>
      <c r="T7" s="172"/>
      <c r="U7" s="172"/>
      <c r="V7" s="172"/>
      <c r="W7" s="172"/>
      <c r="X7" s="172"/>
      <c r="Y7" s="172"/>
      <c r="Z7" s="172"/>
      <c r="AA7" s="172"/>
      <c r="AB7" s="172"/>
    </row>
    <row r="8">
      <c r="A8" s="253" t="s">
        <v>2949</v>
      </c>
      <c r="B8" s="254" t="s">
        <v>2977</v>
      </c>
      <c r="C8" s="171" t="s">
        <v>2927</v>
      </c>
      <c r="D8" s="171" t="s">
        <v>3102</v>
      </c>
      <c r="E8" s="224" t="s">
        <v>2928</v>
      </c>
      <c r="F8" s="224" t="s">
        <v>2951</v>
      </c>
      <c r="G8" s="171" t="s">
        <v>2843</v>
      </c>
      <c r="H8" s="172"/>
      <c r="I8" s="172"/>
      <c r="J8" s="172"/>
      <c r="K8" s="172"/>
      <c r="L8" s="172"/>
      <c r="M8" s="172"/>
      <c r="N8" s="172"/>
      <c r="O8" s="172"/>
      <c r="P8" s="172"/>
      <c r="Q8" s="172"/>
      <c r="R8" s="172"/>
      <c r="S8" s="172"/>
      <c r="T8" s="172"/>
      <c r="U8" s="172"/>
      <c r="V8" s="172"/>
      <c r="W8" s="172"/>
      <c r="X8" s="172"/>
      <c r="Y8" s="172"/>
      <c r="Z8" s="172"/>
      <c r="AA8" s="172"/>
      <c r="AB8" s="172"/>
    </row>
    <row r="9">
      <c r="A9" s="255" t="s">
        <v>2364</v>
      </c>
      <c r="B9" s="255" t="s">
        <v>2365</v>
      </c>
      <c r="C9" s="255" t="s">
        <v>3103</v>
      </c>
      <c r="D9" s="169" t="str">
        <f t="shared" ref="D9:D48" si="2">CONCATENATE(B9,char(10),C9,char(10))</f>
        <v>STIndex: A Context-Aware Multi-Dimensional Spatiotemporal Information Extraction System
Wenxiao Zhang, Yu Liu, Qiang Sun, Yihao Ding, Sirui Li, Yanbing Liu, Jin B. Hong and Wei Liu
</v>
      </c>
      <c r="E9" s="169" t="str">
        <f>IFERROR(__xludf.DUMMYFUNCTION("TEXTJOIN(CHAR(10), TRUE,FILTER ('Sheridan Comp'!F:F,'Sheridan Comp'!C:C=A9))"),"STIndex: A Context-Aware Multi-Dimensional Spatiotemporal Information Extraction System
Wenxiao Zhang, Yu Liu, Qiang Sun, Yihao Ding, Sirui Li, Yanbing Liu, Jin Hong, Wei Liu
")</f>
        <v>STIndex: A Context-Aware Multi-Dimensional Spatiotemporal Information Extraction System
Wenxiao Zhang, Yu Liu, Qiang Sun, Yihao Ding, Sirui Li, Yanbing Liu, Jin Hong, Wei Liu
</v>
      </c>
      <c r="F9" s="170" t="str">
        <f>IFERROR(__xludf.DUMMYFUNCTION("CONCATENATE(""https://dl.acm.org/doi/"",INDEX(FILTER('Sheridan Comp'!A:A,'Sheridan Comp'!C:C=A9),1))"),"https://dl.acm.org/doi/10.1145/3774905.3793103")</f>
        <v>https://dl.acm.org/doi/10.1145/3774905.3793103</v>
      </c>
      <c r="G9" s="143" t="s">
        <v>89</v>
      </c>
      <c r="L9" s="255"/>
      <c r="M9" s="255"/>
      <c r="N9" s="255"/>
    </row>
    <row r="10">
      <c r="A10" s="255" t="s">
        <v>2366</v>
      </c>
      <c r="B10" s="255" t="s">
        <v>2367</v>
      </c>
      <c r="C10" s="255" t="s">
        <v>3104</v>
      </c>
      <c r="D10" s="169" t="str">
        <f t="shared" si="2"/>
        <v>SJBP: A Platform to Launch a Novel Jailbreak Attack on Large Language Models Based on Content's Spatial Distribution
Zhiyi Mou, Zeheng Qian, Tianfang Xiao, Wangze Ni, Weijie Sun, Lei Chen, Zhan Qin, Peng Cheng and Kui Ren
</v>
      </c>
      <c r="E10" s="169" t="str">
        <f>IFERROR(__xludf.DUMMYFUNCTION("TEXTJOIN(CHAR(10), TRUE,FILTER ('Sheridan Comp'!F:F,'Sheridan Comp'!C:C=A10))"),"SJBP: A Platform to Launch a Novel Jailbreak Attack on Large Language Models Based on Content's Spatial Distribution
Zhiyi Mou, Zeheng Qian, Tianfang Xiao, Wangze Ni, Weijie Sun, Lei Chen, Zhan Qin, Peng Cheng, Kui Ren
")</f>
        <v>SJBP: A Platform to Launch a Novel Jailbreak Attack on Large Language Models Based on Content's Spatial Distribution
Zhiyi Mou, Zeheng Qian, Tianfang Xiao, Wangze Ni, Weijie Sun, Lei Chen, Zhan Qin, Peng Cheng, Kui Ren
</v>
      </c>
      <c r="F10" s="170" t="str">
        <f>IFERROR(__xludf.DUMMYFUNCTION("CONCATENATE(""https://dl.acm.org/doi/"",INDEX(FILTER('Sheridan Comp'!A:A,'Sheridan Comp'!C:C=A10),1))"),"https://dl.acm.org/doi/10.1145/3774905.3793104")</f>
        <v>https://dl.acm.org/doi/10.1145/3774905.3793104</v>
      </c>
      <c r="G10" s="143" t="s">
        <v>89</v>
      </c>
      <c r="L10" s="255"/>
      <c r="M10" s="255"/>
      <c r="N10" s="255"/>
    </row>
    <row r="11">
      <c r="A11" s="255" t="s">
        <v>2368</v>
      </c>
      <c r="B11" s="255" t="s">
        <v>2369</v>
      </c>
      <c r="C11" s="255" t="s">
        <v>3105</v>
      </c>
      <c r="D11" s="169" t="str">
        <f t="shared" si="2"/>
        <v>Pattern Discovery with Wide-Lens Analysis and Sharp-Focus Validation
Li Liu, Omar Alonso and Giorgio Ballardin
</v>
      </c>
      <c r="E11" s="169" t="str">
        <f>IFERROR(__xludf.DUMMYFUNCTION("TEXTJOIN(CHAR(10), TRUE,FILTER ('Sheridan Comp'!F:F,'Sheridan Comp'!C:C=A11))"),"Pattern Discovery with Wide-Lens Analysis and Sharp-Focus Validation
Li Liu, Omar Alonso, Giorgio Ballardin
")</f>
        <v>Pattern Discovery with Wide-Lens Analysis and Sharp-Focus Validation
Li Liu, Omar Alonso, Giorgio Ballardin
</v>
      </c>
      <c r="F11" s="170" t="str">
        <f>IFERROR(__xludf.DUMMYFUNCTION("CONCATENATE(""https://dl.acm.org/doi/"",INDEX(FILTER('Sheridan Comp'!A:A,'Sheridan Comp'!C:C=A11),1))"),"https://dl.acm.org/doi/10.1145/3774905.3793105")</f>
        <v>https://dl.acm.org/doi/10.1145/3774905.3793105</v>
      </c>
      <c r="G11" s="143" t="s">
        <v>89</v>
      </c>
      <c r="L11" s="255"/>
      <c r="M11" s="255"/>
      <c r="N11" s="255"/>
    </row>
    <row r="12">
      <c r="A12" s="255" t="s">
        <v>2370</v>
      </c>
      <c r="B12" s="255" t="s">
        <v>2371</v>
      </c>
      <c r="C12" s="255" t="s">
        <v>3106</v>
      </c>
      <c r="D12" s="169" t="str">
        <f t="shared" si="2"/>
        <v>DualMind: Towards Understanding Cognitive-Affective Cascades in Public Opinion Dissemination via Multi-Agent Simulation
Enhao Huang, Tongtong Pan, Shuhuai Zhang, Qishu Jin, Liheng Zheng, Kaichun Hu, Yiming Li, Zhan Qin and Kui Ren
</v>
      </c>
      <c r="E12" s="169" t="str">
        <f>IFERROR(__xludf.DUMMYFUNCTION("TEXTJOIN(CHAR(10), TRUE,FILTER ('Sheridan Comp'!F:F,'Sheridan Comp'!C:C=A12))"),"DualMind: Towards Understanding Cognitive-Affective Cascades in Public Opinion Dissemination via Multi-Agent Simulation
Enhao Huang, Tongtong Pan, Shuhuai Zhang, Qishu Jin, Liheng Zheng, Kaichun Hu, Yiming Li, Zhan Qin, Kui Ren
")</f>
        <v>DualMind: Towards Understanding Cognitive-Affective Cascades in Public Opinion Dissemination via Multi-Agent Simulation
Enhao Huang, Tongtong Pan, Shuhuai Zhang, Qishu Jin, Liheng Zheng, Kaichun Hu, Yiming Li, Zhan Qin, Kui Ren
</v>
      </c>
      <c r="F12" s="170" t="str">
        <f>IFERROR(__xludf.DUMMYFUNCTION("CONCATENATE(""https://dl.acm.org/doi/"",INDEX(FILTER('Sheridan Comp'!A:A,'Sheridan Comp'!C:C=A12),1))"),"https://dl.acm.org/doi/10.1145/3774905.3793106")</f>
        <v>https://dl.acm.org/doi/10.1145/3774905.3793106</v>
      </c>
      <c r="G12" s="143" t="s">
        <v>89</v>
      </c>
      <c r="L12" s="255"/>
      <c r="M12" s="255"/>
      <c r="N12" s="255"/>
    </row>
    <row r="13">
      <c r="A13" s="255" t="s">
        <v>2372</v>
      </c>
      <c r="B13" s="255" t="s">
        <v>2373</v>
      </c>
      <c r="C13" s="255" t="s">
        <v>3107</v>
      </c>
      <c r="D13" s="169" t="str">
        <f t="shared" si="2"/>
        <v>RISE: A Retrieval-Augmented Generation Enhanced Immersive System for Education
Guo Chen, Haowei Tang, Yan Wei, Yuming Wang, Haoyang Zhang, Yikang Hou, Maolin Zheng and Junjie Huang
</v>
      </c>
      <c r="E13" s="169" t="str">
        <f>IFERROR(__xludf.DUMMYFUNCTION("TEXTJOIN(CHAR(10), TRUE,FILTER ('Sheridan Comp'!F:F,'Sheridan Comp'!C:C=A13))"),"RISE: A Retrieval-Augmented Generation Enhanced Immersive System for Education
Guo Chen, Haowei Tang, Yan Wei, Yuming Wang, Haoyang Zhang, Yikang Hou, Maolin Zheng, Junjie Huang
")</f>
        <v>RISE: A Retrieval-Augmented Generation Enhanced Immersive System for Education
Guo Chen, Haowei Tang, Yan Wei, Yuming Wang, Haoyang Zhang, Yikang Hou, Maolin Zheng, Junjie Huang
</v>
      </c>
      <c r="F13" s="170" t="str">
        <f>IFERROR(__xludf.DUMMYFUNCTION("CONCATENATE(""https://dl.acm.org/doi/"",INDEX(FILTER('Sheridan Comp'!A:A,'Sheridan Comp'!C:C=A13),1))"),"https://dl.acm.org/doi/10.1145/3774905.3793107")</f>
        <v>https://dl.acm.org/doi/10.1145/3774905.3793107</v>
      </c>
      <c r="G13" s="143" t="s">
        <v>89</v>
      </c>
      <c r="L13" s="255"/>
      <c r="M13" s="255"/>
      <c r="N13" s="255"/>
    </row>
    <row r="14">
      <c r="A14" s="255" t="s">
        <v>2374</v>
      </c>
      <c r="B14" s="255" t="s">
        <v>2375</v>
      </c>
      <c r="C14" s="255" t="s">
        <v>3108</v>
      </c>
      <c r="D14" s="169" t="str">
        <f t="shared" si="2"/>
        <v>PromptX: A Cognitive Agent Platform with Long-term Memory
Binhao Wang, Jianglin Huang, Xiao Hu, Shan Jiang, Maolin Wang, Ching-Ho Yang, Jian Jiang, Junhao Ye, Yaozu Cen, Rui Zeng, Yingtong Zhou, Yingjie Luo, Guanjie Wu, Wangzhong Xu, Feiyu Zhou and Xiangyu Zhao
</v>
      </c>
      <c r="E14" s="169" t="str">
        <f>IFERROR(__xludf.DUMMYFUNCTION("TEXTJOIN(CHAR(10), TRUE,FILTER ('Sheridan Comp'!F:F,'Sheridan Comp'!C:C=A14))"),"PromptX: A Cognitive Agent Platform with Long-term Memory
Binhao Wang, Jianglin Huang, Xiao Hu, Shan Jiang, Maolin Wang, Ching-Ho Yang, Jian Jiang, Junhao Ye, Yaozu Cen, Rui Zeng, Yingtong Zhou, Yingjie Luo, Guanjie Wu, Wangzhong Xu, Feiyu Zhou, Xiangyu Z"&amp;"hao
")</f>
        <v>PromptX: A Cognitive Agent Platform with Long-term Memory
Binhao Wang, Jianglin Huang, Xiao Hu, Shan Jiang, Maolin Wang, Ching-Ho Yang, Jian Jiang, Junhao Ye, Yaozu Cen, Rui Zeng, Yingtong Zhou, Yingjie Luo, Guanjie Wu, Wangzhong Xu, Feiyu Zhou, Xiangyu Zhao
</v>
      </c>
      <c r="F14" s="170" t="str">
        <f>IFERROR(__xludf.DUMMYFUNCTION("CONCATENATE(""https://dl.acm.org/doi/"",INDEX(FILTER('Sheridan Comp'!A:A,'Sheridan Comp'!C:C=A14),1))"),"https://dl.acm.org/doi/10.1145/3774905.3793108")</f>
        <v>https://dl.acm.org/doi/10.1145/3774905.3793108</v>
      </c>
      <c r="G14" s="143" t="s">
        <v>89</v>
      </c>
      <c r="L14" s="255"/>
      <c r="M14" s="255"/>
      <c r="N14" s="255"/>
    </row>
    <row r="15">
      <c r="A15" s="255" t="s">
        <v>2376</v>
      </c>
      <c r="B15" s="255" t="s">
        <v>2377</v>
      </c>
      <c r="C15" s="255" t="s">
        <v>3109</v>
      </c>
      <c r="D15" s="169" t="str">
        <f t="shared" si="2"/>
        <v>TrustResearcher: Automating Knowledge-Grounded and Transparent Research Ideation with Multi-Agent Collaboration
Jiawei Zhou, Ruicheng Zhu, Mengshi Chen, Jianwei Wang and Kai Wang
</v>
      </c>
      <c r="E15" s="169" t="str">
        <f>IFERROR(__xludf.DUMMYFUNCTION("TEXTJOIN(CHAR(10), TRUE,FILTER ('Sheridan Comp'!F:F,'Sheridan Comp'!C:C=A15))"),"TrustResearcher: Automating Knowledge-Grounded and Transparent Research Ideation with Multi-Agent Collaboration
Jiawei Zhou, Ruicheng Zhu, Mengshi Chen, Jianwei Wang, Kai Wang
")</f>
        <v>TrustResearcher: Automating Knowledge-Grounded and Transparent Research Ideation with Multi-Agent Collaboration
Jiawei Zhou, Ruicheng Zhu, Mengshi Chen, Jianwei Wang, Kai Wang
</v>
      </c>
      <c r="F15" s="170" t="str">
        <f>IFERROR(__xludf.DUMMYFUNCTION("CONCATENATE(""https://dl.acm.org/doi/"",INDEX(FILTER('Sheridan Comp'!A:A,'Sheridan Comp'!C:C=A15),1))"),"https://dl.acm.org/doi/10.1145/3774905.3793109")</f>
        <v>https://dl.acm.org/doi/10.1145/3774905.3793109</v>
      </c>
      <c r="G15" s="143" t="s">
        <v>89</v>
      </c>
      <c r="L15" s="255"/>
      <c r="M15" s="255"/>
      <c r="N15" s="255"/>
    </row>
    <row r="16">
      <c r="A16" s="255" t="s">
        <v>2378</v>
      </c>
      <c r="B16" s="255" t="s">
        <v>2379</v>
      </c>
      <c r="C16" s="255" t="s">
        <v>3110</v>
      </c>
      <c r="D16" s="169" t="str">
        <f t="shared" si="2"/>
        <v>Multimodal Peer Review Simulation with Actionable To-Do Recommendations for Community-Aware Manuscript Revisions
Mengze Hong, Di Jiang, Weiwei Zhao, Yawen Li, Yihang Wang, Xinyuan Luo, Yanjie Sun and Chen Jason Zhang
</v>
      </c>
      <c r="E16" s="169" t="str">
        <f>IFERROR(__xludf.DUMMYFUNCTION("TEXTJOIN(CHAR(10), TRUE,FILTER ('Sheridan Comp'!F:F,'Sheridan Comp'!C:C=A16))"),"Multimodal Peer Review Simulation with Actionable To-Do Recommendations for Community-Aware Manuscript Revisions
Mengze Hong, Di Jiang, Weiwei Zhao, Yawen Li, Yihang Wang, Xinyuan Luo, Yanjie Sun, Chen Zhang
")</f>
        <v>Multimodal Peer Review Simulation with Actionable To-Do Recommendations for Community-Aware Manuscript Revisions
Mengze Hong, Di Jiang, Weiwei Zhao, Yawen Li, Yihang Wang, Xinyuan Luo, Yanjie Sun, Chen Zhang
</v>
      </c>
      <c r="F16" s="170" t="str">
        <f>IFERROR(__xludf.DUMMYFUNCTION("CONCATENATE(""https://dl.acm.org/doi/"",INDEX(FILTER('Sheridan Comp'!A:A,'Sheridan Comp'!C:C=A16),1))"),"https://dl.acm.org/doi/10.1145/3774905.3793110")</f>
        <v>https://dl.acm.org/doi/10.1145/3774905.3793110</v>
      </c>
      <c r="G16" s="143" t="s">
        <v>89</v>
      </c>
      <c r="L16" s="255"/>
      <c r="M16" s="255"/>
      <c r="N16" s="255"/>
    </row>
    <row r="17">
      <c r="A17" s="255" t="s">
        <v>2380</v>
      </c>
      <c r="B17" s="255" t="s">
        <v>2381</v>
      </c>
      <c r="C17" s="255" t="s">
        <v>3111</v>
      </c>
      <c r="D17" s="169" t="str">
        <f t="shared" si="2"/>
        <v>Lang2Plan: An LLM-Powered Multi-Agent System for Building Layout Planning
Fangyong Pan, Xi Chen, Weiqi Xu, Yifeng Xu and Haofen Wang
</v>
      </c>
      <c r="E17" s="169" t="str">
        <f>IFERROR(__xludf.DUMMYFUNCTION("TEXTJOIN(CHAR(10), TRUE,FILTER ('Sheridan Comp'!F:F,'Sheridan Comp'!C:C=A17))"),"Lang2Plan: An LLM-Powered Multi-Agent System for Building Layout Planning
Fangyong Pan, Xi Chen, Weiqi Xu, Yifeng Xu, Haofen Wang
")</f>
        <v>Lang2Plan: An LLM-Powered Multi-Agent System for Building Layout Planning
Fangyong Pan, Xi Chen, Weiqi Xu, Yifeng Xu, Haofen Wang
</v>
      </c>
      <c r="F17" s="170" t="str">
        <f>IFERROR(__xludf.DUMMYFUNCTION("CONCATENATE(""https://dl.acm.org/doi/"",INDEX(FILTER('Sheridan Comp'!A:A,'Sheridan Comp'!C:C=A17),1))"),"https://dl.acm.org/doi/10.1145/3774905.3793111")</f>
        <v>https://dl.acm.org/doi/10.1145/3774905.3793111</v>
      </c>
      <c r="G17" s="143" t="s">
        <v>112</v>
      </c>
      <c r="L17" s="255"/>
      <c r="M17" s="255"/>
      <c r="N17" s="255"/>
    </row>
    <row r="18">
      <c r="A18" s="255" t="s">
        <v>2382</v>
      </c>
      <c r="B18" s="255" t="s">
        <v>2383</v>
      </c>
      <c r="C18" s="255" t="s">
        <v>3112</v>
      </c>
      <c r="D18" s="169" t="str">
        <f t="shared" si="2"/>
        <v>NGCAPTCHA: A CAPTCHA Bridging the Past and the Future
Ziqi Ding, Shangzhi Xu, Wei Song and Yuekang Li
</v>
      </c>
      <c r="E18" s="169" t="str">
        <f>IFERROR(__xludf.DUMMYFUNCTION("TEXTJOIN(CHAR(10), TRUE,FILTER ('Sheridan Comp'!F:F,'Sheridan Comp'!C:C=A18))"),"NGCAPTCHA: A CAPTCHA Bridging the Past and the Future
Ziqi Ding, Shangzhi Xu, Wei Song, Yuekang Li
")</f>
        <v>NGCAPTCHA: A CAPTCHA Bridging the Past and the Future
Ziqi Ding, Shangzhi Xu, Wei Song, Yuekang Li
</v>
      </c>
      <c r="F18" s="170" t="str">
        <f>IFERROR(__xludf.DUMMYFUNCTION("CONCATENATE(""https://dl.acm.org/doi/"",INDEX(FILTER('Sheridan Comp'!A:A,'Sheridan Comp'!C:C=A18),1))"),"https://dl.acm.org/doi/10.1145/3774905.3793112")</f>
        <v>https://dl.acm.org/doi/10.1145/3774905.3793112</v>
      </c>
      <c r="G18" s="143" t="s">
        <v>112</v>
      </c>
      <c r="L18" s="255"/>
      <c r="M18" s="255"/>
      <c r="N18" s="255"/>
    </row>
    <row r="19">
      <c r="A19" s="255" t="s">
        <v>2384</v>
      </c>
      <c r="B19" s="255" t="s">
        <v>2385</v>
      </c>
      <c r="C19" s="255" t="s">
        <v>3113</v>
      </c>
      <c r="D19" s="169" t="str">
        <f t="shared" si="2"/>
        <v>G-SEIR: A Graph-Enhanced Epidemic Forecasting System for Dengue Intervention
Cheng-Ru Chou, Shou-Po Tsai, Jing-Zhe Huang, Hsu-Han Tu, Pei-Xuan Li and Hsun-Ping Hsieh
</v>
      </c>
      <c r="E19" s="169" t="str">
        <f>IFERROR(__xludf.DUMMYFUNCTION("TEXTJOIN(CHAR(10), TRUE,FILTER ('Sheridan Comp'!F:F,'Sheridan Comp'!C:C=A19))"),"G-SEIR: A Graph-Enhanced Epidemic Forecasting System for Dengue Intervention
Cheng-Ru Chou, Shou-Po Tsai, Jing-Zhe Huang, Hsu-Han Tu, Pei-Xuan Li, Hsun-Ping Hsieh
")</f>
        <v>G-SEIR: A Graph-Enhanced Epidemic Forecasting System for Dengue Intervention
Cheng-Ru Chou, Shou-Po Tsai, Jing-Zhe Huang, Hsu-Han Tu, Pei-Xuan Li, Hsun-Ping Hsieh
</v>
      </c>
      <c r="F19" s="170" t="str">
        <f>IFERROR(__xludf.DUMMYFUNCTION("CONCATENATE(""https://dl.acm.org/doi/"",INDEX(FILTER('Sheridan Comp'!A:A,'Sheridan Comp'!C:C=A19),1))"),"https://dl.acm.org/doi/10.1145/3774905.3793113")</f>
        <v>https://dl.acm.org/doi/10.1145/3774905.3793113</v>
      </c>
      <c r="G19" s="143" t="s">
        <v>112</v>
      </c>
      <c r="L19" s="255"/>
      <c r="M19" s="255"/>
      <c r="N19" s="255"/>
    </row>
    <row r="20">
      <c r="A20" s="255" t="s">
        <v>2386</v>
      </c>
      <c r="B20" s="255" t="s">
        <v>2387</v>
      </c>
      <c r="C20" s="255" t="s">
        <v>3114</v>
      </c>
      <c r="D20" s="169" t="str">
        <f t="shared" si="2"/>
        <v>SAMPLE: A Spatial/Channel-wise Attention GCN with MLP and Periodic Linear Encoding for Land Boundary Demarcation System
Min-Huan Tsai, Cheng-Ru Chou, Chia Chen Tsai, Yu-Yin Wang, Pei-Xuan Li, Hsun-Ping Hsieh and Tzu-Chang Lee
</v>
      </c>
      <c r="E20" s="169" t="str">
        <f>IFERROR(__xludf.DUMMYFUNCTION("TEXTJOIN(CHAR(10), TRUE,FILTER ('Sheridan Comp'!F:F,'Sheridan Comp'!C:C=A20))"),"SAMPLE: A Spatial/Channel-wise Attention GCN with MLP and Periodic Linear Encoding for Land Boundary Demarcation System
Min-Huan Tsai, Cheng-Ru Chou, Chia Chen Tsai, Yu-Yin Wang, Pei-Xuan Li, Hsun-Ping Hsieh, Tzu-Chang Lee
")</f>
        <v>SAMPLE: A Spatial/Channel-wise Attention GCN with MLP and Periodic Linear Encoding for Land Boundary Demarcation System
Min-Huan Tsai, Cheng-Ru Chou, Chia Chen Tsai, Yu-Yin Wang, Pei-Xuan Li, Hsun-Ping Hsieh, Tzu-Chang Lee
</v>
      </c>
      <c r="F20" s="170" t="str">
        <f>IFERROR(__xludf.DUMMYFUNCTION("CONCATENATE(""https://dl.acm.org/doi/"",INDEX(FILTER('Sheridan Comp'!A:A,'Sheridan Comp'!C:C=A20),1))"),"https://dl.acm.org/doi/10.1145/3774905.3793114")</f>
        <v>https://dl.acm.org/doi/10.1145/3774905.3793114</v>
      </c>
      <c r="G20" s="143" t="s">
        <v>112</v>
      </c>
      <c r="L20" s="255"/>
      <c r="M20" s="255"/>
      <c r="N20" s="255"/>
    </row>
    <row r="21">
      <c r="A21" s="255" t="s">
        <v>2388</v>
      </c>
      <c r="B21" s="255" t="s">
        <v>2389</v>
      </c>
      <c r="C21" s="255" t="s">
        <v>3115</v>
      </c>
      <c r="D21" s="169" t="str">
        <f t="shared" si="2"/>
        <v>A Large Language Model-based Agent for Automated Machine Learning Workflow Construction
Yutian Xu, Yanhao Wang, Hui Li, Shengjie Xia and Shengtian Min
</v>
      </c>
      <c r="E21" s="169" t="str">
        <f>IFERROR(__xludf.DUMMYFUNCTION("TEXTJOIN(CHAR(10), TRUE,FILTER ('Sheridan Comp'!F:F,'Sheridan Comp'!C:C=A21))"),"A Large Language Model-based Agent for Automated Machine Learning Workflow Construction
Yutian Xu, Yanhao Wang, Hui Li, Shengjie Xia, Shengtian Min
")</f>
        <v>A Large Language Model-based Agent for Automated Machine Learning Workflow Construction
Yutian Xu, Yanhao Wang, Hui Li, Shengjie Xia, Shengtian Min
</v>
      </c>
      <c r="F21" s="170" t="str">
        <f>IFERROR(__xludf.DUMMYFUNCTION("CONCATENATE(""https://dl.acm.org/doi/"",INDEX(FILTER('Sheridan Comp'!A:A,'Sheridan Comp'!C:C=A21),1))"),"https://dl.acm.org/doi/10.1145/3774905.3793115")</f>
        <v>https://dl.acm.org/doi/10.1145/3774905.3793115</v>
      </c>
      <c r="G21" s="143" t="s">
        <v>112</v>
      </c>
      <c r="L21" s="255"/>
      <c r="M21" s="255"/>
      <c r="N21" s="255"/>
    </row>
    <row r="22">
      <c r="A22" s="255" t="s">
        <v>2390</v>
      </c>
      <c r="B22" s="255" t="s">
        <v>2391</v>
      </c>
      <c r="C22" s="255" t="s">
        <v>3116</v>
      </c>
      <c r="D22" s="169" t="str">
        <f t="shared" si="2"/>
        <v>Deep Research Comparator: A Platform For Fine-grained Human Annotations of Deep Research Agents
Prahaladh Chandrahasan, Jiahe Jin, Zhihan Zhang, Tevin Wang, Andy Tang, Lucy Mo, Morteza Ziyadi, Leonardo F.R. Ribeiro, Zimeng Qiu, Markus Dreyer, Akari Asai and Chenyan Xiong
</v>
      </c>
      <c r="E22" s="169" t="str">
        <f>IFERROR(__xludf.DUMMYFUNCTION("TEXTJOIN(CHAR(10), TRUE,FILTER ('Sheridan Comp'!F:F,'Sheridan Comp'!C:C=A22))"),"Deep Research Comparator: A Platform For Fine-grained Human Annotations of Deep Research Agents
Prahaladh Chandrahasan, Jiahe Jin, Zhihan Zhang, Tevin Wang, Andy Tang, Lucy Mo, Morteza Ziyadi, Leonardo F.R. Ribeiro, Zimeng Qiu, Markus Dreyer, Akari Asai, "&amp;"Chenyan Xiong
")</f>
        <v>Deep Research Comparator: A Platform For Fine-grained Human Annotations of Deep Research Agents
Prahaladh Chandrahasan, Jiahe Jin, Zhihan Zhang, Tevin Wang, Andy Tang, Lucy Mo, Morteza Ziyadi, Leonardo F.R. Ribeiro, Zimeng Qiu, Markus Dreyer, Akari Asai, Chenyan Xiong
</v>
      </c>
      <c r="F22" s="170" t="str">
        <f>IFERROR(__xludf.DUMMYFUNCTION("CONCATENATE(""https://dl.acm.org/doi/"",INDEX(FILTER('Sheridan Comp'!A:A,'Sheridan Comp'!C:C=A22),1))"),"https://dl.acm.org/doi/10.1145/3774905.3793116")</f>
        <v>https://dl.acm.org/doi/10.1145/3774905.3793116</v>
      </c>
      <c r="G22" s="143" t="s">
        <v>112</v>
      </c>
      <c r="L22" s="255"/>
      <c r="M22" s="255"/>
      <c r="N22" s="255"/>
    </row>
    <row r="23">
      <c r="A23" s="255" t="s">
        <v>2392</v>
      </c>
      <c r="B23" s="255" t="s">
        <v>2393</v>
      </c>
      <c r="C23" s="255" t="s">
        <v>3117</v>
      </c>
      <c r="D23" s="169" t="str">
        <f t="shared" si="2"/>
        <v>Docs2Synth: A Synthetic Data Tuned Retriever Framework for Documents Understanding
Yihao Ding, Qiang Sun, Puzhen Wu, Sirui Li, Siwen Luo and Wei Liu
</v>
      </c>
      <c r="E23" s="169" t="str">
        <f>IFERROR(__xludf.DUMMYFUNCTION("TEXTJOIN(CHAR(10), TRUE,FILTER ('Sheridan Comp'!F:F,'Sheridan Comp'!C:C=A23))"),"Docs2Synth: A Synthetic Data Tuned Retriever Framework for Documents Understanding
Yihao Ding, Qiang Sun, Puzhen Wu, Sirui Li, Siwen Luo, Wei Liu
")</f>
        <v>Docs2Synth: A Synthetic Data Tuned Retriever Framework for Documents Understanding
Yihao Ding, Qiang Sun, Puzhen Wu, Sirui Li, Siwen Luo, Wei Liu
</v>
      </c>
      <c r="F23" s="170" t="str">
        <f>IFERROR(__xludf.DUMMYFUNCTION("CONCATENATE(""https://dl.acm.org/doi/"",INDEX(FILTER('Sheridan Comp'!A:A,'Sheridan Comp'!C:C=A23),1))"),"https://dl.acm.org/doi/10.1145/3774905.3793117")</f>
        <v>https://dl.acm.org/doi/10.1145/3774905.3793117</v>
      </c>
      <c r="G23" s="143" t="s">
        <v>112</v>
      </c>
      <c r="L23" s="255"/>
      <c r="M23" s="255"/>
      <c r="N23" s="255"/>
    </row>
    <row r="24">
      <c r="A24" s="255" t="s">
        <v>2394</v>
      </c>
      <c r="B24" s="255" t="s">
        <v>2395</v>
      </c>
      <c r="C24" s="255" t="s">
        <v>3118</v>
      </c>
      <c r="D24" s="169" t="str">
        <f t="shared" si="2"/>
        <v>GCAgent: Enhancing Group Chat Communication through Dialogue Agents System
Zijie Meng, Zheyong Xie, Zheyu Ye, Chonggang Lu, Zuozhu Liu, Zihan Niu, Yao Hu and Shaosheng Cao
</v>
      </c>
      <c r="E24" s="169" t="str">
        <f>IFERROR(__xludf.DUMMYFUNCTION("TEXTJOIN(CHAR(10), TRUE,FILTER ('Sheridan Comp'!F:F,'Sheridan Comp'!C:C=A24))"),"GCAgent: Enhancing Group Chat Communication through Dialogue Agents System
Zijie Meng, Zheyong Xie, Zheyu Ye, Chonggang Lu, Zuozhu Liu, Zihan Niu, Yao Hu, Shaosheng Cao
")</f>
        <v>GCAgent: Enhancing Group Chat Communication through Dialogue Agents System
Zijie Meng, Zheyong Xie, Zheyu Ye, Chonggang Lu, Zuozhu Liu, Zihan Niu, Yao Hu, Shaosheng Cao
</v>
      </c>
      <c r="F24" s="170" t="str">
        <f>IFERROR(__xludf.DUMMYFUNCTION("CONCATENATE(""https://dl.acm.org/doi/"",INDEX(FILTER('Sheridan Comp'!A:A,'Sheridan Comp'!C:C=A24),1))"),"https://dl.acm.org/doi/10.1145/3774905.3793118")</f>
        <v>https://dl.acm.org/doi/10.1145/3774905.3793118</v>
      </c>
      <c r="G24" s="143" t="s">
        <v>112</v>
      </c>
      <c r="L24" s="255"/>
      <c r="M24" s="255"/>
      <c r="N24" s="255"/>
    </row>
    <row r="25">
      <c r="A25" s="255" t="s">
        <v>2396</v>
      </c>
      <c r="B25" s="255" t="s">
        <v>2397</v>
      </c>
      <c r="C25" s="255" t="s">
        <v>3119</v>
      </c>
      <c r="D25" s="169" t="str">
        <f t="shared" si="2"/>
        <v>CiteLLM: An Agentic Platform for Trustworthy Scientific Reference Discovery
Mengze Hong, Di Jiang, Chen Jason Zhang, Zichang Guo, Yawen Li, Jun Chen, Shaobo Cui and Zhiyang Su
</v>
      </c>
      <c r="E25" s="169" t="str">
        <f>IFERROR(__xludf.DUMMYFUNCTION("TEXTJOIN(CHAR(10), TRUE,FILTER ('Sheridan Comp'!F:F,'Sheridan Comp'!C:C=A25))"),"CiteLLM: An Agentic Platform for Trustworthy Scientific Reference Discovery
Mengze Hong, Di Jiang, Chen Zhang, Zichang Guo, Yawen Li, Jun Chen, Shaobo Cui, Zhiyang Su
")</f>
        <v>CiteLLM: An Agentic Platform for Trustworthy Scientific Reference Discovery
Mengze Hong, Di Jiang, Chen Zhang, Zichang Guo, Yawen Li, Jun Chen, Shaobo Cui, Zhiyang Su
</v>
      </c>
      <c r="F25" s="170" t="str">
        <f>IFERROR(__xludf.DUMMYFUNCTION("CONCATENATE(""https://dl.acm.org/doi/"",INDEX(FILTER('Sheridan Comp'!A:A,'Sheridan Comp'!C:C=A25),1))"),"https://dl.acm.org/doi/10.1145/3774905.3793119")</f>
        <v>https://dl.acm.org/doi/10.1145/3774905.3793119</v>
      </c>
      <c r="G25" s="143" t="s">
        <v>145</v>
      </c>
      <c r="L25" s="255"/>
      <c r="M25" s="255"/>
      <c r="N25" s="255"/>
    </row>
    <row r="26">
      <c r="A26" s="255" t="s">
        <v>2398</v>
      </c>
      <c r="B26" s="255" t="s">
        <v>2399</v>
      </c>
      <c r="C26" s="255" t="s">
        <v>3120</v>
      </c>
      <c r="D26" s="169" t="str">
        <f t="shared" si="2"/>
        <v>A Framework for Continual Knowledge Graph Embedding
Gerard Pons, Besim Bilalli and Anna Queralt
</v>
      </c>
      <c r="E26" s="169" t="str">
        <f>IFERROR(__xludf.DUMMYFUNCTION("TEXTJOIN(CHAR(10), TRUE,FILTER ('Sheridan Comp'!F:F,'Sheridan Comp'!C:C=A26))"),"A Framework for Continual Knowledge Graph Embedding
Gerard Pons, Besim Bilalli, Anna Queralt
")</f>
        <v>A Framework for Continual Knowledge Graph Embedding
Gerard Pons, Besim Bilalli, Anna Queralt
</v>
      </c>
      <c r="F26" s="170" t="str">
        <f>IFERROR(__xludf.DUMMYFUNCTION("CONCATENATE(""https://dl.acm.org/doi/"",INDEX(FILTER('Sheridan Comp'!A:A,'Sheridan Comp'!C:C=A26),1))"),"https://dl.acm.org/doi/10.1145/3774905.3793120")</f>
        <v>https://dl.acm.org/doi/10.1145/3774905.3793120</v>
      </c>
      <c r="G26" s="143" t="s">
        <v>145</v>
      </c>
      <c r="L26" s="255"/>
      <c r="M26" s="255"/>
      <c r="N26" s="255"/>
    </row>
    <row r="27">
      <c r="A27" s="255" t="s">
        <v>2400</v>
      </c>
      <c r="B27" s="255" t="s">
        <v>2401</v>
      </c>
      <c r="C27" s="255" t="s">
        <v>3121</v>
      </c>
      <c r="D27" s="169" t="str">
        <f t="shared" si="2"/>
        <v>Roamify: An Interactive Browser Extension for Real-Time LLM-Based Travel Itinerary Generation
Vikranth Udandarao, Muthuraj Vairamuthu, Noel Abraham Tiju, Harsh Mistry, Armaan Singh and Dhruv Kumar
</v>
      </c>
      <c r="E27" s="169" t="str">
        <f>IFERROR(__xludf.DUMMYFUNCTION("TEXTJOIN(CHAR(10), TRUE,FILTER ('Sheridan Comp'!F:F,'Sheridan Comp'!C:C=A27))"),"Roamify: An Interactive Browser Extension for Real-Time LLM-Based Travel Itinerary Generation
Vikranth Udandarao, Muthuraj Vairamuthu, Noel Tiju, Harsh Mistry, Armaan Singh, Dhruv Kumar
")</f>
        <v>Roamify: An Interactive Browser Extension for Real-Time LLM-Based Travel Itinerary Generation
Vikranth Udandarao, Muthuraj Vairamuthu, Noel Tiju, Harsh Mistry, Armaan Singh, Dhruv Kumar
</v>
      </c>
      <c r="F27" s="170" t="str">
        <f>IFERROR(__xludf.DUMMYFUNCTION("CONCATENATE(""https://dl.acm.org/doi/"",INDEX(FILTER('Sheridan Comp'!A:A,'Sheridan Comp'!C:C=A27),1))"),"https://dl.acm.org/doi/10.1145/3774905.3793121")</f>
        <v>https://dl.acm.org/doi/10.1145/3774905.3793121</v>
      </c>
      <c r="G27" s="143" t="s">
        <v>145</v>
      </c>
      <c r="L27" s="255"/>
      <c r="M27" s="255"/>
      <c r="N27" s="255"/>
    </row>
    <row r="28">
      <c r="A28" s="255" t="s">
        <v>2402</v>
      </c>
      <c r="B28" s="255" t="s">
        <v>2403</v>
      </c>
      <c r="C28" s="255" t="s">
        <v>3122</v>
      </c>
      <c r="D28" s="169" t="str">
        <f t="shared" si="2"/>
        <v>PaperDebugger: A Plugin-Based Multi-Agent System for In-Editor Academic Writing, Review, and Editing
Junyi Hou, Andre Lin, Nuo Chen, Yiwei Gong and Bingsheng He
</v>
      </c>
      <c r="E28" s="169" t="str">
        <f>IFERROR(__xludf.DUMMYFUNCTION("TEXTJOIN(CHAR(10), TRUE,FILTER ('Sheridan Comp'!F:F,'Sheridan Comp'!C:C=A28))"),"PaperDebugger: A Plugin-Based Multi-Agent System for In-Editor Academic Writing, Review, and Editing
Junyi Hou, Andre Lin Huikai, Nuo Chen, Yiwei Gong, Bingsheng He
")</f>
        <v>PaperDebugger: A Plugin-Based Multi-Agent System for In-Editor Academic Writing, Review, and Editing
Junyi Hou, Andre Lin Huikai, Nuo Chen, Yiwei Gong, Bingsheng He
</v>
      </c>
      <c r="F28" s="170" t="str">
        <f>IFERROR(__xludf.DUMMYFUNCTION("CONCATENATE(""https://dl.acm.org/doi/"",INDEX(FILTER('Sheridan Comp'!A:A,'Sheridan Comp'!C:C=A28),1))"),"https://dl.acm.org/doi/10.1145/3774905.3793122")</f>
        <v>https://dl.acm.org/doi/10.1145/3774905.3793122</v>
      </c>
      <c r="G28" s="143" t="s">
        <v>145</v>
      </c>
      <c r="L28" s="255"/>
      <c r="M28" s="255"/>
      <c r="N28" s="255"/>
    </row>
    <row r="29">
      <c r="A29" s="255" t="s">
        <v>2404</v>
      </c>
      <c r="B29" s="255" t="s">
        <v>2405</v>
      </c>
      <c r="C29" s="255" t="s">
        <v>3123</v>
      </c>
      <c r="D29" s="169" t="str">
        <f t="shared" si="2"/>
        <v>DriftNavi: Talk through Your Data Drift with LLMs
Zixin Wang, Junliang Yu, Tong Chen, Yadan Luo and Shazia Sadiq
</v>
      </c>
      <c r="E29" s="169" t="str">
        <f>IFERROR(__xludf.DUMMYFUNCTION("TEXTJOIN(CHAR(10), TRUE,FILTER ('Sheridan Comp'!F:F,'Sheridan Comp'!C:C=A29))"),"DriftNavi: Talk through Your Data Drift with LLMs
Zixin Wang, Junliang Yu, Tong Chen, Yadan Luo, Shazia Sadiq
")</f>
        <v>DriftNavi: Talk through Your Data Drift with LLMs
Zixin Wang, Junliang Yu, Tong Chen, Yadan Luo, Shazia Sadiq
</v>
      </c>
      <c r="F29" s="170" t="str">
        <f>IFERROR(__xludf.DUMMYFUNCTION("CONCATENATE(""https://dl.acm.org/doi/"",INDEX(FILTER('Sheridan Comp'!A:A,'Sheridan Comp'!C:C=A29),1))"),"https://dl.acm.org/doi/10.1145/3774905.3793123")</f>
        <v>https://dl.acm.org/doi/10.1145/3774905.3793123</v>
      </c>
      <c r="G29" s="143" t="s">
        <v>145</v>
      </c>
      <c r="L29" s="255"/>
      <c r="M29" s="255"/>
      <c r="N29" s="255"/>
    </row>
    <row r="30">
      <c r="A30" s="255" t="s">
        <v>2406</v>
      </c>
      <c r="B30" s="255" t="s">
        <v>2407</v>
      </c>
      <c r="C30" s="255" t="s">
        <v>3124</v>
      </c>
      <c r="D30" s="169" t="str">
        <f t="shared" si="2"/>
        <v>Implementation of a Metacognition Framework for Self-Awareness and Self-Regulation in Ensembles of LLMs
Charles Courchaine, Ricky J. Sethi and Hefei Qiu
</v>
      </c>
      <c r="E30" s="169" t="str">
        <f>IFERROR(__xludf.DUMMYFUNCTION("TEXTJOIN(CHAR(10), TRUE,FILTER ('Sheridan Comp'!F:F,'Sheridan Comp'!C:C=A30))"),"Implementation of a Metacognition Framework for Self-Awareness and Self-Regulation in Ensembles of LLMs
Charles Courchaine, Ricky Sethi, Hefei Qiu
")</f>
        <v>Implementation of a Metacognition Framework for Self-Awareness and Self-Regulation in Ensembles of LLMs
Charles Courchaine, Ricky Sethi, Hefei Qiu
</v>
      </c>
      <c r="F30" s="170" t="str">
        <f>IFERROR(__xludf.DUMMYFUNCTION("CONCATENATE(""https://dl.acm.org/doi/"",INDEX(FILTER('Sheridan Comp'!A:A,'Sheridan Comp'!C:C=A30),1))"),"https://dl.acm.org/doi/10.1145/3774905.3793124")</f>
        <v>https://dl.acm.org/doi/10.1145/3774905.3793124</v>
      </c>
      <c r="G30" s="143" t="s">
        <v>145</v>
      </c>
      <c r="L30" s="255"/>
      <c r="M30" s="255"/>
      <c r="N30" s="255"/>
    </row>
    <row r="31">
      <c r="A31" s="255" t="s">
        <v>2408</v>
      </c>
      <c r="B31" s="255" t="s">
        <v>2409</v>
      </c>
      <c r="C31" s="255" t="s">
        <v>3125</v>
      </c>
      <c r="D31" s="169" t="str">
        <f t="shared" si="2"/>
        <v>BaiJia: An Open Role-Playing Platform of Chinese Historical Characters
Ting Bai, Jiazheng Kang, Jiayang Fan, Hengzhi Lan and Yutian Zhong
</v>
      </c>
      <c r="E31" s="169" t="str">
        <f>IFERROR(__xludf.DUMMYFUNCTION("TEXTJOIN(CHAR(10), TRUE,FILTER ('Sheridan Comp'!F:F,'Sheridan Comp'!C:C=A31))"),"BaiJia: An Open Role-Playing Platform of Chinese Historical Characters
Ting Bai, Jiazheng Kang, Jiayang Fan, Hengzhi Lan, Yutian Zhong
")</f>
        <v>BaiJia: An Open Role-Playing Platform of Chinese Historical Characters
Ting Bai, Jiazheng Kang, Jiayang Fan, Hengzhi Lan, Yutian Zhong
</v>
      </c>
      <c r="F31" s="170" t="str">
        <f>IFERROR(__xludf.DUMMYFUNCTION("CONCATENATE(""https://dl.acm.org/doi/"",INDEX(FILTER('Sheridan Comp'!A:A,'Sheridan Comp'!C:C=A31),1))"),"https://dl.acm.org/doi/10.1145/3774905.3793125")</f>
        <v>https://dl.acm.org/doi/10.1145/3774905.3793125</v>
      </c>
      <c r="G31" s="143" t="s">
        <v>145</v>
      </c>
      <c r="L31" s="255"/>
      <c r="M31" s="255"/>
      <c r="N31" s="255"/>
    </row>
    <row r="32">
      <c r="A32" s="255" t="s">
        <v>2410</v>
      </c>
      <c r="B32" s="255" t="s">
        <v>2411</v>
      </c>
      <c r="C32" s="255" t="s">
        <v>3126</v>
      </c>
      <c r="D32" s="169" t="str">
        <f t="shared" si="2"/>
        <v>LegalKit: A Modular Toolkit for Efficient Legal AI Evaluation
Shuo Miao, Haitao Li, Yueyue Wu, Qingyao Ai and Yiqun Liu
</v>
      </c>
      <c r="E32" s="169" t="str">
        <f>IFERROR(__xludf.DUMMYFUNCTION("TEXTJOIN(CHAR(10), TRUE,FILTER ('Sheridan Comp'!F:F,'Sheridan Comp'!C:C=A32))"),"LegalKit: A Modular Toolkit for Efficient Legal AI Evaluation
Shuo Miao, Haitao Li, Yueyue Wu, Qingyao Ai, Yiqun Liu
")</f>
        <v>LegalKit: A Modular Toolkit for Efficient Legal AI Evaluation
Shuo Miao, Haitao Li, Yueyue Wu, Qingyao Ai, Yiqun Liu
</v>
      </c>
      <c r="F32" s="170" t="str">
        <f>IFERROR(__xludf.DUMMYFUNCTION("CONCATENATE(""https://dl.acm.org/doi/"",INDEX(FILTER('Sheridan Comp'!A:A,'Sheridan Comp'!C:C=A32),1))"),"https://dl.acm.org/doi/10.1145/3774905.3793126")</f>
        <v>https://dl.acm.org/doi/10.1145/3774905.3793126</v>
      </c>
      <c r="G32" s="143" t="s">
        <v>145</v>
      </c>
      <c r="L32" s="255"/>
      <c r="M32" s="255"/>
      <c r="N32" s="255"/>
    </row>
    <row r="33">
      <c r="A33" s="255" t="s">
        <v>2412</v>
      </c>
      <c r="B33" s="255" t="s">
        <v>2413</v>
      </c>
      <c r="C33" s="255" t="s">
        <v>3127</v>
      </c>
      <c r="D33" s="169" t="str">
        <f t="shared" si="2"/>
        <v>ECLAD: An Edge-Cloud Collaborative Agentic Framework for Interpretable Anomaly Detection in Predictive Maintenance
Songyuan Sui, Zhanqi Deng, Yamin Zhuang, Serena Liu, Leisheng Yu, Alfredo Costilla Reyes and Xia Hu
</v>
      </c>
      <c r="E33" s="169" t="str">
        <f>IFERROR(__xludf.DUMMYFUNCTION("TEXTJOIN(CHAR(10), TRUE,FILTER ('Sheridan Comp'!F:F,'Sheridan Comp'!C:C=A33))"),"ECLAD: An Edge-Cloud Collaborative Agentic Framework for Interpretable Anomaly Detection in Predictive Maintenance
Songyuan Sui, Zhanqi Deng, Yamin Zhuang, Serena Liu, Leisheng Yu, Alfredo Costilla Reyes, Xia Hu
")</f>
        <v>ECLAD: An Edge-Cloud Collaborative Agentic Framework for Interpretable Anomaly Detection in Predictive Maintenance
Songyuan Sui, Zhanqi Deng, Yamin Zhuang, Serena Liu, Leisheng Yu, Alfredo Costilla Reyes, Xia Hu
</v>
      </c>
      <c r="F33" s="170" t="str">
        <f>IFERROR(__xludf.DUMMYFUNCTION("CONCATENATE(""https://dl.acm.org/doi/"",INDEX(FILTER('Sheridan Comp'!A:A,'Sheridan Comp'!C:C=A33),1))"),"https://dl.acm.org/doi/10.1145/3774905.3793127")</f>
        <v>https://dl.acm.org/doi/10.1145/3774905.3793127</v>
      </c>
      <c r="G33" s="143" t="s">
        <v>168</v>
      </c>
      <c r="L33" s="255"/>
      <c r="M33" s="255"/>
      <c r="N33" s="255"/>
    </row>
    <row r="34">
      <c r="A34" s="255" t="s">
        <v>2414</v>
      </c>
      <c r="B34" s="255" t="s">
        <v>2415</v>
      </c>
      <c r="C34" s="255" t="s">
        <v>3128</v>
      </c>
      <c r="D34" s="169" t="str">
        <f t="shared" si="2"/>
        <v>PeeriScope: A Multi-Faceted Framework for Evaluating Peer Review Quality
Sajad Ebrahimi, Soroush Sadeghian, Ali Ghorbanpour, Negar Arabzadeh, Sara Salamat, Seyed Mohammad Hosseini, Hai Son Le, Mahdi Bashari and Ebrahim Bagheri
</v>
      </c>
      <c r="E34" s="169" t="str">
        <f>IFERROR(__xludf.DUMMYFUNCTION("TEXTJOIN(CHAR(10), TRUE,FILTER ('Sheridan Comp'!F:F,'Sheridan Comp'!C:C=A34))"),"PeeriScope: A Multi-Faceted Framework for Evaluating Peer Review Quality
Sajad Ebrahimi, Soroush Sadeghian, Ali Ghorbanpour, Negar Arabzadeh, Sara Salamat, Seyed Mohammad Hosseini, Hai Son Le, Mahdi Bashari, Ebrahim Bagheri
")</f>
        <v>PeeriScope: A Multi-Faceted Framework for Evaluating Peer Review Quality
Sajad Ebrahimi, Soroush Sadeghian, Ali Ghorbanpour, Negar Arabzadeh, Sara Salamat, Seyed Mohammad Hosseini, Hai Son Le, Mahdi Bashari, Ebrahim Bagheri
</v>
      </c>
      <c r="F34" s="170" t="str">
        <f>IFERROR(__xludf.DUMMYFUNCTION("CONCATENATE(""https://dl.acm.org/doi/"",INDEX(FILTER('Sheridan Comp'!A:A,'Sheridan Comp'!C:C=A34),1))"),"https://dl.acm.org/doi/10.1145/3774905.3793128")</f>
        <v>https://dl.acm.org/doi/10.1145/3774905.3793128</v>
      </c>
      <c r="G34" s="143" t="s">
        <v>168</v>
      </c>
      <c r="L34" s="255"/>
      <c r="M34" s="255"/>
      <c r="N34" s="255"/>
    </row>
    <row r="35">
      <c r="A35" s="255" t="s">
        <v>2416</v>
      </c>
      <c r="B35" s="255" t="s">
        <v>2417</v>
      </c>
      <c r="C35" s="255" t="s">
        <v>3129</v>
      </c>
      <c r="D35" s="169" t="str">
        <f t="shared" si="2"/>
        <v>ARC: A Tool to Rate AI Models for Robustness Through a Causal Lens for Enabling Trustworthy Model Selection
Kausik Lakkaraju, Siva Likitha Valluru, Biplav Srivastava and Marco Valtorta
</v>
      </c>
      <c r="E35" s="169" t="str">
        <f>IFERROR(__xludf.DUMMYFUNCTION("TEXTJOIN(CHAR(10), TRUE,FILTER ('Sheridan Comp'!F:F,'Sheridan Comp'!C:C=A35))"),"ARC: A Tool to Rate AI Models for Robustness Through a Causal Lens for Enabling Trustworthy Model Selection
Kausik Lakkaraju, Siva Likitha Valluru, Biplav Srivastava, Marco Valtorta
")</f>
        <v>ARC: A Tool to Rate AI Models for Robustness Through a Causal Lens for Enabling Trustworthy Model Selection
Kausik Lakkaraju, Siva Likitha Valluru, Biplav Srivastava, Marco Valtorta
</v>
      </c>
      <c r="F35" s="170" t="str">
        <f>IFERROR(__xludf.DUMMYFUNCTION("CONCATENATE(""https://dl.acm.org/doi/"",INDEX(FILTER('Sheridan Comp'!A:A,'Sheridan Comp'!C:C=A35),1))"),"https://dl.acm.org/doi/10.1145/3774905.3793129")</f>
        <v>https://dl.acm.org/doi/10.1145/3774905.3793129</v>
      </c>
      <c r="G35" s="143" t="s">
        <v>168</v>
      </c>
      <c r="L35" s="255"/>
      <c r="M35" s="255"/>
      <c r="N35" s="255"/>
    </row>
    <row r="36">
      <c r="A36" s="255" t="s">
        <v>2418</v>
      </c>
      <c r="B36" s="255" t="s">
        <v>2419</v>
      </c>
      <c r="C36" s="255" t="s">
        <v>3130</v>
      </c>
      <c r="D36" s="169" t="str">
        <f t="shared" si="2"/>
        <v>IntraAI: Bridging Human-AI Understanding Through Intelligent Interface Design
Han Bao, Yue Huang, Xiangliang Zhang and Yanfang Ye
</v>
      </c>
      <c r="E36" s="169" t="str">
        <f>IFERROR(__xludf.DUMMYFUNCTION("TEXTJOIN(CHAR(10), TRUE,FILTER ('Sheridan Comp'!F:F,'Sheridan Comp'!C:C=A36))"),"IntraAI: Bridging Human-AI Understanding Through Intelligent Interface Design
Han Bao, Yue Huang, Xiangliang Zhang, Yanfang Ye
")</f>
        <v>IntraAI: Bridging Human-AI Understanding Through Intelligent Interface Design
Han Bao, Yue Huang, Xiangliang Zhang, Yanfang Ye
</v>
      </c>
      <c r="F36" s="170" t="str">
        <f>IFERROR(__xludf.DUMMYFUNCTION("CONCATENATE(""https://dl.acm.org/doi/"",INDEX(FILTER('Sheridan Comp'!A:A,'Sheridan Comp'!C:C=A36),1))"),"https://dl.acm.org/doi/10.1145/3774905.3793130")</f>
        <v>https://dl.acm.org/doi/10.1145/3774905.3793130</v>
      </c>
      <c r="G36" s="143" t="s">
        <v>168</v>
      </c>
      <c r="L36" s="255"/>
      <c r="M36" s="255"/>
      <c r="N36" s="255"/>
    </row>
    <row r="37">
      <c r="A37" s="255" t="s">
        <v>2420</v>
      </c>
      <c r="B37" s="255" t="s">
        <v>2421</v>
      </c>
      <c r="C37" s="255" t="s">
        <v>3131</v>
      </c>
      <c r="D37" s="169" t="str">
        <f t="shared" si="2"/>
        <v>Sumo x PyPSA: Interactive Web Demo of Real-Time Urban Power-Traffic Co-Simulation with Vehicle-to-Grid
Marouane Benbrahim, Xin Fang and Zhiqian Chen
</v>
      </c>
      <c r="E37" s="169" t="str">
        <f>IFERROR(__xludf.DUMMYFUNCTION("TEXTJOIN(CHAR(10), TRUE,FILTER ('Sheridan Comp'!F:F,'Sheridan Comp'!C:C=A37))"),"Sumo x PyPSA: Interactive Web Demo of Real-Time Urban Power-Traffic Co-Simulation with Vehicle-to-Grid
Marouane Benbrahim, Xin Fang, Zhiqian Chen
")</f>
        <v>Sumo x PyPSA: Interactive Web Demo of Real-Time Urban Power-Traffic Co-Simulation with Vehicle-to-Grid
Marouane Benbrahim, Xin Fang, Zhiqian Chen
</v>
      </c>
      <c r="F37" s="170" t="str">
        <f>IFERROR(__xludf.DUMMYFUNCTION("CONCATENATE(""https://dl.acm.org/doi/"",INDEX(FILTER('Sheridan Comp'!A:A,'Sheridan Comp'!C:C=A37),1))"),"https://dl.acm.org/doi/10.1145/3774905.3793131")</f>
        <v>https://dl.acm.org/doi/10.1145/3774905.3793131</v>
      </c>
      <c r="G37" s="143" t="s">
        <v>168</v>
      </c>
      <c r="L37" s="255"/>
      <c r="M37" s="255"/>
      <c r="N37" s="255"/>
    </row>
    <row r="38">
      <c r="A38" s="255" t="s">
        <v>2422</v>
      </c>
      <c r="B38" s="255" t="s">
        <v>2423</v>
      </c>
      <c r="C38" s="255" t="s">
        <v>3132</v>
      </c>
      <c r="D38" s="169" t="str">
        <f t="shared" si="2"/>
        <v>GreenWebInspector: A Tool for Real-Time Web Energy Efficiency Assessment
Muhammad Sohaib Ayub, Umair ul Hassan, Imdad Ullah Khan and Edward Curry
</v>
      </c>
      <c r="E38" s="169" t="str">
        <f>IFERROR(__xludf.DUMMYFUNCTION("TEXTJOIN(CHAR(10), TRUE,FILTER ('Sheridan Comp'!F:F,'Sheridan Comp'!C:C=A38))"),"GreenWebInspector: A Tool for Real-Time Web Energy Efficiency Assessment
Muhammad Sohaib Ayub, Umair ul Hassan, Imdad Ullah Khan, Edward Curry
")</f>
        <v>GreenWebInspector: A Tool for Real-Time Web Energy Efficiency Assessment
Muhammad Sohaib Ayub, Umair ul Hassan, Imdad Ullah Khan, Edward Curry
</v>
      </c>
      <c r="F38" s="170" t="str">
        <f>IFERROR(__xludf.DUMMYFUNCTION("CONCATENATE(""https://dl.acm.org/doi/"",INDEX(FILTER('Sheridan Comp'!A:A,'Sheridan Comp'!C:C=A38),1))"),"https://dl.acm.org/doi/10.1145/3774905.3793132")</f>
        <v>https://dl.acm.org/doi/10.1145/3774905.3793132</v>
      </c>
      <c r="G38" s="143" t="s">
        <v>168</v>
      </c>
      <c r="L38" s="255"/>
      <c r="M38" s="255"/>
      <c r="N38" s="255"/>
    </row>
    <row r="39">
      <c r="A39" s="255" t="s">
        <v>2424</v>
      </c>
      <c r="B39" s="255" t="s">
        <v>2425</v>
      </c>
      <c r="C39" s="255" t="s">
        <v>3133</v>
      </c>
      <c r="D39" s="169" t="str">
        <f t="shared" si="2"/>
        <v>Swen: A Cross‑Platform Desktop Assistant for Instant and Personalized Large‑Language‑Model Interaction
Wenjun Feng, Rui Li, Zheng Zhang, Zhenya Huang and Qi Liu
</v>
      </c>
      <c r="E39" s="169" t="str">
        <f>IFERROR(__xludf.DUMMYFUNCTION("TEXTJOIN(CHAR(10), TRUE,FILTER ('Sheridan Comp'!F:F,'Sheridan Comp'!C:C=A39))"),"Swen: A Cross‑Platform Desktop Assistant for Instant and Personalized Large‑Language‑Model Interaction
Wenjun Feng, Rui Li, Zheng Zhang, Zhenya Huang, Qi Liu
")</f>
        <v>Swen: A Cross‑Platform Desktop Assistant for Instant and Personalized Large‑Language‑Model Interaction
Wenjun Feng, Rui Li, Zheng Zhang, Zhenya Huang, Qi Liu
</v>
      </c>
      <c r="F39" s="170" t="str">
        <f>IFERROR(__xludf.DUMMYFUNCTION("CONCATENATE(""https://dl.acm.org/doi/"",INDEX(FILTER('Sheridan Comp'!A:A,'Sheridan Comp'!C:C=A39),1))"),"https://dl.acm.org/doi/10.1145/3774905.3793133")</f>
        <v>https://dl.acm.org/doi/10.1145/3774905.3793133</v>
      </c>
      <c r="G39" s="143" t="s">
        <v>168</v>
      </c>
      <c r="L39" s="255"/>
      <c r="M39" s="255"/>
      <c r="N39" s="255"/>
    </row>
    <row r="40">
      <c r="A40" s="255" t="s">
        <v>2426</v>
      </c>
      <c r="B40" s="255" t="s">
        <v>3134</v>
      </c>
      <c r="C40" s="255" t="s">
        <v>3135</v>
      </c>
      <c r="D40" s="169" t="str">
        <f t="shared" si="2"/>
        <v>Click-to-Ask: An AI Live Streaming Assistant with Offline Copywriting and Online Interactive Q&amp;A
Ruizhi Yu, Keyang Zhong, Peng Liu, Qi Wu, Haoran Zhang, Yanhao Zhang, Chen Chen and Haonan Lu
</v>
      </c>
      <c r="E40" s="169" t="str">
        <f>IFERROR(__xludf.DUMMYFUNCTION("TEXTJOIN(CHAR(10), TRUE,FILTER ('Sheridan Comp'!F:F,'Sheridan Comp'!C:C=A40))"),"Click-to-Ask: An AI Live Streaming Assistant with Offline Copywriting and Online Interactive QA
Ruizhi Yu, Keyang Zhong, Peng Liu, Qi Wu, Haoran Zhang, Yanhao Zhang, Chen Chen, Haonan Lu
")</f>
        <v>Click-to-Ask: An AI Live Streaming Assistant with Offline Copywriting and Online Interactive QA
Ruizhi Yu, Keyang Zhong, Peng Liu, Qi Wu, Haoran Zhang, Yanhao Zhang, Chen Chen, Haonan Lu
</v>
      </c>
      <c r="F40" s="170" t="str">
        <f>IFERROR(__xludf.DUMMYFUNCTION("CONCATENATE(""https://dl.acm.org/doi/"",INDEX(FILTER('Sheridan Comp'!A:A,'Sheridan Comp'!C:C=A40),1))"),"https://dl.acm.org/doi/10.1145/3774905.3793134")</f>
        <v>https://dl.acm.org/doi/10.1145/3774905.3793134</v>
      </c>
      <c r="G40" s="143" t="s">
        <v>168</v>
      </c>
      <c r="L40" s="255"/>
      <c r="M40" s="255"/>
      <c r="N40" s="255"/>
    </row>
    <row r="41">
      <c r="A41" s="255" t="s">
        <v>2428</v>
      </c>
      <c r="B41" s="255" t="s">
        <v>2429</v>
      </c>
      <c r="C41" s="255" t="s">
        <v>3136</v>
      </c>
      <c r="D41" s="169" t="str">
        <f t="shared" si="2"/>
        <v>QueryGym: A Toolkit for Reproducible LLM-Based Query Reformulation
Amin Bigdeli, Radin Hamidi Rad, Mert Incesu, Negar Arabzadeh, Charles Clarke and Ebrahim Bagheri
</v>
      </c>
      <c r="E41" s="169" t="str">
        <f>IFERROR(__xludf.DUMMYFUNCTION("TEXTJOIN(CHAR(10), TRUE,FILTER ('Sheridan Comp'!F:F,'Sheridan Comp'!C:C=A41))"),"QueryGym: A Toolkit for Reproducible LLM-Based Query Reformulation
Amin Bigdeli, Radin Hamidi Rad, Mert Incesu, Negar Arabzadeh, Charles Clarke, Ebrahim Bagheri
")</f>
        <v>QueryGym: A Toolkit for Reproducible LLM-Based Query Reformulation
Amin Bigdeli, Radin Hamidi Rad, Mert Incesu, Negar Arabzadeh, Charles Clarke, Ebrahim Bagheri
</v>
      </c>
      <c r="F41" s="170" t="str">
        <f>IFERROR(__xludf.DUMMYFUNCTION("CONCATENATE(""https://dl.acm.org/doi/"",INDEX(FILTER('Sheridan Comp'!A:A,'Sheridan Comp'!C:C=A41),1))"),"https://dl.acm.org/doi/10.1145/3774905.3793135")</f>
        <v>https://dl.acm.org/doi/10.1145/3774905.3793135</v>
      </c>
      <c r="G41" s="143" t="s">
        <v>187</v>
      </c>
      <c r="L41" s="255"/>
      <c r="M41" s="255"/>
      <c r="N41" s="255"/>
    </row>
    <row r="42">
      <c r="A42" s="255" t="s">
        <v>2430</v>
      </c>
      <c r="B42" s="255" t="s">
        <v>2431</v>
      </c>
      <c r="C42" s="255" t="s">
        <v>3137</v>
      </c>
      <c r="D42" s="169" t="str">
        <f t="shared" si="2"/>
        <v>MetriKG: Profiling Static and Evolving Knowledge Graphs
Hasan Hüseyin Günes, Milos Jovanovik and Katja Hose
</v>
      </c>
      <c r="E42" s="169" t="str">
        <f>IFERROR(__xludf.DUMMYFUNCTION("TEXTJOIN(CHAR(10), TRUE,FILTER ('Sheridan Comp'!F:F,'Sheridan Comp'!C:C=A42))"),"MetriKG: Profiling Static and Evolving Knowledge Graphs
Hasan Günes, Milos Jovanovik, Katja Hose
")</f>
        <v>MetriKG: Profiling Static and Evolving Knowledge Graphs
Hasan Günes, Milos Jovanovik, Katja Hose
</v>
      </c>
      <c r="F42" s="170" t="str">
        <f>IFERROR(__xludf.DUMMYFUNCTION("CONCATENATE(""https://dl.acm.org/doi/"",INDEX(FILTER('Sheridan Comp'!A:A,'Sheridan Comp'!C:C=A42),1))"),"https://dl.acm.org/doi/10.1145/3774905.3793136")</f>
        <v>https://dl.acm.org/doi/10.1145/3774905.3793136</v>
      </c>
      <c r="G42" s="143" t="s">
        <v>187</v>
      </c>
      <c r="L42" s="255"/>
      <c r="M42" s="255"/>
      <c r="N42" s="255"/>
    </row>
    <row r="43">
      <c r="A43" s="255" t="s">
        <v>2432</v>
      </c>
      <c r="B43" s="255" t="s">
        <v>2433</v>
      </c>
      <c r="C43" s="255" t="s">
        <v>3138</v>
      </c>
      <c r="D43" s="169" t="str">
        <f t="shared" si="2"/>
        <v>TabTune: A Unified Library for Inference and Fine-Tuning Tabular Foundation Models
Aditya Tanna, Pratinav Seth, Mohamed Bouadi and Vinay Kumar Kumar Sankarapu
</v>
      </c>
      <c r="E43" s="169" t="str">
        <f>IFERROR(__xludf.DUMMYFUNCTION("TEXTJOIN(CHAR(10), TRUE,FILTER ('Sheridan Comp'!F:F,'Sheridan Comp'!C:C=A43))"),"TabTune: A Unified Library for Inference and Fine-Tuning Tabular Foundation Models
Aditya Tanna, Pratinav Seth, Mohamed Bouadi, Vinay Sankarapu
")</f>
        <v>TabTune: A Unified Library for Inference and Fine-Tuning Tabular Foundation Models
Aditya Tanna, Pratinav Seth, Mohamed Bouadi, Vinay Sankarapu
</v>
      </c>
      <c r="F43" s="170" t="str">
        <f>IFERROR(__xludf.DUMMYFUNCTION("CONCATENATE(""https://dl.acm.org/doi/"",INDEX(FILTER('Sheridan Comp'!A:A,'Sheridan Comp'!C:C=A43),1))"),"https://dl.acm.org/doi/10.1145/3774905.3793137")</f>
        <v>https://dl.acm.org/doi/10.1145/3774905.3793137</v>
      </c>
      <c r="G43" s="143" t="s">
        <v>187</v>
      </c>
      <c r="L43" s="255"/>
      <c r="M43" s="255"/>
      <c r="N43" s="255"/>
    </row>
    <row r="44">
      <c r="A44" s="255" t="s">
        <v>2434</v>
      </c>
      <c r="B44" s="255" t="s">
        <v>2435</v>
      </c>
      <c r="C44" s="255" t="s">
        <v>3139</v>
      </c>
      <c r="D44" s="169" t="str">
        <f t="shared" si="2"/>
        <v>RobustReviewAI: A Robustness Evaluation System for AI-Powered Peer Review
Siming Yuan, Yuchen Liu, Qinan Zheng, Wangze Ni, Shimin Di, Lei Chen and Kui Ren
</v>
      </c>
      <c r="E44" s="169" t="str">
        <f>IFERROR(__xludf.DUMMYFUNCTION("TEXTJOIN(CHAR(10), TRUE,FILTER ('Sheridan Comp'!F:F,'Sheridan Comp'!C:C=A44))"),"RobustReviewAI: A Robustness Evaluation System for AI-Powered Peer Review
Siming Yuan, Yuchen Liu, Qinan Zheng, Wangze Ni, Shimin Di, Lei Chen, Kui Ren
")</f>
        <v>RobustReviewAI: A Robustness Evaluation System for AI-Powered Peer Review
Siming Yuan, Yuchen Liu, Qinan Zheng, Wangze Ni, Shimin Di, Lei Chen, Kui Ren
</v>
      </c>
      <c r="F44" s="170" t="str">
        <f>IFERROR(__xludf.DUMMYFUNCTION("CONCATENATE(""https://dl.acm.org/doi/"",INDEX(FILTER('Sheridan Comp'!A:A,'Sheridan Comp'!C:C=A44),1))"),"https://dl.acm.org/doi/10.1145/3774905.3793138")</f>
        <v>https://dl.acm.org/doi/10.1145/3774905.3793138</v>
      </c>
      <c r="G44" s="143" t="s">
        <v>187</v>
      </c>
      <c r="L44" s="255"/>
      <c r="M44" s="255"/>
      <c r="N44" s="255"/>
    </row>
    <row r="45">
      <c r="A45" s="255" t="s">
        <v>2436</v>
      </c>
      <c r="B45" s="255" t="s">
        <v>2437</v>
      </c>
      <c r="C45" s="255" t="s">
        <v>3140</v>
      </c>
      <c r="D45" s="169" t="str">
        <f t="shared" si="2"/>
        <v>LLM-Powered Structurer: Normalizing Natural Language to Information Delivery Specification for Industrial Data Exchange
Jiqian Yang, Sujie Yan, Zhi Li, Mingyu Liu, Yousheng Wang and Wei He
</v>
      </c>
      <c r="E45" s="169" t="str">
        <f>IFERROR(__xludf.DUMMYFUNCTION("TEXTJOIN(CHAR(10), TRUE,FILTER ('Sheridan Comp'!F:F,'Sheridan Comp'!C:C=A45))"),"LLM-Powered Structurer: Normalizing Natural Language to Information Delivery Specification for Industrial Data Exchange
Jiqian Yang, Sujie Yan, Zhi Li, Mingyu Liu, Yousheng Wang, Wei He
")</f>
        <v>LLM-Powered Structurer: Normalizing Natural Language to Information Delivery Specification for Industrial Data Exchange
Jiqian Yang, Sujie Yan, Zhi Li, Mingyu Liu, Yousheng Wang, Wei He
</v>
      </c>
      <c r="F45" s="170" t="str">
        <f>IFERROR(__xludf.DUMMYFUNCTION("CONCATENATE(""https://dl.acm.org/doi/"",INDEX(FILTER('Sheridan Comp'!A:A,'Sheridan Comp'!C:C=A45),1))"),"https://dl.acm.org/doi/10.1145/3774905.3793139")</f>
        <v>https://dl.acm.org/doi/10.1145/3774905.3793139</v>
      </c>
      <c r="G45" s="143" t="s">
        <v>187</v>
      </c>
      <c r="L45" s="255"/>
      <c r="M45" s="255"/>
      <c r="N45" s="255"/>
    </row>
    <row r="46">
      <c r="A46" s="255" t="s">
        <v>2438</v>
      </c>
      <c r="B46" s="255" t="s">
        <v>2439</v>
      </c>
      <c r="C46" s="255" t="s">
        <v>3141</v>
      </c>
      <c r="D46" s="169" t="str">
        <f t="shared" si="2"/>
        <v>OwlerLite: Scope- and Freshness-Aware Web Retrieval for LLM Assistants
Saber Zerhoudi, Michael Dinzinger, Michael Granitzer and Jelena Mitrovic
</v>
      </c>
      <c r="E46" s="169" t="str">
        <f>IFERROR(__xludf.DUMMYFUNCTION("TEXTJOIN(CHAR(10), TRUE,FILTER ('Sheridan Comp'!F:F,'Sheridan Comp'!C:C=A46))"),"OwlerLite: Scope- and Freshness-Aware Web Retrieval for LLM Assistants
Saber Zerhoudi, Michael Dinzinger, Michael Granitzer, Jelena Mitrovic
")</f>
        <v>OwlerLite: Scope- and Freshness-Aware Web Retrieval for LLM Assistants
Saber Zerhoudi, Michael Dinzinger, Michael Granitzer, Jelena Mitrovic
</v>
      </c>
      <c r="F46" s="170" t="str">
        <f>IFERROR(__xludf.DUMMYFUNCTION("CONCATENATE(""https://dl.acm.org/doi/"",INDEX(FILTER('Sheridan Comp'!A:A,'Sheridan Comp'!C:C=A46),1))"),"https://dl.acm.org/doi/10.1145/3774905.3793140")</f>
        <v>https://dl.acm.org/doi/10.1145/3774905.3793140</v>
      </c>
      <c r="G46" s="143" t="s">
        <v>187</v>
      </c>
      <c r="L46" s="255"/>
      <c r="M46" s="255"/>
      <c r="N46" s="255"/>
    </row>
    <row r="47">
      <c r="A47" s="255" t="s">
        <v>2440</v>
      </c>
      <c r="B47" s="255" t="s">
        <v>2441</v>
      </c>
      <c r="C47" s="255" t="s">
        <v>3142</v>
      </c>
      <c r="D47" s="169" t="str">
        <f t="shared" si="2"/>
        <v>Weakly Supervised Multimodal Claim Verification with Entity-Graph Inference
Kiana Bagheri-Lotfabad, Amin Beheshti, Milad Mosharraf, Min Li, Pooyan Asgari and Guanfeng Liu
</v>
      </c>
      <c r="E47" s="169" t="str">
        <f>IFERROR(__xludf.DUMMYFUNCTION("TEXTJOIN(CHAR(10), TRUE,FILTER ('Sheridan Comp'!F:F,'Sheridan Comp'!C:C=A47))"),"Weakly Supervised Multimodal Claim Verification with Entity-Graph Inference
Kiana Bagheri-Lotfabad, Amin Beheshti, Milad Mosharraf, Min Li, Pooyan Asgari, Guanfeng Liu
")</f>
        <v>Weakly Supervised Multimodal Claim Verification with Entity-Graph Inference
Kiana Bagheri-Lotfabad, Amin Beheshti, Milad Mosharraf, Min Li, Pooyan Asgari, Guanfeng Liu
</v>
      </c>
      <c r="F47" s="170" t="str">
        <f>IFERROR(__xludf.DUMMYFUNCTION("CONCATENATE(""https://dl.acm.org/doi/"",INDEX(FILTER('Sheridan Comp'!A:A,'Sheridan Comp'!C:C=A47),1))"),"https://dl.acm.org/doi/10.1145/3774905.3793141")</f>
        <v>https://dl.acm.org/doi/10.1145/3774905.3793141</v>
      </c>
      <c r="G47" s="143" t="s">
        <v>187</v>
      </c>
      <c r="L47" s="255"/>
      <c r="M47" s="255"/>
      <c r="N47" s="255"/>
    </row>
    <row r="48">
      <c r="A48" s="255" t="s">
        <v>2442</v>
      </c>
      <c r="B48" s="255" t="s">
        <v>2443</v>
      </c>
      <c r="C48" s="255" t="s">
        <v>3143</v>
      </c>
      <c r="D48" s="169" t="str">
        <f t="shared" si="2"/>
        <v>BLURR: A Boosted Low-Resource Inference for Vision-Language-Action Model
Xiaoyu Ma, Zhengqing Yuan, Zheyuan Zhang, Kaiwen Shi, Lichao Sun and Yanfang Ye
</v>
      </c>
      <c r="E48" s="169" t="str">
        <f>IFERROR(__xludf.DUMMYFUNCTION("TEXTJOIN(CHAR(10), TRUE,FILTER ('Sheridan Comp'!F:F,'Sheridan Comp'!C:C=A48))"),"BLURR: A Boosted Low-Resource Inference for Vision-Language-Action Model
Xiaoyu Ma, Zhengqing Yuan, Zheyuan Zhang, Kaiwen Shi, Lichao Sun, Yanfang Ye
")</f>
        <v>BLURR: A Boosted Low-Resource Inference for Vision-Language-Action Model
Xiaoyu Ma, Zhengqing Yuan, Zheyuan Zhang, Kaiwen Shi, Lichao Sun, Yanfang Ye
</v>
      </c>
      <c r="F48" s="170" t="str">
        <f>IFERROR(__xludf.DUMMYFUNCTION("CONCATENATE(""https://dl.acm.org/doi/"",INDEX(FILTER('Sheridan Comp'!A:A,'Sheridan Comp'!C:C=A48),1))"),"https://dl.acm.org/doi/10.1145/3774905.3793142")</f>
        <v>https://dl.acm.org/doi/10.1145/3774905.3793142</v>
      </c>
      <c r="G48" s="143" t="s">
        <v>187</v>
      </c>
      <c r="L48" s="255"/>
      <c r="M48" s="255"/>
      <c r="N48" s="255"/>
    </row>
  </sheetData>
  <conditionalFormatting sqref="G9:G48">
    <cfRule type="cellIs" dxfId="5" priority="1" operator="equal">
      <formula>"TRUE"</formula>
    </cfRule>
  </conditionalFormatting>
  <dataValidations>
    <dataValidation type="list" allowBlank="1" showErrorMessage="1" sqref="G9:G48">
      <formula1>"Demos1,Demos2,Demos3,Demos4,Demos5"</formula1>
    </dataValidation>
  </dataValidation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3" max="3" width="73.88"/>
    <col customWidth="1" min="4" max="4" width="65.75"/>
    <col customWidth="1" min="5" max="5" width="76.75"/>
    <col customWidth="1" min="6" max="8" width="50.13"/>
  </cols>
  <sheetData>
    <row r="1">
      <c r="A1" s="259" t="s">
        <v>3144</v>
      </c>
      <c r="B1" s="260" t="s">
        <v>3145</v>
      </c>
      <c r="C1" s="260" t="s">
        <v>3146</v>
      </c>
      <c r="D1" s="261" t="s">
        <v>3147</v>
      </c>
      <c r="E1" s="147"/>
      <c r="F1" s="147"/>
      <c r="G1" s="147"/>
      <c r="H1" s="262"/>
      <c r="I1" s="147"/>
      <c r="J1" s="147"/>
      <c r="K1" s="147"/>
      <c r="L1" s="147"/>
      <c r="M1" s="147"/>
      <c r="N1" s="147"/>
      <c r="O1" s="147"/>
      <c r="P1" s="147"/>
      <c r="Q1" s="147"/>
      <c r="R1" s="147"/>
      <c r="S1" s="147"/>
      <c r="T1" s="147"/>
      <c r="U1" s="147"/>
      <c r="V1" s="147"/>
      <c r="W1" s="147"/>
      <c r="X1" s="147"/>
      <c r="Y1" s="147"/>
      <c r="Z1" s="147"/>
      <c r="AA1" s="147"/>
      <c r="AB1" s="147"/>
      <c r="AC1" s="147"/>
      <c r="AD1" s="147"/>
    </row>
    <row r="2">
      <c r="A2" s="263" t="s">
        <v>3148</v>
      </c>
      <c r="B2" s="264">
        <v>3.0</v>
      </c>
      <c r="C2" s="264">
        <f t="shared" ref="C2:C5" si="1">countif(I:I,A2)</f>
        <v>3</v>
      </c>
      <c r="D2" s="265" t="s">
        <v>3149</v>
      </c>
      <c r="E2" s="147"/>
      <c r="F2" s="147"/>
      <c r="G2" s="147"/>
      <c r="H2" s="262"/>
      <c r="I2" s="147"/>
      <c r="J2" s="147"/>
      <c r="K2" s="147"/>
      <c r="L2" s="147"/>
      <c r="M2" s="147"/>
      <c r="N2" s="147"/>
      <c r="O2" s="147"/>
      <c r="P2" s="147"/>
      <c r="Q2" s="147"/>
      <c r="R2" s="147"/>
      <c r="S2" s="147"/>
      <c r="T2" s="147"/>
      <c r="U2" s="147"/>
      <c r="V2" s="147"/>
      <c r="W2" s="147"/>
      <c r="X2" s="147"/>
      <c r="Y2" s="147"/>
      <c r="Z2" s="147"/>
      <c r="AA2" s="147"/>
      <c r="AB2" s="147"/>
      <c r="AC2" s="147"/>
      <c r="AD2" s="147"/>
    </row>
    <row r="3">
      <c r="A3" s="263" t="s">
        <v>3150</v>
      </c>
      <c r="B3" s="264">
        <v>3.0</v>
      </c>
      <c r="C3" s="264">
        <f t="shared" si="1"/>
        <v>3</v>
      </c>
      <c r="D3" s="265" t="s">
        <v>3149</v>
      </c>
      <c r="E3" s="147"/>
      <c r="F3" s="147"/>
      <c r="G3" s="147"/>
      <c r="H3" s="262"/>
      <c r="I3" s="147"/>
      <c r="J3" s="147"/>
      <c r="K3" s="147"/>
      <c r="L3" s="147"/>
      <c r="M3" s="147"/>
      <c r="N3" s="147"/>
      <c r="O3" s="147"/>
      <c r="P3" s="147"/>
      <c r="Q3" s="147"/>
      <c r="R3" s="147"/>
      <c r="S3" s="147"/>
      <c r="T3" s="147"/>
      <c r="U3" s="147"/>
      <c r="V3" s="147"/>
      <c r="W3" s="147"/>
      <c r="X3" s="147"/>
      <c r="Y3" s="147"/>
      <c r="Z3" s="147"/>
      <c r="AA3" s="147"/>
      <c r="AB3" s="147"/>
      <c r="AC3" s="147"/>
      <c r="AD3" s="147"/>
    </row>
    <row r="4">
      <c r="A4" s="263" t="s">
        <v>3151</v>
      </c>
      <c r="B4" s="264">
        <v>3.0</v>
      </c>
      <c r="C4" s="264">
        <f t="shared" si="1"/>
        <v>3</v>
      </c>
      <c r="D4" s="265" t="s">
        <v>3149</v>
      </c>
      <c r="E4" s="147"/>
      <c r="F4" s="147"/>
      <c r="G4" s="147"/>
      <c r="H4" s="262"/>
      <c r="I4" s="147"/>
      <c r="J4" s="147"/>
      <c r="K4" s="147"/>
      <c r="L4" s="147"/>
      <c r="M4" s="147"/>
      <c r="N4" s="147"/>
      <c r="O4" s="147"/>
      <c r="P4" s="147"/>
      <c r="Q4" s="147"/>
      <c r="R4" s="147"/>
      <c r="S4" s="147"/>
      <c r="T4" s="147"/>
      <c r="U4" s="147"/>
      <c r="V4" s="147"/>
      <c r="W4" s="147"/>
      <c r="X4" s="147"/>
      <c r="Y4" s="147"/>
      <c r="Z4" s="147"/>
      <c r="AA4" s="147"/>
      <c r="AB4" s="147"/>
      <c r="AC4" s="147"/>
      <c r="AD4" s="147"/>
    </row>
    <row r="5">
      <c r="A5" s="263" t="s">
        <v>3152</v>
      </c>
      <c r="C5" s="264">
        <f t="shared" si="1"/>
        <v>4</v>
      </c>
      <c r="D5" s="265" t="s">
        <v>3149</v>
      </c>
      <c r="E5" s="147"/>
      <c r="F5" s="147"/>
      <c r="G5" s="147"/>
      <c r="H5" s="262"/>
      <c r="I5" s="147"/>
      <c r="J5" s="147"/>
      <c r="K5" s="147"/>
      <c r="L5" s="147"/>
      <c r="M5" s="147"/>
      <c r="N5" s="147"/>
      <c r="O5" s="147"/>
      <c r="P5" s="147"/>
      <c r="Q5" s="147"/>
      <c r="R5" s="147"/>
      <c r="S5" s="147"/>
      <c r="T5" s="147"/>
      <c r="U5" s="147"/>
      <c r="V5" s="147"/>
      <c r="W5" s="147"/>
      <c r="X5" s="147"/>
      <c r="Y5" s="147"/>
      <c r="Z5" s="147"/>
      <c r="AA5" s="147"/>
      <c r="AB5" s="147"/>
      <c r="AC5" s="147"/>
      <c r="AD5" s="147"/>
    </row>
    <row r="6">
      <c r="A6" s="229" t="s">
        <v>3153</v>
      </c>
      <c r="B6" s="229" t="s">
        <v>2949</v>
      </c>
      <c r="C6" s="242" t="s">
        <v>3154</v>
      </c>
      <c r="D6" s="143" t="s">
        <v>218</v>
      </c>
      <c r="E6" s="242" t="s">
        <v>2959</v>
      </c>
      <c r="F6" s="224" t="s">
        <v>2928</v>
      </c>
      <c r="G6" s="224" t="s">
        <v>2951</v>
      </c>
      <c r="H6" s="266"/>
      <c r="I6" s="229" t="s">
        <v>2843</v>
      </c>
    </row>
    <row r="7">
      <c r="A7" s="267" t="s">
        <v>17</v>
      </c>
      <c r="B7" s="255" t="s">
        <v>2444</v>
      </c>
      <c r="C7" s="267" t="s">
        <v>2445</v>
      </c>
      <c r="D7" s="268" t="s">
        <v>3155</v>
      </c>
      <c r="E7" s="150" t="str">
        <f t="shared" ref="E7:E19" si="2">CONCATENATE(C7, char(10),D7)</f>
        <v>Temporal Information Retrieval And Question Answering in the Age of LLMs
Bhawna Piryani, Avishek Anand and Adam Jatowt</v>
      </c>
      <c r="F7" s="147" t="str">
        <f>IFERROR(__xludf.DUMMYFUNCTION("TEXTJOIN(CHAR(10), TRUE,FILTER ('Sheridan Comp'!G:G,'Sheridan Comp'!C:C=B7))"),"bhawna.piryani@gmail.com")</f>
        <v>bhawna.piryani@gmail.com</v>
      </c>
      <c r="G7" s="235" t="str">
        <f>IFERROR(__xludf.DUMMYFUNCTION("CONCATENATE(""https://dl.acm.org/doi/"",INDEX(FILTER('Sheridan Comp'!A:A,'Sheridan Comp'!C:C=B7),1))"),"https://dl.acm.org/doi/10.1145/3774905.3793911")</f>
        <v>https://dl.acm.org/doi/10.1145/3774905.3793911</v>
      </c>
      <c r="H7" s="262" t="str">
        <f t="shared" ref="H7:H19" si="3">CONCATENATE("&lt;a href='",G7,"'&gt;",C7,"&lt;/a&gt;)")</f>
        <v>&lt;a href='https://dl.acm.org/doi/10.1145/3774905.3793911'&gt;Temporal Information Retrieval And Question Answering in the Age of LLMs&lt;/a&gt;)</v>
      </c>
      <c r="I7" s="269" t="s">
        <v>3148</v>
      </c>
      <c r="J7" s="147"/>
      <c r="K7" s="147"/>
      <c r="L7" s="147"/>
      <c r="M7" s="147"/>
      <c r="N7" s="147"/>
      <c r="O7" s="147"/>
      <c r="P7" s="147"/>
      <c r="Q7" s="147"/>
      <c r="R7" s="147"/>
      <c r="S7" s="147"/>
      <c r="T7" s="147"/>
      <c r="U7" s="147"/>
      <c r="V7" s="147"/>
      <c r="W7" s="147"/>
      <c r="X7" s="147"/>
      <c r="Y7" s="147"/>
      <c r="Z7" s="147"/>
      <c r="AA7" s="147"/>
      <c r="AB7" s="147"/>
      <c r="AC7" s="147"/>
      <c r="AD7" s="147"/>
    </row>
    <row r="8">
      <c r="A8" s="267" t="s">
        <v>18</v>
      </c>
      <c r="B8" s="255" t="s">
        <v>2446</v>
      </c>
      <c r="C8" s="267" t="s">
        <v>2447</v>
      </c>
      <c r="D8" s="268" t="s">
        <v>3156</v>
      </c>
      <c r="E8" s="150" t="str">
        <f t="shared" si="2"/>
        <v>Out-of-distribution Generalized Generative AI
Xin Wang, Yuwei Zhou, Zirui Pan and Wenwu Zhu</v>
      </c>
      <c r="F8" s="147" t="str">
        <f>IFERROR(__xludf.DUMMYFUNCTION("TEXTJOIN(CHAR(10), TRUE,FILTER ('Sheridan Comp'!G:G,'Sheridan Comp'!C:C=B8))"),"xin_wang@tsinghua.edu.cn")</f>
        <v>xin_wang@tsinghua.edu.cn</v>
      </c>
      <c r="G8" s="235" t="str">
        <f>IFERROR(__xludf.DUMMYFUNCTION("CONCATENATE(""https://dl.acm.org/doi/"",INDEX(FILTER('Sheridan Comp'!A:A,'Sheridan Comp'!C:C=B8),1))"),"https://dl.acm.org/doi/10.1145/3774905.3793912")</f>
        <v>https://dl.acm.org/doi/10.1145/3774905.3793912</v>
      </c>
      <c r="H8" s="262" t="str">
        <f t="shared" si="3"/>
        <v>&lt;a href='https://dl.acm.org/doi/10.1145/3774905.3793912'&gt;Out-of-distribution Generalized Generative AI&lt;/a&gt;)</v>
      </c>
      <c r="I8" s="269" t="s">
        <v>3148</v>
      </c>
      <c r="J8" s="147"/>
      <c r="K8" s="147"/>
      <c r="L8" s="147"/>
      <c r="M8" s="147"/>
      <c r="N8" s="147"/>
      <c r="O8" s="147"/>
      <c r="P8" s="147"/>
      <c r="Q8" s="147"/>
      <c r="R8" s="147"/>
      <c r="S8" s="147"/>
      <c r="T8" s="147"/>
      <c r="U8" s="147"/>
      <c r="V8" s="147"/>
      <c r="W8" s="147"/>
      <c r="X8" s="147"/>
      <c r="Y8" s="147"/>
      <c r="Z8" s="147"/>
      <c r="AA8" s="147"/>
      <c r="AB8" s="147"/>
      <c r="AC8" s="147"/>
      <c r="AD8" s="147"/>
    </row>
    <row r="9">
      <c r="A9" s="267" t="s">
        <v>19</v>
      </c>
      <c r="B9" s="255" t="s">
        <v>2448</v>
      </c>
      <c r="C9" s="267" t="s">
        <v>2449</v>
      </c>
      <c r="D9" s="268" t="s">
        <v>3157</v>
      </c>
      <c r="E9" s="150" t="str">
        <f t="shared" si="2"/>
        <v>Towards a Responsible Web: Economic Perspectives on Fairness in Information Retrieval
Chen Xu, Clara Rus, Yuanna Liu, Marleen de Jonge, Jun Xu and Maarten de Rijke</v>
      </c>
      <c r="F9" s="147" t="str">
        <f>IFERROR(__xludf.DUMMYFUNCTION("TEXTJOIN(CHAR(10), TRUE,FILTER ('Sheridan Comp'!G:G,'Sheridan Comp'!C:C=B9))"),"M.deRijke@uva.nl")</f>
        <v>M.deRijke@uva.nl</v>
      </c>
      <c r="G9" s="235" t="str">
        <f>IFERROR(__xludf.DUMMYFUNCTION("CONCATENATE(""https://dl.acm.org/doi/"",INDEX(FILTER('Sheridan Comp'!A:A,'Sheridan Comp'!C:C=B9),1))"),"https://dl.acm.org/doi/10.1145/3774905.3793913")</f>
        <v>https://dl.acm.org/doi/10.1145/3774905.3793913</v>
      </c>
      <c r="H9" s="262" t="str">
        <f t="shared" si="3"/>
        <v>&lt;a href='https://dl.acm.org/doi/10.1145/3774905.3793913'&gt;Towards a Responsible Web: Economic Perspectives on Fairness in Information Retrieval&lt;/a&gt;)</v>
      </c>
      <c r="I9" s="269" t="s">
        <v>3148</v>
      </c>
      <c r="J9" s="147"/>
      <c r="K9" s="147"/>
      <c r="L9" s="147"/>
      <c r="M9" s="147"/>
      <c r="N9" s="147"/>
      <c r="O9" s="147"/>
      <c r="P9" s="147"/>
      <c r="Q9" s="147"/>
      <c r="R9" s="147"/>
      <c r="S9" s="147"/>
      <c r="T9" s="147"/>
      <c r="U9" s="147"/>
      <c r="V9" s="147"/>
      <c r="W9" s="147"/>
      <c r="X9" s="147"/>
      <c r="Y9" s="147"/>
      <c r="Z9" s="147"/>
      <c r="AA9" s="147"/>
      <c r="AB9" s="147"/>
      <c r="AC9" s="147"/>
      <c r="AD9" s="147"/>
    </row>
    <row r="10">
      <c r="A10" s="267" t="s">
        <v>43</v>
      </c>
      <c r="B10" s="255" t="s">
        <v>2450</v>
      </c>
      <c r="C10" s="267" t="s">
        <v>3158</v>
      </c>
      <c r="D10" s="268" t="s">
        <v>3159</v>
      </c>
      <c r="E10" s="150" t="str">
        <f t="shared" si="2"/>
        <v>Next-Gen Code Development with Collaborative AI Agents
Shweta Garg, Behrooz Omidvar-Tehrani, Shengyu Fu, Gauthier Guinet and Baishakhi Ray</v>
      </c>
      <c r="F10" s="147" t="str">
        <f>IFERROR(__xludf.DUMMYFUNCTION("TEXTJOIN(CHAR(10), TRUE,FILTER ('Sheridan Comp'!G:G,'Sheridan Comp'!C:C=B10))"),"shwetagarg2006@gmail.com")</f>
        <v>shwetagarg2006@gmail.com</v>
      </c>
      <c r="G10" s="235" t="str">
        <f>IFERROR(__xludf.DUMMYFUNCTION("CONCATENATE(""https://dl.acm.org/doi/"",INDEX(FILTER('Sheridan Comp'!A:A,'Sheridan Comp'!C:C=B10),1))"),"https://dl.acm.org/doi/10.1145/3774905.3793914")</f>
        <v>https://dl.acm.org/doi/10.1145/3774905.3793914</v>
      </c>
      <c r="H10" s="262" t="str">
        <f t="shared" si="3"/>
        <v>&lt;a href='https://dl.acm.org/doi/10.1145/3774905.3793914'&gt;Next-Gen Code Development with Collaborative AI Agents&lt;/a&gt;)</v>
      </c>
      <c r="I10" s="269" t="s">
        <v>3151</v>
      </c>
      <c r="J10" s="147"/>
      <c r="K10" s="147"/>
      <c r="L10" s="147"/>
      <c r="M10" s="147"/>
      <c r="N10" s="147"/>
      <c r="O10" s="147"/>
      <c r="P10" s="147"/>
      <c r="Q10" s="147"/>
      <c r="R10" s="147"/>
      <c r="S10" s="147"/>
      <c r="T10" s="147"/>
      <c r="U10" s="147"/>
      <c r="V10" s="147"/>
      <c r="W10" s="147"/>
      <c r="X10" s="147"/>
      <c r="Y10" s="147"/>
      <c r="Z10" s="147"/>
      <c r="AA10" s="147"/>
      <c r="AB10" s="147"/>
      <c r="AC10" s="147"/>
      <c r="AD10" s="147"/>
    </row>
    <row r="11">
      <c r="A11" s="267" t="s">
        <v>56</v>
      </c>
      <c r="B11" s="255" t="s">
        <v>2452</v>
      </c>
      <c r="C11" s="267" t="s">
        <v>2453</v>
      </c>
      <c r="D11" s="268" t="s">
        <v>3160</v>
      </c>
      <c r="E11" s="150" t="str">
        <f t="shared" si="2"/>
        <v>LLM-Enhanced Web-Centric Spatio-Temporal Intelligence: Methods, Applications, and Frontier Research
Zijian Zhang, Hao Miao, Yuxuan Liang, Yan Zhao and Irwin King</v>
      </c>
      <c r="F11" s="147" t="str">
        <f>IFERROR(__xludf.DUMMYFUNCTION("TEXTJOIN(CHAR(10), TRUE,FILTER ('Sheridan Comp'!G:G,'Sheridan Comp'!C:C=B11))"),"hao.miao@polyu.edu.hk")</f>
        <v>hao.miao@polyu.edu.hk</v>
      </c>
      <c r="G11" s="235" t="str">
        <f>IFERROR(__xludf.DUMMYFUNCTION("CONCATENATE(""https://dl.acm.org/doi/"",INDEX(FILTER('Sheridan Comp'!A:A,'Sheridan Comp'!C:C=B11),1))"),"https://dl.acm.org/doi/10.1145/3774905.3793915")</f>
        <v>https://dl.acm.org/doi/10.1145/3774905.3793915</v>
      </c>
      <c r="H11" s="262" t="str">
        <f t="shared" si="3"/>
        <v>&lt;a href='https://dl.acm.org/doi/10.1145/3774905.3793915'&gt;LLM-Enhanced Web-Centric Spatio-Temporal Intelligence: Methods, Applications, and Frontier Research&lt;/a&gt;)</v>
      </c>
      <c r="I11" s="269" t="s">
        <v>3152</v>
      </c>
      <c r="J11" s="147"/>
      <c r="K11" s="147"/>
      <c r="L11" s="147"/>
      <c r="M11" s="147"/>
      <c r="N11" s="147"/>
      <c r="O11" s="147"/>
      <c r="P11" s="147"/>
      <c r="Q11" s="147"/>
      <c r="R11" s="147"/>
      <c r="S11" s="147"/>
      <c r="T11" s="147"/>
      <c r="U11" s="147"/>
      <c r="V11" s="147"/>
      <c r="W11" s="147"/>
      <c r="X11" s="147"/>
      <c r="Y11" s="147"/>
      <c r="Z11" s="147"/>
      <c r="AA11" s="147"/>
      <c r="AB11" s="147"/>
      <c r="AC11" s="147"/>
      <c r="AD11" s="147"/>
    </row>
    <row r="12">
      <c r="A12" s="267" t="s">
        <v>33</v>
      </c>
      <c r="B12" s="255" t="s">
        <v>2454</v>
      </c>
      <c r="C12" s="267" t="s">
        <v>2455</v>
      </c>
      <c r="D12" s="268" t="s">
        <v>3161</v>
      </c>
      <c r="E12" s="150" t="str">
        <f t="shared" si="2"/>
        <v>Quantum-Safe, Efficient, and AI-Enhanced Blockchains for the Web: A Cooperative Tutorial on Quantum Computing, Blockchain Applications, and Data Standards
Dongping Liu, Aoyu Zhang and Luyao Zhang</v>
      </c>
      <c r="F12" s="147" t="str">
        <f>IFERROR(__xludf.DUMMYFUNCTION("TEXTJOIN(CHAR(10), TRUE,FILTER ('Sheridan Comp'!G:G,'Sheridan Comp'!C:C=B12))"),"lz183@duke.edu")</f>
        <v>lz183@duke.edu</v>
      </c>
      <c r="G12" s="235" t="str">
        <f>IFERROR(__xludf.DUMMYFUNCTION("CONCATENATE(""https://dl.acm.org/doi/"",INDEX(FILTER('Sheridan Comp'!A:A,'Sheridan Comp'!C:C=B12),1))"),"https://dl.acm.org/doi/10.1145/3774905.3793916")</f>
        <v>https://dl.acm.org/doi/10.1145/3774905.3793916</v>
      </c>
      <c r="H12" s="262" t="str">
        <f t="shared" si="3"/>
        <v>&lt;a href='https://dl.acm.org/doi/10.1145/3774905.3793916'&gt;Quantum-Safe, Efficient, and AI-Enhanced Blockchains for the Web: A Cooperative Tutorial on Quantum Computing, Blockchain Applications, and Data Standards&lt;/a&gt;)</v>
      </c>
      <c r="I12" s="269" t="s">
        <v>3150</v>
      </c>
      <c r="J12" s="147"/>
      <c r="K12" s="147"/>
      <c r="L12" s="147"/>
      <c r="M12" s="147"/>
      <c r="N12" s="147"/>
      <c r="O12" s="147"/>
      <c r="P12" s="147"/>
      <c r="Q12" s="147"/>
      <c r="R12" s="147"/>
      <c r="S12" s="147"/>
      <c r="T12" s="147"/>
      <c r="U12" s="147"/>
      <c r="V12" s="147"/>
      <c r="W12" s="147"/>
      <c r="X12" s="147"/>
      <c r="Y12" s="147"/>
      <c r="Z12" s="147"/>
      <c r="AA12" s="147"/>
      <c r="AB12" s="147"/>
      <c r="AC12" s="147"/>
      <c r="AD12" s="147"/>
    </row>
    <row r="13">
      <c r="A13" s="267" t="s">
        <v>44</v>
      </c>
      <c r="B13" s="255" t="s">
        <v>2456</v>
      </c>
      <c r="C13" s="267" t="s">
        <v>2457</v>
      </c>
      <c r="D13" s="268" t="s">
        <v>3162</v>
      </c>
      <c r="E13" s="150" t="str">
        <f t="shared" si="2"/>
        <v>Conversational Search: From Fundamentals to Frontiers in the Age of Agents
Chuan Meng, Fengran Mo, Mohammad Aliannejadi, Jeff Dalton and Jian-Yun Nie</v>
      </c>
      <c r="F13" s="147" t="str">
        <f>IFERROR(__xludf.DUMMYFUNCTION("TEXTJOIN(CHAR(10), TRUE,FILTER ('Sheridan Comp'!G:G,'Sheridan Comp'!C:C=B13))"),"chuan.meng@ed.ac.uk")</f>
        <v>chuan.meng@ed.ac.uk</v>
      </c>
      <c r="G13" s="235" t="str">
        <f>IFERROR(__xludf.DUMMYFUNCTION("CONCATENATE(""https://dl.acm.org/doi/"",INDEX(FILTER('Sheridan Comp'!A:A,'Sheridan Comp'!C:C=B13),1))"),"https://dl.acm.org/doi/10.1145/3774905.3793917")</f>
        <v>https://dl.acm.org/doi/10.1145/3774905.3793917</v>
      </c>
      <c r="H13" s="262" t="str">
        <f t="shared" si="3"/>
        <v>&lt;a href='https://dl.acm.org/doi/10.1145/3774905.3793917'&gt;Conversational Search: From Fundamentals to Frontiers in the Age of Agents&lt;/a&gt;)</v>
      </c>
      <c r="I13" s="269" t="s">
        <v>3151</v>
      </c>
      <c r="J13" s="147"/>
      <c r="K13" s="147"/>
      <c r="L13" s="147"/>
      <c r="M13" s="147"/>
      <c r="N13" s="147"/>
      <c r="O13" s="147"/>
      <c r="P13" s="147"/>
      <c r="Q13" s="147"/>
      <c r="R13" s="147"/>
      <c r="S13" s="147"/>
      <c r="T13" s="147"/>
      <c r="U13" s="147"/>
      <c r="V13" s="147"/>
      <c r="W13" s="147"/>
      <c r="X13" s="147"/>
      <c r="Y13" s="147"/>
      <c r="Z13" s="147"/>
      <c r="AA13" s="147"/>
      <c r="AB13" s="147"/>
      <c r="AC13" s="147"/>
      <c r="AD13" s="147"/>
    </row>
    <row r="14">
      <c r="A14" s="267" t="s">
        <v>34</v>
      </c>
      <c r="B14" s="255" t="s">
        <v>2458</v>
      </c>
      <c r="C14" s="267" t="s">
        <v>2459</v>
      </c>
      <c r="D14" s="268" t="s">
        <v>3163</v>
      </c>
      <c r="E14" s="150" t="str">
        <f t="shared" si="2"/>
        <v>Bandits, LLMs, and Agentic Web
Djallel Bouneffouf and Raphael Feraud</v>
      </c>
      <c r="F14" s="147" t="str">
        <f>IFERROR(__xludf.DUMMYFUNCTION("TEXTJOIN(CHAR(10), TRUE,FILTER ('Sheridan Comp'!G:G,'Sheridan Comp'!C:C=B14))"),"Djallel.Bouneffouf@ibm.com")</f>
        <v>Djallel.Bouneffouf@ibm.com</v>
      </c>
      <c r="G14" s="235" t="str">
        <f>IFERROR(__xludf.DUMMYFUNCTION("CONCATENATE(""https://dl.acm.org/doi/"",INDEX(FILTER('Sheridan Comp'!A:A,'Sheridan Comp'!C:C=B14),1))"),"https://dl.acm.org/doi/10.1145/3774905.3793919")</f>
        <v>https://dl.acm.org/doi/10.1145/3774905.3793919</v>
      </c>
      <c r="H14" s="262" t="str">
        <f t="shared" si="3"/>
        <v>&lt;a href='https://dl.acm.org/doi/10.1145/3774905.3793919'&gt;Bandits, LLMs, and Agentic Web&lt;/a&gt;)</v>
      </c>
      <c r="I14" s="269" t="s">
        <v>3150</v>
      </c>
      <c r="J14" s="147"/>
      <c r="K14" s="147"/>
      <c r="L14" s="147"/>
      <c r="M14" s="147"/>
      <c r="N14" s="147"/>
      <c r="O14" s="147"/>
      <c r="P14" s="147"/>
      <c r="Q14" s="147"/>
      <c r="R14" s="147"/>
      <c r="S14" s="147"/>
      <c r="T14" s="147"/>
      <c r="U14" s="147"/>
      <c r="V14" s="147"/>
      <c r="W14" s="147"/>
      <c r="X14" s="147"/>
      <c r="Y14" s="147"/>
      <c r="Z14" s="147"/>
      <c r="AA14" s="147"/>
      <c r="AB14" s="147"/>
      <c r="AC14" s="147"/>
      <c r="AD14" s="147"/>
    </row>
    <row r="15">
      <c r="A15" s="267" t="s">
        <v>35</v>
      </c>
      <c r="B15" s="255" t="s">
        <v>2460</v>
      </c>
      <c r="C15" s="267" t="s">
        <v>2461</v>
      </c>
      <c r="D15" s="267" t="s">
        <v>3164</v>
      </c>
      <c r="E15" s="150" t="str">
        <f t="shared" si="2"/>
        <v>Unstructured to Structured: Building Knowledge Graphs from Documents for Web Applications
Qiang Sun, Yihao Ding, Sirui Li and Wei Liu</v>
      </c>
      <c r="F15" s="147" t="str">
        <f>IFERROR(__xludf.DUMMYFUNCTION("TEXTJOIN(CHAR(10), TRUE,FILTER ('Sheridan Comp'!G:G,'Sheridan Comp'!C:C=B15))"),"wei.liu@uwa.edu.au")</f>
        <v>wei.liu@uwa.edu.au</v>
      </c>
      <c r="G15" s="235" t="str">
        <f>IFERROR(__xludf.DUMMYFUNCTION("CONCATENATE(""https://dl.acm.org/doi/"",INDEX(FILTER('Sheridan Comp'!A:A,'Sheridan Comp'!C:C=B15),1))"),"https://dl.acm.org/doi/10.1145/3774905.3793920")</f>
        <v>https://dl.acm.org/doi/10.1145/3774905.3793920</v>
      </c>
      <c r="H15" s="262" t="str">
        <f t="shared" si="3"/>
        <v>&lt;a href='https://dl.acm.org/doi/10.1145/3774905.3793920'&gt;Unstructured to Structured: Building Knowledge Graphs from Documents for Web Applications&lt;/a&gt;)</v>
      </c>
      <c r="I15" s="269" t="s">
        <v>3150</v>
      </c>
      <c r="J15" s="147"/>
      <c r="K15" s="147"/>
      <c r="L15" s="147"/>
      <c r="M15" s="147"/>
      <c r="N15" s="147"/>
      <c r="O15" s="147"/>
      <c r="P15" s="147"/>
      <c r="Q15" s="147"/>
      <c r="R15" s="147"/>
      <c r="S15" s="147"/>
      <c r="T15" s="147"/>
      <c r="U15" s="147"/>
      <c r="V15" s="147"/>
      <c r="W15" s="147"/>
      <c r="X15" s="147"/>
      <c r="Y15" s="147"/>
      <c r="Z15" s="147"/>
      <c r="AA15" s="147"/>
      <c r="AB15" s="147"/>
      <c r="AC15" s="147"/>
      <c r="AD15" s="147"/>
    </row>
    <row r="16">
      <c r="A16" s="267" t="s">
        <v>45</v>
      </c>
      <c r="B16" s="255" t="s">
        <v>2462</v>
      </c>
      <c r="C16" s="267" t="s">
        <v>3165</v>
      </c>
      <c r="D16" s="268" t="s">
        <v>3166</v>
      </c>
      <c r="E16" s="150" t="str">
        <f t="shared" si="2"/>
        <v>Foundations for the Agentic Web: Infrastructure, Economics, and Society
Ramesh Raskar and Pradyumna Chari</v>
      </c>
      <c r="F16" s="147" t="str">
        <f>IFERROR(__xludf.DUMMYFUNCTION("TEXTJOIN(CHAR(10), TRUE,FILTER ('Sheridan Comp'!G:G,'Sheridan Comp'!C:C=B16))"),"pchari@media.mit.edu")</f>
        <v>pchari@media.mit.edu</v>
      </c>
      <c r="G16" s="235" t="str">
        <f>IFERROR(__xludf.DUMMYFUNCTION("CONCATENATE(""https://dl.acm.org/doi/"",INDEX(FILTER('Sheridan Comp'!A:A,'Sheridan Comp'!C:C=B16),1))"),"https://dl.acm.org/doi/10.1145/3774905.3793921")</f>
        <v>https://dl.acm.org/doi/10.1145/3774905.3793921</v>
      </c>
      <c r="H16" s="262" t="str">
        <f t="shared" si="3"/>
        <v>&lt;a href='https://dl.acm.org/doi/10.1145/3774905.3793921'&gt;Foundations for the Agentic Web: Infrastructure, Economics, and Society&lt;/a&gt;)</v>
      </c>
      <c r="I16" s="269" t="s">
        <v>3151</v>
      </c>
      <c r="J16" s="147"/>
      <c r="K16" s="147"/>
      <c r="L16" s="147"/>
      <c r="M16" s="147"/>
      <c r="N16" s="147"/>
      <c r="O16" s="147"/>
      <c r="P16" s="147"/>
      <c r="Q16" s="147"/>
      <c r="R16" s="147"/>
      <c r="S16" s="147"/>
      <c r="T16" s="147"/>
      <c r="U16" s="147"/>
      <c r="V16" s="147"/>
      <c r="W16" s="147"/>
      <c r="X16" s="147"/>
      <c r="Y16" s="147"/>
      <c r="Z16" s="147"/>
      <c r="AA16" s="147"/>
      <c r="AB16" s="147"/>
      <c r="AC16" s="147"/>
      <c r="AD16" s="147"/>
    </row>
    <row r="17">
      <c r="A17" s="267" t="s">
        <v>57</v>
      </c>
      <c r="B17" s="255" t="s">
        <v>2464</v>
      </c>
      <c r="C17" s="267" t="s">
        <v>2465</v>
      </c>
      <c r="D17" s="268" t="s">
        <v>3167</v>
      </c>
      <c r="E17" s="150" t="str">
        <f t="shared" si="2"/>
        <v>Generalist Model for Structured Data: Foundations, Frontiers and Applications
Peng Cui, Xingxuan Zhang, Han-Jia Ye, Jintai Chen and Shuyang Li</v>
      </c>
      <c r="F17" s="147" t="str">
        <f>IFERROR(__xludf.DUMMYFUNCTION("TEXTJOIN(CHAR(10), TRUE,FILTER ('Sheridan Comp'!G:G,'Sheridan Comp'!C:C=B17))"),"xingxuanzhang@hotmail.com")</f>
        <v>xingxuanzhang@hotmail.com</v>
      </c>
      <c r="G17" s="235" t="str">
        <f>IFERROR(__xludf.DUMMYFUNCTION("CONCATENATE(""https://dl.acm.org/doi/"",INDEX(FILTER('Sheridan Comp'!A:A,'Sheridan Comp'!C:C=B17),1))"),"https://dl.acm.org/doi/10.1145/3774905.3793922")</f>
        <v>https://dl.acm.org/doi/10.1145/3774905.3793922</v>
      </c>
      <c r="H17" s="262" t="str">
        <f t="shared" si="3"/>
        <v>&lt;a href='https://dl.acm.org/doi/10.1145/3774905.3793922'&gt;Generalist Model for Structured Data: Foundations, Frontiers and Applications&lt;/a&gt;)</v>
      </c>
      <c r="I17" s="269" t="s">
        <v>3152</v>
      </c>
      <c r="J17" s="147"/>
      <c r="K17" s="147"/>
      <c r="L17" s="147"/>
      <c r="M17" s="147"/>
      <c r="N17" s="147"/>
      <c r="O17" s="147"/>
      <c r="P17" s="147"/>
      <c r="Q17" s="147"/>
      <c r="R17" s="147"/>
      <c r="S17" s="147"/>
      <c r="T17" s="147"/>
      <c r="U17" s="147"/>
      <c r="V17" s="147"/>
      <c r="W17" s="147"/>
      <c r="X17" s="147"/>
      <c r="Y17" s="147"/>
      <c r="Z17" s="147"/>
      <c r="AA17" s="147"/>
      <c r="AB17" s="147"/>
      <c r="AC17" s="147"/>
      <c r="AD17" s="147"/>
    </row>
    <row r="18">
      <c r="A18" s="267" t="s">
        <v>58</v>
      </c>
      <c r="B18" s="255" t="s">
        <v>2466</v>
      </c>
      <c r="C18" s="267" t="s">
        <v>2467</v>
      </c>
      <c r="D18" s="268" t="s">
        <v>3168</v>
      </c>
      <c r="E18" s="150" t="str">
        <f t="shared" si="2"/>
        <v>Robust Graph Learning on the Web: Challenges, Methods, and Applications
Xiang Ao, Yang Liu, Guansong Pang, Yuanhao Ding, Hezhe Qiao, Dawei Cheng and Qing He</v>
      </c>
      <c r="F18" s="147" t="str">
        <f>IFERROR(__xludf.DUMMYFUNCTION("TEXTJOIN(CHAR(10), TRUE,FILTER ('Sheridan Comp'!G:G,'Sheridan Comp'!C:C=B18))"),"liuyang2023@ict.ac.cn")</f>
        <v>liuyang2023@ict.ac.cn</v>
      </c>
      <c r="G18" s="235" t="str">
        <f>IFERROR(__xludf.DUMMYFUNCTION("CONCATENATE(""https://dl.acm.org/doi/"",INDEX(FILTER('Sheridan Comp'!A:A,'Sheridan Comp'!C:C=B18),1))"),"https://dl.acm.org/doi/10.1145/3774905.3793923")</f>
        <v>https://dl.acm.org/doi/10.1145/3774905.3793923</v>
      </c>
      <c r="H18" s="262" t="str">
        <f t="shared" si="3"/>
        <v>&lt;a href='https://dl.acm.org/doi/10.1145/3774905.3793923'&gt;Robust Graph Learning on the Web: Challenges, Methods, and Applications&lt;/a&gt;)</v>
      </c>
      <c r="I18" s="269" t="s">
        <v>3152</v>
      </c>
      <c r="J18" s="147"/>
      <c r="K18" s="147"/>
      <c r="L18" s="147"/>
      <c r="M18" s="147"/>
      <c r="N18" s="147"/>
      <c r="O18" s="147"/>
      <c r="P18" s="147"/>
      <c r="Q18" s="147"/>
      <c r="R18" s="147"/>
      <c r="S18" s="147"/>
      <c r="T18" s="147"/>
      <c r="U18" s="147"/>
      <c r="V18" s="147"/>
      <c r="W18" s="147"/>
      <c r="X18" s="147"/>
      <c r="Y18" s="147"/>
      <c r="Z18" s="147"/>
      <c r="AA18" s="147"/>
      <c r="AB18" s="147"/>
      <c r="AC18" s="147"/>
      <c r="AD18" s="147"/>
    </row>
    <row r="19">
      <c r="A19" s="267" t="s">
        <v>59</v>
      </c>
      <c r="B19" s="255" t="s">
        <v>2468</v>
      </c>
      <c r="C19" s="267" t="s">
        <v>2469</v>
      </c>
      <c r="D19" s="267" t="s">
        <v>3169</v>
      </c>
      <c r="E19" s="150" t="str">
        <f t="shared" si="2"/>
        <v>Responsible Prompting on the Web: Governance, Mini-Evaluation, and Readiness with ChatGPT
Manali Sharma and Ayush Garg</v>
      </c>
      <c r="F19" s="147" t="str">
        <f>IFERROR(__xludf.DUMMYFUNCTION("TEXTJOIN(CHAR(10), TRUE,FILTER ('Sheridan Comp'!G:G,'Sheridan Comp'!C:C=B19))"),"manali.chd@gmail.com")</f>
        <v>manali.chd@gmail.com</v>
      </c>
      <c r="G19" s="235" t="str">
        <f>IFERROR(__xludf.DUMMYFUNCTION("CONCATENATE(""https://dl.acm.org/doi/"",INDEX(FILTER('Sheridan Comp'!A:A,'Sheridan Comp'!C:C=B19),1))"),"https://dl.acm.org/doi/10.1145/3774905.3793924")</f>
        <v>https://dl.acm.org/doi/10.1145/3774905.3793924</v>
      </c>
      <c r="H19" s="262" t="str">
        <f t="shared" si="3"/>
        <v>&lt;a href='https://dl.acm.org/doi/10.1145/3774905.3793924'&gt;Responsible Prompting on the Web: Governance, Mini-Evaluation, and Readiness with ChatGPT&lt;/a&gt;)</v>
      </c>
      <c r="I19" s="269" t="s">
        <v>3152</v>
      </c>
      <c r="J19" s="147"/>
      <c r="K19" s="147"/>
      <c r="L19" s="147"/>
      <c r="M19" s="147"/>
      <c r="N19" s="147"/>
      <c r="O19" s="147"/>
      <c r="P19" s="147"/>
      <c r="Q19" s="147"/>
      <c r="R19" s="147"/>
      <c r="S19" s="147"/>
      <c r="T19" s="147"/>
      <c r="U19" s="147"/>
      <c r="V19" s="147"/>
      <c r="W19" s="147"/>
      <c r="X19" s="147"/>
      <c r="Y19" s="147"/>
      <c r="Z19" s="147"/>
      <c r="AA19" s="147"/>
      <c r="AB19" s="147"/>
      <c r="AC19" s="147"/>
      <c r="AD19" s="147"/>
    </row>
    <row r="20">
      <c r="A20" s="147"/>
      <c r="B20" s="147"/>
      <c r="C20" s="147"/>
      <c r="D20" s="147"/>
      <c r="E20" s="147"/>
      <c r="F20" s="147"/>
      <c r="G20" s="147"/>
      <c r="H20" s="262"/>
      <c r="I20" s="147"/>
      <c r="J20" s="147"/>
      <c r="K20" s="147"/>
      <c r="L20" s="147"/>
      <c r="M20" s="147"/>
      <c r="N20" s="147"/>
      <c r="O20" s="147"/>
      <c r="P20" s="147"/>
      <c r="Q20" s="147"/>
      <c r="R20" s="147"/>
      <c r="S20" s="147"/>
      <c r="T20" s="147"/>
      <c r="U20" s="147"/>
      <c r="V20" s="147"/>
      <c r="W20" s="147"/>
      <c r="X20" s="147"/>
      <c r="Y20" s="147"/>
      <c r="Z20" s="147"/>
      <c r="AA20" s="147"/>
      <c r="AB20" s="147"/>
      <c r="AC20" s="147"/>
      <c r="AD20" s="147"/>
    </row>
    <row r="21">
      <c r="A21" s="147"/>
      <c r="B21" s="255"/>
      <c r="C21" s="255"/>
      <c r="D21" s="147"/>
      <c r="E21" s="147"/>
      <c r="F21" s="147"/>
      <c r="G21" s="147"/>
      <c r="H21" s="262"/>
      <c r="I21" s="147"/>
      <c r="J21" s="147"/>
      <c r="K21" s="147"/>
      <c r="L21" s="147"/>
      <c r="M21" s="147"/>
      <c r="N21" s="147"/>
      <c r="O21" s="147"/>
      <c r="P21" s="147"/>
      <c r="Q21" s="147"/>
      <c r="R21" s="147"/>
      <c r="S21" s="147"/>
      <c r="T21" s="147"/>
      <c r="U21" s="147"/>
      <c r="V21" s="147"/>
      <c r="W21" s="147"/>
      <c r="X21" s="147"/>
      <c r="Y21" s="147"/>
      <c r="Z21" s="147"/>
      <c r="AA21" s="147"/>
      <c r="AB21" s="147"/>
      <c r="AC21" s="147"/>
      <c r="AD21" s="147"/>
    </row>
    <row r="22">
      <c r="A22" s="147"/>
      <c r="C22" s="255"/>
      <c r="D22" s="147"/>
      <c r="E22" s="147"/>
      <c r="F22" s="147"/>
      <c r="G22" s="147"/>
      <c r="H22" s="262"/>
      <c r="I22" s="147"/>
      <c r="J22" s="147"/>
      <c r="K22" s="147"/>
      <c r="L22" s="147"/>
      <c r="M22" s="147"/>
      <c r="N22" s="147"/>
      <c r="O22" s="147"/>
      <c r="P22" s="147"/>
      <c r="Q22" s="147"/>
      <c r="R22" s="147"/>
      <c r="S22" s="147"/>
      <c r="T22" s="147"/>
      <c r="U22" s="147"/>
      <c r="V22" s="147"/>
      <c r="W22" s="147"/>
      <c r="X22" s="147"/>
      <c r="Y22" s="147"/>
      <c r="Z22" s="147"/>
      <c r="AA22" s="147"/>
      <c r="AB22" s="147"/>
      <c r="AC22" s="147"/>
      <c r="AD22" s="147"/>
    </row>
    <row r="23">
      <c r="A23" s="147"/>
      <c r="C23" s="255"/>
      <c r="D23" s="147"/>
      <c r="E23" s="147"/>
      <c r="F23" s="147"/>
      <c r="G23" s="147"/>
      <c r="H23" s="262"/>
      <c r="I23" s="147"/>
      <c r="J23" s="147"/>
      <c r="K23" s="147"/>
      <c r="L23" s="147"/>
      <c r="M23" s="147"/>
      <c r="N23" s="147"/>
      <c r="O23" s="147"/>
      <c r="P23" s="147"/>
      <c r="Q23" s="147"/>
      <c r="R23" s="147"/>
      <c r="S23" s="147"/>
      <c r="T23" s="147"/>
      <c r="U23" s="147"/>
      <c r="V23" s="147"/>
      <c r="W23" s="147"/>
      <c r="X23" s="147"/>
      <c r="Y23" s="147"/>
      <c r="Z23" s="147"/>
      <c r="AA23" s="147"/>
      <c r="AB23" s="147"/>
      <c r="AC23" s="147"/>
      <c r="AD23" s="147"/>
    </row>
    <row r="24">
      <c r="A24" s="147"/>
      <c r="C24" s="255"/>
      <c r="D24" s="147"/>
      <c r="E24" s="147"/>
      <c r="F24" s="147"/>
      <c r="G24" s="147"/>
      <c r="H24" s="262"/>
      <c r="I24" s="147"/>
      <c r="J24" s="147"/>
      <c r="K24" s="147"/>
      <c r="L24" s="147"/>
      <c r="M24" s="147"/>
      <c r="N24" s="147"/>
      <c r="O24" s="147"/>
      <c r="P24" s="147"/>
      <c r="Q24" s="147"/>
      <c r="R24" s="147"/>
      <c r="S24" s="147"/>
      <c r="T24" s="147"/>
      <c r="U24" s="147"/>
      <c r="V24" s="147"/>
      <c r="W24" s="147"/>
      <c r="X24" s="147"/>
      <c r="Y24" s="147"/>
      <c r="Z24" s="147"/>
      <c r="AA24" s="147"/>
      <c r="AB24" s="147"/>
      <c r="AC24" s="147"/>
      <c r="AD24" s="147"/>
    </row>
    <row r="25">
      <c r="A25" s="147"/>
      <c r="C25" s="255"/>
      <c r="D25" s="147"/>
      <c r="E25" s="147"/>
      <c r="F25" s="147"/>
      <c r="G25" s="147"/>
      <c r="H25" s="262"/>
      <c r="I25" s="147"/>
      <c r="J25" s="147"/>
      <c r="K25" s="147"/>
      <c r="L25" s="147"/>
      <c r="M25" s="147"/>
      <c r="N25" s="147"/>
      <c r="O25" s="147"/>
      <c r="P25" s="147"/>
      <c r="Q25" s="147"/>
      <c r="R25" s="147"/>
      <c r="S25" s="147"/>
      <c r="T25" s="147"/>
      <c r="U25" s="147"/>
      <c r="V25" s="147"/>
      <c r="W25" s="147"/>
      <c r="X25" s="147"/>
      <c r="Y25" s="147"/>
      <c r="Z25" s="147"/>
      <c r="AA25" s="147"/>
      <c r="AB25" s="147"/>
      <c r="AC25" s="147"/>
      <c r="AD25" s="147"/>
    </row>
    <row r="26">
      <c r="A26" s="147"/>
      <c r="C26" s="255"/>
      <c r="D26" s="147"/>
      <c r="E26" s="147"/>
      <c r="F26" s="147"/>
      <c r="G26" s="147"/>
      <c r="H26" s="262"/>
      <c r="I26" s="147"/>
      <c r="J26" s="147"/>
      <c r="K26" s="147"/>
      <c r="L26" s="147"/>
      <c r="M26" s="147"/>
      <c r="N26" s="147"/>
      <c r="O26" s="147"/>
      <c r="P26" s="147"/>
      <c r="Q26" s="147"/>
      <c r="R26" s="147"/>
      <c r="S26" s="147"/>
      <c r="T26" s="147"/>
      <c r="U26" s="147"/>
      <c r="V26" s="147"/>
      <c r="W26" s="147"/>
      <c r="X26" s="147"/>
      <c r="Y26" s="147"/>
      <c r="Z26" s="147"/>
      <c r="AA26" s="147"/>
      <c r="AB26" s="147"/>
      <c r="AC26" s="147"/>
      <c r="AD26" s="147"/>
    </row>
    <row r="27">
      <c r="A27" s="147"/>
      <c r="C27" s="255"/>
      <c r="D27" s="147"/>
      <c r="E27" s="147"/>
      <c r="F27" s="147"/>
      <c r="G27" s="147"/>
      <c r="H27" s="262"/>
      <c r="I27" s="147"/>
      <c r="J27" s="147"/>
      <c r="K27" s="147"/>
      <c r="L27" s="147"/>
      <c r="M27" s="147"/>
      <c r="N27" s="147"/>
      <c r="O27" s="147"/>
      <c r="P27" s="147"/>
      <c r="Q27" s="147"/>
      <c r="R27" s="147"/>
      <c r="S27" s="147"/>
      <c r="T27" s="147"/>
      <c r="U27" s="147"/>
      <c r="V27" s="147"/>
      <c r="W27" s="147"/>
      <c r="X27" s="147"/>
      <c r="Y27" s="147"/>
      <c r="Z27" s="147"/>
      <c r="AA27" s="147"/>
      <c r="AB27" s="147"/>
      <c r="AC27" s="147"/>
      <c r="AD27" s="147"/>
    </row>
    <row r="28">
      <c r="A28" s="147"/>
      <c r="C28" s="255"/>
      <c r="D28" s="147"/>
      <c r="E28" s="147"/>
      <c r="F28" s="147"/>
      <c r="G28" s="147"/>
      <c r="H28" s="262"/>
      <c r="I28" s="147"/>
      <c r="J28" s="147"/>
      <c r="K28" s="147"/>
      <c r="L28" s="147"/>
      <c r="M28" s="147"/>
      <c r="N28" s="147"/>
      <c r="O28" s="147"/>
      <c r="P28" s="147"/>
      <c r="Q28" s="147"/>
      <c r="R28" s="147"/>
      <c r="S28" s="147"/>
      <c r="T28" s="147"/>
      <c r="U28" s="147"/>
      <c r="V28" s="147"/>
      <c r="W28" s="147"/>
      <c r="X28" s="147"/>
      <c r="Y28" s="147"/>
      <c r="Z28" s="147"/>
      <c r="AA28" s="147"/>
      <c r="AB28" s="147"/>
      <c r="AC28" s="147"/>
      <c r="AD28" s="147"/>
    </row>
    <row r="29">
      <c r="A29" s="147"/>
      <c r="C29" s="255"/>
      <c r="D29" s="147"/>
      <c r="E29" s="147"/>
      <c r="F29" s="147"/>
      <c r="G29" s="147"/>
      <c r="H29" s="262"/>
      <c r="I29" s="147"/>
      <c r="J29" s="147"/>
      <c r="K29" s="147"/>
      <c r="L29" s="147"/>
      <c r="M29" s="147"/>
      <c r="N29" s="147"/>
      <c r="O29" s="147"/>
      <c r="P29" s="147"/>
      <c r="Q29" s="147"/>
      <c r="R29" s="147"/>
      <c r="S29" s="147"/>
      <c r="T29" s="147"/>
      <c r="U29" s="147"/>
      <c r="V29" s="147"/>
      <c r="W29" s="147"/>
      <c r="X29" s="147"/>
      <c r="Y29" s="147"/>
      <c r="Z29" s="147"/>
      <c r="AA29" s="147"/>
      <c r="AB29" s="147"/>
      <c r="AC29" s="147"/>
      <c r="AD29" s="147"/>
    </row>
    <row r="30">
      <c r="A30" s="147"/>
      <c r="C30" s="255"/>
      <c r="D30" s="147"/>
      <c r="E30" s="147"/>
      <c r="F30" s="147"/>
      <c r="G30" s="147"/>
      <c r="H30" s="262"/>
      <c r="I30" s="147"/>
      <c r="J30" s="147"/>
      <c r="K30" s="147"/>
      <c r="L30" s="147"/>
      <c r="M30" s="147"/>
      <c r="N30" s="147"/>
      <c r="O30" s="147"/>
      <c r="P30" s="147"/>
      <c r="Q30" s="147"/>
      <c r="R30" s="147"/>
      <c r="S30" s="147"/>
      <c r="T30" s="147"/>
      <c r="U30" s="147"/>
      <c r="V30" s="147"/>
      <c r="W30" s="147"/>
      <c r="X30" s="147"/>
      <c r="Y30" s="147"/>
      <c r="Z30" s="147"/>
      <c r="AA30" s="147"/>
      <c r="AB30" s="147"/>
      <c r="AC30" s="147"/>
      <c r="AD30" s="147"/>
    </row>
    <row r="31">
      <c r="A31" s="147"/>
      <c r="C31" s="255"/>
      <c r="D31" s="147"/>
      <c r="E31" s="147"/>
      <c r="F31" s="147"/>
      <c r="G31" s="147"/>
      <c r="H31" s="262"/>
      <c r="I31" s="147"/>
      <c r="J31" s="147"/>
      <c r="K31" s="147"/>
      <c r="L31" s="147"/>
      <c r="M31" s="147"/>
      <c r="N31" s="147"/>
      <c r="O31" s="147"/>
      <c r="P31" s="147"/>
      <c r="Q31" s="147"/>
      <c r="R31" s="147"/>
      <c r="S31" s="147"/>
      <c r="T31" s="147"/>
      <c r="U31" s="147"/>
      <c r="V31" s="147"/>
      <c r="W31" s="147"/>
      <c r="X31" s="147"/>
      <c r="Y31" s="147"/>
      <c r="Z31" s="147"/>
      <c r="AA31" s="147"/>
      <c r="AB31" s="147"/>
      <c r="AC31" s="147"/>
      <c r="AD31" s="147"/>
    </row>
    <row r="32">
      <c r="A32" s="147"/>
      <c r="B32" s="147"/>
      <c r="C32" s="270"/>
      <c r="D32" s="147"/>
      <c r="E32" s="147"/>
      <c r="F32" s="147"/>
      <c r="G32" s="147"/>
      <c r="H32" s="262"/>
      <c r="I32" s="147"/>
      <c r="J32" s="147"/>
      <c r="K32" s="147"/>
      <c r="L32" s="147"/>
      <c r="M32" s="147"/>
      <c r="N32" s="147"/>
      <c r="O32" s="147"/>
      <c r="P32" s="147"/>
      <c r="Q32" s="147"/>
      <c r="R32" s="147"/>
      <c r="S32" s="147"/>
      <c r="T32" s="147"/>
      <c r="U32" s="147"/>
      <c r="V32" s="147"/>
      <c r="W32" s="147"/>
      <c r="X32" s="147"/>
      <c r="Y32" s="147"/>
      <c r="Z32" s="147"/>
      <c r="AA32" s="147"/>
      <c r="AB32" s="147"/>
      <c r="AC32" s="147"/>
      <c r="AD32" s="147"/>
    </row>
    <row r="33">
      <c r="A33" s="147"/>
      <c r="B33" s="147"/>
      <c r="C33" s="270"/>
      <c r="D33" s="147"/>
      <c r="E33" s="147"/>
      <c r="F33" s="147"/>
      <c r="G33" s="147"/>
      <c r="H33" s="262"/>
      <c r="I33" s="147"/>
      <c r="J33" s="147"/>
      <c r="K33" s="147"/>
      <c r="L33" s="147"/>
      <c r="M33" s="147"/>
      <c r="N33" s="147"/>
      <c r="O33" s="147"/>
      <c r="P33" s="147"/>
      <c r="Q33" s="147"/>
      <c r="R33" s="147"/>
      <c r="S33" s="147"/>
      <c r="T33" s="147"/>
      <c r="U33" s="147"/>
      <c r="V33" s="147"/>
      <c r="W33" s="147"/>
      <c r="X33" s="147"/>
      <c r="Y33" s="147"/>
      <c r="Z33" s="147"/>
      <c r="AA33" s="147"/>
      <c r="AB33" s="147"/>
      <c r="AC33" s="147"/>
      <c r="AD33" s="147"/>
    </row>
    <row r="34">
      <c r="A34" s="147"/>
      <c r="B34" s="147"/>
      <c r="C34" s="270"/>
      <c r="D34" s="147"/>
      <c r="E34" s="147"/>
      <c r="F34" s="147"/>
      <c r="G34" s="147"/>
      <c r="H34" s="262"/>
      <c r="I34" s="147"/>
      <c r="J34" s="147"/>
      <c r="K34" s="147"/>
      <c r="L34" s="147"/>
      <c r="M34" s="147"/>
      <c r="N34" s="147"/>
      <c r="O34" s="147"/>
      <c r="P34" s="147"/>
      <c r="Q34" s="147"/>
      <c r="R34" s="147"/>
      <c r="S34" s="147"/>
      <c r="T34" s="147"/>
      <c r="U34" s="147"/>
      <c r="V34" s="147"/>
      <c r="W34" s="147"/>
      <c r="X34" s="147"/>
      <c r="Y34" s="147"/>
      <c r="Z34" s="147"/>
      <c r="AA34" s="147"/>
      <c r="AB34" s="147"/>
      <c r="AC34" s="147"/>
      <c r="AD34" s="147"/>
    </row>
    <row r="35">
      <c r="A35" s="147"/>
      <c r="B35" s="147"/>
      <c r="C35" s="270"/>
      <c r="D35" s="147"/>
      <c r="E35" s="147"/>
      <c r="F35" s="147"/>
      <c r="G35" s="147"/>
      <c r="H35" s="262"/>
      <c r="I35" s="147"/>
      <c r="J35" s="147"/>
      <c r="K35" s="147"/>
      <c r="L35" s="147"/>
      <c r="M35" s="147"/>
      <c r="N35" s="147"/>
      <c r="O35" s="147"/>
      <c r="P35" s="147"/>
      <c r="Q35" s="147"/>
      <c r="R35" s="147"/>
      <c r="S35" s="147"/>
      <c r="T35" s="147"/>
      <c r="U35" s="147"/>
      <c r="V35" s="147"/>
      <c r="W35" s="147"/>
      <c r="X35" s="147"/>
      <c r="Y35" s="147"/>
      <c r="Z35" s="147"/>
      <c r="AA35" s="147"/>
      <c r="AB35" s="147"/>
      <c r="AC35" s="147"/>
      <c r="AD35" s="147"/>
    </row>
    <row r="36">
      <c r="A36" s="147"/>
      <c r="B36" s="147"/>
      <c r="C36" s="270"/>
      <c r="D36" s="147"/>
      <c r="E36" s="147"/>
      <c r="F36" s="147"/>
      <c r="G36" s="147"/>
      <c r="H36" s="262"/>
      <c r="I36" s="147"/>
      <c r="J36" s="147"/>
      <c r="K36" s="147"/>
      <c r="L36" s="147"/>
      <c r="M36" s="147"/>
      <c r="N36" s="147"/>
      <c r="O36" s="147"/>
      <c r="P36" s="147"/>
      <c r="Q36" s="147"/>
      <c r="R36" s="147"/>
      <c r="S36" s="147"/>
      <c r="T36" s="147"/>
      <c r="U36" s="147"/>
      <c r="V36" s="147"/>
      <c r="W36" s="147"/>
      <c r="X36" s="147"/>
      <c r="Y36" s="147"/>
      <c r="Z36" s="147"/>
      <c r="AA36" s="147"/>
      <c r="AB36" s="147"/>
      <c r="AC36" s="147"/>
      <c r="AD36" s="147"/>
    </row>
    <row r="37">
      <c r="A37" s="147"/>
      <c r="B37" s="147"/>
      <c r="C37" s="147"/>
      <c r="D37" s="147"/>
      <c r="E37" s="147"/>
      <c r="F37" s="147"/>
      <c r="G37" s="147"/>
      <c r="H37" s="262"/>
      <c r="I37" s="147"/>
      <c r="J37" s="147"/>
      <c r="K37" s="147"/>
      <c r="L37" s="147"/>
      <c r="M37" s="147"/>
      <c r="N37" s="147"/>
      <c r="O37" s="147"/>
      <c r="P37" s="147"/>
      <c r="Q37" s="147"/>
      <c r="R37" s="147"/>
      <c r="S37" s="147"/>
      <c r="T37" s="147"/>
      <c r="U37" s="147"/>
      <c r="V37" s="147"/>
      <c r="W37" s="147"/>
      <c r="X37" s="147"/>
      <c r="Y37" s="147"/>
      <c r="Z37" s="147"/>
      <c r="AA37" s="147"/>
      <c r="AB37" s="147"/>
      <c r="AC37" s="147"/>
      <c r="AD37" s="147"/>
    </row>
    <row r="38">
      <c r="A38" s="147"/>
      <c r="B38" s="147"/>
      <c r="C38" s="147"/>
      <c r="D38" s="147"/>
      <c r="E38" s="147"/>
      <c r="F38" s="147"/>
      <c r="G38" s="147"/>
      <c r="H38" s="262"/>
      <c r="I38" s="147"/>
      <c r="J38" s="147"/>
      <c r="K38" s="147"/>
      <c r="L38" s="147"/>
      <c r="M38" s="147"/>
      <c r="N38" s="147"/>
      <c r="O38" s="147"/>
      <c r="P38" s="147"/>
      <c r="Q38" s="147"/>
      <c r="R38" s="147"/>
      <c r="S38" s="147"/>
      <c r="T38" s="147"/>
      <c r="U38" s="147"/>
      <c r="V38" s="147"/>
      <c r="W38" s="147"/>
      <c r="X38" s="147"/>
      <c r="Y38" s="147"/>
      <c r="Z38" s="147"/>
      <c r="AA38" s="147"/>
      <c r="AB38" s="147"/>
      <c r="AC38" s="147"/>
      <c r="AD38" s="147"/>
    </row>
    <row r="39">
      <c r="A39" s="147"/>
      <c r="B39" s="147"/>
      <c r="C39" s="147"/>
      <c r="D39" s="147"/>
      <c r="E39" s="147"/>
      <c r="F39" s="147"/>
      <c r="G39" s="147"/>
      <c r="H39" s="262"/>
      <c r="I39" s="147"/>
      <c r="J39" s="147"/>
      <c r="K39" s="147"/>
      <c r="L39" s="147"/>
      <c r="M39" s="147"/>
      <c r="N39" s="147"/>
      <c r="O39" s="147"/>
      <c r="P39" s="147"/>
      <c r="Q39" s="147"/>
      <c r="R39" s="147"/>
      <c r="S39" s="147"/>
      <c r="T39" s="147"/>
      <c r="U39" s="147"/>
      <c r="V39" s="147"/>
      <c r="W39" s="147"/>
      <c r="X39" s="147"/>
      <c r="Y39" s="147"/>
      <c r="Z39" s="147"/>
      <c r="AA39" s="147"/>
      <c r="AB39" s="147"/>
      <c r="AC39" s="147"/>
      <c r="AD39" s="147"/>
    </row>
    <row r="40">
      <c r="A40" s="147"/>
      <c r="B40" s="147"/>
      <c r="C40" s="147"/>
      <c r="D40" s="147"/>
      <c r="E40" s="147"/>
      <c r="F40" s="147"/>
      <c r="G40" s="147"/>
      <c r="H40" s="262"/>
      <c r="I40" s="147"/>
      <c r="J40" s="147"/>
      <c r="K40" s="147"/>
      <c r="L40" s="147"/>
      <c r="M40" s="147"/>
      <c r="N40" s="147"/>
      <c r="O40" s="147"/>
      <c r="P40" s="147"/>
      <c r="Q40" s="147"/>
      <c r="R40" s="147"/>
      <c r="S40" s="147"/>
      <c r="T40" s="147"/>
      <c r="U40" s="147"/>
      <c r="V40" s="147"/>
      <c r="W40" s="147"/>
      <c r="X40" s="147"/>
      <c r="Y40" s="147"/>
      <c r="Z40" s="147"/>
      <c r="AA40" s="147"/>
      <c r="AB40" s="147"/>
      <c r="AC40" s="147"/>
      <c r="AD40" s="147"/>
    </row>
    <row r="41">
      <c r="A41" s="147"/>
      <c r="B41" s="147"/>
      <c r="C41" s="147"/>
      <c r="D41" s="147"/>
      <c r="E41" s="147"/>
      <c r="F41" s="147"/>
      <c r="G41" s="147"/>
      <c r="H41" s="262"/>
      <c r="I41" s="147"/>
      <c r="J41" s="147"/>
      <c r="K41" s="147"/>
      <c r="L41" s="147"/>
      <c r="M41" s="147"/>
      <c r="N41" s="147"/>
      <c r="O41" s="147"/>
      <c r="P41" s="147"/>
      <c r="Q41" s="147"/>
      <c r="R41" s="147"/>
      <c r="S41" s="147"/>
      <c r="T41" s="147"/>
      <c r="U41" s="147"/>
      <c r="V41" s="147"/>
      <c r="W41" s="147"/>
      <c r="X41" s="147"/>
      <c r="Y41" s="147"/>
      <c r="Z41" s="147"/>
      <c r="AA41" s="147"/>
      <c r="AB41" s="147"/>
      <c r="AC41" s="147"/>
      <c r="AD41" s="147"/>
    </row>
    <row r="42">
      <c r="A42" s="147"/>
      <c r="B42" s="147"/>
      <c r="C42" s="147"/>
      <c r="D42" s="147"/>
      <c r="E42" s="147"/>
      <c r="F42" s="147"/>
      <c r="G42" s="147"/>
      <c r="H42" s="262"/>
      <c r="I42" s="147"/>
      <c r="J42" s="147"/>
      <c r="K42" s="147"/>
      <c r="L42" s="147"/>
      <c r="M42" s="147"/>
      <c r="N42" s="147"/>
      <c r="O42" s="147"/>
      <c r="P42" s="147"/>
      <c r="Q42" s="147"/>
      <c r="R42" s="147"/>
      <c r="S42" s="147"/>
      <c r="T42" s="147"/>
      <c r="U42" s="147"/>
      <c r="V42" s="147"/>
      <c r="W42" s="147"/>
      <c r="X42" s="147"/>
      <c r="Y42" s="147"/>
      <c r="Z42" s="147"/>
      <c r="AA42" s="147"/>
      <c r="AB42" s="147"/>
      <c r="AC42" s="147"/>
      <c r="AD42" s="147"/>
    </row>
    <row r="43">
      <c r="A43" s="147"/>
      <c r="B43" s="147"/>
      <c r="C43" s="147"/>
      <c r="D43" s="147"/>
      <c r="E43" s="147"/>
      <c r="F43" s="147"/>
      <c r="G43" s="147"/>
      <c r="H43" s="262"/>
      <c r="I43" s="147"/>
      <c r="J43" s="147"/>
      <c r="K43" s="147"/>
      <c r="L43" s="147"/>
      <c r="M43" s="147"/>
      <c r="N43" s="147"/>
      <c r="O43" s="147"/>
      <c r="P43" s="147"/>
      <c r="Q43" s="147"/>
      <c r="R43" s="147"/>
      <c r="S43" s="147"/>
      <c r="T43" s="147"/>
      <c r="U43" s="147"/>
      <c r="V43" s="147"/>
      <c r="W43" s="147"/>
      <c r="X43" s="147"/>
      <c r="Y43" s="147"/>
      <c r="Z43" s="147"/>
      <c r="AA43" s="147"/>
      <c r="AB43" s="147"/>
      <c r="AC43" s="147"/>
      <c r="AD43" s="147"/>
    </row>
    <row r="44">
      <c r="A44" s="147"/>
      <c r="B44" s="147"/>
      <c r="C44" s="147"/>
      <c r="D44" s="147"/>
      <c r="E44" s="147"/>
      <c r="F44" s="147"/>
      <c r="G44" s="147"/>
      <c r="H44" s="262"/>
      <c r="I44" s="147"/>
      <c r="J44" s="147"/>
      <c r="K44" s="147"/>
      <c r="L44" s="147"/>
      <c r="M44" s="147"/>
      <c r="N44" s="147"/>
      <c r="O44" s="147"/>
      <c r="P44" s="147"/>
      <c r="Q44" s="147"/>
      <c r="R44" s="147"/>
      <c r="S44" s="147"/>
      <c r="T44" s="147"/>
      <c r="U44" s="147"/>
      <c r="V44" s="147"/>
      <c r="W44" s="147"/>
      <c r="X44" s="147"/>
      <c r="Y44" s="147"/>
      <c r="Z44" s="147"/>
      <c r="AA44" s="147"/>
      <c r="AB44" s="147"/>
      <c r="AC44" s="147"/>
      <c r="AD44" s="147"/>
    </row>
    <row r="45">
      <c r="A45" s="147"/>
      <c r="B45" s="147"/>
      <c r="C45" s="147"/>
      <c r="D45" s="147"/>
      <c r="E45" s="147"/>
      <c r="F45" s="147"/>
      <c r="G45" s="147"/>
      <c r="H45" s="262"/>
      <c r="I45" s="147"/>
      <c r="J45" s="147"/>
      <c r="K45" s="147"/>
      <c r="L45" s="147"/>
      <c r="M45" s="147"/>
      <c r="N45" s="147"/>
      <c r="O45" s="147"/>
      <c r="P45" s="147"/>
      <c r="Q45" s="147"/>
      <c r="R45" s="147"/>
      <c r="S45" s="147"/>
      <c r="T45" s="147"/>
      <c r="U45" s="147"/>
      <c r="V45" s="147"/>
      <c r="W45" s="147"/>
      <c r="X45" s="147"/>
      <c r="Y45" s="147"/>
      <c r="Z45" s="147"/>
      <c r="AA45" s="147"/>
      <c r="AB45" s="147"/>
      <c r="AC45" s="147"/>
      <c r="AD45" s="147"/>
    </row>
    <row r="46">
      <c r="A46" s="147"/>
      <c r="B46" s="147"/>
      <c r="C46" s="147"/>
      <c r="D46" s="147"/>
      <c r="E46" s="147"/>
      <c r="F46" s="147"/>
      <c r="G46" s="147"/>
      <c r="H46" s="262"/>
      <c r="I46" s="147"/>
      <c r="J46" s="147"/>
      <c r="K46" s="147"/>
      <c r="L46" s="147"/>
      <c r="M46" s="147"/>
      <c r="N46" s="147"/>
      <c r="O46" s="147"/>
      <c r="P46" s="147"/>
      <c r="Q46" s="147"/>
      <c r="R46" s="147"/>
      <c r="S46" s="147"/>
      <c r="T46" s="147"/>
      <c r="U46" s="147"/>
      <c r="V46" s="147"/>
      <c r="W46" s="147"/>
      <c r="X46" s="147"/>
      <c r="Y46" s="147"/>
      <c r="Z46" s="147"/>
      <c r="AA46" s="147"/>
      <c r="AB46" s="147"/>
      <c r="AC46" s="147"/>
      <c r="AD46" s="147"/>
    </row>
    <row r="47">
      <c r="A47" s="147"/>
      <c r="B47" s="147"/>
      <c r="C47" s="147"/>
      <c r="D47" s="147"/>
      <c r="E47" s="147"/>
      <c r="F47" s="147"/>
      <c r="G47" s="147"/>
      <c r="H47" s="262"/>
      <c r="I47" s="147"/>
      <c r="J47" s="147"/>
      <c r="K47" s="147"/>
      <c r="L47" s="147"/>
      <c r="M47" s="147"/>
      <c r="N47" s="147"/>
      <c r="O47" s="147"/>
      <c r="P47" s="147"/>
      <c r="Q47" s="147"/>
      <c r="R47" s="147"/>
      <c r="S47" s="147"/>
      <c r="T47" s="147"/>
      <c r="U47" s="147"/>
      <c r="V47" s="147"/>
      <c r="W47" s="147"/>
      <c r="X47" s="147"/>
      <c r="Y47" s="147"/>
      <c r="Z47" s="147"/>
      <c r="AA47" s="147"/>
      <c r="AB47" s="147"/>
      <c r="AC47" s="147"/>
      <c r="AD47" s="147"/>
    </row>
    <row r="48">
      <c r="A48" s="147"/>
      <c r="B48" s="147"/>
      <c r="C48" s="147"/>
      <c r="D48" s="147"/>
      <c r="E48" s="147"/>
      <c r="F48" s="147"/>
      <c r="G48" s="147"/>
      <c r="H48" s="262"/>
      <c r="I48" s="147"/>
      <c r="J48" s="147"/>
      <c r="K48" s="147"/>
      <c r="L48" s="147"/>
      <c r="M48" s="147"/>
      <c r="N48" s="147"/>
      <c r="O48" s="147"/>
      <c r="P48" s="147"/>
      <c r="Q48" s="147"/>
      <c r="R48" s="147"/>
      <c r="S48" s="147"/>
      <c r="T48" s="147"/>
      <c r="U48" s="147"/>
      <c r="V48" s="147"/>
      <c r="W48" s="147"/>
      <c r="X48" s="147"/>
      <c r="Y48" s="147"/>
      <c r="Z48" s="147"/>
      <c r="AA48" s="147"/>
      <c r="AB48" s="147"/>
      <c r="AC48" s="147"/>
      <c r="AD48" s="147"/>
    </row>
    <row r="49">
      <c r="A49" s="147"/>
      <c r="B49" s="147"/>
      <c r="C49" s="147"/>
      <c r="D49" s="147"/>
      <c r="E49" s="147"/>
      <c r="F49" s="147"/>
      <c r="G49" s="147"/>
      <c r="H49" s="262"/>
      <c r="I49" s="147"/>
      <c r="J49" s="147"/>
      <c r="K49" s="147"/>
      <c r="L49" s="147"/>
      <c r="M49" s="147"/>
      <c r="N49" s="147"/>
      <c r="O49" s="147"/>
      <c r="P49" s="147"/>
      <c r="Q49" s="147"/>
      <c r="R49" s="147"/>
      <c r="S49" s="147"/>
      <c r="T49" s="147"/>
      <c r="U49" s="147"/>
      <c r="V49" s="147"/>
      <c r="W49" s="147"/>
      <c r="X49" s="147"/>
      <c r="Y49" s="147"/>
      <c r="Z49" s="147"/>
      <c r="AA49" s="147"/>
      <c r="AB49" s="147"/>
      <c r="AC49" s="147"/>
      <c r="AD49" s="147"/>
    </row>
    <row r="50">
      <c r="A50" s="147"/>
      <c r="B50" s="147"/>
      <c r="C50" s="147"/>
      <c r="D50" s="147"/>
      <c r="E50" s="147"/>
      <c r="F50" s="147"/>
      <c r="G50" s="147"/>
      <c r="H50" s="262"/>
      <c r="I50" s="147"/>
      <c r="J50" s="147"/>
      <c r="K50" s="147"/>
      <c r="L50" s="147"/>
      <c r="M50" s="147"/>
      <c r="N50" s="147"/>
      <c r="O50" s="147"/>
      <c r="P50" s="147"/>
      <c r="Q50" s="147"/>
      <c r="R50" s="147"/>
      <c r="S50" s="147"/>
      <c r="T50" s="147"/>
      <c r="U50" s="147"/>
      <c r="V50" s="147"/>
      <c r="W50" s="147"/>
      <c r="X50" s="147"/>
      <c r="Y50" s="147"/>
      <c r="Z50" s="147"/>
      <c r="AA50" s="147"/>
      <c r="AB50" s="147"/>
      <c r="AC50" s="147"/>
      <c r="AD50" s="147"/>
    </row>
    <row r="51">
      <c r="A51" s="147"/>
      <c r="B51" s="147"/>
      <c r="C51" s="147"/>
      <c r="D51" s="147"/>
      <c r="E51" s="147"/>
      <c r="F51" s="147"/>
      <c r="G51" s="147"/>
      <c r="H51" s="262"/>
      <c r="I51" s="147"/>
      <c r="J51" s="147"/>
      <c r="K51" s="147"/>
      <c r="L51" s="147"/>
      <c r="M51" s="147"/>
      <c r="N51" s="147"/>
      <c r="O51" s="147"/>
      <c r="P51" s="147"/>
      <c r="Q51" s="147"/>
      <c r="R51" s="147"/>
      <c r="S51" s="147"/>
      <c r="T51" s="147"/>
      <c r="U51" s="147"/>
      <c r="V51" s="147"/>
      <c r="W51" s="147"/>
      <c r="X51" s="147"/>
      <c r="Y51" s="147"/>
      <c r="Z51" s="147"/>
      <c r="AA51" s="147"/>
      <c r="AB51" s="147"/>
      <c r="AC51" s="147"/>
      <c r="AD51" s="147"/>
    </row>
    <row r="52">
      <c r="A52" s="147"/>
      <c r="B52" s="147"/>
      <c r="C52" s="147"/>
      <c r="D52" s="147"/>
      <c r="E52" s="147"/>
      <c r="F52" s="147"/>
      <c r="G52" s="147"/>
      <c r="H52" s="262"/>
      <c r="I52" s="147"/>
      <c r="J52" s="147"/>
      <c r="K52" s="147"/>
      <c r="L52" s="147"/>
      <c r="M52" s="147"/>
      <c r="N52" s="147"/>
      <c r="O52" s="147"/>
      <c r="P52" s="147"/>
      <c r="Q52" s="147"/>
      <c r="R52" s="147"/>
      <c r="S52" s="147"/>
      <c r="T52" s="147"/>
      <c r="U52" s="147"/>
      <c r="V52" s="147"/>
      <c r="W52" s="147"/>
      <c r="X52" s="147"/>
      <c r="Y52" s="147"/>
      <c r="Z52" s="147"/>
      <c r="AA52" s="147"/>
      <c r="AB52" s="147"/>
      <c r="AC52" s="147"/>
      <c r="AD52" s="147"/>
    </row>
    <row r="53">
      <c r="A53" s="147"/>
      <c r="B53" s="147"/>
      <c r="C53" s="147"/>
      <c r="D53" s="147"/>
      <c r="E53" s="147"/>
      <c r="F53" s="147"/>
      <c r="G53" s="147"/>
      <c r="H53" s="262"/>
      <c r="I53" s="147"/>
      <c r="J53" s="147"/>
      <c r="K53" s="147"/>
      <c r="L53" s="147"/>
      <c r="M53" s="147"/>
      <c r="N53" s="147"/>
      <c r="O53" s="147"/>
      <c r="P53" s="147"/>
      <c r="Q53" s="147"/>
      <c r="R53" s="147"/>
      <c r="S53" s="147"/>
      <c r="T53" s="147"/>
      <c r="U53" s="147"/>
      <c r="V53" s="147"/>
      <c r="W53" s="147"/>
      <c r="X53" s="147"/>
      <c r="Y53" s="147"/>
      <c r="Z53" s="147"/>
      <c r="AA53" s="147"/>
      <c r="AB53" s="147"/>
      <c r="AC53" s="147"/>
      <c r="AD53" s="147"/>
    </row>
    <row r="54">
      <c r="A54" s="147"/>
      <c r="B54" s="147"/>
      <c r="C54" s="147"/>
      <c r="D54" s="147"/>
      <c r="E54" s="147"/>
      <c r="F54" s="147"/>
      <c r="G54" s="147"/>
      <c r="H54" s="262"/>
      <c r="I54" s="147"/>
      <c r="J54" s="147"/>
      <c r="K54" s="147"/>
      <c r="L54" s="147"/>
      <c r="M54" s="147"/>
      <c r="N54" s="147"/>
      <c r="O54" s="147"/>
      <c r="P54" s="147"/>
      <c r="Q54" s="147"/>
      <c r="R54" s="147"/>
      <c r="S54" s="147"/>
      <c r="T54" s="147"/>
      <c r="U54" s="147"/>
      <c r="V54" s="147"/>
      <c r="W54" s="147"/>
      <c r="X54" s="147"/>
      <c r="Y54" s="147"/>
      <c r="Z54" s="147"/>
      <c r="AA54" s="147"/>
      <c r="AB54" s="147"/>
      <c r="AC54" s="147"/>
      <c r="AD54" s="147"/>
    </row>
    <row r="55">
      <c r="A55" s="147"/>
      <c r="B55" s="147"/>
      <c r="C55" s="147"/>
      <c r="D55" s="147"/>
      <c r="E55" s="147"/>
      <c r="F55" s="147"/>
      <c r="G55" s="147"/>
      <c r="H55" s="262"/>
      <c r="I55" s="147"/>
      <c r="J55" s="147"/>
      <c r="K55" s="147"/>
      <c r="L55" s="147"/>
      <c r="M55" s="147"/>
      <c r="N55" s="147"/>
      <c r="O55" s="147"/>
      <c r="P55" s="147"/>
      <c r="Q55" s="147"/>
      <c r="R55" s="147"/>
      <c r="S55" s="147"/>
      <c r="T55" s="147"/>
      <c r="U55" s="147"/>
      <c r="V55" s="147"/>
      <c r="W55" s="147"/>
      <c r="X55" s="147"/>
      <c r="Y55" s="147"/>
      <c r="Z55" s="147"/>
      <c r="AA55" s="147"/>
      <c r="AB55" s="147"/>
      <c r="AC55" s="147"/>
      <c r="AD55" s="147"/>
    </row>
    <row r="56">
      <c r="A56" s="147"/>
      <c r="B56" s="147"/>
      <c r="C56" s="147"/>
      <c r="D56" s="147"/>
      <c r="E56" s="147"/>
      <c r="F56" s="147"/>
      <c r="G56" s="147"/>
      <c r="H56" s="262"/>
      <c r="I56" s="147"/>
      <c r="J56" s="147"/>
      <c r="K56" s="147"/>
      <c r="L56" s="147"/>
      <c r="M56" s="147"/>
      <c r="N56" s="147"/>
      <c r="O56" s="147"/>
      <c r="P56" s="147"/>
      <c r="Q56" s="147"/>
      <c r="R56" s="147"/>
      <c r="S56" s="147"/>
      <c r="T56" s="147"/>
      <c r="U56" s="147"/>
      <c r="V56" s="147"/>
      <c r="W56" s="147"/>
      <c r="X56" s="147"/>
      <c r="Y56" s="147"/>
      <c r="Z56" s="147"/>
      <c r="AA56" s="147"/>
      <c r="AB56" s="147"/>
      <c r="AC56" s="147"/>
      <c r="AD56" s="147"/>
    </row>
    <row r="57">
      <c r="A57" s="147"/>
      <c r="B57" s="147"/>
      <c r="C57" s="147"/>
      <c r="D57" s="147"/>
      <c r="E57" s="147"/>
      <c r="F57" s="147"/>
      <c r="G57" s="147"/>
      <c r="H57" s="262"/>
      <c r="I57" s="147"/>
      <c r="J57" s="147"/>
      <c r="K57" s="147"/>
      <c r="L57" s="147"/>
      <c r="M57" s="147"/>
      <c r="N57" s="147"/>
      <c r="O57" s="147"/>
      <c r="P57" s="147"/>
      <c r="Q57" s="147"/>
      <c r="R57" s="147"/>
      <c r="S57" s="147"/>
      <c r="T57" s="147"/>
      <c r="U57" s="147"/>
      <c r="V57" s="147"/>
      <c r="W57" s="147"/>
      <c r="X57" s="147"/>
      <c r="Y57" s="147"/>
      <c r="Z57" s="147"/>
      <c r="AA57" s="147"/>
      <c r="AB57" s="147"/>
      <c r="AC57" s="147"/>
      <c r="AD57" s="147"/>
    </row>
    <row r="58">
      <c r="A58" s="147"/>
      <c r="B58" s="147"/>
      <c r="C58" s="147"/>
      <c r="D58" s="147"/>
      <c r="E58" s="147"/>
      <c r="F58" s="147"/>
      <c r="G58" s="147"/>
      <c r="H58" s="262"/>
      <c r="I58" s="147"/>
      <c r="J58" s="147"/>
      <c r="K58" s="147"/>
      <c r="L58" s="147"/>
      <c r="M58" s="147"/>
      <c r="N58" s="147"/>
      <c r="O58" s="147"/>
      <c r="P58" s="147"/>
      <c r="Q58" s="147"/>
      <c r="R58" s="147"/>
      <c r="S58" s="147"/>
      <c r="T58" s="147"/>
      <c r="U58" s="147"/>
      <c r="V58" s="147"/>
      <c r="W58" s="147"/>
      <c r="X58" s="147"/>
      <c r="Y58" s="147"/>
      <c r="Z58" s="147"/>
      <c r="AA58" s="147"/>
      <c r="AB58" s="147"/>
      <c r="AC58" s="147"/>
      <c r="AD58" s="147"/>
    </row>
    <row r="59">
      <c r="A59" s="147"/>
      <c r="B59" s="147"/>
      <c r="C59" s="147"/>
      <c r="D59" s="147"/>
      <c r="E59" s="147"/>
      <c r="F59" s="147"/>
      <c r="G59" s="147"/>
      <c r="H59" s="262"/>
      <c r="I59" s="147"/>
      <c r="J59" s="147"/>
      <c r="K59" s="147"/>
      <c r="L59" s="147"/>
      <c r="M59" s="147"/>
      <c r="N59" s="147"/>
      <c r="O59" s="147"/>
      <c r="P59" s="147"/>
      <c r="Q59" s="147"/>
      <c r="R59" s="147"/>
      <c r="S59" s="147"/>
      <c r="T59" s="147"/>
      <c r="U59" s="147"/>
      <c r="V59" s="147"/>
      <c r="W59" s="147"/>
      <c r="X59" s="147"/>
      <c r="Y59" s="147"/>
      <c r="Z59" s="147"/>
      <c r="AA59" s="147"/>
      <c r="AB59" s="147"/>
      <c r="AC59" s="147"/>
      <c r="AD59" s="147"/>
    </row>
    <row r="60">
      <c r="A60" s="147"/>
      <c r="B60" s="147"/>
      <c r="C60" s="147"/>
      <c r="D60" s="147"/>
      <c r="E60" s="147"/>
      <c r="F60" s="147"/>
      <c r="G60" s="147"/>
      <c r="H60" s="262"/>
      <c r="I60" s="147"/>
      <c r="J60" s="147"/>
      <c r="K60" s="147"/>
      <c r="L60" s="147"/>
      <c r="M60" s="147"/>
      <c r="N60" s="147"/>
      <c r="O60" s="147"/>
      <c r="P60" s="147"/>
      <c r="Q60" s="147"/>
      <c r="R60" s="147"/>
      <c r="S60" s="147"/>
      <c r="T60" s="147"/>
      <c r="U60" s="147"/>
      <c r="V60" s="147"/>
      <c r="W60" s="147"/>
      <c r="X60" s="147"/>
      <c r="Y60" s="147"/>
      <c r="Z60" s="147"/>
      <c r="AA60" s="147"/>
      <c r="AB60" s="147"/>
      <c r="AC60" s="147"/>
      <c r="AD60" s="147"/>
    </row>
    <row r="61">
      <c r="A61" s="147"/>
      <c r="B61" s="147"/>
      <c r="C61" s="147"/>
      <c r="D61" s="147"/>
      <c r="E61" s="147"/>
      <c r="F61" s="147"/>
      <c r="G61" s="147"/>
      <c r="H61" s="262"/>
      <c r="I61" s="147"/>
      <c r="J61" s="147"/>
      <c r="K61" s="147"/>
      <c r="L61" s="147"/>
      <c r="M61" s="147"/>
      <c r="N61" s="147"/>
      <c r="O61" s="147"/>
      <c r="P61" s="147"/>
      <c r="Q61" s="147"/>
      <c r="R61" s="147"/>
      <c r="S61" s="147"/>
      <c r="T61" s="147"/>
      <c r="U61" s="147"/>
      <c r="V61" s="147"/>
      <c r="W61" s="147"/>
      <c r="X61" s="147"/>
      <c r="Y61" s="147"/>
      <c r="Z61" s="147"/>
      <c r="AA61" s="147"/>
      <c r="AB61" s="147"/>
      <c r="AC61" s="147"/>
      <c r="AD61" s="147"/>
    </row>
    <row r="62">
      <c r="A62" s="147"/>
      <c r="B62" s="147"/>
      <c r="C62" s="147"/>
      <c r="D62" s="147"/>
      <c r="E62" s="147"/>
      <c r="F62" s="147"/>
      <c r="G62" s="147"/>
      <c r="H62" s="262"/>
      <c r="I62" s="147"/>
      <c r="J62" s="147"/>
      <c r="K62" s="147"/>
      <c r="L62" s="147"/>
      <c r="M62" s="147"/>
      <c r="N62" s="147"/>
      <c r="O62" s="147"/>
      <c r="P62" s="147"/>
      <c r="Q62" s="147"/>
      <c r="R62" s="147"/>
      <c r="S62" s="147"/>
      <c r="T62" s="147"/>
      <c r="U62" s="147"/>
      <c r="V62" s="147"/>
      <c r="W62" s="147"/>
      <c r="X62" s="147"/>
      <c r="Y62" s="147"/>
      <c r="Z62" s="147"/>
      <c r="AA62" s="147"/>
      <c r="AB62" s="147"/>
      <c r="AC62" s="147"/>
      <c r="AD62" s="147"/>
    </row>
    <row r="63">
      <c r="A63" s="147"/>
      <c r="B63" s="147"/>
      <c r="C63" s="147"/>
      <c r="D63" s="147"/>
      <c r="E63" s="147"/>
      <c r="F63" s="147"/>
      <c r="G63" s="147"/>
      <c r="H63" s="262"/>
      <c r="I63" s="147"/>
      <c r="J63" s="147"/>
      <c r="K63" s="147"/>
      <c r="L63" s="147"/>
      <c r="M63" s="147"/>
      <c r="N63" s="147"/>
      <c r="O63" s="147"/>
      <c r="P63" s="147"/>
      <c r="Q63" s="147"/>
      <c r="R63" s="147"/>
      <c r="S63" s="147"/>
      <c r="T63" s="147"/>
      <c r="U63" s="147"/>
      <c r="V63" s="147"/>
      <c r="W63" s="147"/>
      <c r="X63" s="147"/>
      <c r="Y63" s="147"/>
      <c r="Z63" s="147"/>
      <c r="AA63" s="147"/>
      <c r="AB63" s="147"/>
      <c r="AC63" s="147"/>
      <c r="AD63" s="147"/>
    </row>
    <row r="64">
      <c r="A64" s="147"/>
      <c r="B64" s="147"/>
      <c r="C64" s="147"/>
      <c r="D64" s="147"/>
      <c r="E64" s="147"/>
      <c r="F64" s="147"/>
      <c r="G64" s="147"/>
      <c r="H64" s="262"/>
      <c r="I64" s="147"/>
      <c r="J64" s="147"/>
      <c r="K64" s="147"/>
      <c r="L64" s="147"/>
      <c r="M64" s="147"/>
      <c r="N64" s="147"/>
      <c r="O64" s="147"/>
      <c r="P64" s="147"/>
      <c r="Q64" s="147"/>
      <c r="R64" s="147"/>
      <c r="S64" s="147"/>
      <c r="T64" s="147"/>
      <c r="U64" s="147"/>
      <c r="V64" s="147"/>
      <c r="W64" s="147"/>
      <c r="X64" s="147"/>
      <c r="Y64" s="147"/>
      <c r="Z64" s="147"/>
      <c r="AA64" s="147"/>
      <c r="AB64" s="147"/>
      <c r="AC64" s="147"/>
      <c r="AD64" s="147"/>
    </row>
    <row r="65">
      <c r="A65" s="147"/>
      <c r="B65" s="147"/>
      <c r="C65" s="147"/>
      <c r="D65" s="147"/>
      <c r="E65" s="147"/>
      <c r="F65" s="147"/>
      <c r="G65" s="147"/>
      <c r="H65" s="262"/>
      <c r="I65" s="147"/>
      <c r="J65" s="147"/>
      <c r="K65" s="147"/>
      <c r="L65" s="147"/>
      <c r="M65" s="147"/>
      <c r="N65" s="147"/>
      <c r="O65" s="147"/>
      <c r="P65" s="147"/>
      <c r="Q65" s="147"/>
      <c r="R65" s="147"/>
      <c r="S65" s="147"/>
      <c r="T65" s="147"/>
      <c r="U65" s="147"/>
      <c r="V65" s="147"/>
      <c r="W65" s="147"/>
      <c r="X65" s="147"/>
      <c r="Y65" s="147"/>
      <c r="Z65" s="147"/>
      <c r="AA65" s="147"/>
      <c r="AB65" s="147"/>
      <c r="AC65" s="147"/>
      <c r="AD65" s="147"/>
    </row>
    <row r="66">
      <c r="A66" s="147"/>
      <c r="B66" s="147"/>
      <c r="C66" s="147"/>
      <c r="D66" s="147"/>
      <c r="E66" s="147"/>
      <c r="F66" s="147"/>
      <c r="G66" s="147"/>
      <c r="H66" s="262"/>
      <c r="I66" s="147"/>
      <c r="J66" s="147"/>
      <c r="K66" s="147"/>
      <c r="L66" s="147"/>
      <c r="M66" s="147"/>
      <c r="N66" s="147"/>
      <c r="O66" s="147"/>
      <c r="P66" s="147"/>
      <c r="Q66" s="147"/>
      <c r="R66" s="147"/>
      <c r="S66" s="147"/>
      <c r="T66" s="147"/>
      <c r="U66" s="147"/>
      <c r="V66" s="147"/>
      <c r="W66" s="147"/>
      <c r="X66" s="147"/>
      <c r="Y66" s="147"/>
      <c r="Z66" s="147"/>
      <c r="AA66" s="147"/>
      <c r="AB66" s="147"/>
      <c r="AC66" s="147"/>
      <c r="AD66" s="147"/>
    </row>
    <row r="67">
      <c r="A67" s="147"/>
      <c r="B67" s="147"/>
      <c r="C67" s="147"/>
      <c r="D67" s="147"/>
      <c r="E67" s="147"/>
      <c r="F67" s="147"/>
      <c r="G67" s="147"/>
      <c r="H67" s="262"/>
      <c r="I67" s="147"/>
      <c r="J67" s="147"/>
      <c r="K67" s="147"/>
      <c r="L67" s="147"/>
      <c r="M67" s="147"/>
      <c r="N67" s="147"/>
      <c r="O67" s="147"/>
      <c r="P67" s="147"/>
      <c r="Q67" s="147"/>
      <c r="R67" s="147"/>
      <c r="S67" s="147"/>
      <c r="T67" s="147"/>
      <c r="U67" s="147"/>
      <c r="V67" s="147"/>
      <c r="W67" s="147"/>
      <c r="X67" s="147"/>
      <c r="Y67" s="147"/>
      <c r="Z67" s="147"/>
      <c r="AA67" s="147"/>
      <c r="AB67" s="147"/>
      <c r="AC67" s="147"/>
      <c r="AD67" s="147"/>
    </row>
    <row r="68">
      <c r="A68" s="147"/>
      <c r="B68" s="147"/>
      <c r="C68" s="147"/>
      <c r="D68" s="147"/>
      <c r="E68" s="147"/>
      <c r="F68" s="147"/>
      <c r="G68" s="147"/>
      <c r="H68" s="262"/>
      <c r="I68" s="147"/>
      <c r="J68" s="147"/>
      <c r="K68" s="147"/>
      <c r="L68" s="147"/>
      <c r="M68" s="147"/>
      <c r="N68" s="147"/>
      <c r="O68" s="147"/>
      <c r="P68" s="147"/>
      <c r="Q68" s="147"/>
      <c r="R68" s="147"/>
      <c r="S68" s="147"/>
      <c r="T68" s="147"/>
      <c r="U68" s="147"/>
      <c r="V68" s="147"/>
      <c r="W68" s="147"/>
      <c r="X68" s="147"/>
      <c r="Y68" s="147"/>
      <c r="Z68" s="147"/>
      <c r="AA68" s="147"/>
      <c r="AB68" s="147"/>
      <c r="AC68" s="147"/>
      <c r="AD68" s="147"/>
    </row>
    <row r="69">
      <c r="A69" s="147"/>
      <c r="B69" s="147"/>
      <c r="C69" s="147"/>
      <c r="D69" s="147"/>
      <c r="E69" s="147"/>
      <c r="F69" s="147"/>
      <c r="G69" s="147"/>
      <c r="H69" s="262"/>
      <c r="I69" s="147"/>
      <c r="J69" s="147"/>
      <c r="K69" s="147"/>
      <c r="L69" s="147"/>
      <c r="M69" s="147"/>
      <c r="N69" s="147"/>
      <c r="O69" s="147"/>
      <c r="P69" s="147"/>
      <c r="Q69" s="147"/>
      <c r="R69" s="147"/>
      <c r="S69" s="147"/>
      <c r="T69" s="147"/>
      <c r="U69" s="147"/>
      <c r="V69" s="147"/>
      <c r="W69" s="147"/>
      <c r="X69" s="147"/>
      <c r="Y69" s="147"/>
      <c r="Z69" s="147"/>
      <c r="AA69" s="147"/>
      <c r="AB69" s="147"/>
      <c r="AC69" s="147"/>
      <c r="AD69" s="147"/>
    </row>
    <row r="70">
      <c r="A70" s="147"/>
      <c r="B70" s="147"/>
      <c r="C70" s="147"/>
      <c r="D70" s="147"/>
      <c r="E70" s="147"/>
      <c r="F70" s="147"/>
      <c r="G70" s="147"/>
      <c r="H70" s="262"/>
      <c r="I70" s="147"/>
      <c r="J70" s="147"/>
      <c r="K70" s="147"/>
      <c r="L70" s="147"/>
      <c r="M70" s="147"/>
      <c r="N70" s="147"/>
      <c r="O70" s="147"/>
      <c r="P70" s="147"/>
      <c r="Q70" s="147"/>
      <c r="R70" s="147"/>
      <c r="S70" s="147"/>
      <c r="T70" s="147"/>
      <c r="U70" s="147"/>
      <c r="V70" s="147"/>
      <c r="W70" s="147"/>
      <c r="X70" s="147"/>
      <c r="Y70" s="147"/>
      <c r="Z70" s="147"/>
      <c r="AA70" s="147"/>
      <c r="AB70" s="147"/>
      <c r="AC70" s="147"/>
      <c r="AD70" s="147"/>
    </row>
    <row r="71">
      <c r="A71" s="147"/>
      <c r="B71" s="147"/>
      <c r="C71" s="147"/>
      <c r="D71" s="147"/>
      <c r="E71" s="147"/>
      <c r="F71" s="147"/>
      <c r="G71" s="147"/>
      <c r="H71" s="262"/>
      <c r="I71" s="147"/>
      <c r="J71" s="147"/>
      <c r="K71" s="147"/>
      <c r="L71" s="147"/>
      <c r="M71" s="147"/>
      <c r="N71" s="147"/>
      <c r="O71" s="147"/>
      <c r="P71" s="147"/>
      <c r="Q71" s="147"/>
      <c r="R71" s="147"/>
      <c r="S71" s="147"/>
      <c r="T71" s="147"/>
      <c r="U71" s="147"/>
      <c r="V71" s="147"/>
      <c r="W71" s="147"/>
      <c r="X71" s="147"/>
      <c r="Y71" s="147"/>
      <c r="Z71" s="147"/>
      <c r="AA71" s="147"/>
      <c r="AB71" s="147"/>
      <c r="AC71" s="147"/>
      <c r="AD71" s="147"/>
    </row>
    <row r="72">
      <c r="A72" s="147"/>
      <c r="B72" s="147"/>
      <c r="C72" s="147"/>
      <c r="D72" s="147"/>
      <c r="E72" s="147"/>
      <c r="F72" s="147"/>
      <c r="G72" s="147"/>
      <c r="H72" s="262"/>
      <c r="I72" s="147"/>
      <c r="J72" s="147"/>
      <c r="K72" s="147"/>
      <c r="L72" s="147"/>
      <c r="M72" s="147"/>
      <c r="N72" s="147"/>
      <c r="O72" s="147"/>
      <c r="P72" s="147"/>
      <c r="Q72" s="147"/>
      <c r="R72" s="147"/>
      <c r="S72" s="147"/>
      <c r="T72" s="147"/>
      <c r="U72" s="147"/>
      <c r="V72" s="147"/>
      <c r="W72" s="147"/>
      <c r="X72" s="147"/>
      <c r="Y72" s="147"/>
      <c r="Z72" s="147"/>
      <c r="AA72" s="147"/>
      <c r="AB72" s="147"/>
      <c r="AC72" s="147"/>
      <c r="AD72" s="147"/>
    </row>
    <row r="73">
      <c r="A73" s="147"/>
      <c r="B73" s="147"/>
      <c r="C73" s="147"/>
      <c r="D73" s="147"/>
      <c r="E73" s="147"/>
      <c r="F73" s="147"/>
      <c r="G73" s="147"/>
      <c r="H73" s="262"/>
      <c r="I73" s="147"/>
      <c r="J73" s="147"/>
      <c r="K73" s="147"/>
      <c r="L73" s="147"/>
      <c r="M73" s="147"/>
      <c r="N73" s="147"/>
      <c r="O73" s="147"/>
      <c r="P73" s="147"/>
      <c r="Q73" s="147"/>
      <c r="R73" s="147"/>
      <c r="S73" s="147"/>
      <c r="T73" s="147"/>
      <c r="U73" s="147"/>
      <c r="V73" s="147"/>
      <c r="W73" s="147"/>
      <c r="X73" s="147"/>
      <c r="Y73" s="147"/>
      <c r="Z73" s="147"/>
      <c r="AA73" s="147"/>
      <c r="AB73" s="147"/>
      <c r="AC73" s="147"/>
      <c r="AD73" s="147"/>
    </row>
    <row r="74">
      <c r="A74" s="147"/>
      <c r="B74" s="147"/>
      <c r="C74" s="147"/>
      <c r="D74" s="147"/>
      <c r="E74" s="147"/>
      <c r="F74" s="147"/>
      <c r="G74" s="147"/>
      <c r="H74" s="262"/>
      <c r="I74" s="147"/>
      <c r="J74" s="147"/>
      <c r="K74" s="147"/>
      <c r="L74" s="147"/>
      <c r="M74" s="147"/>
      <c r="N74" s="147"/>
      <c r="O74" s="147"/>
      <c r="P74" s="147"/>
      <c r="Q74" s="147"/>
      <c r="R74" s="147"/>
      <c r="S74" s="147"/>
      <c r="T74" s="147"/>
      <c r="U74" s="147"/>
      <c r="V74" s="147"/>
      <c r="W74" s="147"/>
      <c r="X74" s="147"/>
      <c r="Y74" s="147"/>
      <c r="Z74" s="147"/>
      <c r="AA74" s="147"/>
      <c r="AB74" s="147"/>
      <c r="AC74" s="147"/>
      <c r="AD74" s="147"/>
    </row>
    <row r="75">
      <c r="A75" s="147"/>
      <c r="B75" s="147"/>
      <c r="C75" s="147"/>
      <c r="D75" s="147"/>
      <c r="E75" s="147"/>
      <c r="F75" s="147"/>
      <c r="G75" s="147"/>
      <c r="H75" s="262"/>
      <c r="I75" s="147"/>
      <c r="J75" s="147"/>
      <c r="K75" s="147"/>
      <c r="L75" s="147"/>
      <c r="M75" s="147"/>
      <c r="N75" s="147"/>
      <c r="O75" s="147"/>
      <c r="P75" s="147"/>
      <c r="Q75" s="147"/>
      <c r="R75" s="147"/>
      <c r="S75" s="147"/>
      <c r="T75" s="147"/>
      <c r="U75" s="147"/>
      <c r="V75" s="147"/>
      <c r="W75" s="147"/>
      <c r="X75" s="147"/>
      <c r="Y75" s="147"/>
      <c r="Z75" s="147"/>
      <c r="AA75" s="147"/>
      <c r="AB75" s="147"/>
      <c r="AC75" s="147"/>
      <c r="AD75" s="147"/>
    </row>
    <row r="76">
      <c r="A76" s="147"/>
      <c r="B76" s="147"/>
      <c r="C76" s="147"/>
      <c r="D76" s="147"/>
      <c r="E76" s="147"/>
      <c r="F76" s="147"/>
      <c r="G76" s="147"/>
      <c r="H76" s="262"/>
      <c r="I76" s="147"/>
      <c r="J76" s="147"/>
      <c r="K76" s="147"/>
      <c r="L76" s="147"/>
      <c r="M76" s="147"/>
      <c r="N76" s="147"/>
      <c r="O76" s="147"/>
      <c r="P76" s="147"/>
      <c r="Q76" s="147"/>
      <c r="R76" s="147"/>
      <c r="S76" s="147"/>
      <c r="T76" s="147"/>
      <c r="U76" s="147"/>
      <c r="V76" s="147"/>
      <c r="W76" s="147"/>
      <c r="X76" s="147"/>
      <c r="Y76" s="147"/>
      <c r="Z76" s="147"/>
      <c r="AA76" s="147"/>
      <c r="AB76" s="147"/>
      <c r="AC76" s="147"/>
      <c r="AD76" s="147"/>
    </row>
    <row r="77">
      <c r="A77" s="147"/>
      <c r="B77" s="147"/>
      <c r="C77" s="147"/>
      <c r="D77" s="147"/>
      <c r="E77" s="147"/>
      <c r="F77" s="147"/>
      <c r="G77" s="147"/>
      <c r="H77" s="262"/>
      <c r="I77" s="147"/>
      <c r="J77" s="147"/>
      <c r="K77" s="147"/>
      <c r="L77" s="147"/>
      <c r="M77" s="147"/>
      <c r="N77" s="147"/>
      <c r="O77" s="147"/>
      <c r="P77" s="147"/>
      <c r="Q77" s="147"/>
      <c r="R77" s="147"/>
      <c r="S77" s="147"/>
      <c r="T77" s="147"/>
      <c r="U77" s="147"/>
      <c r="V77" s="147"/>
      <c r="W77" s="147"/>
      <c r="X77" s="147"/>
      <c r="Y77" s="147"/>
      <c r="Z77" s="147"/>
      <c r="AA77" s="147"/>
      <c r="AB77" s="147"/>
      <c r="AC77" s="147"/>
      <c r="AD77" s="147"/>
    </row>
    <row r="78">
      <c r="A78" s="147"/>
      <c r="B78" s="147"/>
      <c r="C78" s="147"/>
      <c r="D78" s="147"/>
      <c r="E78" s="147"/>
      <c r="F78" s="147"/>
      <c r="G78" s="147"/>
      <c r="H78" s="262"/>
      <c r="I78" s="147"/>
      <c r="J78" s="147"/>
      <c r="K78" s="147"/>
      <c r="L78" s="147"/>
      <c r="M78" s="147"/>
      <c r="N78" s="147"/>
      <c r="O78" s="147"/>
      <c r="P78" s="147"/>
      <c r="Q78" s="147"/>
      <c r="R78" s="147"/>
      <c r="S78" s="147"/>
      <c r="T78" s="147"/>
      <c r="U78" s="147"/>
      <c r="V78" s="147"/>
      <c r="W78" s="147"/>
      <c r="X78" s="147"/>
      <c r="Y78" s="147"/>
      <c r="Z78" s="147"/>
      <c r="AA78" s="147"/>
      <c r="AB78" s="147"/>
      <c r="AC78" s="147"/>
      <c r="AD78" s="147"/>
    </row>
    <row r="79">
      <c r="A79" s="147"/>
      <c r="B79" s="147"/>
      <c r="C79" s="147"/>
      <c r="D79" s="147"/>
      <c r="E79" s="147"/>
      <c r="F79" s="147"/>
      <c r="G79" s="147"/>
      <c r="H79" s="262"/>
      <c r="I79" s="147"/>
      <c r="J79" s="147"/>
      <c r="K79" s="147"/>
      <c r="L79" s="147"/>
      <c r="M79" s="147"/>
      <c r="N79" s="147"/>
      <c r="O79" s="147"/>
      <c r="P79" s="147"/>
      <c r="Q79" s="147"/>
      <c r="R79" s="147"/>
      <c r="S79" s="147"/>
      <c r="T79" s="147"/>
      <c r="U79" s="147"/>
      <c r="V79" s="147"/>
      <c r="W79" s="147"/>
      <c r="X79" s="147"/>
      <c r="Y79" s="147"/>
      <c r="Z79" s="147"/>
      <c r="AA79" s="147"/>
      <c r="AB79" s="147"/>
      <c r="AC79" s="147"/>
      <c r="AD79" s="147"/>
    </row>
    <row r="80">
      <c r="A80" s="147"/>
      <c r="B80" s="147"/>
      <c r="C80" s="147"/>
      <c r="D80" s="147"/>
      <c r="E80" s="147"/>
      <c r="F80" s="147"/>
      <c r="G80" s="147"/>
      <c r="H80" s="262"/>
      <c r="I80" s="147"/>
      <c r="J80" s="147"/>
      <c r="K80" s="147"/>
      <c r="L80" s="147"/>
      <c r="M80" s="147"/>
      <c r="N80" s="147"/>
      <c r="O80" s="147"/>
      <c r="P80" s="147"/>
      <c r="Q80" s="147"/>
      <c r="R80" s="147"/>
      <c r="S80" s="147"/>
      <c r="T80" s="147"/>
      <c r="U80" s="147"/>
      <c r="V80" s="147"/>
      <c r="W80" s="147"/>
      <c r="X80" s="147"/>
      <c r="Y80" s="147"/>
      <c r="Z80" s="147"/>
      <c r="AA80" s="147"/>
      <c r="AB80" s="147"/>
      <c r="AC80" s="147"/>
      <c r="AD80" s="147"/>
    </row>
    <row r="81">
      <c r="A81" s="147"/>
      <c r="B81" s="147"/>
      <c r="C81" s="147"/>
      <c r="D81" s="147"/>
      <c r="E81" s="147"/>
      <c r="F81" s="147"/>
      <c r="G81" s="147"/>
      <c r="H81" s="262"/>
      <c r="I81" s="147"/>
      <c r="J81" s="147"/>
      <c r="K81" s="147"/>
      <c r="L81" s="147"/>
      <c r="M81" s="147"/>
      <c r="N81" s="147"/>
      <c r="O81" s="147"/>
      <c r="P81" s="147"/>
      <c r="Q81" s="147"/>
      <c r="R81" s="147"/>
      <c r="S81" s="147"/>
      <c r="T81" s="147"/>
      <c r="U81" s="147"/>
      <c r="V81" s="147"/>
      <c r="W81" s="147"/>
      <c r="X81" s="147"/>
      <c r="Y81" s="147"/>
      <c r="Z81" s="147"/>
      <c r="AA81" s="147"/>
      <c r="AB81" s="147"/>
      <c r="AC81" s="147"/>
      <c r="AD81" s="147"/>
    </row>
    <row r="82">
      <c r="A82" s="147"/>
      <c r="B82" s="147"/>
      <c r="C82" s="147"/>
      <c r="D82" s="147"/>
      <c r="E82" s="147"/>
      <c r="F82" s="147"/>
      <c r="G82" s="147"/>
      <c r="H82" s="262"/>
      <c r="I82" s="147"/>
      <c r="J82" s="147"/>
      <c r="K82" s="147"/>
      <c r="L82" s="147"/>
      <c r="M82" s="147"/>
      <c r="N82" s="147"/>
      <c r="O82" s="147"/>
      <c r="P82" s="147"/>
      <c r="Q82" s="147"/>
      <c r="R82" s="147"/>
      <c r="S82" s="147"/>
      <c r="T82" s="147"/>
      <c r="U82" s="147"/>
      <c r="V82" s="147"/>
      <c r="W82" s="147"/>
      <c r="X82" s="147"/>
      <c r="Y82" s="147"/>
      <c r="Z82" s="147"/>
      <c r="AA82" s="147"/>
      <c r="AB82" s="147"/>
      <c r="AC82" s="147"/>
      <c r="AD82" s="147"/>
    </row>
    <row r="83">
      <c r="A83" s="147"/>
      <c r="B83" s="147"/>
      <c r="C83" s="147"/>
      <c r="D83" s="147"/>
      <c r="E83" s="147"/>
      <c r="F83" s="147"/>
      <c r="G83" s="147"/>
      <c r="H83" s="262"/>
      <c r="I83" s="147"/>
      <c r="J83" s="147"/>
      <c r="K83" s="147"/>
      <c r="L83" s="147"/>
      <c r="M83" s="147"/>
      <c r="N83" s="147"/>
      <c r="O83" s="147"/>
      <c r="P83" s="147"/>
      <c r="Q83" s="147"/>
      <c r="R83" s="147"/>
      <c r="S83" s="147"/>
      <c r="T83" s="147"/>
      <c r="U83" s="147"/>
      <c r="V83" s="147"/>
      <c r="W83" s="147"/>
      <c r="X83" s="147"/>
      <c r="Y83" s="147"/>
      <c r="Z83" s="147"/>
      <c r="AA83" s="147"/>
      <c r="AB83" s="147"/>
      <c r="AC83" s="147"/>
      <c r="AD83" s="147"/>
    </row>
    <row r="84">
      <c r="A84" s="147"/>
      <c r="B84" s="147"/>
      <c r="C84" s="147"/>
      <c r="D84" s="147"/>
      <c r="E84" s="147"/>
      <c r="F84" s="147"/>
      <c r="G84" s="147"/>
      <c r="H84" s="262"/>
      <c r="I84" s="147"/>
      <c r="J84" s="147"/>
      <c r="K84" s="147"/>
      <c r="L84" s="147"/>
      <c r="M84" s="147"/>
      <c r="N84" s="147"/>
      <c r="O84" s="147"/>
      <c r="P84" s="147"/>
      <c r="Q84" s="147"/>
      <c r="R84" s="147"/>
      <c r="S84" s="147"/>
      <c r="T84" s="147"/>
      <c r="U84" s="147"/>
      <c r="V84" s="147"/>
      <c r="W84" s="147"/>
      <c r="X84" s="147"/>
      <c r="Y84" s="147"/>
      <c r="Z84" s="147"/>
      <c r="AA84" s="147"/>
      <c r="AB84" s="147"/>
      <c r="AC84" s="147"/>
      <c r="AD84" s="147"/>
    </row>
    <row r="85">
      <c r="A85" s="147"/>
      <c r="B85" s="147"/>
      <c r="C85" s="147"/>
      <c r="D85" s="147"/>
      <c r="E85" s="147"/>
      <c r="F85" s="147"/>
      <c r="G85" s="147"/>
      <c r="H85" s="262"/>
      <c r="I85" s="147"/>
      <c r="J85" s="147"/>
      <c r="K85" s="147"/>
      <c r="L85" s="147"/>
      <c r="M85" s="147"/>
      <c r="N85" s="147"/>
      <c r="O85" s="147"/>
      <c r="P85" s="147"/>
      <c r="Q85" s="147"/>
      <c r="R85" s="147"/>
      <c r="S85" s="147"/>
      <c r="T85" s="147"/>
      <c r="U85" s="147"/>
      <c r="V85" s="147"/>
      <c r="W85" s="147"/>
      <c r="X85" s="147"/>
      <c r="Y85" s="147"/>
      <c r="Z85" s="147"/>
      <c r="AA85" s="147"/>
      <c r="AB85" s="147"/>
      <c r="AC85" s="147"/>
      <c r="AD85" s="147"/>
    </row>
    <row r="86">
      <c r="A86" s="147"/>
      <c r="B86" s="147"/>
      <c r="C86" s="147"/>
      <c r="D86" s="147"/>
      <c r="E86" s="147"/>
      <c r="F86" s="147"/>
      <c r="G86" s="147"/>
      <c r="H86" s="262"/>
      <c r="I86" s="147"/>
      <c r="J86" s="147"/>
      <c r="K86" s="147"/>
      <c r="L86" s="147"/>
      <c r="M86" s="147"/>
      <c r="N86" s="147"/>
      <c r="O86" s="147"/>
      <c r="P86" s="147"/>
      <c r="Q86" s="147"/>
      <c r="R86" s="147"/>
      <c r="S86" s="147"/>
      <c r="T86" s="147"/>
      <c r="U86" s="147"/>
      <c r="V86" s="147"/>
      <c r="W86" s="147"/>
      <c r="X86" s="147"/>
      <c r="Y86" s="147"/>
      <c r="Z86" s="147"/>
      <c r="AA86" s="147"/>
      <c r="AB86" s="147"/>
      <c r="AC86" s="147"/>
      <c r="AD86" s="147"/>
    </row>
    <row r="87">
      <c r="A87" s="147"/>
      <c r="B87" s="147"/>
      <c r="C87" s="147"/>
      <c r="D87" s="147"/>
      <c r="E87" s="147"/>
      <c r="F87" s="147"/>
      <c r="G87" s="147"/>
      <c r="H87" s="262"/>
      <c r="I87" s="147"/>
      <c r="J87" s="147"/>
      <c r="K87" s="147"/>
      <c r="L87" s="147"/>
      <c r="M87" s="147"/>
      <c r="N87" s="147"/>
      <c r="O87" s="147"/>
      <c r="P87" s="147"/>
      <c r="Q87" s="147"/>
      <c r="R87" s="147"/>
      <c r="S87" s="147"/>
      <c r="T87" s="147"/>
      <c r="U87" s="147"/>
      <c r="V87" s="147"/>
      <c r="W87" s="147"/>
      <c r="X87" s="147"/>
      <c r="Y87" s="147"/>
      <c r="Z87" s="147"/>
      <c r="AA87" s="147"/>
      <c r="AB87" s="147"/>
      <c r="AC87" s="147"/>
      <c r="AD87" s="147"/>
    </row>
    <row r="88">
      <c r="A88" s="147"/>
      <c r="B88" s="147"/>
      <c r="C88" s="147"/>
      <c r="D88" s="147"/>
      <c r="E88" s="147"/>
      <c r="F88" s="147"/>
      <c r="G88" s="147"/>
      <c r="H88" s="262"/>
      <c r="I88" s="147"/>
      <c r="J88" s="147"/>
      <c r="K88" s="147"/>
      <c r="L88" s="147"/>
      <c r="M88" s="147"/>
      <c r="N88" s="147"/>
      <c r="O88" s="147"/>
      <c r="P88" s="147"/>
      <c r="Q88" s="147"/>
      <c r="R88" s="147"/>
      <c r="S88" s="147"/>
      <c r="T88" s="147"/>
      <c r="U88" s="147"/>
      <c r="V88" s="147"/>
      <c r="W88" s="147"/>
      <c r="X88" s="147"/>
      <c r="Y88" s="147"/>
      <c r="Z88" s="147"/>
      <c r="AA88" s="147"/>
      <c r="AB88" s="147"/>
      <c r="AC88" s="147"/>
      <c r="AD88" s="147"/>
    </row>
    <row r="89">
      <c r="A89" s="147"/>
      <c r="B89" s="147"/>
      <c r="C89" s="147"/>
      <c r="D89" s="147"/>
      <c r="E89" s="147"/>
      <c r="F89" s="147"/>
      <c r="G89" s="147"/>
      <c r="H89" s="262"/>
      <c r="I89" s="147"/>
      <c r="J89" s="147"/>
      <c r="K89" s="147"/>
      <c r="L89" s="147"/>
      <c r="M89" s="147"/>
      <c r="N89" s="147"/>
      <c r="O89" s="147"/>
      <c r="P89" s="147"/>
      <c r="Q89" s="147"/>
      <c r="R89" s="147"/>
      <c r="S89" s="147"/>
      <c r="T89" s="147"/>
      <c r="U89" s="147"/>
      <c r="V89" s="147"/>
      <c r="W89" s="147"/>
      <c r="X89" s="147"/>
      <c r="Y89" s="147"/>
      <c r="Z89" s="147"/>
      <c r="AA89" s="147"/>
      <c r="AB89" s="147"/>
      <c r="AC89" s="147"/>
      <c r="AD89" s="147"/>
    </row>
    <row r="90">
      <c r="A90" s="147"/>
      <c r="B90" s="147"/>
      <c r="C90" s="147"/>
      <c r="D90" s="147"/>
      <c r="E90" s="147"/>
      <c r="F90" s="147"/>
      <c r="G90" s="147"/>
      <c r="H90" s="262"/>
      <c r="I90" s="147"/>
      <c r="J90" s="147"/>
      <c r="K90" s="147"/>
      <c r="L90" s="147"/>
      <c r="M90" s="147"/>
      <c r="N90" s="147"/>
      <c r="O90" s="147"/>
      <c r="P90" s="147"/>
      <c r="Q90" s="147"/>
      <c r="R90" s="147"/>
      <c r="S90" s="147"/>
      <c r="T90" s="147"/>
      <c r="U90" s="147"/>
      <c r="V90" s="147"/>
      <c r="W90" s="147"/>
      <c r="X90" s="147"/>
      <c r="Y90" s="147"/>
      <c r="Z90" s="147"/>
      <c r="AA90" s="147"/>
      <c r="AB90" s="147"/>
      <c r="AC90" s="147"/>
      <c r="AD90" s="147"/>
    </row>
    <row r="91">
      <c r="A91" s="147"/>
      <c r="B91" s="147"/>
      <c r="C91" s="147"/>
      <c r="D91" s="147"/>
      <c r="E91" s="147"/>
      <c r="F91" s="147"/>
      <c r="G91" s="147"/>
      <c r="H91" s="262"/>
      <c r="I91" s="147"/>
      <c r="J91" s="147"/>
      <c r="K91" s="147"/>
      <c r="L91" s="147"/>
      <c r="M91" s="147"/>
      <c r="N91" s="147"/>
      <c r="O91" s="147"/>
      <c r="P91" s="147"/>
      <c r="Q91" s="147"/>
      <c r="R91" s="147"/>
      <c r="S91" s="147"/>
      <c r="T91" s="147"/>
      <c r="U91" s="147"/>
      <c r="V91" s="147"/>
      <c r="W91" s="147"/>
      <c r="X91" s="147"/>
      <c r="Y91" s="147"/>
      <c r="Z91" s="147"/>
      <c r="AA91" s="147"/>
      <c r="AB91" s="147"/>
      <c r="AC91" s="147"/>
      <c r="AD91" s="147"/>
    </row>
    <row r="92">
      <c r="A92" s="147"/>
      <c r="B92" s="147"/>
      <c r="C92" s="147"/>
      <c r="D92" s="147"/>
      <c r="E92" s="147"/>
      <c r="F92" s="147"/>
      <c r="G92" s="147"/>
      <c r="H92" s="262"/>
      <c r="I92" s="147"/>
      <c r="J92" s="147"/>
      <c r="K92" s="147"/>
      <c r="L92" s="147"/>
      <c r="M92" s="147"/>
      <c r="N92" s="147"/>
      <c r="O92" s="147"/>
      <c r="P92" s="147"/>
      <c r="Q92" s="147"/>
      <c r="R92" s="147"/>
      <c r="S92" s="147"/>
      <c r="T92" s="147"/>
      <c r="U92" s="147"/>
      <c r="V92" s="147"/>
      <c r="W92" s="147"/>
      <c r="X92" s="147"/>
      <c r="Y92" s="147"/>
      <c r="Z92" s="147"/>
      <c r="AA92" s="147"/>
      <c r="AB92" s="147"/>
      <c r="AC92" s="147"/>
      <c r="AD92" s="147"/>
    </row>
    <row r="93">
      <c r="A93" s="147"/>
      <c r="B93" s="147"/>
      <c r="C93" s="147"/>
      <c r="D93" s="147"/>
      <c r="E93" s="147"/>
      <c r="F93" s="147"/>
      <c r="G93" s="147"/>
      <c r="H93" s="262"/>
      <c r="I93" s="147"/>
      <c r="J93" s="147"/>
      <c r="K93" s="147"/>
      <c r="L93" s="147"/>
      <c r="M93" s="147"/>
      <c r="N93" s="147"/>
      <c r="O93" s="147"/>
      <c r="P93" s="147"/>
      <c r="Q93" s="147"/>
      <c r="R93" s="147"/>
      <c r="S93" s="147"/>
      <c r="T93" s="147"/>
      <c r="U93" s="147"/>
      <c r="V93" s="147"/>
      <c r="W93" s="147"/>
      <c r="X93" s="147"/>
      <c r="Y93" s="147"/>
      <c r="Z93" s="147"/>
      <c r="AA93" s="147"/>
      <c r="AB93" s="147"/>
      <c r="AC93" s="147"/>
      <c r="AD93" s="147"/>
    </row>
    <row r="94">
      <c r="A94" s="147"/>
      <c r="B94" s="147"/>
      <c r="C94" s="147"/>
      <c r="D94" s="147"/>
      <c r="E94" s="147"/>
      <c r="F94" s="147"/>
      <c r="G94" s="147"/>
      <c r="H94" s="262"/>
      <c r="I94" s="147"/>
      <c r="J94" s="147"/>
      <c r="K94" s="147"/>
      <c r="L94" s="147"/>
      <c r="M94" s="147"/>
      <c r="N94" s="147"/>
      <c r="O94" s="147"/>
      <c r="P94" s="147"/>
      <c r="Q94" s="147"/>
      <c r="R94" s="147"/>
      <c r="S94" s="147"/>
      <c r="T94" s="147"/>
      <c r="U94" s="147"/>
      <c r="V94" s="147"/>
      <c r="W94" s="147"/>
      <c r="X94" s="147"/>
      <c r="Y94" s="147"/>
      <c r="Z94" s="147"/>
      <c r="AA94" s="147"/>
      <c r="AB94" s="147"/>
      <c r="AC94" s="147"/>
      <c r="AD94" s="147"/>
    </row>
    <row r="95">
      <c r="A95" s="147"/>
      <c r="B95" s="147"/>
      <c r="C95" s="147"/>
      <c r="D95" s="147"/>
      <c r="E95" s="147"/>
      <c r="F95" s="147"/>
      <c r="G95" s="147"/>
      <c r="H95" s="262"/>
      <c r="I95" s="147"/>
      <c r="J95" s="147"/>
      <c r="K95" s="147"/>
      <c r="L95" s="147"/>
      <c r="M95" s="147"/>
      <c r="N95" s="147"/>
      <c r="O95" s="147"/>
      <c r="P95" s="147"/>
      <c r="Q95" s="147"/>
      <c r="R95" s="147"/>
      <c r="S95" s="147"/>
      <c r="T95" s="147"/>
      <c r="U95" s="147"/>
      <c r="V95" s="147"/>
      <c r="W95" s="147"/>
      <c r="X95" s="147"/>
      <c r="Y95" s="147"/>
      <c r="Z95" s="147"/>
      <c r="AA95" s="147"/>
      <c r="AB95" s="147"/>
      <c r="AC95" s="147"/>
      <c r="AD95" s="147"/>
    </row>
    <row r="96">
      <c r="A96" s="147"/>
      <c r="B96" s="147"/>
      <c r="C96" s="147"/>
      <c r="D96" s="147"/>
      <c r="E96" s="147"/>
      <c r="F96" s="147"/>
      <c r="G96" s="147"/>
      <c r="H96" s="262"/>
      <c r="I96" s="147"/>
      <c r="J96" s="147"/>
      <c r="K96" s="147"/>
      <c r="L96" s="147"/>
      <c r="M96" s="147"/>
      <c r="N96" s="147"/>
      <c r="O96" s="147"/>
      <c r="P96" s="147"/>
      <c r="Q96" s="147"/>
      <c r="R96" s="147"/>
      <c r="S96" s="147"/>
      <c r="T96" s="147"/>
      <c r="U96" s="147"/>
      <c r="V96" s="147"/>
      <c r="W96" s="147"/>
      <c r="X96" s="147"/>
      <c r="Y96" s="147"/>
      <c r="Z96" s="147"/>
      <c r="AA96" s="147"/>
      <c r="AB96" s="147"/>
      <c r="AC96" s="147"/>
      <c r="AD96" s="147"/>
    </row>
    <row r="97">
      <c r="A97" s="147"/>
      <c r="B97" s="147"/>
      <c r="C97" s="147"/>
      <c r="D97" s="147"/>
      <c r="E97" s="147"/>
      <c r="F97" s="147"/>
      <c r="G97" s="147"/>
      <c r="H97" s="262"/>
      <c r="I97" s="147"/>
      <c r="J97" s="147"/>
      <c r="K97" s="147"/>
      <c r="L97" s="147"/>
      <c r="M97" s="147"/>
      <c r="N97" s="147"/>
      <c r="O97" s="147"/>
      <c r="P97" s="147"/>
      <c r="Q97" s="147"/>
      <c r="R97" s="147"/>
      <c r="S97" s="147"/>
      <c r="T97" s="147"/>
      <c r="U97" s="147"/>
      <c r="V97" s="147"/>
      <c r="W97" s="147"/>
      <c r="X97" s="147"/>
      <c r="Y97" s="147"/>
      <c r="Z97" s="147"/>
      <c r="AA97" s="147"/>
      <c r="AB97" s="147"/>
      <c r="AC97" s="147"/>
      <c r="AD97" s="147"/>
    </row>
    <row r="98">
      <c r="A98" s="147"/>
      <c r="B98" s="147"/>
      <c r="C98" s="147"/>
      <c r="D98" s="147"/>
      <c r="E98" s="147"/>
      <c r="F98" s="147"/>
      <c r="G98" s="147"/>
      <c r="H98" s="262"/>
      <c r="I98" s="147"/>
      <c r="J98" s="147"/>
      <c r="K98" s="147"/>
      <c r="L98" s="147"/>
      <c r="M98" s="147"/>
      <c r="N98" s="147"/>
      <c r="O98" s="147"/>
      <c r="P98" s="147"/>
      <c r="Q98" s="147"/>
      <c r="R98" s="147"/>
      <c r="S98" s="147"/>
      <c r="T98" s="147"/>
      <c r="U98" s="147"/>
      <c r="V98" s="147"/>
      <c r="W98" s="147"/>
      <c r="X98" s="147"/>
      <c r="Y98" s="147"/>
      <c r="Z98" s="147"/>
      <c r="AA98" s="147"/>
      <c r="AB98" s="147"/>
      <c r="AC98" s="147"/>
      <c r="AD98" s="147"/>
    </row>
    <row r="99">
      <c r="A99" s="147"/>
      <c r="B99" s="147"/>
      <c r="C99" s="147"/>
      <c r="D99" s="147"/>
      <c r="E99" s="147"/>
      <c r="F99" s="147"/>
      <c r="G99" s="147"/>
      <c r="H99" s="262"/>
      <c r="I99" s="147"/>
      <c r="J99" s="147"/>
      <c r="K99" s="147"/>
      <c r="L99" s="147"/>
      <c r="M99" s="147"/>
      <c r="N99" s="147"/>
      <c r="O99" s="147"/>
      <c r="P99" s="147"/>
      <c r="Q99" s="147"/>
      <c r="R99" s="147"/>
      <c r="S99" s="147"/>
      <c r="T99" s="147"/>
      <c r="U99" s="147"/>
      <c r="V99" s="147"/>
      <c r="W99" s="147"/>
      <c r="X99" s="147"/>
      <c r="Y99" s="147"/>
      <c r="Z99" s="147"/>
      <c r="AA99" s="147"/>
      <c r="AB99" s="147"/>
      <c r="AC99" s="147"/>
      <c r="AD99" s="147"/>
    </row>
    <row r="100">
      <c r="A100" s="147"/>
      <c r="B100" s="147"/>
      <c r="C100" s="147"/>
      <c r="D100" s="147"/>
      <c r="E100" s="147"/>
      <c r="F100" s="147"/>
      <c r="G100" s="147"/>
      <c r="H100" s="262"/>
      <c r="I100" s="147"/>
      <c r="J100" s="147"/>
      <c r="K100" s="147"/>
      <c r="L100" s="147"/>
      <c r="M100" s="147"/>
      <c r="N100" s="147"/>
      <c r="O100" s="147"/>
      <c r="P100" s="147"/>
      <c r="Q100" s="147"/>
      <c r="R100" s="147"/>
      <c r="S100" s="147"/>
      <c r="T100" s="147"/>
      <c r="U100" s="147"/>
      <c r="V100" s="147"/>
      <c r="W100" s="147"/>
      <c r="X100" s="147"/>
      <c r="Y100" s="147"/>
      <c r="Z100" s="147"/>
      <c r="AA100" s="147"/>
      <c r="AB100" s="147"/>
      <c r="AC100" s="147"/>
      <c r="AD100" s="147"/>
    </row>
    <row r="101">
      <c r="A101" s="147"/>
      <c r="B101" s="147"/>
      <c r="C101" s="147"/>
      <c r="D101" s="147"/>
      <c r="E101" s="147"/>
      <c r="F101" s="147"/>
      <c r="G101" s="147"/>
      <c r="H101" s="262"/>
      <c r="I101" s="147"/>
      <c r="J101" s="147"/>
      <c r="K101" s="147"/>
      <c r="L101" s="147"/>
      <c r="M101" s="147"/>
      <c r="N101" s="147"/>
      <c r="O101" s="147"/>
      <c r="P101" s="147"/>
      <c r="Q101" s="147"/>
      <c r="R101" s="147"/>
      <c r="S101" s="147"/>
      <c r="T101" s="147"/>
      <c r="U101" s="147"/>
      <c r="V101" s="147"/>
      <c r="W101" s="147"/>
      <c r="X101" s="147"/>
      <c r="Y101" s="147"/>
      <c r="Z101" s="147"/>
      <c r="AA101" s="147"/>
      <c r="AB101" s="147"/>
      <c r="AC101" s="147"/>
      <c r="AD101" s="147"/>
    </row>
    <row r="102">
      <c r="A102" s="147"/>
      <c r="B102" s="147"/>
      <c r="C102" s="147"/>
      <c r="D102" s="147"/>
      <c r="E102" s="147"/>
      <c r="F102" s="147"/>
      <c r="G102" s="147"/>
      <c r="H102" s="262"/>
      <c r="I102" s="147"/>
      <c r="J102" s="147"/>
      <c r="K102" s="147"/>
      <c r="L102" s="147"/>
      <c r="M102" s="147"/>
      <c r="N102" s="147"/>
      <c r="O102" s="147"/>
      <c r="P102" s="147"/>
      <c r="Q102" s="147"/>
      <c r="R102" s="147"/>
      <c r="S102" s="147"/>
      <c r="T102" s="147"/>
      <c r="U102" s="147"/>
      <c r="V102" s="147"/>
      <c r="W102" s="147"/>
      <c r="X102" s="147"/>
      <c r="Y102" s="147"/>
      <c r="Z102" s="147"/>
      <c r="AA102" s="147"/>
      <c r="AB102" s="147"/>
      <c r="AC102" s="147"/>
      <c r="AD102" s="147"/>
    </row>
    <row r="103">
      <c r="A103" s="147"/>
      <c r="B103" s="147"/>
      <c r="C103" s="147"/>
      <c r="D103" s="147"/>
      <c r="E103" s="147"/>
      <c r="F103" s="147"/>
      <c r="G103" s="147"/>
      <c r="H103" s="262"/>
      <c r="I103" s="147"/>
      <c r="J103" s="147"/>
      <c r="K103" s="147"/>
      <c r="L103" s="147"/>
      <c r="M103" s="147"/>
      <c r="N103" s="147"/>
      <c r="O103" s="147"/>
      <c r="P103" s="147"/>
      <c r="Q103" s="147"/>
      <c r="R103" s="147"/>
      <c r="S103" s="147"/>
      <c r="T103" s="147"/>
      <c r="U103" s="147"/>
      <c r="V103" s="147"/>
      <c r="W103" s="147"/>
      <c r="X103" s="147"/>
      <c r="Y103" s="147"/>
      <c r="Z103" s="147"/>
      <c r="AA103" s="147"/>
      <c r="AB103" s="147"/>
      <c r="AC103" s="147"/>
      <c r="AD103" s="147"/>
    </row>
    <row r="104">
      <c r="A104" s="147"/>
      <c r="B104" s="147"/>
      <c r="C104" s="147"/>
      <c r="D104" s="147"/>
      <c r="E104" s="147"/>
      <c r="F104" s="147"/>
      <c r="G104" s="147"/>
      <c r="H104" s="262"/>
      <c r="I104" s="147"/>
      <c r="J104" s="147"/>
      <c r="K104" s="147"/>
      <c r="L104" s="147"/>
      <c r="M104" s="147"/>
      <c r="N104" s="147"/>
      <c r="O104" s="147"/>
      <c r="P104" s="147"/>
      <c r="Q104" s="147"/>
      <c r="R104" s="147"/>
      <c r="S104" s="147"/>
      <c r="T104" s="147"/>
      <c r="U104" s="147"/>
      <c r="V104" s="147"/>
      <c r="W104" s="147"/>
      <c r="X104" s="147"/>
      <c r="Y104" s="147"/>
      <c r="Z104" s="147"/>
      <c r="AA104" s="147"/>
      <c r="AB104" s="147"/>
      <c r="AC104" s="147"/>
      <c r="AD104" s="147"/>
    </row>
    <row r="105">
      <c r="A105" s="147"/>
      <c r="B105" s="147"/>
      <c r="C105" s="147"/>
      <c r="D105" s="147"/>
      <c r="E105" s="147"/>
      <c r="F105" s="147"/>
      <c r="G105" s="147"/>
      <c r="H105" s="262"/>
      <c r="I105" s="147"/>
      <c r="J105" s="147"/>
      <c r="K105" s="147"/>
      <c r="L105" s="147"/>
      <c r="M105" s="147"/>
      <c r="N105" s="147"/>
      <c r="O105" s="147"/>
      <c r="P105" s="147"/>
      <c r="Q105" s="147"/>
      <c r="R105" s="147"/>
      <c r="S105" s="147"/>
      <c r="T105" s="147"/>
      <c r="U105" s="147"/>
      <c r="V105" s="147"/>
      <c r="W105" s="147"/>
      <c r="X105" s="147"/>
      <c r="Y105" s="147"/>
      <c r="Z105" s="147"/>
      <c r="AA105" s="147"/>
      <c r="AB105" s="147"/>
      <c r="AC105" s="147"/>
      <c r="AD105" s="147"/>
    </row>
    <row r="106">
      <c r="A106" s="147"/>
      <c r="B106" s="147"/>
      <c r="C106" s="147"/>
      <c r="D106" s="147"/>
      <c r="E106" s="147"/>
      <c r="F106" s="147"/>
      <c r="G106" s="147"/>
      <c r="H106" s="262"/>
      <c r="I106" s="147"/>
      <c r="J106" s="147"/>
      <c r="K106" s="147"/>
      <c r="L106" s="147"/>
      <c r="M106" s="147"/>
      <c r="N106" s="147"/>
      <c r="O106" s="147"/>
      <c r="P106" s="147"/>
      <c r="Q106" s="147"/>
      <c r="R106" s="147"/>
      <c r="S106" s="147"/>
      <c r="T106" s="147"/>
      <c r="U106" s="147"/>
      <c r="V106" s="147"/>
      <c r="W106" s="147"/>
      <c r="X106" s="147"/>
      <c r="Y106" s="147"/>
      <c r="Z106" s="147"/>
      <c r="AA106" s="147"/>
      <c r="AB106" s="147"/>
      <c r="AC106" s="147"/>
      <c r="AD106" s="147"/>
    </row>
    <row r="107">
      <c r="A107" s="147"/>
      <c r="B107" s="147"/>
      <c r="C107" s="147"/>
      <c r="D107" s="147"/>
      <c r="E107" s="147"/>
      <c r="F107" s="147"/>
      <c r="G107" s="147"/>
      <c r="H107" s="262"/>
      <c r="I107" s="147"/>
      <c r="J107" s="147"/>
      <c r="K107" s="147"/>
      <c r="L107" s="147"/>
      <c r="M107" s="147"/>
      <c r="N107" s="147"/>
      <c r="O107" s="147"/>
      <c r="P107" s="147"/>
      <c r="Q107" s="147"/>
      <c r="R107" s="147"/>
      <c r="S107" s="147"/>
      <c r="T107" s="147"/>
      <c r="U107" s="147"/>
      <c r="V107" s="147"/>
      <c r="W107" s="147"/>
      <c r="X107" s="147"/>
      <c r="Y107" s="147"/>
      <c r="Z107" s="147"/>
      <c r="AA107" s="147"/>
      <c r="AB107" s="147"/>
      <c r="AC107" s="147"/>
      <c r="AD107" s="147"/>
    </row>
    <row r="108">
      <c r="A108" s="147"/>
      <c r="B108" s="147"/>
      <c r="C108" s="147"/>
      <c r="D108" s="147"/>
      <c r="E108" s="147"/>
      <c r="F108" s="147"/>
      <c r="G108" s="147"/>
      <c r="H108" s="262"/>
      <c r="I108" s="147"/>
      <c r="J108" s="147"/>
      <c r="K108" s="147"/>
      <c r="L108" s="147"/>
      <c r="M108" s="147"/>
      <c r="N108" s="147"/>
      <c r="O108" s="147"/>
      <c r="P108" s="147"/>
      <c r="Q108" s="147"/>
      <c r="R108" s="147"/>
      <c r="S108" s="147"/>
      <c r="T108" s="147"/>
      <c r="U108" s="147"/>
      <c r="V108" s="147"/>
      <c r="W108" s="147"/>
      <c r="X108" s="147"/>
      <c r="Y108" s="147"/>
      <c r="Z108" s="147"/>
      <c r="AA108" s="147"/>
      <c r="AB108" s="147"/>
      <c r="AC108" s="147"/>
      <c r="AD108" s="147"/>
    </row>
    <row r="109">
      <c r="A109" s="147"/>
      <c r="B109" s="147"/>
      <c r="C109" s="147"/>
      <c r="D109" s="147"/>
      <c r="E109" s="147"/>
      <c r="F109" s="147"/>
      <c r="G109" s="147"/>
      <c r="H109" s="262"/>
      <c r="I109" s="147"/>
      <c r="J109" s="147"/>
      <c r="K109" s="147"/>
      <c r="L109" s="147"/>
      <c r="M109" s="147"/>
      <c r="N109" s="147"/>
      <c r="O109" s="147"/>
      <c r="P109" s="147"/>
      <c r="Q109" s="147"/>
      <c r="R109" s="147"/>
      <c r="S109" s="147"/>
      <c r="T109" s="147"/>
      <c r="U109" s="147"/>
      <c r="V109" s="147"/>
      <c r="W109" s="147"/>
      <c r="X109" s="147"/>
      <c r="Y109" s="147"/>
      <c r="Z109" s="147"/>
      <c r="AA109" s="147"/>
      <c r="AB109" s="147"/>
      <c r="AC109" s="147"/>
      <c r="AD109" s="147"/>
    </row>
    <row r="110">
      <c r="A110" s="147"/>
      <c r="B110" s="147"/>
      <c r="C110" s="147"/>
      <c r="D110" s="147"/>
      <c r="E110" s="147"/>
      <c r="F110" s="147"/>
      <c r="G110" s="147"/>
      <c r="H110" s="262"/>
      <c r="I110" s="147"/>
      <c r="J110" s="147"/>
      <c r="K110" s="147"/>
      <c r="L110" s="147"/>
      <c r="M110" s="147"/>
      <c r="N110" s="147"/>
      <c r="O110" s="147"/>
      <c r="P110" s="147"/>
      <c r="Q110" s="147"/>
      <c r="R110" s="147"/>
      <c r="S110" s="147"/>
      <c r="T110" s="147"/>
      <c r="U110" s="147"/>
      <c r="V110" s="147"/>
      <c r="W110" s="147"/>
      <c r="X110" s="147"/>
      <c r="Y110" s="147"/>
      <c r="Z110" s="147"/>
      <c r="AA110" s="147"/>
      <c r="AB110" s="147"/>
      <c r="AC110" s="147"/>
      <c r="AD110" s="147"/>
    </row>
    <row r="111">
      <c r="A111" s="147"/>
      <c r="B111" s="147"/>
      <c r="C111" s="147"/>
      <c r="D111" s="147"/>
      <c r="E111" s="147"/>
      <c r="F111" s="147"/>
      <c r="G111" s="147"/>
      <c r="H111" s="262"/>
      <c r="I111" s="147"/>
      <c r="J111" s="147"/>
      <c r="K111" s="147"/>
      <c r="L111" s="147"/>
      <c r="M111" s="147"/>
      <c r="N111" s="147"/>
      <c r="O111" s="147"/>
      <c r="P111" s="147"/>
      <c r="Q111" s="147"/>
      <c r="R111" s="147"/>
      <c r="S111" s="147"/>
      <c r="T111" s="147"/>
      <c r="U111" s="147"/>
      <c r="V111" s="147"/>
      <c r="W111" s="147"/>
      <c r="X111" s="147"/>
      <c r="Y111" s="147"/>
      <c r="Z111" s="147"/>
      <c r="AA111" s="147"/>
      <c r="AB111" s="147"/>
      <c r="AC111" s="147"/>
      <c r="AD111" s="147"/>
    </row>
    <row r="112">
      <c r="A112" s="147"/>
      <c r="B112" s="147"/>
      <c r="C112" s="147"/>
      <c r="D112" s="147"/>
      <c r="E112" s="147"/>
      <c r="F112" s="147"/>
      <c r="G112" s="147"/>
      <c r="H112" s="262"/>
      <c r="I112" s="147"/>
      <c r="J112" s="147"/>
      <c r="K112" s="147"/>
      <c r="L112" s="147"/>
      <c r="M112" s="147"/>
      <c r="N112" s="147"/>
      <c r="O112" s="147"/>
      <c r="P112" s="147"/>
      <c r="Q112" s="147"/>
      <c r="R112" s="147"/>
      <c r="S112" s="147"/>
      <c r="T112" s="147"/>
      <c r="U112" s="147"/>
      <c r="V112" s="147"/>
      <c r="W112" s="147"/>
      <c r="X112" s="147"/>
      <c r="Y112" s="147"/>
      <c r="Z112" s="147"/>
      <c r="AA112" s="147"/>
      <c r="AB112" s="147"/>
      <c r="AC112" s="147"/>
      <c r="AD112" s="147"/>
    </row>
    <row r="113">
      <c r="A113" s="147"/>
      <c r="B113" s="147"/>
      <c r="C113" s="147"/>
      <c r="D113" s="147"/>
      <c r="E113" s="147"/>
      <c r="F113" s="147"/>
      <c r="G113" s="147"/>
      <c r="H113" s="262"/>
      <c r="I113" s="147"/>
      <c r="J113" s="147"/>
      <c r="K113" s="147"/>
      <c r="L113" s="147"/>
      <c r="M113" s="147"/>
      <c r="N113" s="147"/>
      <c r="O113" s="147"/>
      <c r="P113" s="147"/>
      <c r="Q113" s="147"/>
      <c r="R113" s="147"/>
      <c r="S113" s="147"/>
      <c r="T113" s="147"/>
      <c r="U113" s="147"/>
      <c r="V113" s="147"/>
      <c r="W113" s="147"/>
      <c r="X113" s="147"/>
      <c r="Y113" s="147"/>
      <c r="Z113" s="147"/>
      <c r="AA113" s="147"/>
      <c r="AB113" s="147"/>
      <c r="AC113" s="147"/>
      <c r="AD113" s="147"/>
    </row>
    <row r="114">
      <c r="A114" s="147"/>
      <c r="B114" s="147"/>
      <c r="C114" s="147"/>
      <c r="D114" s="147"/>
      <c r="E114" s="147"/>
      <c r="F114" s="147"/>
      <c r="G114" s="147"/>
      <c r="H114" s="262"/>
      <c r="I114" s="147"/>
      <c r="J114" s="147"/>
      <c r="K114" s="147"/>
      <c r="L114" s="147"/>
      <c r="M114" s="147"/>
      <c r="N114" s="147"/>
      <c r="O114" s="147"/>
      <c r="P114" s="147"/>
      <c r="Q114" s="147"/>
      <c r="R114" s="147"/>
      <c r="S114" s="147"/>
      <c r="T114" s="147"/>
      <c r="U114" s="147"/>
      <c r="V114" s="147"/>
      <c r="W114" s="147"/>
      <c r="X114" s="147"/>
      <c r="Y114" s="147"/>
      <c r="Z114" s="147"/>
      <c r="AA114" s="147"/>
      <c r="AB114" s="147"/>
      <c r="AC114" s="147"/>
      <c r="AD114" s="147"/>
    </row>
    <row r="115">
      <c r="A115" s="147"/>
      <c r="B115" s="147"/>
      <c r="C115" s="147"/>
      <c r="D115" s="147"/>
      <c r="E115" s="147"/>
      <c r="F115" s="147"/>
      <c r="G115" s="147"/>
      <c r="H115" s="262"/>
      <c r="I115" s="147"/>
      <c r="J115" s="147"/>
      <c r="K115" s="147"/>
      <c r="L115" s="147"/>
      <c r="M115" s="147"/>
      <c r="N115" s="147"/>
      <c r="O115" s="147"/>
      <c r="P115" s="147"/>
      <c r="Q115" s="147"/>
      <c r="R115" s="147"/>
      <c r="S115" s="147"/>
      <c r="T115" s="147"/>
      <c r="U115" s="147"/>
      <c r="V115" s="147"/>
      <c r="W115" s="147"/>
      <c r="X115" s="147"/>
      <c r="Y115" s="147"/>
      <c r="Z115" s="147"/>
      <c r="AA115" s="147"/>
      <c r="AB115" s="147"/>
      <c r="AC115" s="147"/>
      <c r="AD115" s="147"/>
    </row>
    <row r="116">
      <c r="A116" s="147"/>
      <c r="B116" s="147"/>
      <c r="C116" s="147"/>
      <c r="D116" s="147"/>
      <c r="E116" s="147"/>
      <c r="F116" s="147"/>
      <c r="G116" s="147"/>
      <c r="H116" s="262"/>
      <c r="I116" s="147"/>
      <c r="J116" s="147"/>
      <c r="K116" s="147"/>
      <c r="L116" s="147"/>
      <c r="M116" s="147"/>
      <c r="N116" s="147"/>
      <c r="O116" s="147"/>
      <c r="P116" s="147"/>
      <c r="Q116" s="147"/>
      <c r="R116" s="147"/>
      <c r="S116" s="147"/>
      <c r="T116" s="147"/>
      <c r="U116" s="147"/>
      <c r="V116" s="147"/>
      <c r="W116" s="147"/>
      <c r="X116" s="147"/>
      <c r="Y116" s="147"/>
      <c r="Z116" s="147"/>
      <c r="AA116" s="147"/>
      <c r="AB116" s="147"/>
      <c r="AC116" s="147"/>
      <c r="AD116" s="147"/>
    </row>
    <row r="117">
      <c r="A117" s="147"/>
      <c r="B117" s="147"/>
      <c r="C117" s="147"/>
      <c r="D117" s="147"/>
      <c r="E117" s="147"/>
      <c r="F117" s="147"/>
      <c r="G117" s="147"/>
      <c r="H117" s="262"/>
      <c r="I117" s="147"/>
      <c r="J117" s="147"/>
      <c r="K117" s="147"/>
      <c r="L117" s="147"/>
      <c r="M117" s="147"/>
      <c r="N117" s="147"/>
      <c r="O117" s="147"/>
      <c r="P117" s="147"/>
      <c r="Q117" s="147"/>
      <c r="R117" s="147"/>
      <c r="S117" s="147"/>
      <c r="T117" s="147"/>
      <c r="U117" s="147"/>
      <c r="V117" s="147"/>
      <c r="W117" s="147"/>
      <c r="X117" s="147"/>
      <c r="Y117" s="147"/>
      <c r="Z117" s="147"/>
      <c r="AA117" s="147"/>
      <c r="AB117" s="147"/>
      <c r="AC117" s="147"/>
      <c r="AD117" s="147"/>
    </row>
    <row r="118">
      <c r="A118" s="147"/>
      <c r="B118" s="147"/>
      <c r="C118" s="147"/>
      <c r="D118" s="147"/>
      <c r="E118" s="147"/>
      <c r="F118" s="147"/>
      <c r="G118" s="147"/>
      <c r="H118" s="262"/>
      <c r="I118" s="147"/>
      <c r="J118" s="147"/>
      <c r="K118" s="147"/>
      <c r="L118" s="147"/>
      <c r="M118" s="147"/>
      <c r="N118" s="147"/>
      <c r="O118" s="147"/>
      <c r="P118" s="147"/>
      <c r="Q118" s="147"/>
      <c r="R118" s="147"/>
      <c r="S118" s="147"/>
      <c r="T118" s="147"/>
      <c r="U118" s="147"/>
      <c r="V118" s="147"/>
      <c r="W118" s="147"/>
      <c r="X118" s="147"/>
      <c r="Y118" s="147"/>
      <c r="Z118" s="147"/>
      <c r="AA118" s="147"/>
      <c r="AB118" s="147"/>
      <c r="AC118" s="147"/>
      <c r="AD118" s="147"/>
    </row>
    <row r="119">
      <c r="A119" s="147"/>
      <c r="B119" s="147"/>
      <c r="C119" s="147"/>
      <c r="D119" s="147"/>
      <c r="E119" s="147"/>
      <c r="F119" s="147"/>
      <c r="G119" s="147"/>
      <c r="H119" s="262"/>
      <c r="I119" s="147"/>
      <c r="J119" s="147"/>
      <c r="K119" s="147"/>
      <c r="L119" s="147"/>
      <c r="M119" s="147"/>
      <c r="N119" s="147"/>
      <c r="O119" s="147"/>
      <c r="P119" s="147"/>
      <c r="Q119" s="147"/>
      <c r="R119" s="147"/>
      <c r="S119" s="147"/>
      <c r="T119" s="147"/>
      <c r="U119" s="147"/>
      <c r="V119" s="147"/>
      <c r="W119" s="147"/>
      <c r="X119" s="147"/>
      <c r="Y119" s="147"/>
      <c r="Z119" s="147"/>
      <c r="AA119" s="147"/>
      <c r="AB119" s="147"/>
      <c r="AC119" s="147"/>
      <c r="AD119" s="147"/>
    </row>
    <row r="120">
      <c r="A120" s="147"/>
      <c r="B120" s="147"/>
      <c r="C120" s="147"/>
      <c r="D120" s="147"/>
      <c r="E120" s="147"/>
      <c r="F120" s="147"/>
      <c r="G120" s="147"/>
      <c r="H120" s="262"/>
      <c r="I120" s="147"/>
      <c r="J120" s="147"/>
      <c r="K120" s="147"/>
      <c r="L120" s="147"/>
      <c r="M120" s="147"/>
      <c r="N120" s="147"/>
      <c r="O120" s="147"/>
      <c r="P120" s="147"/>
      <c r="Q120" s="147"/>
      <c r="R120" s="147"/>
      <c r="S120" s="147"/>
      <c r="T120" s="147"/>
      <c r="U120" s="147"/>
      <c r="V120" s="147"/>
      <c r="W120" s="147"/>
      <c r="X120" s="147"/>
      <c r="Y120" s="147"/>
      <c r="Z120" s="147"/>
      <c r="AA120" s="147"/>
      <c r="AB120" s="147"/>
      <c r="AC120" s="147"/>
      <c r="AD120" s="147"/>
    </row>
    <row r="121">
      <c r="A121" s="147"/>
      <c r="B121" s="147"/>
      <c r="C121" s="147"/>
      <c r="D121" s="147"/>
      <c r="E121" s="147"/>
      <c r="F121" s="147"/>
      <c r="G121" s="147"/>
      <c r="H121" s="262"/>
      <c r="I121" s="147"/>
      <c r="J121" s="147"/>
      <c r="K121" s="147"/>
      <c r="L121" s="147"/>
      <c r="M121" s="147"/>
      <c r="N121" s="147"/>
      <c r="O121" s="147"/>
      <c r="P121" s="147"/>
      <c r="Q121" s="147"/>
      <c r="R121" s="147"/>
      <c r="S121" s="147"/>
      <c r="T121" s="147"/>
      <c r="U121" s="147"/>
      <c r="V121" s="147"/>
      <c r="W121" s="147"/>
      <c r="X121" s="147"/>
      <c r="Y121" s="147"/>
      <c r="Z121" s="147"/>
      <c r="AA121" s="147"/>
      <c r="AB121" s="147"/>
      <c r="AC121" s="147"/>
      <c r="AD121" s="147"/>
    </row>
    <row r="122">
      <c r="A122" s="147"/>
      <c r="B122" s="147"/>
      <c r="C122" s="147"/>
      <c r="D122" s="147"/>
      <c r="E122" s="147"/>
      <c r="F122" s="147"/>
      <c r="G122" s="147"/>
      <c r="H122" s="262"/>
      <c r="I122" s="147"/>
      <c r="J122" s="147"/>
      <c r="K122" s="147"/>
      <c r="L122" s="147"/>
      <c r="M122" s="147"/>
      <c r="N122" s="147"/>
      <c r="O122" s="147"/>
      <c r="P122" s="147"/>
      <c r="Q122" s="147"/>
      <c r="R122" s="147"/>
      <c r="S122" s="147"/>
      <c r="T122" s="147"/>
      <c r="U122" s="147"/>
      <c r="V122" s="147"/>
      <c r="W122" s="147"/>
      <c r="X122" s="147"/>
      <c r="Y122" s="147"/>
      <c r="Z122" s="147"/>
      <c r="AA122" s="147"/>
      <c r="AB122" s="147"/>
      <c r="AC122" s="147"/>
      <c r="AD122" s="147"/>
    </row>
    <row r="123">
      <c r="A123" s="147"/>
      <c r="B123" s="147"/>
      <c r="C123" s="147"/>
      <c r="D123" s="147"/>
      <c r="E123" s="147"/>
      <c r="F123" s="147"/>
      <c r="G123" s="147"/>
      <c r="H123" s="262"/>
      <c r="I123" s="147"/>
      <c r="J123" s="147"/>
      <c r="K123" s="147"/>
      <c r="L123" s="147"/>
      <c r="M123" s="147"/>
      <c r="N123" s="147"/>
      <c r="O123" s="147"/>
      <c r="P123" s="147"/>
      <c r="Q123" s="147"/>
      <c r="R123" s="147"/>
      <c r="S123" s="147"/>
      <c r="T123" s="147"/>
      <c r="U123" s="147"/>
      <c r="V123" s="147"/>
      <c r="W123" s="147"/>
      <c r="X123" s="147"/>
      <c r="Y123" s="147"/>
      <c r="Z123" s="147"/>
      <c r="AA123" s="147"/>
      <c r="AB123" s="147"/>
      <c r="AC123" s="147"/>
      <c r="AD123" s="147"/>
    </row>
    <row r="124">
      <c r="A124" s="147"/>
      <c r="B124" s="147"/>
      <c r="C124" s="147"/>
      <c r="D124" s="147"/>
      <c r="E124" s="147"/>
      <c r="F124" s="147"/>
      <c r="G124" s="147"/>
      <c r="H124" s="262"/>
      <c r="I124" s="147"/>
      <c r="J124" s="147"/>
      <c r="K124" s="147"/>
      <c r="L124" s="147"/>
      <c r="M124" s="147"/>
      <c r="N124" s="147"/>
      <c r="O124" s="147"/>
      <c r="P124" s="147"/>
      <c r="Q124" s="147"/>
      <c r="R124" s="147"/>
      <c r="S124" s="147"/>
      <c r="T124" s="147"/>
      <c r="U124" s="147"/>
      <c r="V124" s="147"/>
      <c r="W124" s="147"/>
      <c r="X124" s="147"/>
      <c r="Y124" s="147"/>
      <c r="Z124" s="147"/>
      <c r="AA124" s="147"/>
      <c r="AB124" s="147"/>
      <c r="AC124" s="147"/>
      <c r="AD124" s="147"/>
    </row>
    <row r="125">
      <c r="A125" s="147"/>
      <c r="B125" s="147"/>
      <c r="C125" s="147"/>
      <c r="D125" s="147"/>
      <c r="E125" s="147"/>
      <c r="F125" s="147"/>
      <c r="G125" s="147"/>
      <c r="H125" s="262"/>
      <c r="I125" s="147"/>
      <c r="J125" s="147"/>
      <c r="K125" s="147"/>
      <c r="L125" s="147"/>
      <c r="M125" s="147"/>
      <c r="N125" s="147"/>
      <c r="O125" s="147"/>
      <c r="P125" s="147"/>
      <c r="Q125" s="147"/>
      <c r="R125" s="147"/>
      <c r="S125" s="147"/>
      <c r="T125" s="147"/>
      <c r="U125" s="147"/>
      <c r="V125" s="147"/>
      <c r="W125" s="147"/>
      <c r="X125" s="147"/>
      <c r="Y125" s="147"/>
      <c r="Z125" s="147"/>
      <c r="AA125" s="147"/>
      <c r="AB125" s="147"/>
      <c r="AC125" s="147"/>
      <c r="AD125" s="147"/>
    </row>
    <row r="126">
      <c r="A126" s="147"/>
      <c r="B126" s="147"/>
      <c r="C126" s="147"/>
      <c r="D126" s="147"/>
      <c r="E126" s="147"/>
      <c r="F126" s="147"/>
      <c r="G126" s="147"/>
      <c r="H126" s="262"/>
      <c r="I126" s="147"/>
      <c r="J126" s="147"/>
      <c r="K126" s="147"/>
      <c r="L126" s="147"/>
      <c r="M126" s="147"/>
      <c r="N126" s="147"/>
      <c r="O126" s="147"/>
      <c r="P126" s="147"/>
      <c r="Q126" s="147"/>
      <c r="R126" s="147"/>
      <c r="S126" s="147"/>
      <c r="T126" s="147"/>
      <c r="U126" s="147"/>
      <c r="V126" s="147"/>
      <c r="W126" s="147"/>
      <c r="X126" s="147"/>
      <c r="Y126" s="147"/>
      <c r="Z126" s="147"/>
      <c r="AA126" s="147"/>
      <c r="AB126" s="147"/>
      <c r="AC126" s="147"/>
      <c r="AD126" s="147"/>
    </row>
    <row r="127">
      <c r="A127" s="147"/>
      <c r="B127" s="147"/>
      <c r="C127" s="147"/>
      <c r="D127" s="147"/>
      <c r="E127" s="147"/>
      <c r="F127" s="147"/>
      <c r="G127" s="147"/>
      <c r="H127" s="262"/>
      <c r="I127" s="147"/>
      <c r="J127" s="147"/>
      <c r="K127" s="147"/>
      <c r="L127" s="147"/>
      <c r="M127" s="147"/>
      <c r="N127" s="147"/>
      <c r="O127" s="147"/>
      <c r="P127" s="147"/>
      <c r="Q127" s="147"/>
      <c r="R127" s="147"/>
      <c r="S127" s="147"/>
      <c r="T127" s="147"/>
      <c r="U127" s="147"/>
      <c r="V127" s="147"/>
      <c r="W127" s="147"/>
      <c r="X127" s="147"/>
      <c r="Y127" s="147"/>
      <c r="Z127" s="147"/>
      <c r="AA127" s="147"/>
      <c r="AB127" s="147"/>
      <c r="AC127" s="147"/>
      <c r="AD127" s="147"/>
    </row>
    <row r="128">
      <c r="A128" s="147"/>
      <c r="B128" s="147"/>
      <c r="C128" s="147"/>
      <c r="D128" s="147"/>
      <c r="E128" s="147"/>
      <c r="F128" s="147"/>
      <c r="G128" s="147"/>
      <c r="H128" s="262"/>
      <c r="I128" s="147"/>
      <c r="J128" s="147"/>
      <c r="K128" s="147"/>
      <c r="L128" s="147"/>
      <c r="M128" s="147"/>
      <c r="N128" s="147"/>
      <c r="O128" s="147"/>
      <c r="P128" s="147"/>
      <c r="Q128" s="147"/>
      <c r="R128" s="147"/>
      <c r="S128" s="147"/>
      <c r="T128" s="147"/>
      <c r="U128" s="147"/>
      <c r="V128" s="147"/>
      <c r="W128" s="147"/>
      <c r="X128" s="147"/>
      <c r="Y128" s="147"/>
      <c r="Z128" s="147"/>
      <c r="AA128" s="147"/>
      <c r="AB128" s="147"/>
      <c r="AC128" s="147"/>
      <c r="AD128" s="147"/>
    </row>
    <row r="129">
      <c r="A129" s="147"/>
      <c r="B129" s="147"/>
      <c r="C129" s="147"/>
      <c r="D129" s="147"/>
      <c r="E129" s="147"/>
      <c r="F129" s="147"/>
      <c r="G129" s="147"/>
      <c r="H129" s="262"/>
      <c r="I129" s="147"/>
      <c r="J129" s="147"/>
      <c r="K129" s="147"/>
      <c r="L129" s="147"/>
      <c r="M129" s="147"/>
      <c r="N129" s="147"/>
      <c r="O129" s="147"/>
      <c r="P129" s="147"/>
      <c r="Q129" s="147"/>
      <c r="R129" s="147"/>
      <c r="S129" s="147"/>
      <c r="T129" s="147"/>
      <c r="U129" s="147"/>
      <c r="V129" s="147"/>
      <c r="W129" s="147"/>
      <c r="X129" s="147"/>
      <c r="Y129" s="147"/>
      <c r="Z129" s="147"/>
      <c r="AA129" s="147"/>
      <c r="AB129" s="147"/>
      <c r="AC129" s="147"/>
      <c r="AD129" s="147"/>
    </row>
    <row r="130">
      <c r="A130" s="147"/>
      <c r="B130" s="147"/>
      <c r="C130" s="147"/>
      <c r="D130" s="147"/>
      <c r="E130" s="147"/>
      <c r="F130" s="147"/>
      <c r="G130" s="147"/>
      <c r="H130" s="262"/>
      <c r="I130" s="147"/>
      <c r="J130" s="147"/>
      <c r="K130" s="147"/>
      <c r="L130" s="147"/>
      <c r="M130" s="147"/>
      <c r="N130" s="147"/>
      <c r="O130" s="147"/>
      <c r="P130" s="147"/>
      <c r="Q130" s="147"/>
      <c r="R130" s="147"/>
      <c r="S130" s="147"/>
      <c r="T130" s="147"/>
      <c r="U130" s="147"/>
      <c r="V130" s="147"/>
      <c r="W130" s="147"/>
      <c r="X130" s="147"/>
      <c r="Y130" s="147"/>
      <c r="Z130" s="147"/>
      <c r="AA130" s="147"/>
      <c r="AB130" s="147"/>
      <c r="AC130" s="147"/>
      <c r="AD130" s="147"/>
    </row>
    <row r="131">
      <c r="A131" s="147"/>
      <c r="B131" s="147"/>
      <c r="C131" s="147"/>
      <c r="D131" s="147"/>
      <c r="E131" s="147"/>
      <c r="F131" s="147"/>
      <c r="G131" s="147"/>
      <c r="H131" s="262"/>
      <c r="I131" s="147"/>
      <c r="J131" s="147"/>
      <c r="K131" s="147"/>
      <c r="L131" s="147"/>
      <c r="M131" s="147"/>
      <c r="N131" s="147"/>
      <c r="O131" s="147"/>
      <c r="P131" s="147"/>
      <c r="Q131" s="147"/>
      <c r="R131" s="147"/>
      <c r="S131" s="147"/>
      <c r="T131" s="147"/>
      <c r="U131" s="147"/>
      <c r="V131" s="147"/>
      <c r="W131" s="147"/>
      <c r="X131" s="147"/>
      <c r="Y131" s="147"/>
      <c r="Z131" s="147"/>
      <c r="AA131" s="147"/>
      <c r="AB131" s="147"/>
      <c r="AC131" s="147"/>
      <c r="AD131" s="147"/>
    </row>
    <row r="132">
      <c r="A132" s="147"/>
      <c r="B132" s="147"/>
      <c r="C132" s="147"/>
      <c r="D132" s="147"/>
      <c r="E132" s="147"/>
      <c r="F132" s="147"/>
      <c r="G132" s="147"/>
      <c r="H132" s="262"/>
      <c r="I132" s="147"/>
      <c r="J132" s="147"/>
      <c r="K132" s="147"/>
      <c r="L132" s="147"/>
      <c r="M132" s="147"/>
      <c r="N132" s="147"/>
      <c r="O132" s="147"/>
      <c r="P132" s="147"/>
      <c r="Q132" s="147"/>
      <c r="R132" s="147"/>
      <c r="S132" s="147"/>
      <c r="T132" s="147"/>
      <c r="U132" s="147"/>
      <c r="V132" s="147"/>
      <c r="W132" s="147"/>
      <c r="X132" s="147"/>
      <c r="Y132" s="147"/>
      <c r="Z132" s="147"/>
      <c r="AA132" s="147"/>
      <c r="AB132" s="147"/>
      <c r="AC132" s="147"/>
      <c r="AD132" s="147"/>
    </row>
    <row r="133">
      <c r="A133" s="147"/>
      <c r="B133" s="147"/>
      <c r="C133" s="147"/>
      <c r="D133" s="147"/>
      <c r="E133" s="147"/>
      <c r="F133" s="147"/>
      <c r="G133" s="147"/>
      <c r="H133" s="262"/>
      <c r="I133" s="147"/>
      <c r="J133" s="147"/>
      <c r="K133" s="147"/>
      <c r="L133" s="147"/>
      <c r="M133" s="147"/>
      <c r="N133" s="147"/>
      <c r="O133" s="147"/>
      <c r="P133" s="147"/>
      <c r="Q133" s="147"/>
      <c r="R133" s="147"/>
      <c r="S133" s="147"/>
      <c r="T133" s="147"/>
      <c r="U133" s="147"/>
      <c r="V133" s="147"/>
      <c r="W133" s="147"/>
      <c r="X133" s="147"/>
      <c r="Y133" s="147"/>
      <c r="Z133" s="147"/>
      <c r="AA133" s="147"/>
      <c r="AB133" s="147"/>
      <c r="AC133" s="147"/>
      <c r="AD133" s="147"/>
    </row>
    <row r="134">
      <c r="A134" s="147"/>
      <c r="B134" s="147"/>
      <c r="C134" s="147"/>
      <c r="D134" s="147"/>
      <c r="E134" s="147"/>
      <c r="F134" s="147"/>
      <c r="G134" s="147"/>
      <c r="H134" s="262"/>
      <c r="I134" s="147"/>
      <c r="J134" s="147"/>
      <c r="K134" s="147"/>
      <c r="L134" s="147"/>
      <c r="M134" s="147"/>
      <c r="N134" s="147"/>
      <c r="O134" s="147"/>
      <c r="P134" s="147"/>
      <c r="Q134" s="147"/>
      <c r="R134" s="147"/>
      <c r="S134" s="147"/>
      <c r="T134" s="147"/>
      <c r="U134" s="147"/>
      <c r="V134" s="147"/>
      <c r="W134" s="147"/>
      <c r="X134" s="147"/>
      <c r="Y134" s="147"/>
      <c r="Z134" s="147"/>
      <c r="AA134" s="147"/>
      <c r="AB134" s="147"/>
      <c r="AC134" s="147"/>
      <c r="AD134" s="147"/>
    </row>
    <row r="135">
      <c r="A135" s="147"/>
      <c r="B135" s="147"/>
      <c r="C135" s="147"/>
      <c r="D135" s="147"/>
      <c r="E135" s="147"/>
      <c r="F135" s="147"/>
      <c r="G135" s="147"/>
      <c r="H135" s="262"/>
      <c r="I135" s="147"/>
      <c r="J135" s="147"/>
      <c r="K135" s="147"/>
      <c r="L135" s="147"/>
      <c r="M135" s="147"/>
      <c r="N135" s="147"/>
      <c r="O135" s="147"/>
      <c r="P135" s="147"/>
      <c r="Q135" s="147"/>
      <c r="R135" s="147"/>
      <c r="S135" s="147"/>
      <c r="T135" s="147"/>
      <c r="U135" s="147"/>
      <c r="V135" s="147"/>
      <c r="W135" s="147"/>
      <c r="X135" s="147"/>
      <c r="Y135" s="147"/>
      <c r="Z135" s="147"/>
      <c r="AA135" s="147"/>
      <c r="AB135" s="147"/>
      <c r="AC135" s="147"/>
      <c r="AD135" s="147"/>
    </row>
    <row r="136">
      <c r="A136" s="147"/>
      <c r="B136" s="147"/>
      <c r="C136" s="147"/>
      <c r="D136" s="147"/>
      <c r="E136" s="147"/>
      <c r="F136" s="147"/>
      <c r="G136" s="147"/>
      <c r="H136" s="262"/>
      <c r="I136" s="147"/>
      <c r="J136" s="147"/>
      <c r="K136" s="147"/>
      <c r="L136" s="147"/>
      <c r="M136" s="147"/>
      <c r="N136" s="147"/>
      <c r="O136" s="147"/>
      <c r="P136" s="147"/>
      <c r="Q136" s="147"/>
      <c r="R136" s="147"/>
      <c r="S136" s="147"/>
      <c r="T136" s="147"/>
      <c r="U136" s="147"/>
      <c r="V136" s="147"/>
      <c r="W136" s="147"/>
      <c r="X136" s="147"/>
      <c r="Y136" s="147"/>
      <c r="Z136" s="147"/>
      <c r="AA136" s="147"/>
      <c r="AB136" s="147"/>
      <c r="AC136" s="147"/>
      <c r="AD136" s="147"/>
    </row>
    <row r="137">
      <c r="A137" s="147"/>
      <c r="B137" s="147"/>
      <c r="C137" s="147"/>
      <c r="D137" s="147"/>
      <c r="E137" s="147"/>
      <c r="F137" s="147"/>
      <c r="G137" s="147"/>
      <c r="H137" s="262"/>
      <c r="I137" s="147"/>
      <c r="J137" s="147"/>
      <c r="K137" s="147"/>
      <c r="L137" s="147"/>
      <c r="M137" s="147"/>
      <c r="N137" s="147"/>
      <c r="O137" s="147"/>
      <c r="P137" s="147"/>
      <c r="Q137" s="147"/>
      <c r="R137" s="147"/>
      <c r="S137" s="147"/>
      <c r="T137" s="147"/>
      <c r="U137" s="147"/>
      <c r="V137" s="147"/>
      <c r="W137" s="147"/>
      <c r="X137" s="147"/>
      <c r="Y137" s="147"/>
      <c r="Z137" s="147"/>
      <c r="AA137" s="147"/>
      <c r="AB137" s="147"/>
      <c r="AC137" s="147"/>
      <c r="AD137" s="147"/>
    </row>
    <row r="138">
      <c r="A138" s="147"/>
      <c r="B138" s="147"/>
      <c r="C138" s="147"/>
      <c r="D138" s="147"/>
      <c r="E138" s="147"/>
      <c r="F138" s="147"/>
      <c r="G138" s="147"/>
      <c r="H138" s="262"/>
      <c r="I138" s="147"/>
      <c r="J138" s="147"/>
      <c r="K138" s="147"/>
      <c r="L138" s="147"/>
      <c r="M138" s="147"/>
      <c r="N138" s="147"/>
      <c r="O138" s="147"/>
      <c r="P138" s="147"/>
      <c r="Q138" s="147"/>
      <c r="R138" s="147"/>
      <c r="S138" s="147"/>
      <c r="T138" s="147"/>
      <c r="U138" s="147"/>
      <c r="V138" s="147"/>
      <c r="W138" s="147"/>
      <c r="X138" s="147"/>
      <c r="Y138" s="147"/>
      <c r="Z138" s="147"/>
      <c r="AA138" s="147"/>
      <c r="AB138" s="147"/>
      <c r="AC138" s="147"/>
      <c r="AD138" s="147"/>
    </row>
    <row r="139">
      <c r="A139" s="147"/>
      <c r="B139" s="147"/>
      <c r="C139" s="147"/>
      <c r="D139" s="147"/>
      <c r="E139" s="147"/>
      <c r="F139" s="147"/>
      <c r="G139" s="147"/>
      <c r="H139" s="262"/>
      <c r="I139" s="147"/>
      <c r="J139" s="147"/>
      <c r="K139" s="147"/>
      <c r="L139" s="147"/>
      <c r="M139" s="147"/>
      <c r="N139" s="147"/>
      <c r="O139" s="147"/>
      <c r="P139" s="147"/>
      <c r="Q139" s="147"/>
      <c r="R139" s="147"/>
      <c r="S139" s="147"/>
      <c r="T139" s="147"/>
      <c r="U139" s="147"/>
      <c r="V139" s="147"/>
      <c r="W139" s="147"/>
      <c r="X139" s="147"/>
      <c r="Y139" s="147"/>
      <c r="Z139" s="147"/>
      <c r="AA139" s="147"/>
      <c r="AB139" s="147"/>
      <c r="AC139" s="147"/>
      <c r="AD139" s="147"/>
    </row>
    <row r="140">
      <c r="A140" s="147"/>
      <c r="B140" s="147"/>
      <c r="C140" s="147"/>
      <c r="D140" s="147"/>
      <c r="E140" s="147"/>
      <c r="F140" s="147"/>
      <c r="G140" s="147"/>
      <c r="H140" s="262"/>
      <c r="I140" s="147"/>
      <c r="J140" s="147"/>
      <c r="K140" s="147"/>
      <c r="L140" s="147"/>
      <c r="M140" s="147"/>
      <c r="N140" s="147"/>
      <c r="O140" s="147"/>
      <c r="P140" s="147"/>
      <c r="Q140" s="147"/>
      <c r="R140" s="147"/>
      <c r="S140" s="147"/>
      <c r="T140" s="147"/>
      <c r="U140" s="147"/>
      <c r="V140" s="147"/>
      <c r="W140" s="147"/>
      <c r="X140" s="147"/>
      <c r="Y140" s="147"/>
      <c r="Z140" s="147"/>
      <c r="AA140" s="147"/>
      <c r="AB140" s="147"/>
      <c r="AC140" s="147"/>
      <c r="AD140" s="147"/>
    </row>
    <row r="141">
      <c r="A141" s="147"/>
      <c r="B141" s="147"/>
      <c r="C141" s="147"/>
      <c r="D141" s="147"/>
      <c r="E141" s="147"/>
      <c r="F141" s="147"/>
      <c r="G141" s="147"/>
      <c r="H141" s="262"/>
      <c r="I141" s="147"/>
      <c r="J141" s="147"/>
      <c r="K141" s="147"/>
      <c r="L141" s="147"/>
      <c r="M141" s="147"/>
      <c r="N141" s="147"/>
      <c r="O141" s="147"/>
      <c r="P141" s="147"/>
      <c r="Q141" s="147"/>
      <c r="R141" s="147"/>
      <c r="S141" s="147"/>
      <c r="T141" s="147"/>
      <c r="U141" s="147"/>
      <c r="V141" s="147"/>
      <c r="W141" s="147"/>
      <c r="X141" s="147"/>
      <c r="Y141" s="147"/>
      <c r="Z141" s="147"/>
      <c r="AA141" s="147"/>
      <c r="AB141" s="147"/>
      <c r="AC141" s="147"/>
      <c r="AD141" s="147"/>
    </row>
    <row r="142">
      <c r="A142" s="147"/>
      <c r="B142" s="147"/>
      <c r="C142" s="147"/>
      <c r="D142" s="147"/>
      <c r="E142" s="147"/>
      <c r="F142" s="147"/>
      <c r="G142" s="147"/>
      <c r="H142" s="262"/>
      <c r="I142" s="147"/>
      <c r="J142" s="147"/>
      <c r="K142" s="147"/>
      <c r="L142" s="147"/>
      <c r="M142" s="147"/>
      <c r="N142" s="147"/>
      <c r="O142" s="147"/>
      <c r="P142" s="147"/>
      <c r="Q142" s="147"/>
      <c r="R142" s="147"/>
      <c r="S142" s="147"/>
      <c r="T142" s="147"/>
      <c r="U142" s="147"/>
      <c r="V142" s="147"/>
      <c r="W142" s="147"/>
      <c r="X142" s="147"/>
      <c r="Y142" s="147"/>
      <c r="Z142" s="147"/>
      <c r="AA142" s="147"/>
      <c r="AB142" s="147"/>
      <c r="AC142" s="147"/>
      <c r="AD142" s="147"/>
    </row>
    <row r="143">
      <c r="A143" s="147"/>
      <c r="B143" s="147"/>
      <c r="C143" s="147"/>
      <c r="D143" s="147"/>
      <c r="E143" s="147"/>
      <c r="F143" s="147"/>
      <c r="G143" s="147"/>
      <c r="H143" s="262"/>
      <c r="I143" s="147"/>
      <c r="J143" s="147"/>
      <c r="K143" s="147"/>
      <c r="L143" s="147"/>
      <c r="M143" s="147"/>
      <c r="N143" s="147"/>
      <c r="O143" s="147"/>
      <c r="P143" s="147"/>
      <c r="Q143" s="147"/>
      <c r="R143" s="147"/>
      <c r="S143" s="147"/>
      <c r="T143" s="147"/>
      <c r="U143" s="147"/>
      <c r="V143" s="147"/>
      <c r="W143" s="147"/>
      <c r="X143" s="147"/>
      <c r="Y143" s="147"/>
      <c r="Z143" s="147"/>
      <c r="AA143" s="147"/>
      <c r="AB143" s="147"/>
      <c r="AC143" s="147"/>
      <c r="AD143" s="147"/>
    </row>
    <row r="144">
      <c r="A144" s="147"/>
      <c r="B144" s="147"/>
      <c r="C144" s="147"/>
      <c r="D144" s="147"/>
      <c r="E144" s="147"/>
      <c r="F144" s="147"/>
      <c r="G144" s="147"/>
      <c r="H144" s="262"/>
      <c r="I144" s="147"/>
      <c r="J144" s="147"/>
      <c r="K144" s="147"/>
      <c r="L144" s="147"/>
      <c r="M144" s="147"/>
      <c r="N144" s="147"/>
      <c r="O144" s="147"/>
      <c r="P144" s="147"/>
      <c r="Q144" s="147"/>
      <c r="R144" s="147"/>
      <c r="S144" s="147"/>
      <c r="T144" s="147"/>
      <c r="U144" s="147"/>
      <c r="V144" s="147"/>
      <c r="W144" s="147"/>
      <c r="X144" s="147"/>
      <c r="Y144" s="147"/>
      <c r="Z144" s="147"/>
      <c r="AA144" s="147"/>
      <c r="AB144" s="147"/>
      <c r="AC144" s="147"/>
      <c r="AD144" s="147"/>
    </row>
    <row r="145">
      <c r="A145" s="147"/>
      <c r="B145" s="147"/>
      <c r="C145" s="147"/>
      <c r="D145" s="147"/>
      <c r="E145" s="147"/>
      <c r="F145" s="147"/>
      <c r="G145" s="147"/>
      <c r="H145" s="262"/>
      <c r="I145" s="147"/>
      <c r="J145" s="147"/>
      <c r="K145" s="147"/>
      <c r="L145" s="147"/>
      <c r="M145" s="147"/>
      <c r="N145" s="147"/>
      <c r="O145" s="147"/>
      <c r="P145" s="147"/>
      <c r="Q145" s="147"/>
      <c r="R145" s="147"/>
      <c r="S145" s="147"/>
      <c r="T145" s="147"/>
      <c r="U145" s="147"/>
      <c r="V145" s="147"/>
      <c r="W145" s="147"/>
      <c r="X145" s="147"/>
      <c r="Y145" s="147"/>
      <c r="Z145" s="147"/>
      <c r="AA145" s="147"/>
      <c r="AB145" s="147"/>
      <c r="AC145" s="147"/>
      <c r="AD145" s="147"/>
    </row>
    <row r="146">
      <c r="A146" s="147"/>
      <c r="B146" s="147"/>
      <c r="C146" s="147"/>
      <c r="D146" s="147"/>
      <c r="E146" s="147"/>
      <c r="F146" s="147"/>
      <c r="G146" s="147"/>
      <c r="H146" s="262"/>
      <c r="I146" s="147"/>
      <c r="J146" s="147"/>
      <c r="K146" s="147"/>
      <c r="L146" s="147"/>
      <c r="M146" s="147"/>
      <c r="N146" s="147"/>
      <c r="O146" s="147"/>
      <c r="P146" s="147"/>
      <c r="Q146" s="147"/>
      <c r="R146" s="147"/>
      <c r="S146" s="147"/>
      <c r="T146" s="147"/>
      <c r="U146" s="147"/>
      <c r="V146" s="147"/>
      <c r="W146" s="147"/>
      <c r="X146" s="147"/>
      <c r="Y146" s="147"/>
      <c r="Z146" s="147"/>
      <c r="AA146" s="147"/>
      <c r="AB146" s="147"/>
      <c r="AC146" s="147"/>
      <c r="AD146" s="147"/>
    </row>
    <row r="147">
      <c r="A147" s="147"/>
      <c r="B147" s="147"/>
      <c r="C147" s="147"/>
      <c r="D147" s="147"/>
      <c r="E147" s="147"/>
      <c r="F147" s="147"/>
      <c r="G147" s="147"/>
      <c r="H147" s="262"/>
      <c r="I147" s="147"/>
      <c r="J147" s="147"/>
      <c r="K147" s="147"/>
      <c r="L147" s="147"/>
      <c r="M147" s="147"/>
      <c r="N147" s="147"/>
      <c r="O147" s="147"/>
      <c r="P147" s="147"/>
      <c r="Q147" s="147"/>
      <c r="R147" s="147"/>
      <c r="S147" s="147"/>
      <c r="T147" s="147"/>
      <c r="U147" s="147"/>
      <c r="V147" s="147"/>
      <c r="W147" s="147"/>
      <c r="X147" s="147"/>
      <c r="Y147" s="147"/>
      <c r="Z147" s="147"/>
      <c r="AA147" s="147"/>
      <c r="AB147" s="147"/>
      <c r="AC147" s="147"/>
      <c r="AD147" s="147"/>
    </row>
    <row r="148">
      <c r="A148" s="147"/>
      <c r="B148" s="147"/>
      <c r="C148" s="147"/>
      <c r="D148" s="147"/>
      <c r="E148" s="147"/>
      <c r="F148" s="147"/>
      <c r="G148" s="147"/>
      <c r="H148" s="262"/>
      <c r="I148" s="147"/>
      <c r="J148" s="147"/>
      <c r="K148" s="147"/>
      <c r="L148" s="147"/>
      <c r="M148" s="147"/>
      <c r="N148" s="147"/>
      <c r="O148" s="147"/>
      <c r="P148" s="147"/>
      <c r="Q148" s="147"/>
      <c r="R148" s="147"/>
      <c r="S148" s="147"/>
      <c r="T148" s="147"/>
      <c r="U148" s="147"/>
      <c r="V148" s="147"/>
      <c r="W148" s="147"/>
      <c r="X148" s="147"/>
      <c r="Y148" s="147"/>
      <c r="Z148" s="147"/>
      <c r="AA148" s="147"/>
      <c r="AB148" s="147"/>
      <c r="AC148" s="147"/>
      <c r="AD148" s="147"/>
    </row>
    <row r="149">
      <c r="A149" s="147"/>
      <c r="B149" s="147"/>
      <c r="C149" s="147"/>
      <c r="D149" s="147"/>
      <c r="E149" s="147"/>
      <c r="F149" s="147"/>
      <c r="G149" s="147"/>
      <c r="H149" s="262"/>
      <c r="I149" s="147"/>
      <c r="J149" s="147"/>
      <c r="K149" s="147"/>
      <c r="L149" s="147"/>
      <c r="M149" s="147"/>
      <c r="N149" s="147"/>
      <c r="O149" s="147"/>
      <c r="P149" s="147"/>
      <c r="Q149" s="147"/>
      <c r="R149" s="147"/>
      <c r="S149" s="147"/>
      <c r="T149" s="147"/>
      <c r="U149" s="147"/>
      <c r="V149" s="147"/>
      <c r="W149" s="147"/>
      <c r="X149" s="147"/>
      <c r="Y149" s="147"/>
      <c r="Z149" s="147"/>
      <c r="AA149" s="147"/>
      <c r="AB149" s="147"/>
      <c r="AC149" s="147"/>
      <c r="AD149" s="147"/>
    </row>
    <row r="150">
      <c r="A150" s="147"/>
      <c r="B150" s="147"/>
      <c r="C150" s="147"/>
      <c r="D150" s="147"/>
      <c r="E150" s="147"/>
      <c r="F150" s="147"/>
      <c r="G150" s="147"/>
      <c r="H150" s="262"/>
      <c r="I150" s="147"/>
      <c r="J150" s="147"/>
      <c r="K150" s="147"/>
      <c r="L150" s="147"/>
      <c r="M150" s="147"/>
      <c r="N150" s="147"/>
      <c r="O150" s="147"/>
      <c r="P150" s="147"/>
      <c r="Q150" s="147"/>
      <c r="R150" s="147"/>
      <c r="S150" s="147"/>
      <c r="T150" s="147"/>
      <c r="U150" s="147"/>
      <c r="V150" s="147"/>
      <c r="W150" s="147"/>
      <c r="X150" s="147"/>
      <c r="Y150" s="147"/>
      <c r="Z150" s="147"/>
      <c r="AA150" s="147"/>
      <c r="AB150" s="147"/>
      <c r="AC150" s="147"/>
      <c r="AD150" s="147"/>
    </row>
    <row r="151">
      <c r="A151" s="147"/>
      <c r="B151" s="147"/>
      <c r="C151" s="147"/>
      <c r="D151" s="147"/>
      <c r="E151" s="147"/>
      <c r="F151" s="147"/>
      <c r="G151" s="147"/>
      <c r="H151" s="262"/>
      <c r="I151" s="147"/>
      <c r="J151" s="147"/>
      <c r="K151" s="147"/>
      <c r="L151" s="147"/>
      <c r="M151" s="147"/>
      <c r="N151" s="147"/>
      <c r="O151" s="147"/>
      <c r="P151" s="147"/>
      <c r="Q151" s="147"/>
      <c r="R151" s="147"/>
      <c r="S151" s="147"/>
      <c r="T151" s="147"/>
      <c r="U151" s="147"/>
      <c r="V151" s="147"/>
      <c r="W151" s="147"/>
      <c r="X151" s="147"/>
      <c r="Y151" s="147"/>
      <c r="Z151" s="147"/>
      <c r="AA151" s="147"/>
      <c r="AB151" s="147"/>
      <c r="AC151" s="147"/>
      <c r="AD151" s="147"/>
    </row>
    <row r="152">
      <c r="A152" s="147"/>
      <c r="B152" s="147"/>
      <c r="C152" s="147"/>
      <c r="D152" s="147"/>
      <c r="E152" s="147"/>
      <c r="F152" s="147"/>
      <c r="G152" s="147"/>
      <c r="H152" s="262"/>
      <c r="I152" s="147"/>
      <c r="J152" s="147"/>
      <c r="K152" s="147"/>
      <c r="L152" s="147"/>
      <c r="M152" s="147"/>
      <c r="N152" s="147"/>
      <c r="O152" s="147"/>
      <c r="P152" s="147"/>
      <c r="Q152" s="147"/>
      <c r="R152" s="147"/>
      <c r="S152" s="147"/>
      <c r="T152" s="147"/>
      <c r="U152" s="147"/>
      <c r="V152" s="147"/>
      <c r="W152" s="147"/>
      <c r="X152" s="147"/>
      <c r="Y152" s="147"/>
      <c r="Z152" s="147"/>
      <c r="AA152" s="147"/>
      <c r="AB152" s="147"/>
      <c r="AC152" s="147"/>
      <c r="AD152" s="147"/>
    </row>
    <row r="153">
      <c r="A153" s="147"/>
      <c r="B153" s="147"/>
      <c r="C153" s="147"/>
      <c r="D153" s="147"/>
      <c r="E153" s="147"/>
      <c r="F153" s="147"/>
      <c r="G153" s="147"/>
      <c r="H153" s="262"/>
      <c r="I153" s="147"/>
      <c r="J153" s="147"/>
      <c r="K153" s="147"/>
      <c r="L153" s="147"/>
      <c r="M153" s="147"/>
      <c r="N153" s="147"/>
      <c r="O153" s="147"/>
      <c r="P153" s="147"/>
      <c r="Q153" s="147"/>
      <c r="R153" s="147"/>
      <c r="S153" s="147"/>
      <c r="T153" s="147"/>
      <c r="U153" s="147"/>
      <c r="V153" s="147"/>
      <c r="W153" s="147"/>
      <c r="X153" s="147"/>
      <c r="Y153" s="147"/>
      <c r="Z153" s="147"/>
      <c r="AA153" s="147"/>
      <c r="AB153" s="147"/>
      <c r="AC153" s="147"/>
      <c r="AD153" s="147"/>
    </row>
    <row r="154">
      <c r="A154" s="147"/>
      <c r="B154" s="147"/>
      <c r="C154" s="147"/>
      <c r="D154" s="147"/>
      <c r="E154" s="147"/>
      <c r="F154" s="147"/>
      <c r="G154" s="147"/>
      <c r="H154" s="262"/>
      <c r="I154" s="147"/>
      <c r="J154" s="147"/>
      <c r="K154" s="147"/>
      <c r="L154" s="147"/>
      <c r="M154" s="147"/>
      <c r="N154" s="147"/>
      <c r="O154" s="147"/>
      <c r="P154" s="147"/>
      <c r="Q154" s="147"/>
      <c r="R154" s="147"/>
      <c r="S154" s="147"/>
      <c r="T154" s="147"/>
      <c r="U154" s="147"/>
      <c r="V154" s="147"/>
      <c r="W154" s="147"/>
      <c r="X154" s="147"/>
      <c r="Y154" s="147"/>
      <c r="Z154" s="147"/>
      <c r="AA154" s="147"/>
      <c r="AB154" s="147"/>
      <c r="AC154" s="147"/>
      <c r="AD154" s="147"/>
    </row>
    <row r="155">
      <c r="A155" s="147"/>
      <c r="B155" s="147"/>
      <c r="C155" s="147"/>
      <c r="D155" s="147"/>
      <c r="E155" s="147"/>
      <c r="F155" s="147"/>
      <c r="G155" s="147"/>
      <c r="H155" s="262"/>
      <c r="I155" s="147"/>
      <c r="J155" s="147"/>
      <c r="K155" s="147"/>
      <c r="L155" s="147"/>
      <c r="M155" s="147"/>
      <c r="N155" s="147"/>
      <c r="O155" s="147"/>
      <c r="P155" s="147"/>
      <c r="Q155" s="147"/>
      <c r="R155" s="147"/>
      <c r="S155" s="147"/>
      <c r="T155" s="147"/>
      <c r="U155" s="147"/>
      <c r="V155" s="147"/>
      <c r="W155" s="147"/>
      <c r="X155" s="147"/>
      <c r="Y155" s="147"/>
      <c r="Z155" s="147"/>
      <c r="AA155" s="147"/>
      <c r="AB155" s="147"/>
      <c r="AC155" s="147"/>
      <c r="AD155" s="147"/>
    </row>
    <row r="156">
      <c r="A156" s="147"/>
      <c r="B156" s="147"/>
      <c r="C156" s="147"/>
      <c r="D156" s="147"/>
      <c r="E156" s="147"/>
      <c r="F156" s="147"/>
      <c r="G156" s="147"/>
      <c r="H156" s="262"/>
      <c r="I156" s="147"/>
      <c r="J156" s="147"/>
      <c r="K156" s="147"/>
      <c r="L156" s="147"/>
      <c r="M156" s="147"/>
      <c r="N156" s="147"/>
      <c r="O156" s="147"/>
      <c r="P156" s="147"/>
      <c r="Q156" s="147"/>
      <c r="R156" s="147"/>
      <c r="S156" s="147"/>
      <c r="T156" s="147"/>
      <c r="U156" s="147"/>
      <c r="V156" s="147"/>
      <c r="W156" s="147"/>
      <c r="X156" s="147"/>
      <c r="Y156" s="147"/>
      <c r="Z156" s="147"/>
      <c r="AA156" s="147"/>
      <c r="AB156" s="147"/>
      <c r="AC156" s="147"/>
      <c r="AD156" s="147"/>
    </row>
    <row r="157">
      <c r="A157" s="147"/>
      <c r="B157" s="147"/>
      <c r="C157" s="147"/>
      <c r="D157" s="147"/>
      <c r="E157" s="147"/>
      <c r="F157" s="147"/>
      <c r="G157" s="147"/>
      <c r="H157" s="262"/>
      <c r="I157" s="147"/>
      <c r="J157" s="147"/>
      <c r="K157" s="147"/>
      <c r="L157" s="147"/>
      <c r="M157" s="147"/>
      <c r="N157" s="147"/>
      <c r="O157" s="147"/>
      <c r="P157" s="147"/>
      <c r="Q157" s="147"/>
      <c r="R157" s="147"/>
      <c r="S157" s="147"/>
      <c r="T157" s="147"/>
      <c r="U157" s="147"/>
      <c r="V157" s="147"/>
      <c r="W157" s="147"/>
      <c r="X157" s="147"/>
      <c r="Y157" s="147"/>
      <c r="Z157" s="147"/>
      <c r="AA157" s="147"/>
      <c r="AB157" s="147"/>
      <c r="AC157" s="147"/>
      <c r="AD157" s="147"/>
    </row>
    <row r="158">
      <c r="A158" s="147"/>
      <c r="B158" s="147"/>
      <c r="C158" s="147"/>
      <c r="D158" s="147"/>
      <c r="E158" s="147"/>
      <c r="F158" s="147"/>
      <c r="G158" s="147"/>
      <c r="H158" s="262"/>
      <c r="I158" s="147"/>
      <c r="J158" s="147"/>
      <c r="K158" s="147"/>
      <c r="L158" s="147"/>
      <c r="M158" s="147"/>
      <c r="N158" s="147"/>
      <c r="O158" s="147"/>
      <c r="P158" s="147"/>
      <c r="Q158" s="147"/>
      <c r="R158" s="147"/>
      <c r="S158" s="147"/>
      <c r="T158" s="147"/>
      <c r="U158" s="147"/>
      <c r="V158" s="147"/>
      <c r="W158" s="147"/>
      <c r="X158" s="147"/>
      <c r="Y158" s="147"/>
      <c r="Z158" s="147"/>
      <c r="AA158" s="147"/>
      <c r="AB158" s="147"/>
      <c r="AC158" s="147"/>
      <c r="AD158" s="147"/>
    </row>
    <row r="159">
      <c r="A159" s="147"/>
      <c r="B159" s="147"/>
      <c r="C159" s="147"/>
      <c r="D159" s="147"/>
      <c r="E159" s="147"/>
      <c r="F159" s="147"/>
      <c r="G159" s="147"/>
      <c r="H159" s="262"/>
      <c r="I159" s="147"/>
      <c r="J159" s="147"/>
      <c r="K159" s="147"/>
      <c r="L159" s="147"/>
      <c r="M159" s="147"/>
      <c r="N159" s="147"/>
      <c r="O159" s="147"/>
      <c r="P159" s="147"/>
      <c r="Q159" s="147"/>
      <c r="R159" s="147"/>
      <c r="S159" s="147"/>
      <c r="T159" s="147"/>
      <c r="U159" s="147"/>
      <c r="V159" s="147"/>
      <c r="W159" s="147"/>
      <c r="X159" s="147"/>
      <c r="Y159" s="147"/>
      <c r="Z159" s="147"/>
      <c r="AA159" s="147"/>
      <c r="AB159" s="147"/>
      <c r="AC159" s="147"/>
      <c r="AD159" s="147"/>
    </row>
    <row r="160">
      <c r="A160" s="147"/>
      <c r="B160" s="147"/>
      <c r="C160" s="147"/>
      <c r="D160" s="147"/>
      <c r="E160" s="147"/>
      <c r="F160" s="147"/>
      <c r="G160" s="147"/>
      <c r="H160" s="262"/>
      <c r="I160" s="147"/>
      <c r="J160" s="147"/>
      <c r="K160" s="147"/>
      <c r="L160" s="147"/>
      <c r="M160" s="147"/>
      <c r="N160" s="147"/>
      <c r="O160" s="147"/>
      <c r="P160" s="147"/>
      <c r="Q160" s="147"/>
      <c r="R160" s="147"/>
      <c r="S160" s="147"/>
      <c r="T160" s="147"/>
      <c r="U160" s="147"/>
      <c r="V160" s="147"/>
      <c r="W160" s="147"/>
      <c r="X160" s="147"/>
      <c r="Y160" s="147"/>
      <c r="Z160" s="147"/>
      <c r="AA160" s="147"/>
      <c r="AB160" s="147"/>
      <c r="AC160" s="147"/>
      <c r="AD160" s="147"/>
    </row>
    <row r="161">
      <c r="A161" s="147"/>
      <c r="B161" s="147"/>
      <c r="C161" s="147"/>
      <c r="D161" s="147"/>
      <c r="E161" s="147"/>
      <c r="F161" s="147"/>
      <c r="G161" s="147"/>
      <c r="H161" s="262"/>
      <c r="I161" s="147"/>
      <c r="J161" s="147"/>
      <c r="K161" s="147"/>
      <c r="L161" s="147"/>
      <c r="M161" s="147"/>
      <c r="N161" s="147"/>
      <c r="O161" s="147"/>
      <c r="P161" s="147"/>
      <c r="Q161" s="147"/>
      <c r="R161" s="147"/>
      <c r="S161" s="147"/>
      <c r="T161" s="147"/>
      <c r="U161" s="147"/>
      <c r="V161" s="147"/>
      <c r="W161" s="147"/>
      <c r="X161" s="147"/>
      <c r="Y161" s="147"/>
      <c r="Z161" s="147"/>
      <c r="AA161" s="147"/>
      <c r="AB161" s="147"/>
      <c r="AC161" s="147"/>
      <c r="AD161" s="147"/>
    </row>
    <row r="162">
      <c r="A162" s="147"/>
      <c r="B162" s="147"/>
      <c r="C162" s="147"/>
      <c r="D162" s="147"/>
      <c r="E162" s="147"/>
      <c r="F162" s="147"/>
      <c r="G162" s="147"/>
      <c r="H162" s="262"/>
      <c r="I162" s="147"/>
      <c r="J162" s="147"/>
      <c r="K162" s="147"/>
      <c r="L162" s="147"/>
      <c r="M162" s="147"/>
      <c r="N162" s="147"/>
      <c r="O162" s="147"/>
      <c r="P162" s="147"/>
      <c r="Q162" s="147"/>
      <c r="R162" s="147"/>
      <c r="S162" s="147"/>
      <c r="T162" s="147"/>
      <c r="U162" s="147"/>
      <c r="V162" s="147"/>
      <c r="W162" s="147"/>
      <c r="X162" s="147"/>
      <c r="Y162" s="147"/>
      <c r="Z162" s="147"/>
      <c r="AA162" s="147"/>
      <c r="AB162" s="147"/>
      <c r="AC162" s="147"/>
      <c r="AD162" s="147"/>
    </row>
    <row r="163">
      <c r="A163" s="147"/>
      <c r="B163" s="147"/>
      <c r="C163" s="147"/>
      <c r="D163" s="147"/>
      <c r="E163" s="147"/>
      <c r="F163" s="147"/>
      <c r="G163" s="147"/>
      <c r="H163" s="262"/>
      <c r="I163" s="147"/>
      <c r="J163" s="147"/>
      <c r="K163" s="147"/>
      <c r="L163" s="147"/>
      <c r="M163" s="147"/>
      <c r="N163" s="147"/>
      <c r="O163" s="147"/>
      <c r="P163" s="147"/>
      <c r="Q163" s="147"/>
      <c r="R163" s="147"/>
      <c r="S163" s="147"/>
      <c r="T163" s="147"/>
      <c r="U163" s="147"/>
      <c r="V163" s="147"/>
      <c r="W163" s="147"/>
      <c r="X163" s="147"/>
      <c r="Y163" s="147"/>
      <c r="Z163" s="147"/>
      <c r="AA163" s="147"/>
      <c r="AB163" s="147"/>
      <c r="AC163" s="147"/>
      <c r="AD163" s="147"/>
    </row>
    <row r="164">
      <c r="A164" s="147"/>
      <c r="B164" s="147"/>
      <c r="C164" s="147"/>
      <c r="D164" s="147"/>
      <c r="E164" s="147"/>
      <c r="F164" s="147"/>
      <c r="G164" s="147"/>
      <c r="H164" s="262"/>
      <c r="I164" s="147"/>
      <c r="J164" s="147"/>
      <c r="K164" s="147"/>
      <c r="L164" s="147"/>
      <c r="M164" s="147"/>
      <c r="N164" s="147"/>
      <c r="O164" s="147"/>
      <c r="P164" s="147"/>
      <c r="Q164" s="147"/>
      <c r="R164" s="147"/>
      <c r="S164" s="147"/>
      <c r="T164" s="147"/>
      <c r="U164" s="147"/>
      <c r="V164" s="147"/>
      <c r="W164" s="147"/>
      <c r="X164" s="147"/>
      <c r="Y164" s="147"/>
      <c r="Z164" s="147"/>
      <c r="AA164" s="147"/>
      <c r="AB164" s="147"/>
      <c r="AC164" s="147"/>
      <c r="AD164" s="147"/>
    </row>
    <row r="165">
      <c r="A165" s="147"/>
      <c r="B165" s="147"/>
      <c r="C165" s="147"/>
      <c r="D165" s="147"/>
      <c r="E165" s="147"/>
      <c r="F165" s="147"/>
      <c r="G165" s="147"/>
      <c r="H165" s="262"/>
      <c r="I165" s="147"/>
      <c r="J165" s="147"/>
      <c r="K165" s="147"/>
      <c r="L165" s="147"/>
      <c r="M165" s="147"/>
      <c r="N165" s="147"/>
      <c r="O165" s="147"/>
      <c r="P165" s="147"/>
      <c r="Q165" s="147"/>
      <c r="R165" s="147"/>
      <c r="S165" s="147"/>
      <c r="T165" s="147"/>
      <c r="U165" s="147"/>
      <c r="V165" s="147"/>
      <c r="W165" s="147"/>
      <c r="X165" s="147"/>
      <c r="Y165" s="147"/>
      <c r="Z165" s="147"/>
      <c r="AA165" s="147"/>
      <c r="AB165" s="147"/>
      <c r="AC165" s="147"/>
      <c r="AD165" s="147"/>
    </row>
    <row r="166">
      <c r="A166" s="147"/>
      <c r="B166" s="147"/>
      <c r="C166" s="147"/>
      <c r="D166" s="147"/>
      <c r="E166" s="147"/>
      <c r="F166" s="147"/>
      <c r="G166" s="147"/>
      <c r="H166" s="262"/>
      <c r="I166" s="147"/>
      <c r="J166" s="147"/>
      <c r="K166" s="147"/>
      <c r="L166" s="147"/>
      <c r="M166" s="147"/>
      <c r="N166" s="147"/>
      <c r="O166" s="147"/>
      <c r="P166" s="147"/>
      <c r="Q166" s="147"/>
      <c r="R166" s="147"/>
      <c r="S166" s="147"/>
      <c r="T166" s="147"/>
      <c r="U166" s="147"/>
      <c r="V166" s="147"/>
      <c r="W166" s="147"/>
      <c r="X166" s="147"/>
      <c r="Y166" s="147"/>
      <c r="Z166" s="147"/>
      <c r="AA166" s="147"/>
      <c r="AB166" s="147"/>
      <c r="AC166" s="147"/>
      <c r="AD166" s="147"/>
    </row>
    <row r="167">
      <c r="A167" s="147"/>
      <c r="B167" s="147"/>
      <c r="C167" s="147"/>
      <c r="D167" s="147"/>
      <c r="E167" s="147"/>
      <c r="F167" s="147"/>
      <c r="G167" s="147"/>
      <c r="H167" s="262"/>
      <c r="I167" s="147"/>
      <c r="J167" s="147"/>
      <c r="K167" s="147"/>
      <c r="L167" s="147"/>
      <c r="M167" s="147"/>
      <c r="N167" s="147"/>
      <c r="O167" s="147"/>
      <c r="P167" s="147"/>
      <c r="Q167" s="147"/>
      <c r="R167" s="147"/>
      <c r="S167" s="147"/>
      <c r="T167" s="147"/>
      <c r="U167" s="147"/>
      <c r="V167" s="147"/>
      <c r="W167" s="147"/>
      <c r="X167" s="147"/>
      <c r="Y167" s="147"/>
      <c r="Z167" s="147"/>
      <c r="AA167" s="147"/>
      <c r="AB167" s="147"/>
      <c r="AC167" s="147"/>
      <c r="AD167" s="147"/>
    </row>
    <row r="168">
      <c r="A168" s="147"/>
      <c r="B168" s="147"/>
      <c r="C168" s="147"/>
      <c r="D168" s="147"/>
      <c r="E168" s="147"/>
      <c r="F168" s="147"/>
      <c r="G168" s="147"/>
      <c r="H168" s="262"/>
      <c r="I168" s="147"/>
      <c r="J168" s="147"/>
      <c r="K168" s="147"/>
      <c r="L168" s="147"/>
      <c r="M168" s="147"/>
      <c r="N168" s="147"/>
      <c r="O168" s="147"/>
      <c r="P168" s="147"/>
      <c r="Q168" s="147"/>
      <c r="R168" s="147"/>
      <c r="S168" s="147"/>
      <c r="T168" s="147"/>
      <c r="U168" s="147"/>
      <c r="V168" s="147"/>
      <c r="W168" s="147"/>
      <c r="X168" s="147"/>
      <c r="Y168" s="147"/>
      <c r="Z168" s="147"/>
      <c r="AA168" s="147"/>
      <c r="AB168" s="147"/>
      <c r="AC168" s="147"/>
      <c r="AD168" s="147"/>
    </row>
    <row r="169">
      <c r="A169" s="147"/>
      <c r="B169" s="147"/>
      <c r="C169" s="147"/>
      <c r="D169" s="147"/>
      <c r="E169" s="147"/>
      <c r="F169" s="147"/>
      <c r="G169" s="147"/>
      <c r="H169" s="262"/>
      <c r="I169" s="147"/>
      <c r="J169" s="147"/>
      <c r="K169" s="147"/>
      <c r="L169" s="147"/>
      <c r="M169" s="147"/>
      <c r="N169" s="147"/>
      <c r="O169" s="147"/>
      <c r="P169" s="147"/>
      <c r="Q169" s="147"/>
      <c r="R169" s="147"/>
      <c r="S169" s="147"/>
      <c r="T169" s="147"/>
      <c r="U169" s="147"/>
      <c r="V169" s="147"/>
      <c r="W169" s="147"/>
      <c r="X169" s="147"/>
      <c r="Y169" s="147"/>
      <c r="Z169" s="147"/>
      <c r="AA169" s="147"/>
      <c r="AB169" s="147"/>
      <c r="AC169" s="147"/>
      <c r="AD169" s="147"/>
    </row>
    <row r="170">
      <c r="A170" s="147"/>
      <c r="B170" s="147"/>
      <c r="C170" s="147"/>
      <c r="D170" s="147"/>
      <c r="E170" s="147"/>
      <c r="F170" s="147"/>
      <c r="G170" s="147"/>
      <c r="H170" s="262"/>
      <c r="I170" s="147"/>
      <c r="J170" s="147"/>
      <c r="K170" s="147"/>
      <c r="L170" s="147"/>
      <c r="M170" s="147"/>
      <c r="N170" s="147"/>
      <c r="O170" s="147"/>
      <c r="P170" s="147"/>
      <c r="Q170" s="147"/>
      <c r="R170" s="147"/>
      <c r="S170" s="147"/>
      <c r="T170" s="147"/>
      <c r="U170" s="147"/>
      <c r="V170" s="147"/>
      <c r="W170" s="147"/>
      <c r="X170" s="147"/>
      <c r="Y170" s="147"/>
      <c r="Z170" s="147"/>
      <c r="AA170" s="147"/>
      <c r="AB170" s="147"/>
      <c r="AC170" s="147"/>
      <c r="AD170" s="147"/>
    </row>
    <row r="171">
      <c r="A171" s="147"/>
      <c r="B171" s="147"/>
      <c r="C171" s="147"/>
      <c r="D171" s="147"/>
      <c r="E171" s="147"/>
      <c r="F171" s="147"/>
      <c r="G171" s="147"/>
      <c r="H171" s="262"/>
      <c r="I171" s="147"/>
      <c r="J171" s="147"/>
      <c r="K171" s="147"/>
      <c r="L171" s="147"/>
      <c r="M171" s="147"/>
      <c r="N171" s="147"/>
      <c r="O171" s="147"/>
      <c r="P171" s="147"/>
      <c r="Q171" s="147"/>
      <c r="R171" s="147"/>
      <c r="S171" s="147"/>
      <c r="T171" s="147"/>
      <c r="U171" s="147"/>
      <c r="V171" s="147"/>
      <c r="W171" s="147"/>
      <c r="X171" s="147"/>
      <c r="Y171" s="147"/>
      <c r="Z171" s="147"/>
      <c r="AA171" s="147"/>
      <c r="AB171" s="147"/>
      <c r="AC171" s="147"/>
      <c r="AD171" s="147"/>
    </row>
    <row r="172">
      <c r="A172" s="147"/>
      <c r="B172" s="147"/>
      <c r="C172" s="147"/>
      <c r="D172" s="147"/>
      <c r="E172" s="147"/>
      <c r="F172" s="147"/>
      <c r="G172" s="147"/>
      <c r="H172" s="262"/>
      <c r="I172" s="147"/>
      <c r="J172" s="147"/>
      <c r="K172" s="147"/>
      <c r="L172" s="147"/>
      <c r="M172" s="147"/>
      <c r="N172" s="147"/>
      <c r="O172" s="147"/>
      <c r="P172" s="147"/>
      <c r="Q172" s="147"/>
      <c r="R172" s="147"/>
      <c r="S172" s="147"/>
      <c r="T172" s="147"/>
      <c r="U172" s="147"/>
      <c r="V172" s="147"/>
      <c r="W172" s="147"/>
      <c r="X172" s="147"/>
      <c r="Y172" s="147"/>
      <c r="Z172" s="147"/>
      <c r="AA172" s="147"/>
      <c r="AB172" s="147"/>
      <c r="AC172" s="147"/>
      <c r="AD172" s="147"/>
    </row>
    <row r="173">
      <c r="A173" s="147"/>
      <c r="B173" s="147"/>
      <c r="C173" s="147"/>
      <c r="D173" s="147"/>
      <c r="E173" s="147"/>
      <c r="F173" s="147"/>
      <c r="G173" s="147"/>
      <c r="H173" s="262"/>
      <c r="I173" s="147"/>
      <c r="J173" s="147"/>
      <c r="K173" s="147"/>
      <c r="L173" s="147"/>
      <c r="M173" s="147"/>
      <c r="N173" s="147"/>
      <c r="O173" s="147"/>
      <c r="P173" s="147"/>
      <c r="Q173" s="147"/>
      <c r="R173" s="147"/>
      <c r="S173" s="147"/>
      <c r="T173" s="147"/>
      <c r="U173" s="147"/>
      <c r="V173" s="147"/>
      <c r="W173" s="147"/>
      <c r="X173" s="147"/>
      <c r="Y173" s="147"/>
      <c r="Z173" s="147"/>
      <c r="AA173" s="147"/>
      <c r="AB173" s="147"/>
      <c r="AC173" s="147"/>
      <c r="AD173" s="147"/>
    </row>
    <row r="174">
      <c r="A174" s="147"/>
      <c r="B174" s="147"/>
      <c r="C174" s="147"/>
      <c r="D174" s="147"/>
      <c r="E174" s="147"/>
      <c r="F174" s="147"/>
      <c r="G174" s="147"/>
      <c r="H174" s="262"/>
      <c r="I174" s="147"/>
      <c r="J174" s="147"/>
      <c r="K174" s="147"/>
      <c r="L174" s="147"/>
      <c r="M174" s="147"/>
      <c r="N174" s="147"/>
      <c r="O174" s="147"/>
      <c r="P174" s="147"/>
      <c r="Q174" s="147"/>
      <c r="R174" s="147"/>
      <c r="S174" s="147"/>
      <c r="T174" s="147"/>
      <c r="U174" s="147"/>
      <c r="V174" s="147"/>
      <c r="W174" s="147"/>
      <c r="X174" s="147"/>
      <c r="Y174" s="147"/>
      <c r="Z174" s="147"/>
      <c r="AA174" s="147"/>
      <c r="AB174" s="147"/>
      <c r="AC174" s="147"/>
      <c r="AD174" s="147"/>
    </row>
    <row r="175">
      <c r="A175" s="147"/>
      <c r="B175" s="147"/>
      <c r="C175" s="147"/>
      <c r="D175" s="147"/>
      <c r="E175" s="147"/>
      <c r="F175" s="147"/>
      <c r="G175" s="147"/>
      <c r="H175" s="262"/>
      <c r="I175" s="147"/>
      <c r="J175" s="147"/>
      <c r="K175" s="147"/>
      <c r="L175" s="147"/>
      <c r="M175" s="147"/>
      <c r="N175" s="147"/>
      <c r="O175" s="147"/>
      <c r="P175" s="147"/>
      <c r="Q175" s="147"/>
      <c r="R175" s="147"/>
      <c r="S175" s="147"/>
      <c r="T175" s="147"/>
      <c r="U175" s="147"/>
      <c r="V175" s="147"/>
      <c r="W175" s="147"/>
      <c r="X175" s="147"/>
      <c r="Y175" s="147"/>
      <c r="Z175" s="147"/>
      <c r="AA175" s="147"/>
      <c r="AB175" s="147"/>
      <c r="AC175" s="147"/>
      <c r="AD175" s="147"/>
    </row>
    <row r="176">
      <c r="A176" s="147"/>
      <c r="B176" s="147"/>
      <c r="C176" s="147"/>
      <c r="D176" s="147"/>
      <c r="E176" s="147"/>
      <c r="F176" s="147"/>
      <c r="G176" s="147"/>
      <c r="H176" s="262"/>
      <c r="I176" s="147"/>
      <c r="J176" s="147"/>
      <c r="K176" s="147"/>
      <c r="L176" s="147"/>
      <c r="M176" s="147"/>
      <c r="N176" s="147"/>
      <c r="O176" s="147"/>
      <c r="P176" s="147"/>
      <c r="Q176" s="147"/>
      <c r="R176" s="147"/>
      <c r="S176" s="147"/>
      <c r="T176" s="147"/>
      <c r="U176" s="147"/>
      <c r="V176" s="147"/>
      <c r="W176" s="147"/>
      <c r="X176" s="147"/>
      <c r="Y176" s="147"/>
      <c r="Z176" s="147"/>
      <c r="AA176" s="147"/>
      <c r="AB176" s="147"/>
      <c r="AC176" s="147"/>
      <c r="AD176" s="147"/>
    </row>
    <row r="177">
      <c r="A177" s="147"/>
      <c r="B177" s="147"/>
      <c r="C177" s="147"/>
      <c r="D177" s="147"/>
      <c r="E177" s="147"/>
      <c r="F177" s="147"/>
      <c r="G177" s="147"/>
      <c r="H177" s="262"/>
      <c r="I177" s="147"/>
      <c r="J177" s="147"/>
      <c r="K177" s="147"/>
      <c r="L177" s="147"/>
      <c r="M177" s="147"/>
      <c r="N177" s="147"/>
      <c r="O177" s="147"/>
      <c r="P177" s="147"/>
      <c r="Q177" s="147"/>
      <c r="R177" s="147"/>
      <c r="S177" s="147"/>
      <c r="T177" s="147"/>
      <c r="U177" s="147"/>
      <c r="V177" s="147"/>
      <c r="W177" s="147"/>
      <c r="X177" s="147"/>
      <c r="Y177" s="147"/>
      <c r="Z177" s="147"/>
      <c r="AA177" s="147"/>
      <c r="AB177" s="147"/>
      <c r="AC177" s="147"/>
      <c r="AD177" s="147"/>
    </row>
    <row r="178">
      <c r="A178" s="147"/>
      <c r="B178" s="147"/>
      <c r="C178" s="147"/>
      <c r="D178" s="147"/>
      <c r="E178" s="147"/>
      <c r="F178" s="147"/>
      <c r="G178" s="147"/>
      <c r="H178" s="262"/>
      <c r="I178" s="147"/>
      <c r="J178" s="147"/>
      <c r="K178" s="147"/>
      <c r="L178" s="147"/>
      <c r="M178" s="147"/>
      <c r="N178" s="147"/>
      <c r="O178" s="147"/>
      <c r="P178" s="147"/>
      <c r="Q178" s="147"/>
      <c r="R178" s="147"/>
      <c r="S178" s="147"/>
      <c r="T178" s="147"/>
      <c r="U178" s="147"/>
      <c r="V178" s="147"/>
      <c r="W178" s="147"/>
      <c r="X178" s="147"/>
      <c r="Y178" s="147"/>
      <c r="Z178" s="147"/>
      <c r="AA178" s="147"/>
      <c r="AB178" s="147"/>
      <c r="AC178" s="147"/>
      <c r="AD178" s="147"/>
    </row>
    <row r="179">
      <c r="A179" s="147"/>
      <c r="B179" s="147"/>
      <c r="C179" s="147"/>
      <c r="D179" s="147"/>
      <c r="E179" s="147"/>
      <c r="F179" s="147"/>
      <c r="G179" s="147"/>
      <c r="H179" s="262"/>
      <c r="I179" s="147"/>
      <c r="J179" s="147"/>
      <c r="K179" s="147"/>
      <c r="L179" s="147"/>
      <c r="M179" s="147"/>
      <c r="N179" s="147"/>
      <c r="O179" s="147"/>
      <c r="P179" s="147"/>
      <c r="Q179" s="147"/>
      <c r="R179" s="147"/>
      <c r="S179" s="147"/>
      <c r="T179" s="147"/>
      <c r="U179" s="147"/>
      <c r="V179" s="147"/>
      <c r="W179" s="147"/>
      <c r="X179" s="147"/>
      <c r="Y179" s="147"/>
      <c r="Z179" s="147"/>
      <c r="AA179" s="147"/>
      <c r="AB179" s="147"/>
      <c r="AC179" s="147"/>
      <c r="AD179" s="147"/>
    </row>
    <row r="180">
      <c r="A180" s="147"/>
      <c r="B180" s="147"/>
      <c r="C180" s="147"/>
      <c r="D180" s="147"/>
      <c r="E180" s="147"/>
      <c r="F180" s="147"/>
      <c r="G180" s="147"/>
      <c r="H180" s="262"/>
      <c r="I180" s="147"/>
      <c r="J180" s="147"/>
      <c r="K180" s="147"/>
      <c r="L180" s="147"/>
      <c r="M180" s="147"/>
      <c r="N180" s="147"/>
      <c r="O180" s="147"/>
      <c r="P180" s="147"/>
      <c r="Q180" s="147"/>
      <c r="R180" s="147"/>
      <c r="S180" s="147"/>
      <c r="T180" s="147"/>
      <c r="U180" s="147"/>
      <c r="V180" s="147"/>
      <c r="W180" s="147"/>
      <c r="X180" s="147"/>
      <c r="Y180" s="147"/>
      <c r="Z180" s="147"/>
      <c r="AA180" s="147"/>
      <c r="AB180" s="147"/>
      <c r="AC180" s="147"/>
      <c r="AD180" s="147"/>
    </row>
    <row r="181">
      <c r="A181" s="147"/>
      <c r="B181" s="147"/>
      <c r="C181" s="147"/>
      <c r="D181" s="147"/>
      <c r="E181" s="147"/>
      <c r="F181" s="147"/>
      <c r="G181" s="147"/>
      <c r="H181" s="262"/>
      <c r="I181" s="147"/>
      <c r="J181" s="147"/>
      <c r="K181" s="147"/>
      <c r="L181" s="147"/>
      <c r="M181" s="147"/>
      <c r="N181" s="147"/>
      <c r="O181" s="147"/>
      <c r="P181" s="147"/>
      <c r="Q181" s="147"/>
      <c r="R181" s="147"/>
      <c r="S181" s="147"/>
      <c r="T181" s="147"/>
      <c r="U181" s="147"/>
      <c r="V181" s="147"/>
      <c r="W181" s="147"/>
      <c r="X181" s="147"/>
      <c r="Y181" s="147"/>
      <c r="Z181" s="147"/>
      <c r="AA181" s="147"/>
      <c r="AB181" s="147"/>
      <c r="AC181" s="147"/>
      <c r="AD181" s="147"/>
    </row>
    <row r="182">
      <c r="A182" s="147"/>
      <c r="B182" s="147"/>
      <c r="C182" s="147"/>
      <c r="D182" s="147"/>
      <c r="E182" s="147"/>
      <c r="F182" s="147"/>
      <c r="G182" s="147"/>
      <c r="H182" s="262"/>
      <c r="I182" s="147"/>
      <c r="J182" s="147"/>
      <c r="K182" s="147"/>
      <c r="L182" s="147"/>
      <c r="M182" s="147"/>
      <c r="N182" s="147"/>
      <c r="O182" s="147"/>
      <c r="P182" s="147"/>
      <c r="Q182" s="147"/>
      <c r="R182" s="147"/>
      <c r="S182" s="147"/>
      <c r="T182" s="147"/>
      <c r="U182" s="147"/>
      <c r="V182" s="147"/>
      <c r="W182" s="147"/>
      <c r="X182" s="147"/>
      <c r="Y182" s="147"/>
      <c r="Z182" s="147"/>
      <c r="AA182" s="147"/>
      <c r="AB182" s="147"/>
      <c r="AC182" s="147"/>
      <c r="AD182" s="147"/>
    </row>
    <row r="183">
      <c r="A183" s="147"/>
      <c r="B183" s="147"/>
      <c r="C183" s="147"/>
      <c r="D183" s="147"/>
      <c r="E183" s="147"/>
      <c r="F183" s="147"/>
      <c r="G183" s="147"/>
      <c r="H183" s="262"/>
      <c r="I183" s="147"/>
      <c r="J183" s="147"/>
      <c r="K183" s="147"/>
      <c r="L183" s="147"/>
      <c r="M183" s="147"/>
      <c r="N183" s="147"/>
      <c r="O183" s="147"/>
      <c r="P183" s="147"/>
      <c r="Q183" s="147"/>
      <c r="R183" s="147"/>
      <c r="S183" s="147"/>
      <c r="T183" s="147"/>
      <c r="U183" s="147"/>
      <c r="V183" s="147"/>
      <c r="W183" s="147"/>
      <c r="X183" s="147"/>
      <c r="Y183" s="147"/>
      <c r="Z183" s="147"/>
      <c r="AA183" s="147"/>
      <c r="AB183" s="147"/>
      <c r="AC183" s="147"/>
      <c r="AD183" s="147"/>
    </row>
    <row r="184">
      <c r="A184" s="147"/>
      <c r="B184" s="147"/>
      <c r="C184" s="147"/>
      <c r="D184" s="147"/>
      <c r="E184" s="147"/>
      <c r="F184" s="147"/>
      <c r="G184" s="147"/>
      <c r="H184" s="262"/>
      <c r="I184" s="147"/>
      <c r="J184" s="147"/>
      <c r="K184" s="147"/>
      <c r="L184" s="147"/>
      <c r="M184" s="147"/>
      <c r="N184" s="147"/>
      <c r="O184" s="147"/>
      <c r="P184" s="147"/>
      <c r="Q184" s="147"/>
      <c r="R184" s="147"/>
      <c r="S184" s="147"/>
      <c r="T184" s="147"/>
      <c r="U184" s="147"/>
      <c r="V184" s="147"/>
      <c r="W184" s="147"/>
      <c r="X184" s="147"/>
      <c r="Y184" s="147"/>
      <c r="Z184" s="147"/>
      <c r="AA184" s="147"/>
      <c r="AB184" s="147"/>
      <c r="AC184" s="147"/>
      <c r="AD184" s="147"/>
    </row>
    <row r="185">
      <c r="A185" s="147"/>
      <c r="B185" s="147"/>
      <c r="C185" s="147"/>
      <c r="D185" s="147"/>
      <c r="E185" s="147"/>
      <c r="F185" s="147"/>
      <c r="G185" s="147"/>
      <c r="H185" s="262"/>
      <c r="I185" s="147"/>
      <c r="J185" s="147"/>
      <c r="K185" s="147"/>
      <c r="L185" s="147"/>
      <c r="M185" s="147"/>
      <c r="N185" s="147"/>
      <c r="O185" s="147"/>
      <c r="P185" s="147"/>
      <c r="Q185" s="147"/>
      <c r="R185" s="147"/>
      <c r="S185" s="147"/>
      <c r="T185" s="147"/>
      <c r="U185" s="147"/>
      <c r="V185" s="147"/>
      <c r="W185" s="147"/>
      <c r="X185" s="147"/>
      <c r="Y185" s="147"/>
      <c r="Z185" s="147"/>
      <c r="AA185" s="147"/>
      <c r="AB185" s="147"/>
      <c r="AC185" s="147"/>
      <c r="AD185" s="147"/>
    </row>
    <row r="186">
      <c r="A186" s="147"/>
      <c r="B186" s="147"/>
      <c r="C186" s="147"/>
      <c r="D186" s="147"/>
      <c r="E186" s="147"/>
      <c r="F186" s="147"/>
      <c r="G186" s="147"/>
      <c r="H186" s="262"/>
      <c r="I186" s="147"/>
      <c r="J186" s="147"/>
      <c r="K186" s="147"/>
      <c r="L186" s="147"/>
      <c r="M186" s="147"/>
      <c r="N186" s="147"/>
      <c r="O186" s="147"/>
      <c r="P186" s="147"/>
      <c r="Q186" s="147"/>
      <c r="R186" s="147"/>
      <c r="S186" s="147"/>
      <c r="T186" s="147"/>
      <c r="U186" s="147"/>
      <c r="V186" s="147"/>
      <c r="W186" s="147"/>
      <c r="X186" s="147"/>
      <c r="Y186" s="147"/>
      <c r="Z186" s="147"/>
      <c r="AA186" s="147"/>
      <c r="AB186" s="147"/>
      <c r="AC186" s="147"/>
      <c r="AD186" s="147"/>
    </row>
    <row r="187">
      <c r="A187" s="147"/>
      <c r="B187" s="147"/>
      <c r="C187" s="147"/>
      <c r="D187" s="147"/>
      <c r="E187" s="147"/>
      <c r="F187" s="147"/>
      <c r="G187" s="147"/>
      <c r="H187" s="262"/>
      <c r="I187" s="147"/>
      <c r="J187" s="147"/>
      <c r="K187" s="147"/>
      <c r="L187" s="147"/>
      <c r="M187" s="147"/>
      <c r="N187" s="147"/>
      <c r="O187" s="147"/>
      <c r="P187" s="147"/>
      <c r="Q187" s="147"/>
      <c r="R187" s="147"/>
      <c r="S187" s="147"/>
      <c r="T187" s="147"/>
      <c r="U187" s="147"/>
      <c r="V187" s="147"/>
      <c r="W187" s="147"/>
      <c r="X187" s="147"/>
      <c r="Y187" s="147"/>
      <c r="Z187" s="147"/>
      <c r="AA187" s="147"/>
      <c r="AB187" s="147"/>
      <c r="AC187" s="147"/>
      <c r="AD187" s="147"/>
    </row>
    <row r="188">
      <c r="A188" s="147"/>
      <c r="B188" s="147"/>
      <c r="C188" s="147"/>
      <c r="D188" s="147"/>
      <c r="E188" s="147"/>
      <c r="F188" s="147"/>
      <c r="G188" s="147"/>
      <c r="H188" s="262"/>
      <c r="I188" s="147"/>
      <c r="J188" s="147"/>
      <c r="K188" s="147"/>
      <c r="L188" s="147"/>
      <c r="M188" s="147"/>
      <c r="N188" s="147"/>
      <c r="O188" s="147"/>
      <c r="P188" s="147"/>
      <c r="Q188" s="147"/>
      <c r="R188" s="147"/>
      <c r="S188" s="147"/>
      <c r="T188" s="147"/>
      <c r="U188" s="147"/>
      <c r="V188" s="147"/>
      <c r="W188" s="147"/>
      <c r="X188" s="147"/>
      <c r="Y188" s="147"/>
      <c r="Z188" s="147"/>
      <c r="AA188" s="147"/>
      <c r="AB188" s="147"/>
      <c r="AC188" s="147"/>
      <c r="AD188" s="147"/>
    </row>
    <row r="189">
      <c r="A189" s="147"/>
      <c r="B189" s="147"/>
      <c r="C189" s="147"/>
      <c r="D189" s="147"/>
      <c r="E189" s="147"/>
      <c r="F189" s="147"/>
      <c r="G189" s="147"/>
      <c r="H189" s="262"/>
      <c r="I189" s="147"/>
      <c r="J189" s="147"/>
      <c r="K189" s="147"/>
      <c r="L189" s="147"/>
      <c r="M189" s="147"/>
      <c r="N189" s="147"/>
      <c r="O189" s="147"/>
      <c r="P189" s="147"/>
      <c r="Q189" s="147"/>
      <c r="R189" s="147"/>
      <c r="S189" s="147"/>
      <c r="T189" s="147"/>
      <c r="U189" s="147"/>
      <c r="V189" s="147"/>
      <c r="W189" s="147"/>
      <c r="X189" s="147"/>
      <c r="Y189" s="147"/>
      <c r="Z189" s="147"/>
      <c r="AA189" s="147"/>
      <c r="AB189" s="147"/>
      <c r="AC189" s="147"/>
      <c r="AD189" s="147"/>
    </row>
    <row r="190">
      <c r="A190" s="147"/>
      <c r="B190" s="147"/>
      <c r="C190" s="147"/>
      <c r="D190" s="147"/>
      <c r="E190" s="147"/>
      <c r="F190" s="147"/>
      <c r="G190" s="147"/>
      <c r="H190" s="262"/>
      <c r="I190" s="147"/>
      <c r="J190" s="147"/>
      <c r="K190" s="147"/>
      <c r="L190" s="147"/>
      <c r="M190" s="147"/>
      <c r="N190" s="147"/>
      <c r="O190" s="147"/>
      <c r="P190" s="147"/>
      <c r="Q190" s="147"/>
      <c r="R190" s="147"/>
      <c r="S190" s="147"/>
      <c r="T190" s="147"/>
      <c r="U190" s="147"/>
      <c r="V190" s="147"/>
      <c r="W190" s="147"/>
      <c r="X190" s="147"/>
      <c r="Y190" s="147"/>
      <c r="Z190" s="147"/>
      <c r="AA190" s="147"/>
      <c r="AB190" s="147"/>
      <c r="AC190" s="147"/>
      <c r="AD190" s="147"/>
    </row>
    <row r="191">
      <c r="A191" s="147"/>
      <c r="B191" s="147"/>
      <c r="C191" s="147"/>
      <c r="D191" s="147"/>
      <c r="E191" s="147"/>
      <c r="F191" s="147"/>
      <c r="G191" s="147"/>
      <c r="H191" s="262"/>
      <c r="I191" s="147"/>
      <c r="J191" s="147"/>
      <c r="K191" s="147"/>
      <c r="L191" s="147"/>
      <c r="M191" s="147"/>
      <c r="N191" s="147"/>
      <c r="O191" s="147"/>
      <c r="P191" s="147"/>
      <c r="Q191" s="147"/>
      <c r="R191" s="147"/>
      <c r="S191" s="147"/>
      <c r="T191" s="147"/>
      <c r="U191" s="147"/>
      <c r="V191" s="147"/>
      <c r="W191" s="147"/>
      <c r="X191" s="147"/>
      <c r="Y191" s="147"/>
      <c r="Z191" s="147"/>
      <c r="AA191" s="147"/>
      <c r="AB191" s="147"/>
      <c r="AC191" s="147"/>
      <c r="AD191" s="147"/>
    </row>
    <row r="192">
      <c r="A192" s="147"/>
      <c r="B192" s="147"/>
      <c r="C192" s="147"/>
      <c r="D192" s="147"/>
      <c r="E192" s="147"/>
      <c r="F192" s="147"/>
      <c r="G192" s="147"/>
      <c r="H192" s="262"/>
      <c r="I192" s="147"/>
      <c r="J192" s="147"/>
      <c r="K192" s="147"/>
      <c r="L192" s="147"/>
      <c r="M192" s="147"/>
      <c r="N192" s="147"/>
      <c r="O192" s="147"/>
      <c r="P192" s="147"/>
      <c r="Q192" s="147"/>
      <c r="R192" s="147"/>
      <c r="S192" s="147"/>
      <c r="T192" s="147"/>
      <c r="U192" s="147"/>
      <c r="V192" s="147"/>
      <c r="W192" s="147"/>
      <c r="X192" s="147"/>
      <c r="Y192" s="147"/>
      <c r="Z192" s="147"/>
      <c r="AA192" s="147"/>
      <c r="AB192" s="147"/>
      <c r="AC192" s="147"/>
      <c r="AD192" s="147"/>
    </row>
    <row r="193">
      <c r="A193" s="147"/>
      <c r="B193" s="147"/>
      <c r="C193" s="147"/>
      <c r="D193" s="147"/>
      <c r="E193" s="147"/>
      <c r="F193" s="147"/>
      <c r="G193" s="147"/>
      <c r="H193" s="262"/>
      <c r="I193" s="147"/>
      <c r="J193" s="147"/>
      <c r="K193" s="147"/>
      <c r="L193" s="147"/>
      <c r="M193" s="147"/>
      <c r="N193" s="147"/>
      <c r="O193" s="147"/>
      <c r="P193" s="147"/>
      <c r="Q193" s="147"/>
      <c r="R193" s="147"/>
      <c r="S193" s="147"/>
      <c r="T193" s="147"/>
      <c r="U193" s="147"/>
      <c r="V193" s="147"/>
      <c r="W193" s="147"/>
      <c r="X193" s="147"/>
      <c r="Y193" s="147"/>
      <c r="Z193" s="147"/>
      <c r="AA193" s="147"/>
      <c r="AB193" s="147"/>
      <c r="AC193" s="147"/>
      <c r="AD193" s="147"/>
    </row>
    <row r="194">
      <c r="A194" s="147"/>
      <c r="B194" s="147"/>
      <c r="C194" s="147"/>
      <c r="D194" s="147"/>
      <c r="E194" s="147"/>
      <c r="F194" s="147"/>
      <c r="G194" s="147"/>
      <c r="H194" s="262"/>
      <c r="I194" s="147"/>
      <c r="J194" s="147"/>
      <c r="K194" s="147"/>
      <c r="L194" s="147"/>
      <c r="M194" s="147"/>
      <c r="N194" s="147"/>
      <c r="O194" s="147"/>
      <c r="P194" s="147"/>
      <c r="Q194" s="147"/>
      <c r="R194" s="147"/>
      <c r="S194" s="147"/>
      <c r="T194" s="147"/>
      <c r="U194" s="147"/>
      <c r="V194" s="147"/>
      <c r="W194" s="147"/>
      <c r="X194" s="147"/>
      <c r="Y194" s="147"/>
      <c r="Z194" s="147"/>
      <c r="AA194" s="147"/>
      <c r="AB194" s="147"/>
      <c r="AC194" s="147"/>
      <c r="AD194" s="147"/>
    </row>
    <row r="195">
      <c r="A195" s="147"/>
      <c r="B195" s="147"/>
      <c r="C195" s="147"/>
      <c r="D195" s="147"/>
      <c r="E195" s="147"/>
      <c r="F195" s="147"/>
      <c r="G195" s="147"/>
      <c r="H195" s="262"/>
      <c r="I195" s="147"/>
      <c r="J195" s="147"/>
      <c r="K195" s="147"/>
      <c r="L195" s="147"/>
      <c r="M195" s="147"/>
      <c r="N195" s="147"/>
      <c r="O195" s="147"/>
      <c r="P195" s="147"/>
      <c r="Q195" s="147"/>
      <c r="R195" s="147"/>
      <c r="S195" s="147"/>
      <c r="T195" s="147"/>
      <c r="U195" s="147"/>
      <c r="V195" s="147"/>
      <c r="W195" s="147"/>
      <c r="X195" s="147"/>
      <c r="Y195" s="147"/>
      <c r="Z195" s="147"/>
      <c r="AA195" s="147"/>
      <c r="AB195" s="147"/>
      <c r="AC195" s="147"/>
      <c r="AD195" s="147"/>
    </row>
    <row r="196">
      <c r="A196" s="147"/>
      <c r="B196" s="147"/>
      <c r="C196" s="147"/>
      <c r="D196" s="147"/>
      <c r="E196" s="147"/>
      <c r="F196" s="147"/>
      <c r="G196" s="147"/>
      <c r="H196" s="262"/>
      <c r="I196" s="147"/>
      <c r="J196" s="147"/>
      <c r="K196" s="147"/>
      <c r="L196" s="147"/>
      <c r="M196" s="147"/>
      <c r="N196" s="147"/>
      <c r="O196" s="147"/>
      <c r="P196" s="147"/>
      <c r="Q196" s="147"/>
      <c r="R196" s="147"/>
      <c r="S196" s="147"/>
      <c r="T196" s="147"/>
      <c r="U196" s="147"/>
      <c r="V196" s="147"/>
      <c r="W196" s="147"/>
      <c r="X196" s="147"/>
      <c r="Y196" s="147"/>
      <c r="Z196" s="147"/>
      <c r="AA196" s="147"/>
      <c r="AB196" s="147"/>
      <c r="AC196" s="147"/>
      <c r="AD196" s="147"/>
    </row>
    <row r="197">
      <c r="A197" s="147"/>
      <c r="B197" s="147"/>
      <c r="C197" s="147"/>
      <c r="D197" s="147"/>
      <c r="E197" s="147"/>
      <c r="F197" s="147"/>
      <c r="G197" s="147"/>
      <c r="H197" s="262"/>
      <c r="I197" s="147"/>
      <c r="J197" s="147"/>
      <c r="K197" s="147"/>
      <c r="L197" s="147"/>
      <c r="M197" s="147"/>
      <c r="N197" s="147"/>
      <c r="O197" s="147"/>
      <c r="P197" s="147"/>
      <c r="Q197" s="147"/>
      <c r="R197" s="147"/>
      <c r="S197" s="147"/>
      <c r="T197" s="147"/>
      <c r="U197" s="147"/>
      <c r="V197" s="147"/>
      <c r="W197" s="147"/>
      <c r="X197" s="147"/>
      <c r="Y197" s="147"/>
      <c r="Z197" s="147"/>
      <c r="AA197" s="147"/>
      <c r="AB197" s="147"/>
      <c r="AC197" s="147"/>
      <c r="AD197" s="147"/>
    </row>
    <row r="198">
      <c r="A198" s="147"/>
      <c r="B198" s="147"/>
      <c r="C198" s="147"/>
      <c r="D198" s="147"/>
      <c r="E198" s="147"/>
      <c r="F198" s="147"/>
      <c r="G198" s="147"/>
      <c r="H198" s="262"/>
      <c r="I198" s="147"/>
      <c r="J198" s="147"/>
      <c r="K198" s="147"/>
      <c r="L198" s="147"/>
      <c r="M198" s="147"/>
      <c r="N198" s="147"/>
      <c r="O198" s="147"/>
      <c r="P198" s="147"/>
      <c r="Q198" s="147"/>
      <c r="R198" s="147"/>
      <c r="S198" s="147"/>
      <c r="T198" s="147"/>
      <c r="U198" s="147"/>
      <c r="V198" s="147"/>
      <c r="W198" s="147"/>
      <c r="X198" s="147"/>
      <c r="Y198" s="147"/>
      <c r="Z198" s="147"/>
      <c r="AA198" s="147"/>
      <c r="AB198" s="147"/>
      <c r="AC198" s="147"/>
      <c r="AD198" s="147"/>
    </row>
    <row r="199">
      <c r="A199" s="147"/>
      <c r="B199" s="147"/>
      <c r="C199" s="147"/>
      <c r="D199" s="147"/>
      <c r="E199" s="147"/>
      <c r="F199" s="147"/>
      <c r="G199" s="147"/>
      <c r="H199" s="262"/>
      <c r="I199" s="147"/>
      <c r="J199" s="147"/>
      <c r="K199" s="147"/>
      <c r="L199" s="147"/>
      <c r="M199" s="147"/>
      <c r="N199" s="147"/>
      <c r="O199" s="147"/>
      <c r="P199" s="147"/>
      <c r="Q199" s="147"/>
      <c r="R199" s="147"/>
      <c r="S199" s="147"/>
      <c r="T199" s="147"/>
      <c r="U199" s="147"/>
      <c r="V199" s="147"/>
      <c r="W199" s="147"/>
      <c r="X199" s="147"/>
      <c r="Y199" s="147"/>
      <c r="Z199" s="147"/>
      <c r="AA199" s="147"/>
      <c r="AB199" s="147"/>
      <c r="AC199" s="147"/>
      <c r="AD199" s="147"/>
    </row>
    <row r="200">
      <c r="A200" s="147"/>
      <c r="B200" s="147"/>
      <c r="C200" s="147"/>
      <c r="D200" s="147"/>
      <c r="E200" s="147"/>
      <c r="F200" s="147"/>
      <c r="G200" s="147"/>
      <c r="H200" s="262"/>
      <c r="I200" s="147"/>
      <c r="J200" s="147"/>
      <c r="K200" s="147"/>
      <c r="L200" s="147"/>
      <c r="M200" s="147"/>
      <c r="N200" s="147"/>
      <c r="O200" s="147"/>
      <c r="P200" s="147"/>
      <c r="Q200" s="147"/>
      <c r="R200" s="147"/>
      <c r="S200" s="147"/>
      <c r="T200" s="147"/>
      <c r="U200" s="147"/>
      <c r="V200" s="147"/>
      <c r="W200" s="147"/>
      <c r="X200" s="147"/>
      <c r="Y200" s="147"/>
      <c r="Z200" s="147"/>
      <c r="AA200" s="147"/>
      <c r="AB200" s="147"/>
      <c r="AC200" s="147"/>
      <c r="AD200" s="147"/>
    </row>
    <row r="201">
      <c r="A201" s="147"/>
      <c r="B201" s="147"/>
      <c r="C201" s="147"/>
      <c r="D201" s="147"/>
      <c r="E201" s="147"/>
      <c r="F201" s="147"/>
      <c r="G201" s="147"/>
      <c r="H201" s="262"/>
      <c r="I201" s="147"/>
      <c r="J201" s="147"/>
      <c r="K201" s="147"/>
      <c r="L201" s="147"/>
      <c r="M201" s="147"/>
      <c r="N201" s="147"/>
      <c r="O201" s="147"/>
      <c r="P201" s="147"/>
      <c r="Q201" s="147"/>
      <c r="R201" s="147"/>
      <c r="S201" s="147"/>
      <c r="T201" s="147"/>
      <c r="U201" s="147"/>
      <c r="V201" s="147"/>
      <c r="W201" s="147"/>
      <c r="X201" s="147"/>
      <c r="Y201" s="147"/>
      <c r="Z201" s="147"/>
      <c r="AA201" s="147"/>
      <c r="AB201" s="147"/>
      <c r="AC201" s="147"/>
      <c r="AD201" s="147"/>
    </row>
    <row r="202">
      <c r="A202" s="147"/>
      <c r="B202" s="147"/>
      <c r="C202" s="147"/>
      <c r="D202" s="147"/>
      <c r="E202" s="147"/>
      <c r="F202" s="147"/>
      <c r="G202" s="147"/>
      <c r="H202" s="262"/>
      <c r="I202" s="147"/>
      <c r="J202" s="147"/>
      <c r="K202" s="147"/>
      <c r="L202" s="147"/>
      <c r="M202" s="147"/>
      <c r="N202" s="147"/>
      <c r="O202" s="147"/>
      <c r="P202" s="147"/>
      <c r="Q202" s="147"/>
      <c r="R202" s="147"/>
      <c r="S202" s="147"/>
      <c r="T202" s="147"/>
      <c r="U202" s="147"/>
      <c r="V202" s="147"/>
      <c r="W202" s="147"/>
      <c r="X202" s="147"/>
      <c r="Y202" s="147"/>
      <c r="Z202" s="147"/>
      <c r="AA202" s="147"/>
      <c r="AB202" s="147"/>
      <c r="AC202" s="147"/>
      <c r="AD202" s="147"/>
    </row>
    <row r="203">
      <c r="A203" s="147"/>
      <c r="B203" s="147"/>
      <c r="C203" s="147"/>
      <c r="D203" s="147"/>
      <c r="E203" s="147"/>
      <c r="F203" s="147"/>
      <c r="G203" s="147"/>
      <c r="H203" s="262"/>
      <c r="I203" s="147"/>
      <c r="J203" s="147"/>
      <c r="K203" s="147"/>
      <c r="L203" s="147"/>
      <c r="M203" s="147"/>
      <c r="N203" s="147"/>
      <c r="O203" s="147"/>
      <c r="P203" s="147"/>
      <c r="Q203" s="147"/>
      <c r="R203" s="147"/>
      <c r="S203" s="147"/>
      <c r="T203" s="147"/>
      <c r="U203" s="147"/>
      <c r="V203" s="147"/>
      <c r="W203" s="147"/>
      <c r="X203" s="147"/>
      <c r="Y203" s="147"/>
      <c r="Z203" s="147"/>
      <c r="AA203" s="147"/>
      <c r="AB203" s="147"/>
      <c r="AC203" s="147"/>
      <c r="AD203" s="147"/>
    </row>
    <row r="204">
      <c r="A204" s="147"/>
      <c r="B204" s="147"/>
      <c r="C204" s="147"/>
      <c r="D204" s="147"/>
      <c r="E204" s="147"/>
      <c r="F204" s="147"/>
      <c r="G204" s="147"/>
      <c r="H204" s="262"/>
      <c r="I204" s="147"/>
      <c r="J204" s="147"/>
      <c r="K204" s="147"/>
      <c r="L204" s="147"/>
      <c r="M204" s="147"/>
      <c r="N204" s="147"/>
      <c r="O204" s="147"/>
      <c r="P204" s="147"/>
      <c r="Q204" s="147"/>
      <c r="R204" s="147"/>
      <c r="S204" s="147"/>
      <c r="T204" s="147"/>
      <c r="U204" s="147"/>
      <c r="V204" s="147"/>
      <c r="W204" s="147"/>
      <c r="X204" s="147"/>
      <c r="Y204" s="147"/>
      <c r="Z204" s="147"/>
      <c r="AA204" s="147"/>
      <c r="AB204" s="147"/>
      <c r="AC204" s="147"/>
      <c r="AD204" s="147"/>
    </row>
    <row r="205">
      <c r="A205" s="147"/>
      <c r="B205" s="147"/>
      <c r="C205" s="147"/>
      <c r="D205" s="147"/>
      <c r="E205" s="147"/>
      <c r="F205" s="147"/>
      <c r="G205" s="147"/>
      <c r="H205" s="262"/>
      <c r="I205" s="147"/>
      <c r="J205" s="147"/>
      <c r="K205" s="147"/>
      <c r="L205" s="147"/>
      <c r="M205" s="147"/>
      <c r="N205" s="147"/>
      <c r="O205" s="147"/>
      <c r="P205" s="147"/>
      <c r="Q205" s="147"/>
      <c r="R205" s="147"/>
      <c r="S205" s="147"/>
      <c r="T205" s="147"/>
      <c r="U205" s="147"/>
      <c r="V205" s="147"/>
      <c r="W205" s="147"/>
      <c r="X205" s="147"/>
      <c r="Y205" s="147"/>
      <c r="Z205" s="147"/>
      <c r="AA205" s="147"/>
      <c r="AB205" s="147"/>
      <c r="AC205" s="147"/>
      <c r="AD205" s="147"/>
    </row>
    <row r="206">
      <c r="A206" s="147"/>
      <c r="B206" s="147"/>
      <c r="C206" s="147"/>
      <c r="D206" s="147"/>
      <c r="E206" s="147"/>
      <c r="F206" s="147"/>
      <c r="G206" s="147"/>
      <c r="H206" s="262"/>
      <c r="I206" s="147"/>
      <c r="J206" s="147"/>
      <c r="K206" s="147"/>
      <c r="L206" s="147"/>
      <c r="M206" s="147"/>
      <c r="N206" s="147"/>
      <c r="O206" s="147"/>
      <c r="P206" s="147"/>
      <c r="Q206" s="147"/>
      <c r="R206" s="147"/>
      <c r="S206" s="147"/>
      <c r="T206" s="147"/>
      <c r="U206" s="147"/>
      <c r="V206" s="147"/>
      <c r="W206" s="147"/>
      <c r="X206" s="147"/>
      <c r="Y206" s="147"/>
      <c r="Z206" s="147"/>
      <c r="AA206" s="147"/>
      <c r="AB206" s="147"/>
      <c r="AC206" s="147"/>
      <c r="AD206" s="147"/>
    </row>
    <row r="207">
      <c r="A207" s="147"/>
      <c r="B207" s="147"/>
      <c r="C207" s="147"/>
      <c r="D207" s="147"/>
      <c r="E207" s="147"/>
      <c r="F207" s="147"/>
      <c r="G207" s="147"/>
      <c r="H207" s="262"/>
      <c r="I207" s="147"/>
      <c r="J207" s="147"/>
      <c r="K207" s="147"/>
      <c r="L207" s="147"/>
      <c r="M207" s="147"/>
      <c r="N207" s="147"/>
      <c r="O207" s="147"/>
      <c r="P207" s="147"/>
      <c r="Q207" s="147"/>
      <c r="R207" s="147"/>
      <c r="S207" s="147"/>
      <c r="T207" s="147"/>
      <c r="U207" s="147"/>
      <c r="V207" s="147"/>
      <c r="W207" s="147"/>
      <c r="X207" s="147"/>
      <c r="Y207" s="147"/>
      <c r="Z207" s="147"/>
      <c r="AA207" s="147"/>
      <c r="AB207" s="147"/>
      <c r="AC207" s="147"/>
      <c r="AD207" s="147"/>
    </row>
    <row r="208">
      <c r="A208" s="147"/>
      <c r="B208" s="147"/>
      <c r="C208" s="147"/>
      <c r="D208" s="147"/>
      <c r="E208" s="147"/>
      <c r="F208" s="147"/>
      <c r="G208" s="147"/>
      <c r="H208" s="262"/>
      <c r="I208" s="147"/>
      <c r="J208" s="147"/>
      <c r="K208" s="147"/>
      <c r="L208" s="147"/>
      <c r="M208" s="147"/>
      <c r="N208" s="147"/>
      <c r="O208" s="147"/>
      <c r="P208" s="147"/>
      <c r="Q208" s="147"/>
      <c r="R208" s="147"/>
      <c r="S208" s="147"/>
      <c r="T208" s="147"/>
      <c r="U208" s="147"/>
      <c r="V208" s="147"/>
      <c r="W208" s="147"/>
      <c r="X208" s="147"/>
      <c r="Y208" s="147"/>
      <c r="Z208" s="147"/>
      <c r="AA208" s="147"/>
      <c r="AB208" s="147"/>
      <c r="AC208" s="147"/>
      <c r="AD208" s="147"/>
    </row>
    <row r="209">
      <c r="A209" s="147"/>
      <c r="B209" s="147"/>
      <c r="C209" s="147"/>
      <c r="D209" s="147"/>
      <c r="E209" s="147"/>
      <c r="F209" s="147"/>
      <c r="G209" s="147"/>
      <c r="H209" s="262"/>
      <c r="I209" s="147"/>
      <c r="J209" s="147"/>
      <c r="K209" s="147"/>
      <c r="L209" s="147"/>
      <c r="M209" s="147"/>
      <c r="N209" s="147"/>
      <c r="O209" s="147"/>
      <c r="P209" s="147"/>
      <c r="Q209" s="147"/>
      <c r="R209" s="147"/>
      <c r="S209" s="147"/>
      <c r="T209" s="147"/>
      <c r="U209" s="147"/>
      <c r="V209" s="147"/>
      <c r="W209" s="147"/>
      <c r="X209" s="147"/>
      <c r="Y209" s="147"/>
      <c r="Z209" s="147"/>
      <c r="AA209" s="147"/>
      <c r="AB209" s="147"/>
      <c r="AC209" s="147"/>
      <c r="AD209" s="147"/>
    </row>
    <row r="210">
      <c r="A210" s="147"/>
      <c r="B210" s="147"/>
      <c r="C210" s="147"/>
      <c r="D210" s="147"/>
      <c r="E210" s="147"/>
      <c r="F210" s="147"/>
      <c r="G210" s="147"/>
      <c r="H210" s="262"/>
      <c r="I210" s="147"/>
      <c r="J210" s="147"/>
      <c r="K210" s="147"/>
      <c r="L210" s="147"/>
      <c r="M210" s="147"/>
      <c r="N210" s="147"/>
      <c r="O210" s="147"/>
      <c r="P210" s="147"/>
      <c r="Q210" s="147"/>
      <c r="R210" s="147"/>
      <c r="S210" s="147"/>
      <c r="T210" s="147"/>
      <c r="U210" s="147"/>
      <c r="V210" s="147"/>
      <c r="W210" s="147"/>
      <c r="X210" s="147"/>
      <c r="Y210" s="147"/>
      <c r="Z210" s="147"/>
      <c r="AA210" s="147"/>
      <c r="AB210" s="147"/>
      <c r="AC210" s="147"/>
      <c r="AD210" s="147"/>
    </row>
    <row r="211">
      <c r="A211" s="147"/>
      <c r="B211" s="147"/>
      <c r="C211" s="147"/>
      <c r="D211" s="147"/>
      <c r="E211" s="147"/>
      <c r="F211" s="147"/>
      <c r="G211" s="147"/>
      <c r="H211" s="262"/>
      <c r="I211" s="147"/>
      <c r="J211" s="147"/>
      <c r="K211" s="147"/>
      <c r="L211" s="147"/>
      <c r="M211" s="147"/>
      <c r="N211" s="147"/>
      <c r="O211" s="147"/>
      <c r="P211" s="147"/>
      <c r="Q211" s="147"/>
      <c r="R211" s="147"/>
      <c r="S211" s="147"/>
      <c r="T211" s="147"/>
      <c r="U211" s="147"/>
      <c r="V211" s="147"/>
      <c r="W211" s="147"/>
      <c r="X211" s="147"/>
      <c r="Y211" s="147"/>
      <c r="Z211" s="147"/>
      <c r="AA211" s="147"/>
      <c r="AB211" s="147"/>
      <c r="AC211" s="147"/>
      <c r="AD211" s="147"/>
    </row>
    <row r="212">
      <c r="A212" s="147"/>
      <c r="B212" s="147"/>
      <c r="C212" s="147"/>
      <c r="D212" s="147"/>
      <c r="E212" s="147"/>
      <c r="F212" s="147"/>
      <c r="G212" s="147"/>
      <c r="H212" s="262"/>
      <c r="I212" s="147"/>
      <c r="J212" s="147"/>
      <c r="K212" s="147"/>
      <c r="L212" s="147"/>
      <c r="M212" s="147"/>
      <c r="N212" s="147"/>
      <c r="O212" s="147"/>
      <c r="P212" s="147"/>
      <c r="Q212" s="147"/>
      <c r="R212" s="147"/>
      <c r="S212" s="147"/>
      <c r="T212" s="147"/>
      <c r="U212" s="147"/>
      <c r="V212" s="147"/>
      <c r="W212" s="147"/>
      <c r="X212" s="147"/>
      <c r="Y212" s="147"/>
      <c r="Z212" s="147"/>
      <c r="AA212" s="147"/>
      <c r="AB212" s="147"/>
      <c r="AC212" s="147"/>
      <c r="AD212" s="147"/>
    </row>
    <row r="213">
      <c r="A213" s="147"/>
      <c r="B213" s="147"/>
      <c r="C213" s="147"/>
      <c r="D213" s="147"/>
      <c r="E213" s="147"/>
      <c r="F213" s="147"/>
      <c r="G213" s="147"/>
      <c r="H213" s="262"/>
      <c r="I213" s="147"/>
      <c r="J213" s="147"/>
      <c r="K213" s="147"/>
      <c r="L213" s="147"/>
      <c r="M213" s="147"/>
      <c r="N213" s="147"/>
      <c r="O213" s="147"/>
      <c r="P213" s="147"/>
      <c r="Q213" s="147"/>
      <c r="R213" s="147"/>
      <c r="S213" s="147"/>
      <c r="T213" s="147"/>
      <c r="U213" s="147"/>
      <c r="V213" s="147"/>
      <c r="W213" s="147"/>
      <c r="X213" s="147"/>
      <c r="Y213" s="147"/>
      <c r="Z213" s="147"/>
      <c r="AA213" s="147"/>
      <c r="AB213" s="147"/>
      <c r="AC213" s="147"/>
      <c r="AD213" s="147"/>
    </row>
    <row r="214">
      <c r="A214" s="147"/>
      <c r="B214" s="147"/>
      <c r="C214" s="147"/>
      <c r="D214" s="147"/>
      <c r="E214" s="147"/>
      <c r="F214" s="147"/>
      <c r="G214" s="147"/>
      <c r="H214" s="262"/>
      <c r="I214" s="147"/>
      <c r="J214" s="147"/>
      <c r="K214" s="147"/>
      <c r="L214" s="147"/>
      <c r="M214" s="147"/>
      <c r="N214" s="147"/>
      <c r="O214" s="147"/>
      <c r="P214" s="147"/>
      <c r="Q214" s="147"/>
      <c r="R214" s="147"/>
      <c r="S214" s="147"/>
      <c r="T214" s="147"/>
      <c r="U214" s="147"/>
      <c r="V214" s="147"/>
      <c r="W214" s="147"/>
      <c r="X214" s="147"/>
      <c r="Y214" s="147"/>
      <c r="Z214" s="147"/>
      <c r="AA214" s="147"/>
      <c r="AB214" s="147"/>
      <c r="AC214" s="147"/>
      <c r="AD214" s="147"/>
    </row>
    <row r="215">
      <c r="A215" s="147"/>
      <c r="B215" s="147"/>
      <c r="C215" s="147"/>
      <c r="D215" s="147"/>
      <c r="E215" s="147"/>
      <c r="F215" s="147"/>
      <c r="G215" s="147"/>
      <c r="H215" s="262"/>
      <c r="I215" s="147"/>
      <c r="J215" s="147"/>
      <c r="K215" s="147"/>
      <c r="L215" s="147"/>
      <c r="M215" s="147"/>
      <c r="N215" s="147"/>
      <c r="O215" s="147"/>
      <c r="P215" s="147"/>
      <c r="Q215" s="147"/>
      <c r="R215" s="147"/>
      <c r="S215" s="147"/>
      <c r="T215" s="147"/>
      <c r="U215" s="147"/>
      <c r="V215" s="147"/>
      <c r="W215" s="147"/>
      <c r="X215" s="147"/>
      <c r="Y215" s="147"/>
      <c r="Z215" s="147"/>
      <c r="AA215" s="147"/>
      <c r="AB215" s="147"/>
      <c r="AC215" s="147"/>
      <c r="AD215" s="147"/>
    </row>
    <row r="216">
      <c r="A216" s="147"/>
      <c r="B216" s="147"/>
      <c r="C216" s="147"/>
      <c r="D216" s="147"/>
      <c r="E216" s="147"/>
      <c r="F216" s="147"/>
      <c r="G216" s="147"/>
      <c r="H216" s="262"/>
      <c r="I216" s="147"/>
      <c r="J216" s="147"/>
      <c r="K216" s="147"/>
      <c r="L216" s="147"/>
      <c r="M216" s="147"/>
      <c r="N216" s="147"/>
      <c r="O216" s="147"/>
      <c r="P216" s="147"/>
      <c r="Q216" s="147"/>
      <c r="R216" s="147"/>
      <c r="S216" s="147"/>
      <c r="T216" s="147"/>
      <c r="U216" s="147"/>
      <c r="V216" s="147"/>
      <c r="W216" s="147"/>
      <c r="X216" s="147"/>
      <c r="Y216" s="147"/>
      <c r="Z216" s="147"/>
      <c r="AA216" s="147"/>
      <c r="AB216" s="147"/>
      <c r="AC216" s="147"/>
      <c r="AD216" s="147"/>
    </row>
    <row r="217">
      <c r="A217" s="147"/>
      <c r="B217" s="147"/>
      <c r="C217" s="147"/>
      <c r="D217" s="147"/>
      <c r="E217" s="147"/>
      <c r="F217" s="147"/>
      <c r="G217" s="147"/>
      <c r="H217" s="262"/>
      <c r="I217" s="147"/>
      <c r="J217" s="147"/>
      <c r="K217" s="147"/>
      <c r="L217" s="147"/>
      <c r="M217" s="147"/>
      <c r="N217" s="147"/>
      <c r="O217" s="147"/>
      <c r="P217" s="147"/>
      <c r="Q217" s="147"/>
      <c r="R217" s="147"/>
      <c r="S217" s="147"/>
      <c r="T217" s="147"/>
      <c r="U217" s="147"/>
      <c r="V217" s="147"/>
      <c r="W217" s="147"/>
      <c r="X217" s="147"/>
      <c r="Y217" s="147"/>
      <c r="Z217" s="147"/>
      <c r="AA217" s="147"/>
      <c r="AB217" s="147"/>
      <c r="AC217" s="147"/>
      <c r="AD217" s="147"/>
    </row>
    <row r="218">
      <c r="A218" s="147"/>
      <c r="B218" s="147"/>
      <c r="C218" s="147"/>
      <c r="D218" s="147"/>
      <c r="E218" s="147"/>
      <c r="F218" s="147"/>
      <c r="G218" s="147"/>
      <c r="H218" s="262"/>
      <c r="I218" s="147"/>
      <c r="J218" s="147"/>
      <c r="K218" s="147"/>
      <c r="L218" s="147"/>
      <c r="M218" s="147"/>
      <c r="N218" s="147"/>
      <c r="O218" s="147"/>
      <c r="P218" s="147"/>
      <c r="Q218" s="147"/>
      <c r="R218" s="147"/>
      <c r="S218" s="147"/>
      <c r="T218" s="147"/>
      <c r="U218" s="147"/>
      <c r="V218" s="147"/>
      <c r="W218" s="147"/>
      <c r="X218" s="147"/>
      <c r="Y218" s="147"/>
      <c r="Z218" s="147"/>
      <c r="AA218" s="147"/>
      <c r="AB218" s="147"/>
      <c r="AC218" s="147"/>
      <c r="AD218" s="147"/>
    </row>
    <row r="219">
      <c r="A219" s="147"/>
      <c r="B219" s="147"/>
      <c r="C219" s="147"/>
      <c r="D219" s="147"/>
      <c r="E219" s="147"/>
      <c r="F219" s="147"/>
      <c r="G219" s="147"/>
      <c r="H219" s="262"/>
      <c r="I219" s="147"/>
      <c r="J219" s="147"/>
      <c r="K219" s="147"/>
      <c r="L219" s="147"/>
      <c r="M219" s="147"/>
      <c r="N219" s="147"/>
      <c r="O219" s="147"/>
      <c r="P219" s="147"/>
      <c r="Q219" s="147"/>
      <c r="R219" s="147"/>
      <c r="S219" s="147"/>
      <c r="T219" s="147"/>
      <c r="U219" s="147"/>
      <c r="V219" s="147"/>
      <c r="W219" s="147"/>
      <c r="X219" s="147"/>
      <c r="Y219" s="147"/>
      <c r="Z219" s="147"/>
      <c r="AA219" s="147"/>
      <c r="AB219" s="147"/>
      <c r="AC219" s="147"/>
      <c r="AD219" s="147"/>
    </row>
    <row r="220">
      <c r="A220" s="147"/>
      <c r="B220" s="147"/>
      <c r="C220" s="147"/>
      <c r="D220" s="147"/>
      <c r="E220" s="147"/>
      <c r="F220" s="147"/>
      <c r="G220" s="147"/>
      <c r="H220" s="262"/>
      <c r="I220" s="147"/>
      <c r="J220" s="147"/>
      <c r="K220" s="147"/>
      <c r="L220" s="147"/>
      <c r="M220" s="147"/>
      <c r="N220" s="147"/>
      <c r="O220" s="147"/>
      <c r="P220" s="147"/>
      <c r="Q220" s="147"/>
      <c r="R220" s="147"/>
      <c r="S220" s="147"/>
      <c r="T220" s="147"/>
      <c r="U220" s="147"/>
      <c r="V220" s="147"/>
      <c r="W220" s="147"/>
      <c r="X220" s="147"/>
      <c r="Y220" s="147"/>
      <c r="Z220" s="147"/>
      <c r="AA220" s="147"/>
      <c r="AB220" s="147"/>
      <c r="AC220" s="147"/>
      <c r="AD220" s="147"/>
    </row>
    <row r="221">
      <c r="A221" s="147"/>
      <c r="B221" s="147"/>
      <c r="C221" s="147"/>
      <c r="D221" s="147"/>
      <c r="E221" s="147"/>
      <c r="F221" s="147"/>
      <c r="G221" s="147"/>
      <c r="H221" s="262"/>
      <c r="I221" s="147"/>
      <c r="J221" s="147"/>
      <c r="K221" s="147"/>
      <c r="L221" s="147"/>
      <c r="M221" s="147"/>
      <c r="N221" s="147"/>
      <c r="O221" s="147"/>
      <c r="P221" s="147"/>
      <c r="Q221" s="147"/>
      <c r="R221" s="147"/>
      <c r="S221" s="147"/>
      <c r="T221" s="147"/>
      <c r="U221" s="147"/>
      <c r="V221" s="147"/>
      <c r="W221" s="147"/>
      <c r="X221" s="147"/>
      <c r="Y221" s="147"/>
      <c r="Z221" s="147"/>
      <c r="AA221" s="147"/>
      <c r="AB221" s="147"/>
      <c r="AC221" s="147"/>
      <c r="AD221" s="147"/>
    </row>
    <row r="222">
      <c r="A222" s="147"/>
      <c r="B222" s="147"/>
      <c r="C222" s="147"/>
      <c r="D222" s="147"/>
      <c r="E222" s="147"/>
      <c r="F222" s="147"/>
      <c r="G222" s="147"/>
      <c r="H222" s="262"/>
      <c r="I222" s="147"/>
      <c r="J222" s="147"/>
      <c r="K222" s="147"/>
      <c r="L222" s="147"/>
      <c r="M222" s="147"/>
      <c r="N222" s="147"/>
      <c r="O222" s="147"/>
      <c r="P222" s="147"/>
      <c r="Q222" s="147"/>
      <c r="R222" s="147"/>
      <c r="S222" s="147"/>
      <c r="T222" s="147"/>
      <c r="U222" s="147"/>
      <c r="V222" s="147"/>
      <c r="W222" s="147"/>
      <c r="X222" s="147"/>
      <c r="Y222" s="147"/>
      <c r="Z222" s="147"/>
      <c r="AA222" s="147"/>
      <c r="AB222" s="147"/>
      <c r="AC222" s="147"/>
      <c r="AD222" s="147"/>
    </row>
    <row r="223">
      <c r="A223" s="147"/>
      <c r="B223" s="147"/>
      <c r="C223" s="147"/>
      <c r="D223" s="147"/>
      <c r="E223" s="147"/>
      <c r="F223" s="147"/>
      <c r="G223" s="147"/>
      <c r="H223" s="262"/>
      <c r="I223" s="147"/>
      <c r="J223" s="147"/>
      <c r="K223" s="147"/>
      <c r="L223" s="147"/>
      <c r="M223" s="147"/>
      <c r="N223" s="147"/>
      <c r="O223" s="147"/>
      <c r="P223" s="147"/>
      <c r="Q223" s="147"/>
      <c r="R223" s="147"/>
      <c r="S223" s="147"/>
      <c r="T223" s="147"/>
      <c r="U223" s="147"/>
      <c r="V223" s="147"/>
      <c r="W223" s="147"/>
      <c r="X223" s="147"/>
      <c r="Y223" s="147"/>
      <c r="Z223" s="147"/>
      <c r="AA223" s="147"/>
      <c r="AB223" s="147"/>
      <c r="AC223" s="147"/>
      <c r="AD223" s="147"/>
    </row>
    <row r="224">
      <c r="A224" s="147"/>
      <c r="B224" s="147"/>
      <c r="C224" s="147"/>
      <c r="D224" s="147"/>
      <c r="E224" s="147"/>
      <c r="F224" s="147"/>
      <c r="G224" s="147"/>
      <c r="H224" s="262"/>
      <c r="I224" s="147"/>
      <c r="J224" s="147"/>
      <c r="K224" s="147"/>
      <c r="L224" s="147"/>
      <c r="M224" s="147"/>
      <c r="N224" s="147"/>
      <c r="O224" s="147"/>
      <c r="P224" s="147"/>
      <c r="Q224" s="147"/>
      <c r="R224" s="147"/>
      <c r="S224" s="147"/>
      <c r="T224" s="147"/>
      <c r="U224" s="147"/>
      <c r="V224" s="147"/>
      <c r="W224" s="147"/>
      <c r="X224" s="147"/>
      <c r="Y224" s="147"/>
      <c r="Z224" s="147"/>
      <c r="AA224" s="147"/>
      <c r="AB224" s="147"/>
      <c r="AC224" s="147"/>
      <c r="AD224" s="147"/>
    </row>
    <row r="225">
      <c r="A225" s="147"/>
      <c r="B225" s="147"/>
      <c r="C225" s="147"/>
      <c r="D225" s="147"/>
      <c r="E225" s="147"/>
      <c r="F225" s="147"/>
      <c r="G225" s="147"/>
      <c r="H225" s="262"/>
      <c r="I225" s="147"/>
      <c r="J225" s="147"/>
      <c r="K225" s="147"/>
      <c r="L225" s="147"/>
      <c r="M225" s="147"/>
      <c r="N225" s="147"/>
      <c r="O225" s="147"/>
      <c r="P225" s="147"/>
      <c r="Q225" s="147"/>
      <c r="R225" s="147"/>
      <c r="S225" s="147"/>
      <c r="T225" s="147"/>
      <c r="U225" s="147"/>
      <c r="V225" s="147"/>
      <c r="W225" s="147"/>
      <c r="X225" s="147"/>
      <c r="Y225" s="147"/>
      <c r="Z225" s="147"/>
      <c r="AA225" s="147"/>
      <c r="AB225" s="147"/>
      <c r="AC225" s="147"/>
      <c r="AD225" s="147"/>
    </row>
    <row r="226">
      <c r="A226" s="147"/>
      <c r="B226" s="147"/>
      <c r="C226" s="147"/>
      <c r="D226" s="147"/>
      <c r="E226" s="147"/>
      <c r="F226" s="147"/>
      <c r="G226" s="147"/>
      <c r="H226" s="262"/>
      <c r="I226" s="147"/>
      <c r="J226" s="147"/>
      <c r="K226" s="147"/>
      <c r="L226" s="147"/>
      <c r="M226" s="147"/>
      <c r="N226" s="147"/>
      <c r="O226" s="147"/>
      <c r="P226" s="147"/>
      <c r="Q226" s="147"/>
      <c r="R226" s="147"/>
      <c r="S226" s="147"/>
      <c r="T226" s="147"/>
      <c r="U226" s="147"/>
      <c r="V226" s="147"/>
      <c r="W226" s="147"/>
      <c r="X226" s="147"/>
      <c r="Y226" s="147"/>
      <c r="Z226" s="147"/>
      <c r="AA226" s="147"/>
      <c r="AB226" s="147"/>
      <c r="AC226" s="147"/>
      <c r="AD226" s="147"/>
    </row>
    <row r="227">
      <c r="A227" s="147"/>
      <c r="B227" s="147"/>
      <c r="C227" s="147"/>
      <c r="D227" s="147"/>
      <c r="E227" s="147"/>
      <c r="F227" s="147"/>
      <c r="G227" s="147"/>
      <c r="H227" s="262"/>
      <c r="I227" s="147"/>
      <c r="J227" s="147"/>
      <c r="K227" s="147"/>
      <c r="L227" s="147"/>
      <c r="M227" s="147"/>
      <c r="N227" s="147"/>
      <c r="O227" s="147"/>
      <c r="P227" s="147"/>
      <c r="Q227" s="147"/>
      <c r="R227" s="147"/>
      <c r="S227" s="147"/>
      <c r="T227" s="147"/>
      <c r="U227" s="147"/>
      <c r="V227" s="147"/>
      <c r="W227" s="147"/>
      <c r="X227" s="147"/>
      <c r="Y227" s="147"/>
      <c r="Z227" s="147"/>
      <c r="AA227" s="147"/>
      <c r="AB227" s="147"/>
      <c r="AC227" s="147"/>
      <c r="AD227" s="147"/>
    </row>
    <row r="228">
      <c r="A228" s="147"/>
      <c r="B228" s="147"/>
      <c r="C228" s="147"/>
      <c r="D228" s="147"/>
      <c r="E228" s="147"/>
      <c r="F228" s="147"/>
      <c r="G228" s="147"/>
      <c r="H228" s="262"/>
      <c r="I228" s="147"/>
      <c r="J228" s="147"/>
      <c r="K228" s="147"/>
      <c r="L228" s="147"/>
      <c r="M228" s="147"/>
      <c r="N228" s="147"/>
      <c r="O228" s="147"/>
      <c r="P228" s="147"/>
      <c r="Q228" s="147"/>
      <c r="R228" s="147"/>
      <c r="S228" s="147"/>
      <c r="T228" s="147"/>
      <c r="U228" s="147"/>
      <c r="V228" s="147"/>
      <c r="W228" s="147"/>
      <c r="X228" s="147"/>
      <c r="Y228" s="147"/>
      <c r="Z228" s="147"/>
      <c r="AA228" s="147"/>
      <c r="AB228" s="147"/>
      <c r="AC228" s="147"/>
      <c r="AD228" s="147"/>
    </row>
    <row r="229">
      <c r="A229" s="147"/>
      <c r="B229" s="147"/>
      <c r="C229" s="147"/>
      <c r="D229" s="147"/>
      <c r="E229" s="147"/>
      <c r="F229" s="147"/>
      <c r="G229" s="147"/>
      <c r="H229" s="262"/>
      <c r="I229" s="147"/>
      <c r="J229" s="147"/>
      <c r="K229" s="147"/>
      <c r="L229" s="147"/>
      <c r="M229" s="147"/>
      <c r="N229" s="147"/>
      <c r="O229" s="147"/>
      <c r="P229" s="147"/>
      <c r="Q229" s="147"/>
      <c r="R229" s="147"/>
      <c r="S229" s="147"/>
      <c r="T229" s="147"/>
      <c r="U229" s="147"/>
      <c r="V229" s="147"/>
      <c r="W229" s="147"/>
      <c r="X229" s="147"/>
      <c r="Y229" s="147"/>
      <c r="Z229" s="147"/>
      <c r="AA229" s="147"/>
      <c r="AB229" s="147"/>
      <c r="AC229" s="147"/>
      <c r="AD229" s="147"/>
    </row>
    <row r="230">
      <c r="A230" s="147"/>
      <c r="B230" s="147"/>
      <c r="C230" s="147"/>
      <c r="D230" s="147"/>
      <c r="E230" s="147"/>
      <c r="F230" s="147"/>
      <c r="G230" s="147"/>
      <c r="H230" s="262"/>
      <c r="I230" s="147"/>
      <c r="J230" s="147"/>
      <c r="K230" s="147"/>
      <c r="L230" s="147"/>
      <c r="M230" s="147"/>
      <c r="N230" s="147"/>
      <c r="O230" s="147"/>
      <c r="P230" s="147"/>
      <c r="Q230" s="147"/>
      <c r="R230" s="147"/>
      <c r="S230" s="147"/>
      <c r="T230" s="147"/>
      <c r="U230" s="147"/>
      <c r="V230" s="147"/>
      <c r="W230" s="147"/>
      <c r="X230" s="147"/>
      <c r="Y230" s="147"/>
      <c r="Z230" s="147"/>
      <c r="AA230" s="147"/>
      <c r="AB230" s="147"/>
      <c r="AC230" s="147"/>
      <c r="AD230" s="147"/>
    </row>
    <row r="231">
      <c r="A231" s="147"/>
      <c r="B231" s="147"/>
      <c r="C231" s="147"/>
      <c r="D231" s="147"/>
      <c r="E231" s="147"/>
      <c r="F231" s="147"/>
      <c r="G231" s="147"/>
      <c r="H231" s="262"/>
      <c r="I231" s="147"/>
      <c r="J231" s="147"/>
      <c r="K231" s="147"/>
      <c r="L231" s="147"/>
      <c r="M231" s="147"/>
      <c r="N231" s="147"/>
      <c r="O231" s="147"/>
      <c r="P231" s="147"/>
      <c r="Q231" s="147"/>
      <c r="R231" s="147"/>
      <c r="S231" s="147"/>
      <c r="T231" s="147"/>
      <c r="U231" s="147"/>
      <c r="V231" s="147"/>
      <c r="W231" s="147"/>
      <c r="X231" s="147"/>
      <c r="Y231" s="147"/>
      <c r="Z231" s="147"/>
      <c r="AA231" s="147"/>
      <c r="AB231" s="147"/>
      <c r="AC231" s="147"/>
      <c r="AD231" s="147"/>
    </row>
    <row r="232">
      <c r="A232" s="147"/>
      <c r="B232" s="147"/>
      <c r="C232" s="147"/>
      <c r="D232" s="147"/>
      <c r="E232" s="147"/>
      <c r="F232" s="147"/>
      <c r="G232" s="147"/>
      <c r="H232" s="262"/>
      <c r="I232" s="147"/>
      <c r="J232" s="147"/>
      <c r="K232" s="147"/>
      <c r="L232" s="147"/>
      <c r="M232" s="147"/>
      <c r="N232" s="147"/>
      <c r="O232" s="147"/>
      <c r="P232" s="147"/>
      <c r="Q232" s="147"/>
      <c r="R232" s="147"/>
      <c r="S232" s="147"/>
      <c r="T232" s="147"/>
      <c r="U232" s="147"/>
      <c r="V232" s="147"/>
      <c r="W232" s="147"/>
      <c r="X232" s="147"/>
      <c r="Y232" s="147"/>
      <c r="Z232" s="147"/>
      <c r="AA232" s="147"/>
      <c r="AB232" s="147"/>
      <c r="AC232" s="147"/>
      <c r="AD232" s="147"/>
    </row>
    <row r="233">
      <c r="A233" s="147"/>
      <c r="B233" s="147"/>
      <c r="C233" s="147"/>
      <c r="D233" s="147"/>
      <c r="E233" s="147"/>
      <c r="F233" s="147"/>
      <c r="G233" s="147"/>
      <c r="H233" s="262"/>
      <c r="I233" s="147"/>
      <c r="J233" s="147"/>
      <c r="K233" s="147"/>
      <c r="L233" s="147"/>
      <c r="M233" s="147"/>
      <c r="N233" s="147"/>
      <c r="O233" s="147"/>
      <c r="P233" s="147"/>
      <c r="Q233" s="147"/>
      <c r="R233" s="147"/>
      <c r="S233" s="147"/>
      <c r="T233" s="147"/>
      <c r="U233" s="147"/>
      <c r="V233" s="147"/>
      <c r="W233" s="147"/>
      <c r="X233" s="147"/>
      <c r="Y233" s="147"/>
      <c r="Z233" s="147"/>
      <c r="AA233" s="147"/>
      <c r="AB233" s="147"/>
      <c r="AC233" s="147"/>
      <c r="AD233" s="147"/>
    </row>
    <row r="234">
      <c r="A234" s="147"/>
      <c r="B234" s="147"/>
      <c r="C234" s="147"/>
      <c r="D234" s="147"/>
      <c r="E234" s="147"/>
      <c r="F234" s="147"/>
      <c r="G234" s="147"/>
      <c r="H234" s="262"/>
      <c r="I234" s="147"/>
      <c r="J234" s="147"/>
      <c r="K234" s="147"/>
      <c r="L234" s="147"/>
      <c r="M234" s="147"/>
      <c r="N234" s="147"/>
      <c r="O234" s="147"/>
      <c r="P234" s="147"/>
      <c r="Q234" s="147"/>
      <c r="R234" s="147"/>
      <c r="S234" s="147"/>
      <c r="T234" s="147"/>
      <c r="U234" s="147"/>
      <c r="V234" s="147"/>
      <c r="W234" s="147"/>
      <c r="X234" s="147"/>
      <c r="Y234" s="147"/>
      <c r="Z234" s="147"/>
      <c r="AA234" s="147"/>
      <c r="AB234" s="147"/>
      <c r="AC234" s="147"/>
      <c r="AD234" s="147"/>
    </row>
    <row r="235">
      <c r="A235" s="147"/>
      <c r="B235" s="147"/>
      <c r="C235" s="147"/>
      <c r="D235" s="147"/>
      <c r="E235" s="147"/>
      <c r="F235" s="147"/>
      <c r="G235" s="147"/>
      <c r="H235" s="262"/>
      <c r="I235" s="147"/>
      <c r="J235" s="147"/>
      <c r="K235" s="147"/>
      <c r="L235" s="147"/>
      <c r="M235" s="147"/>
      <c r="N235" s="147"/>
      <c r="O235" s="147"/>
      <c r="P235" s="147"/>
      <c r="Q235" s="147"/>
      <c r="R235" s="147"/>
      <c r="S235" s="147"/>
      <c r="T235" s="147"/>
      <c r="U235" s="147"/>
      <c r="V235" s="147"/>
      <c r="W235" s="147"/>
      <c r="X235" s="147"/>
      <c r="Y235" s="147"/>
      <c r="Z235" s="147"/>
      <c r="AA235" s="147"/>
      <c r="AB235" s="147"/>
      <c r="AC235" s="147"/>
      <c r="AD235" s="147"/>
    </row>
    <row r="236">
      <c r="A236" s="147"/>
      <c r="B236" s="147"/>
      <c r="C236" s="147"/>
      <c r="D236" s="147"/>
      <c r="E236" s="147"/>
      <c r="F236" s="147"/>
      <c r="G236" s="147"/>
      <c r="H236" s="262"/>
      <c r="I236" s="147"/>
      <c r="J236" s="147"/>
      <c r="K236" s="147"/>
      <c r="L236" s="147"/>
      <c r="M236" s="147"/>
      <c r="N236" s="147"/>
      <c r="O236" s="147"/>
      <c r="P236" s="147"/>
      <c r="Q236" s="147"/>
      <c r="R236" s="147"/>
      <c r="S236" s="147"/>
      <c r="T236" s="147"/>
      <c r="U236" s="147"/>
      <c r="V236" s="147"/>
      <c r="W236" s="147"/>
      <c r="X236" s="147"/>
      <c r="Y236" s="147"/>
      <c r="Z236" s="147"/>
      <c r="AA236" s="147"/>
      <c r="AB236" s="147"/>
      <c r="AC236" s="147"/>
      <c r="AD236" s="147"/>
    </row>
    <row r="237">
      <c r="A237" s="147"/>
      <c r="B237" s="147"/>
      <c r="C237" s="147"/>
      <c r="D237" s="147"/>
      <c r="E237" s="147"/>
      <c r="F237" s="147"/>
      <c r="G237" s="147"/>
      <c r="H237" s="262"/>
      <c r="I237" s="147"/>
      <c r="J237" s="147"/>
      <c r="K237" s="147"/>
      <c r="L237" s="147"/>
      <c r="M237" s="147"/>
      <c r="N237" s="147"/>
      <c r="O237" s="147"/>
      <c r="P237" s="147"/>
      <c r="Q237" s="147"/>
      <c r="R237" s="147"/>
      <c r="S237" s="147"/>
      <c r="T237" s="147"/>
      <c r="U237" s="147"/>
      <c r="V237" s="147"/>
      <c r="W237" s="147"/>
      <c r="X237" s="147"/>
      <c r="Y237" s="147"/>
      <c r="Z237" s="147"/>
      <c r="AA237" s="147"/>
      <c r="AB237" s="147"/>
      <c r="AC237" s="147"/>
      <c r="AD237" s="147"/>
    </row>
    <row r="238">
      <c r="A238" s="147"/>
      <c r="B238" s="147"/>
      <c r="C238" s="147"/>
      <c r="D238" s="147"/>
      <c r="E238" s="147"/>
      <c r="F238" s="147"/>
      <c r="G238" s="147"/>
      <c r="H238" s="262"/>
      <c r="I238" s="147"/>
      <c r="J238" s="147"/>
      <c r="K238" s="147"/>
      <c r="L238" s="147"/>
      <c r="M238" s="147"/>
      <c r="N238" s="147"/>
      <c r="O238" s="147"/>
      <c r="P238" s="147"/>
      <c r="Q238" s="147"/>
      <c r="R238" s="147"/>
      <c r="S238" s="147"/>
      <c r="T238" s="147"/>
      <c r="U238" s="147"/>
      <c r="V238" s="147"/>
      <c r="W238" s="147"/>
      <c r="X238" s="147"/>
      <c r="Y238" s="147"/>
      <c r="Z238" s="147"/>
      <c r="AA238" s="147"/>
      <c r="AB238" s="147"/>
      <c r="AC238" s="147"/>
      <c r="AD238" s="147"/>
    </row>
    <row r="239">
      <c r="A239" s="147"/>
      <c r="B239" s="147"/>
      <c r="C239" s="147"/>
      <c r="D239" s="147"/>
      <c r="E239" s="147"/>
      <c r="F239" s="147"/>
      <c r="G239" s="147"/>
      <c r="H239" s="262"/>
      <c r="I239" s="147"/>
      <c r="J239" s="147"/>
      <c r="K239" s="147"/>
      <c r="L239" s="147"/>
      <c r="M239" s="147"/>
      <c r="N239" s="147"/>
      <c r="O239" s="147"/>
      <c r="P239" s="147"/>
      <c r="Q239" s="147"/>
      <c r="R239" s="147"/>
      <c r="S239" s="147"/>
      <c r="T239" s="147"/>
      <c r="U239" s="147"/>
      <c r="V239" s="147"/>
      <c r="W239" s="147"/>
      <c r="X239" s="147"/>
      <c r="Y239" s="147"/>
      <c r="Z239" s="147"/>
      <c r="AA239" s="147"/>
      <c r="AB239" s="147"/>
      <c r="AC239" s="147"/>
      <c r="AD239" s="147"/>
    </row>
    <row r="240">
      <c r="A240" s="147"/>
      <c r="B240" s="147"/>
      <c r="C240" s="147"/>
      <c r="D240" s="147"/>
      <c r="E240" s="147"/>
      <c r="F240" s="147"/>
      <c r="G240" s="147"/>
      <c r="H240" s="262"/>
      <c r="I240" s="147"/>
      <c r="J240" s="147"/>
      <c r="K240" s="147"/>
      <c r="L240" s="147"/>
      <c r="M240" s="147"/>
      <c r="N240" s="147"/>
      <c r="O240" s="147"/>
      <c r="P240" s="147"/>
      <c r="Q240" s="147"/>
      <c r="R240" s="147"/>
      <c r="S240" s="147"/>
      <c r="T240" s="147"/>
      <c r="U240" s="147"/>
      <c r="V240" s="147"/>
      <c r="W240" s="147"/>
      <c r="X240" s="147"/>
      <c r="Y240" s="147"/>
      <c r="Z240" s="147"/>
      <c r="AA240" s="147"/>
      <c r="AB240" s="147"/>
      <c r="AC240" s="147"/>
      <c r="AD240" s="147"/>
    </row>
    <row r="241">
      <c r="A241" s="147"/>
      <c r="B241" s="147"/>
      <c r="C241" s="147"/>
      <c r="D241" s="147"/>
      <c r="E241" s="147"/>
      <c r="F241" s="147"/>
      <c r="G241" s="147"/>
      <c r="H241" s="262"/>
      <c r="I241" s="147"/>
      <c r="J241" s="147"/>
      <c r="K241" s="147"/>
      <c r="L241" s="147"/>
      <c r="M241" s="147"/>
      <c r="N241" s="147"/>
      <c r="O241" s="147"/>
      <c r="P241" s="147"/>
      <c r="Q241" s="147"/>
      <c r="R241" s="147"/>
      <c r="S241" s="147"/>
      <c r="T241" s="147"/>
      <c r="U241" s="147"/>
      <c r="V241" s="147"/>
      <c r="W241" s="147"/>
      <c r="X241" s="147"/>
      <c r="Y241" s="147"/>
      <c r="Z241" s="147"/>
      <c r="AA241" s="147"/>
      <c r="AB241" s="147"/>
      <c r="AC241" s="147"/>
      <c r="AD241" s="147"/>
    </row>
    <row r="242">
      <c r="A242" s="147"/>
      <c r="B242" s="147"/>
      <c r="C242" s="147"/>
      <c r="D242" s="147"/>
      <c r="E242" s="147"/>
      <c r="F242" s="147"/>
      <c r="G242" s="147"/>
      <c r="H242" s="262"/>
      <c r="I242" s="147"/>
      <c r="J242" s="147"/>
      <c r="K242" s="147"/>
      <c r="L242" s="147"/>
      <c r="M242" s="147"/>
      <c r="N242" s="147"/>
      <c r="O242" s="147"/>
      <c r="P242" s="147"/>
      <c r="Q242" s="147"/>
      <c r="R242" s="147"/>
      <c r="S242" s="147"/>
      <c r="T242" s="147"/>
      <c r="U242" s="147"/>
      <c r="V242" s="147"/>
      <c r="W242" s="147"/>
      <c r="X242" s="147"/>
      <c r="Y242" s="147"/>
      <c r="Z242" s="147"/>
      <c r="AA242" s="147"/>
      <c r="AB242" s="147"/>
      <c r="AC242" s="147"/>
      <c r="AD242" s="147"/>
    </row>
    <row r="243">
      <c r="A243" s="147"/>
      <c r="B243" s="147"/>
      <c r="C243" s="147"/>
      <c r="D243" s="147"/>
      <c r="E243" s="147"/>
      <c r="F243" s="147"/>
      <c r="G243" s="147"/>
      <c r="H243" s="262"/>
      <c r="I243" s="147"/>
      <c r="J243" s="147"/>
      <c r="K243" s="147"/>
      <c r="L243" s="147"/>
      <c r="M243" s="147"/>
      <c r="N243" s="147"/>
      <c r="O243" s="147"/>
      <c r="P243" s="147"/>
      <c r="Q243" s="147"/>
      <c r="R243" s="147"/>
      <c r="S243" s="147"/>
      <c r="T243" s="147"/>
      <c r="U243" s="147"/>
      <c r="V243" s="147"/>
      <c r="W243" s="147"/>
      <c r="X243" s="147"/>
      <c r="Y243" s="147"/>
      <c r="Z243" s="147"/>
      <c r="AA243" s="147"/>
      <c r="AB243" s="147"/>
      <c r="AC243" s="147"/>
      <c r="AD243" s="147"/>
    </row>
    <row r="244">
      <c r="A244" s="147"/>
      <c r="B244" s="147"/>
      <c r="C244" s="147"/>
      <c r="D244" s="147"/>
      <c r="E244" s="147"/>
      <c r="F244" s="147"/>
      <c r="G244" s="147"/>
      <c r="H244" s="262"/>
      <c r="I244" s="147"/>
      <c r="J244" s="147"/>
      <c r="K244" s="147"/>
      <c r="L244" s="147"/>
      <c r="M244" s="147"/>
      <c r="N244" s="147"/>
      <c r="O244" s="147"/>
      <c r="P244" s="147"/>
      <c r="Q244" s="147"/>
      <c r="R244" s="147"/>
      <c r="S244" s="147"/>
      <c r="T244" s="147"/>
      <c r="U244" s="147"/>
      <c r="V244" s="147"/>
      <c r="W244" s="147"/>
      <c r="X244" s="147"/>
      <c r="Y244" s="147"/>
      <c r="Z244" s="147"/>
      <c r="AA244" s="147"/>
      <c r="AB244" s="147"/>
      <c r="AC244" s="147"/>
      <c r="AD244" s="147"/>
    </row>
    <row r="245">
      <c r="A245" s="147"/>
      <c r="B245" s="147"/>
      <c r="C245" s="147"/>
      <c r="D245" s="147"/>
      <c r="E245" s="147"/>
      <c r="F245" s="147"/>
      <c r="G245" s="147"/>
      <c r="H245" s="262"/>
      <c r="I245" s="147"/>
      <c r="J245" s="147"/>
      <c r="K245" s="147"/>
      <c r="L245" s="147"/>
      <c r="M245" s="147"/>
      <c r="N245" s="147"/>
      <c r="O245" s="147"/>
      <c r="P245" s="147"/>
      <c r="Q245" s="147"/>
      <c r="R245" s="147"/>
      <c r="S245" s="147"/>
      <c r="T245" s="147"/>
      <c r="U245" s="147"/>
      <c r="V245" s="147"/>
      <c r="W245" s="147"/>
      <c r="X245" s="147"/>
      <c r="Y245" s="147"/>
      <c r="Z245" s="147"/>
      <c r="AA245" s="147"/>
      <c r="AB245" s="147"/>
      <c r="AC245" s="147"/>
      <c r="AD245" s="147"/>
    </row>
    <row r="246">
      <c r="A246" s="147"/>
      <c r="B246" s="147"/>
      <c r="C246" s="147"/>
      <c r="D246" s="147"/>
      <c r="E246" s="147"/>
      <c r="F246" s="147"/>
      <c r="G246" s="147"/>
      <c r="H246" s="262"/>
      <c r="I246" s="147"/>
      <c r="J246" s="147"/>
      <c r="K246" s="147"/>
      <c r="L246" s="147"/>
      <c r="M246" s="147"/>
      <c r="N246" s="147"/>
      <c r="O246" s="147"/>
      <c r="P246" s="147"/>
      <c r="Q246" s="147"/>
      <c r="R246" s="147"/>
      <c r="S246" s="147"/>
      <c r="T246" s="147"/>
      <c r="U246" s="147"/>
      <c r="V246" s="147"/>
      <c r="W246" s="147"/>
      <c r="X246" s="147"/>
      <c r="Y246" s="147"/>
      <c r="Z246" s="147"/>
      <c r="AA246" s="147"/>
      <c r="AB246" s="147"/>
      <c r="AC246" s="147"/>
      <c r="AD246" s="147"/>
    </row>
    <row r="247">
      <c r="A247" s="147"/>
      <c r="B247" s="147"/>
      <c r="C247" s="147"/>
      <c r="D247" s="147"/>
      <c r="E247" s="147"/>
      <c r="F247" s="147"/>
      <c r="G247" s="147"/>
      <c r="H247" s="262"/>
      <c r="I247" s="147"/>
      <c r="J247" s="147"/>
      <c r="K247" s="147"/>
      <c r="L247" s="147"/>
      <c r="M247" s="147"/>
      <c r="N247" s="147"/>
      <c r="O247" s="147"/>
      <c r="P247" s="147"/>
      <c r="Q247" s="147"/>
      <c r="R247" s="147"/>
      <c r="S247" s="147"/>
      <c r="T247" s="147"/>
      <c r="U247" s="147"/>
      <c r="V247" s="147"/>
      <c r="W247" s="147"/>
      <c r="X247" s="147"/>
      <c r="Y247" s="147"/>
      <c r="Z247" s="147"/>
      <c r="AA247" s="147"/>
      <c r="AB247" s="147"/>
      <c r="AC247" s="147"/>
      <c r="AD247" s="147"/>
    </row>
    <row r="248">
      <c r="A248" s="147"/>
      <c r="B248" s="147"/>
      <c r="C248" s="147"/>
      <c r="D248" s="147"/>
      <c r="E248" s="147"/>
      <c r="F248" s="147"/>
      <c r="G248" s="147"/>
      <c r="H248" s="262"/>
      <c r="I248" s="147"/>
      <c r="J248" s="147"/>
      <c r="K248" s="147"/>
      <c r="L248" s="147"/>
      <c r="M248" s="147"/>
      <c r="N248" s="147"/>
      <c r="O248" s="147"/>
      <c r="P248" s="147"/>
      <c r="Q248" s="147"/>
      <c r="R248" s="147"/>
      <c r="S248" s="147"/>
      <c r="T248" s="147"/>
      <c r="U248" s="147"/>
      <c r="V248" s="147"/>
      <c r="W248" s="147"/>
      <c r="X248" s="147"/>
      <c r="Y248" s="147"/>
      <c r="Z248" s="147"/>
      <c r="AA248" s="147"/>
      <c r="AB248" s="147"/>
      <c r="AC248" s="147"/>
      <c r="AD248" s="147"/>
    </row>
    <row r="249">
      <c r="A249" s="147"/>
      <c r="B249" s="147"/>
      <c r="C249" s="147"/>
      <c r="D249" s="147"/>
      <c r="E249" s="147"/>
      <c r="F249" s="147"/>
      <c r="G249" s="147"/>
      <c r="H249" s="262"/>
      <c r="I249" s="147"/>
      <c r="J249" s="147"/>
      <c r="K249" s="147"/>
      <c r="L249" s="147"/>
      <c r="M249" s="147"/>
      <c r="N249" s="147"/>
      <c r="O249" s="147"/>
      <c r="P249" s="147"/>
      <c r="Q249" s="147"/>
      <c r="R249" s="147"/>
      <c r="S249" s="147"/>
      <c r="T249" s="147"/>
      <c r="U249" s="147"/>
      <c r="V249" s="147"/>
      <c r="W249" s="147"/>
      <c r="X249" s="147"/>
      <c r="Y249" s="147"/>
      <c r="Z249" s="147"/>
      <c r="AA249" s="147"/>
      <c r="AB249" s="147"/>
      <c r="AC249" s="147"/>
      <c r="AD249" s="147"/>
    </row>
    <row r="250">
      <c r="A250" s="147"/>
      <c r="B250" s="147"/>
      <c r="C250" s="147"/>
      <c r="D250" s="147"/>
      <c r="E250" s="147"/>
      <c r="F250" s="147"/>
      <c r="G250" s="147"/>
      <c r="H250" s="262"/>
      <c r="I250" s="147"/>
      <c r="J250" s="147"/>
      <c r="K250" s="147"/>
      <c r="L250" s="147"/>
      <c r="M250" s="147"/>
      <c r="N250" s="147"/>
      <c r="O250" s="147"/>
      <c r="P250" s="147"/>
      <c r="Q250" s="147"/>
      <c r="R250" s="147"/>
      <c r="S250" s="147"/>
      <c r="T250" s="147"/>
      <c r="U250" s="147"/>
      <c r="V250" s="147"/>
      <c r="W250" s="147"/>
      <c r="X250" s="147"/>
      <c r="Y250" s="147"/>
      <c r="Z250" s="147"/>
      <c r="AA250" s="147"/>
      <c r="AB250" s="147"/>
      <c r="AC250" s="147"/>
      <c r="AD250" s="147"/>
    </row>
    <row r="251">
      <c r="A251" s="147"/>
      <c r="B251" s="147"/>
      <c r="C251" s="147"/>
      <c r="D251" s="147"/>
      <c r="E251" s="147"/>
      <c r="F251" s="147"/>
      <c r="G251" s="147"/>
      <c r="H251" s="262"/>
      <c r="I251" s="147"/>
      <c r="J251" s="147"/>
      <c r="K251" s="147"/>
      <c r="L251" s="147"/>
      <c r="M251" s="147"/>
      <c r="N251" s="147"/>
      <c r="O251" s="147"/>
      <c r="P251" s="147"/>
      <c r="Q251" s="147"/>
      <c r="R251" s="147"/>
      <c r="S251" s="147"/>
      <c r="T251" s="147"/>
      <c r="U251" s="147"/>
      <c r="V251" s="147"/>
      <c r="W251" s="147"/>
      <c r="X251" s="147"/>
      <c r="Y251" s="147"/>
      <c r="Z251" s="147"/>
      <c r="AA251" s="147"/>
      <c r="AB251" s="147"/>
      <c r="AC251" s="147"/>
      <c r="AD251" s="147"/>
    </row>
    <row r="252">
      <c r="A252" s="147"/>
      <c r="B252" s="147"/>
      <c r="C252" s="147"/>
      <c r="D252" s="147"/>
      <c r="E252" s="147"/>
      <c r="F252" s="147"/>
      <c r="G252" s="147"/>
      <c r="H252" s="262"/>
      <c r="I252" s="147"/>
      <c r="J252" s="147"/>
      <c r="K252" s="147"/>
      <c r="L252" s="147"/>
      <c r="M252" s="147"/>
      <c r="N252" s="147"/>
      <c r="O252" s="147"/>
      <c r="P252" s="147"/>
      <c r="Q252" s="147"/>
      <c r="R252" s="147"/>
      <c r="S252" s="147"/>
      <c r="T252" s="147"/>
      <c r="U252" s="147"/>
      <c r="V252" s="147"/>
      <c r="W252" s="147"/>
      <c r="X252" s="147"/>
      <c r="Y252" s="147"/>
      <c r="Z252" s="147"/>
      <c r="AA252" s="147"/>
      <c r="AB252" s="147"/>
      <c r="AC252" s="147"/>
      <c r="AD252" s="147"/>
    </row>
    <row r="253">
      <c r="A253" s="147"/>
      <c r="B253" s="147"/>
      <c r="C253" s="147"/>
      <c r="D253" s="147"/>
      <c r="E253" s="147"/>
      <c r="F253" s="147"/>
      <c r="G253" s="147"/>
      <c r="H253" s="262"/>
      <c r="I253" s="147"/>
      <c r="J253" s="147"/>
      <c r="K253" s="147"/>
      <c r="L253" s="147"/>
      <c r="M253" s="147"/>
      <c r="N253" s="147"/>
      <c r="O253" s="147"/>
      <c r="P253" s="147"/>
      <c r="Q253" s="147"/>
      <c r="R253" s="147"/>
      <c r="S253" s="147"/>
      <c r="T253" s="147"/>
      <c r="U253" s="147"/>
      <c r="V253" s="147"/>
      <c r="W253" s="147"/>
      <c r="X253" s="147"/>
      <c r="Y253" s="147"/>
      <c r="Z253" s="147"/>
      <c r="AA253" s="147"/>
      <c r="AB253" s="147"/>
      <c r="AC253" s="147"/>
      <c r="AD253" s="147"/>
    </row>
    <row r="254">
      <c r="A254" s="147"/>
      <c r="B254" s="147"/>
      <c r="C254" s="147"/>
      <c r="D254" s="147"/>
      <c r="E254" s="147"/>
      <c r="F254" s="147"/>
      <c r="G254" s="147"/>
      <c r="H254" s="262"/>
      <c r="I254" s="147"/>
      <c r="J254" s="147"/>
      <c r="K254" s="147"/>
      <c r="L254" s="147"/>
      <c r="M254" s="147"/>
      <c r="N254" s="147"/>
      <c r="O254" s="147"/>
      <c r="P254" s="147"/>
      <c r="Q254" s="147"/>
      <c r="R254" s="147"/>
      <c r="S254" s="147"/>
      <c r="T254" s="147"/>
      <c r="U254" s="147"/>
      <c r="V254" s="147"/>
      <c r="W254" s="147"/>
      <c r="X254" s="147"/>
      <c r="Y254" s="147"/>
      <c r="Z254" s="147"/>
      <c r="AA254" s="147"/>
      <c r="AB254" s="147"/>
      <c r="AC254" s="147"/>
      <c r="AD254" s="147"/>
    </row>
    <row r="255">
      <c r="A255" s="147"/>
      <c r="B255" s="147"/>
      <c r="C255" s="147"/>
      <c r="D255" s="147"/>
      <c r="E255" s="147"/>
      <c r="F255" s="147"/>
      <c r="G255" s="147"/>
      <c r="H255" s="262"/>
      <c r="I255" s="147"/>
      <c r="J255" s="147"/>
      <c r="K255" s="147"/>
      <c r="L255" s="147"/>
      <c r="M255" s="147"/>
      <c r="N255" s="147"/>
      <c r="O255" s="147"/>
      <c r="P255" s="147"/>
      <c r="Q255" s="147"/>
      <c r="R255" s="147"/>
      <c r="S255" s="147"/>
      <c r="T255" s="147"/>
      <c r="U255" s="147"/>
      <c r="V255" s="147"/>
      <c r="W255" s="147"/>
      <c r="X255" s="147"/>
      <c r="Y255" s="147"/>
      <c r="Z255" s="147"/>
      <c r="AA255" s="147"/>
      <c r="AB255" s="147"/>
      <c r="AC255" s="147"/>
      <c r="AD255" s="147"/>
    </row>
    <row r="256">
      <c r="A256" s="147"/>
      <c r="B256" s="147"/>
      <c r="C256" s="147"/>
      <c r="D256" s="147"/>
      <c r="E256" s="147"/>
      <c r="F256" s="147"/>
      <c r="G256" s="147"/>
      <c r="H256" s="262"/>
      <c r="I256" s="147"/>
      <c r="J256" s="147"/>
      <c r="K256" s="147"/>
      <c r="L256" s="147"/>
      <c r="M256" s="147"/>
      <c r="N256" s="147"/>
      <c r="O256" s="147"/>
      <c r="P256" s="147"/>
      <c r="Q256" s="147"/>
      <c r="R256" s="147"/>
      <c r="S256" s="147"/>
      <c r="T256" s="147"/>
      <c r="U256" s="147"/>
      <c r="V256" s="147"/>
      <c r="W256" s="147"/>
      <c r="X256" s="147"/>
      <c r="Y256" s="147"/>
      <c r="Z256" s="147"/>
      <c r="AA256" s="147"/>
      <c r="AB256" s="147"/>
      <c r="AC256" s="147"/>
      <c r="AD256" s="147"/>
    </row>
    <row r="257">
      <c r="A257" s="147"/>
      <c r="B257" s="147"/>
      <c r="C257" s="147"/>
      <c r="D257" s="147"/>
      <c r="E257" s="147"/>
      <c r="F257" s="147"/>
      <c r="G257" s="147"/>
      <c r="H257" s="262"/>
      <c r="I257" s="147"/>
      <c r="J257" s="147"/>
      <c r="K257" s="147"/>
      <c r="L257" s="147"/>
      <c r="M257" s="147"/>
      <c r="N257" s="147"/>
      <c r="O257" s="147"/>
      <c r="P257" s="147"/>
      <c r="Q257" s="147"/>
      <c r="R257" s="147"/>
      <c r="S257" s="147"/>
      <c r="T257" s="147"/>
      <c r="U257" s="147"/>
      <c r="V257" s="147"/>
      <c r="W257" s="147"/>
      <c r="X257" s="147"/>
      <c r="Y257" s="147"/>
      <c r="Z257" s="147"/>
      <c r="AA257" s="147"/>
      <c r="AB257" s="147"/>
      <c r="AC257" s="147"/>
      <c r="AD257" s="147"/>
    </row>
    <row r="258">
      <c r="A258" s="147"/>
      <c r="B258" s="147"/>
      <c r="C258" s="147"/>
      <c r="D258" s="147"/>
      <c r="E258" s="147"/>
      <c r="F258" s="147"/>
      <c r="G258" s="147"/>
      <c r="H258" s="262"/>
      <c r="I258" s="147"/>
      <c r="J258" s="147"/>
      <c r="K258" s="147"/>
      <c r="L258" s="147"/>
      <c r="M258" s="147"/>
      <c r="N258" s="147"/>
      <c r="O258" s="147"/>
      <c r="P258" s="147"/>
      <c r="Q258" s="147"/>
      <c r="R258" s="147"/>
      <c r="S258" s="147"/>
      <c r="T258" s="147"/>
      <c r="U258" s="147"/>
      <c r="V258" s="147"/>
      <c r="W258" s="147"/>
      <c r="X258" s="147"/>
      <c r="Y258" s="147"/>
      <c r="Z258" s="147"/>
      <c r="AA258" s="147"/>
      <c r="AB258" s="147"/>
      <c r="AC258" s="147"/>
      <c r="AD258" s="147"/>
    </row>
    <row r="259">
      <c r="A259" s="147"/>
      <c r="B259" s="147"/>
      <c r="C259" s="147"/>
      <c r="D259" s="147"/>
      <c r="E259" s="147"/>
      <c r="F259" s="147"/>
      <c r="G259" s="147"/>
      <c r="H259" s="262"/>
      <c r="I259" s="147"/>
      <c r="J259" s="147"/>
      <c r="K259" s="147"/>
      <c r="L259" s="147"/>
      <c r="M259" s="147"/>
      <c r="N259" s="147"/>
      <c r="O259" s="147"/>
      <c r="P259" s="147"/>
      <c r="Q259" s="147"/>
      <c r="R259" s="147"/>
      <c r="S259" s="147"/>
      <c r="T259" s="147"/>
      <c r="U259" s="147"/>
      <c r="V259" s="147"/>
      <c r="W259" s="147"/>
      <c r="X259" s="147"/>
      <c r="Y259" s="147"/>
      <c r="Z259" s="147"/>
      <c r="AA259" s="147"/>
      <c r="AB259" s="147"/>
      <c r="AC259" s="147"/>
      <c r="AD259" s="147"/>
    </row>
    <row r="260">
      <c r="A260" s="147"/>
      <c r="B260" s="147"/>
      <c r="C260" s="147"/>
      <c r="D260" s="147"/>
      <c r="E260" s="147"/>
      <c r="F260" s="147"/>
      <c r="G260" s="147"/>
      <c r="H260" s="262"/>
      <c r="I260" s="147"/>
      <c r="J260" s="147"/>
      <c r="K260" s="147"/>
      <c r="L260" s="147"/>
      <c r="M260" s="147"/>
      <c r="N260" s="147"/>
      <c r="O260" s="147"/>
      <c r="P260" s="147"/>
      <c r="Q260" s="147"/>
      <c r="R260" s="147"/>
      <c r="S260" s="147"/>
      <c r="T260" s="147"/>
      <c r="U260" s="147"/>
      <c r="V260" s="147"/>
      <c r="W260" s="147"/>
      <c r="X260" s="147"/>
      <c r="Y260" s="147"/>
      <c r="Z260" s="147"/>
      <c r="AA260" s="147"/>
      <c r="AB260" s="147"/>
      <c r="AC260" s="147"/>
      <c r="AD260" s="147"/>
    </row>
    <row r="261">
      <c r="A261" s="147"/>
      <c r="B261" s="147"/>
      <c r="C261" s="147"/>
      <c r="D261" s="147"/>
      <c r="E261" s="147"/>
      <c r="F261" s="147"/>
      <c r="G261" s="147"/>
      <c r="H261" s="262"/>
      <c r="I261" s="147"/>
      <c r="J261" s="147"/>
      <c r="K261" s="147"/>
      <c r="L261" s="147"/>
      <c r="M261" s="147"/>
      <c r="N261" s="147"/>
      <c r="O261" s="147"/>
      <c r="P261" s="147"/>
      <c r="Q261" s="147"/>
      <c r="R261" s="147"/>
      <c r="S261" s="147"/>
      <c r="T261" s="147"/>
      <c r="U261" s="147"/>
      <c r="V261" s="147"/>
      <c r="W261" s="147"/>
      <c r="X261" s="147"/>
      <c r="Y261" s="147"/>
      <c r="Z261" s="147"/>
      <c r="AA261" s="147"/>
      <c r="AB261" s="147"/>
      <c r="AC261" s="147"/>
      <c r="AD261" s="147"/>
    </row>
    <row r="262">
      <c r="A262" s="147"/>
      <c r="B262" s="147"/>
      <c r="C262" s="147"/>
      <c r="D262" s="147"/>
      <c r="E262" s="147"/>
      <c r="F262" s="147"/>
      <c r="G262" s="147"/>
      <c r="H262" s="262"/>
      <c r="I262" s="147"/>
      <c r="J262" s="147"/>
      <c r="K262" s="147"/>
      <c r="L262" s="147"/>
      <c r="M262" s="147"/>
      <c r="N262" s="147"/>
      <c r="O262" s="147"/>
      <c r="P262" s="147"/>
      <c r="Q262" s="147"/>
      <c r="R262" s="147"/>
      <c r="S262" s="147"/>
      <c r="T262" s="147"/>
      <c r="U262" s="147"/>
      <c r="V262" s="147"/>
      <c r="W262" s="147"/>
      <c r="X262" s="147"/>
      <c r="Y262" s="147"/>
      <c r="Z262" s="147"/>
      <c r="AA262" s="147"/>
      <c r="AB262" s="147"/>
      <c r="AC262" s="147"/>
      <c r="AD262" s="147"/>
    </row>
    <row r="263">
      <c r="A263" s="147"/>
      <c r="B263" s="147"/>
      <c r="C263" s="147"/>
      <c r="D263" s="147"/>
      <c r="E263" s="147"/>
      <c r="F263" s="147"/>
      <c r="G263" s="147"/>
      <c r="H263" s="262"/>
      <c r="I263" s="147"/>
      <c r="J263" s="147"/>
      <c r="K263" s="147"/>
      <c r="L263" s="147"/>
      <c r="M263" s="147"/>
      <c r="N263" s="147"/>
      <c r="O263" s="147"/>
      <c r="P263" s="147"/>
      <c r="Q263" s="147"/>
      <c r="R263" s="147"/>
      <c r="S263" s="147"/>
      <c r="T263" s="147"/>
      <c r="U263" s="147"/>
      <c r="V263" s="147"/>
      <c r="W263" s="147"/>
      <c r="X263" s="147"/>
      <c r="Y263" s="147"/>
      <c r="Z263" s="147"/>
      <c r="AA263" s="147"/>
      <c r="AB263" s="147"/>
      <c r="AC263" s="147"/>
      <c r="AD263" s="147"/>
    </row>
    <row r="264">
      <c r="A264" s="147"/>
      <c r="B264" s="147"/>
      <c r="C264" s="147"/>
      <c r="D264" s="147"/>
      <c r="E264" s="147"/>
      <c r="F264" s="147"/>
      <c r="G264" s="147"/>
      <c r="H264" s="262"/>
      <c r="I264" s="147"/>
      <c r="J264" s="147"/>
      <c r="K264" s="147"/>
      <c r="L264" s="147"/>
      <c r="M264" s="147"/>
      <c r="N264" s="147"/>
      <c r="O264" s="147"/>
      <c r="P264" s="147"/>
      <c r="Q264" s="147"/>
      <c r="R264" s="147"/>
      <c r="S264" s="147"/>
      <c r="T264" s="147"/>
      <c r="U264" s="147"/>
      <c r="V264" s="147"/>
      <c r="W264" s="147"/>
      <c r="X264" s="147"/>
      <c r="Y264" s="147"/>
      <c r="Z264" s="147"/>
      <c r="AA264" s="147"/>
      <c r="AB264" s="147"/>
      <c r="AC264" s="147"/>
      <c r="AD264" s="147"/>
    </row>
    <row r="265">
      <c r="A265" s="147"/>
      <c r="B265" s="147"/>
      <c r="C265" s="147"/>
      <c r="D265" s="147"/>
      <c r="E265" s="147"/>
      <c r="F265" s="147"/>
      <c r="G265" s="147"/>
      <c r="H265" s="262"/>
      <c r="I265" s="147"/>
      <c r="J265" s="147"/>
      <c r="K265" s="147"/>
      <c r="L265" s="147"/>
      <c r="M265" s="147"/>
      <c r="N265" s="147"/>
      <c r="O265" s="147"/>
      <c r="P265" s="147"/>
      <c r="Q265" s="147"/>
      <c r="R265" s="147"/>
      <c r="S265" s="147"/>
      <c r="T265" s="147"/>
      <c r="U265" s="147"/>
      <c r="V265" s="147"/>
      <c r="W265" s="147"/>
      <c r="X265" s="147"/>
      <c r="Y265" s="147"/>
      <c r="Z265" s="147"/>
      <c r="AA265" s="147"/>
      <c r="AB265" s="147"/>
      <c r="AC265" s="147"/>
      <c r="AD265" s="147"/>
    </row>
    <row r="266">
      <c r="A266" s="147"/>
      <c r="B266" s="147"/>
      <c r="C266" s="147"/>
      <c r="D266" s="147"/>
      <c r="E266" s="147"/>
      <c r="F266" s="147"/>
      <c r="G266" s="147"/>
      <c r="H266" s="262"/>
      <c r="I266" s="147"/>
      <c r="J266" s="147"/>
      <c r="K266" s="147"/>
      <c r="L266" s="147"/>
      <c r="M266" s="147"/>
      <c r="N266" s="147"/>
      <c r="O266" s="147"/>
      <c r="P266" s="147"/>
      <c r="Q266" s="147"/>
      <c r="R266" s="147"/>
      <c r="S266" s="147"/>
      <c r="T266" s="147"/>
      <c r="U266" s="147"/>
      <c r="V266" s="147"/>
      <c r="W266" s="147"/>
      <c r="X266" s="147"/>
      <c r="Y266" s="147"/>
      <c r="Z266" s="147"/>
      <c r="AA266" s="147"/>
      <c r="AB266" s="147"/>
      <c r="AC266" s="147"/>
      <c r="AD266" s="147"/>
    </row>
    <row r="267">
      <c r="A267" s="147"/>
      <c r="B267" s="147"/>
      <c r="C267" s="147"/>
      <c r="D267" s="147"/>
      <c r="E267" s="147"/>
      <c r="F267" s="147"/>
      <c r="G267" s="147"/>
      <c r="H267" s="262"/>
      <c r="I267" s="147"/>
      <c r="J267" s="147"/>
      <c r="K267" s="147"/>
      <c r="L267" s="147"/>
      <c r="M267" s="147"/>
      <c r="N267" s="147"/>
      <c r="O267" s="147"/>
      <c r="P267" s="147"/>
      <c r="Q267" s="147"/>
      <c r="R267" s="147"/>
      <c r="S267" s="147"/>
      <c r="T267" s="147"/>
      <c r="U267" s="147"/>
      <c r="V267" s="147"/>
      <c r="W267" s="147"/>
      <c r="X267" s="147"/>
      <c r="Y267" s="147"/>
      <c r="Z267" s="147"/>
      <c r="AA267" s="147"/>
      <c r="AB267" s="147"/>
      <c r="AC267" s="147"/>
      <c r="AD267" s="147"/>
    </row>
    <row r="268">
      <c r="A268" s="147"/>
      <c r="B268" s="147"/>
      <c r="C268" s="147"/>
      <c r="D268" s="147"/>
      <c r="E268" s="147"/>
      <c r="F268" s="147"/>
      <c r="G268" s="147"/>
      <c r="H268" s="262"/>
      <c r="I268" s="147"/>
      <c r="J268" s="147"/>
      <c r="K268" s="147"/>
      <c r="L268" s="147"/>
      <c r="M268" s="147"/>
      <c r="N268" s="147"/>
      <c r="O268" s="147"/>
      <c r="P268" s="147"/>
      <c r="Q268" s="147"/>
      <c r="R268" s="147"/>
      <c r="S268" s="147"/>
      <c r="T268" s="147"/>
      <c r="U268" s="147"/>
      <c r="V268" s="147"/>
      <c r="W268" s="147"/>
      <c r="X268" s="147"/>
      <c r="Y268" s="147"/>
      <c r="Z268" s="147"/>
      <c r="AA268" s="147"/>
      <c r="AB268" s="147"/>
      <c r="AC268" s="147"/>
      <c r="AD268" s="147"/>
    </row>
    <row r="269">
      <c r="A269" s="147"/>
      <c r="B269" s="147"/>
      <c r="C269" s="147"/>
      <c r="D269" s="147"/>
      <c r="E269" s="147"/>
      <c r="F269" s="147"/>
      <c r="G269" s="147"/>
      <c r="H269" s="262"/>
      <c r="I269" s="147"/>
      <c r="J269" s="147"/>
      <c r="K269" s="147"/>
      <c r="L269" s="147"/>
      <c r="M269" s="147"/>
      <c r="N269" s="147"/>
      <c r="O269" s="147"/>
      <c r="P269" s="147"/>
      <c r="Q269" s="147"/>
      <c r="R269" s="147"/>
      <c r="S269" s="147"/>
      <c r="T269" s="147"/>
      <c r="U269" s="147"/>
      <c r="V269" s="147"/>
      <c r="W269" s="147"/>
      <c r="X269" s="147"/>
      <c r="Y269" s="147"/>
      <c r="Z269" s="147"/>
      <c r="AA269" s="147"/>
      <c r="AB269" s="147"/>
      <c r="AC269" s="147"/>
      <c r="AD269" s="147"/>
    </row>
    <row r="270">
      <c r="A270" s="147"/>
      <c r="B270" s="147"/>
      <c r="C270" s="147"/>
      <c r="D270" s="147"/>
      <c r="E270" s="147"/>
      <c r="F270" s="147"/>
      <c r="G270" s="147"/>
      <c r="H270" s="262"/>
      <c r="I270" s="147"/>
      <c r="J270" s="147"/>
      <c r="K270" s="147"/>
      <c r="L270" s="147"/>
      <c r="M270" s="147"/>
      <c r="N270" s="147"/>
      <c r="O270" s="147"/>
      <c r="P270" s="147"/>
      <c r="Q270" s="147"/>
      <c r="R270" s="147"/>
      <c r="S270" s="147"/>
      <c r="T270" s="147"/>
      <c r="U270" s="147"/>
      <c r="V270" s="147"/>
      <c r="W270" s="147"/>
      <c r="X270" s="147"/>
      <c r="Y270" s="147"/>
      <c r="Z270" s="147"/>
      <c r="AA270" s="147"/>
      <c r="AB270" s="147"/>
      <c r="AC270" s="147"/>
      <c r="AD270" s="147"/>
    </row>
    <row r="271">
      <c r="A271" s="147"/>
      <c r="B271" s="147"/>
      <c r="C271" s="147"/>
      <c r="D271" s="147"/>
      <c r="E271" s="147"/>
      <c r="F271" s="147"/>
      <c r="G271" s="147"/>
      <c r="H271" s="262"/>
      <c r="I271" s="147"/>
      <c r="J271" s="147"/>
      <c r="K271" s="147"/>
      <c r="L271" s="147"/>
      <c r="M271" s="147"/>
      <c r="N271" s="147"/>
      <c r="O271" s="147"/>
      <c r="P271" s="147"/>
      <c r="Q271" s="147"/>
      <c r="R271" s="147"/>
      <c r="S271" s="147"/>
      <c r="T271" s="147"/>
      <c r="U271" s="147"/>
      <c r="V271" s="147"/>
      <c r="W271" s="147"/>
      <c r="X271" s="147"/>
      <c r="Y271" s="147"/>
      <c r="Z271" s="147"/>
      <c r="AA271" s="147"/>
      <c r="AB271" s="147"/>
      <c r="AC271" s="147"/>
      <c r="AD271" s="147"/>
    </row>
    <row r="272">
      <c r="A272" s="147"/>
      <c r="B272" s="147"/>
      <c r="C272" s="147"/>
      <c r="D272" s="147"/>
      <c r="E272" s="147"/>
      <c r="F272" s="147"/>
      <c r="G272" s="147"/>
      <c r="H272" s="262"/>
      <c r="I272" s="147"/>
      <c r="J272" s="147"/>
      <c r="K272" s="147"/>
      <c r="L272" s="147"/>
      <c r="M272" s="147"/>
      <c r="N272" s="147"/>
      <c r="O272" s="147"/>
      <c r="P272" s="147"/>
      <c r="Q272" s="147"/>
      <c r="R272" s="147"/>
      <c r="S272" s="147"/>
      <c r="T272" s="147"/>
      <c r="U272" s="147"/>
      <c r="V272" s="147"/>
      <c r="W272" s="147"/>
      <c r="X272" s="147"/>
      <c r="Y272" s="147"/>
      <c r="Z272" s="147"/>
      <c r="AA272" s="147"/>
      <c r="AB272" s="147"/>
      <c r="AC272" s="147"/>
      <c r="AD272" s="147"/>
    </row>
    <row r="273">
      <c r="A273" s="147"/>
      <c r="B273" s="147"/>
      <c r="C273" s="147"/>
      <c r="D273" s="147"/>
      <c r="E273" s="147"/>
      <c r="F273" s="147"/>
      <c r="G273" s="147"/>
      <c r="H273" s="262"/>
      <c r="I273" s="147"/>
      <c r="J273" s="147"/>
      <c r="K273" s="147"/>
      <c r="L273" s="147"/>
      <c r="M273" s="147"/>
      <c r="N273" s="147"/>
      <c r="O273" s="147"/>
      <c r="P273" s="147"/>
      <c r="Q273" s="147"/>
      <c r="R273" s="147"/>
      <c r="S273" s="147"/>
      <c r="T273" s="147"/>
      <c r="U273" s="147"/>
      <c r="V273" s="147"/>
      <c r="W273" s="147"/>
      <c r="X273" s="147"/>
      <c r="Y273" s="147"/>
      <c r="Z273" s="147"/>
      <c r="AA273" s="147"/>
      <c r="AB273" s="147"/>
      <c r="AC273" s="147"/>
      <c r="AD273" s="147"/>
    </row>
    <row r="274">
      <c r="A274" s="147"/>
      <c r="B274" s="147"/>
      <c r="C274" s="147"/>
      <c r="D274" s="147"/>
      <c r="E274" s="147"/>
      <c r="F274" s="147"/>
      <c r="G274" s="147"/>
      <c r="H274" s="262"/>
      <c r="I274" s="147"/>
      <c r="J274" s="147"/>
      <c r="K274" s="147"/>
      <c r="L274" s="147"/>
      <c r="M274" s="147"/>
      <c r="N274" s="147"/>
      <c r="O274" s="147"/>
      <c r="P274" s="147"/>
      <c r="Q274" s="147"/>
      <c r="R274" s="147"/>
      <c r="S274" s="147"/>
      <c r="T274" s="147"/>
      <c r="U274" s="147"/>
      <c r="V274" s="147"/>
      <c r="W274" s="147"/>
      <c r="X274" s="147"/>
      <c r="Y274" s="147"/>
      <c r="Z274" s="147"/>
      <c r="AA274" s="147"/>
      <c r="AB274" s="147"/>
      <c r="AC274" s="147"/>
      <c r="AD274" s="147"/>
    </row>
    <row r="275">
      <c r="A275" s="147"/>
      <c r="B275" s="147"/>
      <c r="C275" s="147"/>
      <c r="D275" s="147"/>
      <c r="E275" s="147"/>
      <c r="F275" s="147"/>
      <c r="G275" s="147"/>
      <c r="H275" s="262"/>
      <c r="I275" s="147"/>
      <c r="J275" s="147"/>
      <c r="K275" s="147"/>
      <c r="L275" s="147"/>
      <c r="M275" s="147"/>
      <c r="N275" s="147"/>
      <c r="O275" s="147"/>
      <c r="P275" s="147"/>
      <c r="Q275" s="147"/>
      <c r="R275" s="147"/>
      <c r="S275" s="147"/>
      <c r="T275" s="147"/>
      <c r="U275" s="147"/>
      <c r="V275" s="147"/>
      <c r="W275" s="147"/>
      <c r="X275" s="147"/>
      <c r="Y275" s="147"/>
      <c r="Z275" s="147"/>
      <c r="AA275" s="147"/>
      <c r="AB275" s="147"/>
      <c r="AC275" s="147"/>
      <c r="AD275" s="147"/>
    </row>
    <row r="276">
      <c r="A276" s="147"/>
      <c r="B276" s="147"/>
      <c r="C276" s="147"/>
      <c r="D276" s="147"/>
      <c r="E276" s="147"/>
      <c r="F276" s="147"/>
      <c r="G276" s="147"/>
      <c r="H276" s="262"/>
      <c r="I276" s="147"/>
      <c r="J276" s="147"/>
      <c r="K276" s="147"/>
      <c r="L276" s="147"/>
      <c r="M276" s="147"/>
      <c r="N276" s="147"/>
      <c r="O276" s="147"/>
      <c r="P276" s="147"/>
      <c r="Q276" s="147"/>
      <c r="R276" s="147"/>
      <c r="S276" s="147"/>
      <c r="T276" s="147"/>
      <c r="U276" s="147"/>
      <c r="V276" s="147"/>
      <c r="W276" s="147"/>
      <c r="X276" s="147"/>
      <c r="Y276" s="147"/>
      <c r="Z276" s="147"/>
      <c r="AA276" s="147"/>
      <c r="AB276" s="147"/>
      <c r="AC276" s="147"/>
      <c r="AD276" s="147"/>
    </row>
    <row r="277">
      <c r="A277" s="147"/>
      <c r="B277" s="147"/>
      <c r="C277" s="147"/>
      <c r="D277" s="147"/>
      <c r="E277" s="147"/>
      <c r="F277" s="147"/>
      <c r="G277" s="147"/>
      <c r="H277" s="262"/>
      <c r="I277" s="147"/>
      <c r="J277" s="147"/>
      <c r="K277" s="147"/>
      <c r="L277" s="147"/>
      <c r="M277" s="147"/>
      <c r="N277" s="147"/>
      <c r="O277" s="147"/>
      <c r="P277" s="147"/>
      <c r="Q277" s="147"/>
      <c r="R277" s="147"/>
      <c r="S277" s="147"/>
      <c r="T277" s="147"/>
      <c r="U277" s="147"/>
      <c r="V277" s="147"/>
      <c r="W277" s="147"/>
      <c r="X277" s="147"/>
      <c r="Y277" s="147"/>
      <c r="Z277" s="147"/>
      <c r="AA277" s="147"/>
      <c r="AB277" s="147"/>
      <c r="AC277" s="147"/>
      <c r="AD277" s="147"/>
    </row>
    <row r="278">
      <c r="A278" s="147"/>
      <c r="B278" s="147"/>
      <c r="C278" s="147"/>
      <c r="D278" s="147"/>
      <c r="E278" s="147"/>
      <c r="F278" s="147"/>
      <c r="G278" s="147"/>
      <c r="H278" s="262"/>
      <c r="I278" s="147"/>
      <c r="J278" s="147"/>
      <c r="K278" s="147"/>
      <c r="L278" s="147"/>
      <c r="M278" s="147"/>
      <c r="N278" s="147"/>
      <c r="O278" s="147"/>
      <c r="P278" s="147"/>
      <c r="Q278" s="147"/>
      <c r="R278" s="147"/>
      <c r="S278" s="147"/>
      <c r="T278" s="147"/>
      <c r="U278" s="147"/>
      <c r="V278" s="147"/>
      <c r="W278" s="147"/>
      <c r="X278" s="147"/>
      <c r="Y278" s="147"/>
      <c r="Z278" s="147"/>
      <c r="AA278" s="147"/>
      <c r="AB278" s="147"/>
      <c r="AC278" s="147"/>
      <c r="AD278" s="147"/>
    </row>
    <row r="279">
      <c r="A279" s="147"/>
      <c r="B279" s="147"/>
      <c r="C279" s="147"/>
      <c r="D279" s="147"/>
      <c r="E279" s="147"/>
      <c r="F279" s="147"/>
      <c r="G279" s="147"/>
      <c r="H279" s="262"/>
      <c r="I279" s="147"/>
      <c r="J279" s="147"/>
      <c r="K279" s="147"/>
      <c r="L279" s="147"/>
      <c r="M279" s="147"/>
      <c r="N279" s="147"/>
      <c r="O279" s="147"/>
      <c r="P279" s="147"/>
      <c r="Q279" s="147"/>
      <c r="R279" s="147"/>
      <c r="S279" s="147"/>
      <c r="T279" s="147"/>
      <c r="U279" s="147"/>
      <c r="V279" s="147"/>
      <c r="W279" s="147"/>
      <c r="X279" s="147"/>
      <c r="Y279" s="147"/>
      <c r="Z279" s="147"/>
      <c r="AA279" s="147"/>
      <c r="AB279" s="147"/>
      <c r="AC279" s="147"/>
      <c r="AD279" s="147"/>
    </row>
    <row r="280">
      <c r="A280" s="147"/>
      <c r="B280" s="147"/>
      <c r="C280" s="147"/>
      <c r="D280" s="147"/>
      <c r="E280" s="147"/>
      <c r="F280" s="147"/>
      <c r="G280" s="147"/>
      <c r="H280" s="262"/>
      <c r="I280" s="147"/>
      <c r="J280" s="147"/>
      <c r="K280" s="147"/>
      <c r="L280" s="147"/>
      <c r="M280" s="147"/>
      <c r="N280" s="147"/>
      <c r="O280" s="147"/>
      <c r="P280" s="147"/>
      <c r="Q280" s="147"/>
      <c r="R280" s="147"/>
      <c r="S280" s="147"/>
      <c r="T280" s="147"/>
      <c r="U280" s="147"/>
      <c r="V280" s="147"/>
      <c r="W280" s="147"/>
      <c r="X280" s="147"/>
      <c r="Y280" s="147"/>
      <c r="Z280" s="147"/>
      <c r="AA280" s="147"/>
      <c r="AB280" s="147"/>
      <c r="AC280" s="147"/>
      <c r="AD280" s="147"/>
    </row>
    <row r="281">
      <c r="A281" s="147"/>
      <c r="B281" s="147"/>
      <c r="C281" s="147"/>
      <c r="D281" s="147"/>
      <c r="E281" s="147"/>
      <c r="F281" s="147"/>
      <c r="G281" s="147"/>
      <c r="H281" s="262"/>
      <c r="I281" s="147"/>
      <c r="J281" s="147"/>
      <c r="K281" s="147"/>
      <c r="L281" s="147"/>
      <c r="M281" s="147"/>
      <c r="N281" s="147"/>
      <c r="O281" s="147"/>
      <c r="P281" s="147"/>
      <c r="Q281" s="147"/>
      <c r="R281" s="147"/>
      <c r="S281" s="147"/>
      <c r="T281" s="147"/>
      <c r="U281" s="147"/>
      <c r="V281" s="147"/>
      <c r="W281" s="147"/>
      <c r="X281" s="147"/>
      <c r="Y281" s="147"/>
      <c r="Z281" s="147"/>
      <c r="AA281" s="147"/>
      <c r="AB281" s="147"/>
      <c r="AC281" s="147"/>
      <c r="AD281" s="147"/>
    </row>
    <row r="282">
      <c r="A282" s="147"/>
      <c r="B282" s="147"/>
      <c r="C282" s="147"/>
      <c r="D282" s="147"/>
      <c r="E282" s="147"/>
      <c r="F282" s="147"/>
      <c r="G282" s="147"/>
      <c r="H282" s="262"/>
      <c r="I282" s="147"/>
      <c r="J282" s="147"/>
      <c r="K282" s="147"/>
      <c r="L282" s="147"/>
      <c r="M282" s="147"/>
      <c r="N282" s="147"/>
      <c r="O282" s="147"/>
      <c r="P282" s="147"/>
      <c r="Q282" s="147"/>
      <c r="R282" s="147"/>
      <c r="S282" s="147"/>
      <c r="T282" s="147"/>
      <c r="U282" s="147"/>
      <c r="V282" s="147"/>
      <c r="W282" s="147"/>
      <c r="X282" s="147"/>
      <c r="Y282" s="147"/>
      <c r="Z282" s="147"/>
      <c r="AA282" s="147"/>
      <c r="AB282" s="147"/>
      <c r="AC282" s="147"/>
      <c r="AD282" s="147"/>
    </row>
    <row r="283">
      <c r="A283" s="147"/>
      <c r="B283" s="147"/>
      <c r="C283" s="147"/>
      <c r="D283" s="147"/>
      <c r="E283" s="147"/>
      <c r="F283" s="147"/>
      <c r="G283" s="147"/>
      <c r="H283" s="262"/>
      <c r="I283" s="147"/>
      <c r="J283" s="147"/>
      <c r="K283" s="147"/>
      <c r="L283" s="147"/>
      <c r="M283" s="147"/>
      <c r="N283" s="147"/>
      <c r="O283" s="147"/>
      <c r="P283" s="147"/>
      <c r="Q283" s="147"/>
      <c r="R283" s="147"/>
      <c r="S283" s="147"/>
      <c r="T283" s="147"/>
      <c r="U283" s="147"/>
      <c r="V283" s="147"/>
      <c r="W283" s="147"/>
      <c r="X283" s="147"/>
      <c r="Y283" s="147"/>
      <c r="Z283" s="147"/>
      <c r="AA283" s="147"/>
      <c r="AB283" s="147"/>
      <c r="AC283" s="147"/>
      <c r="AD283" s="147"/>
    </row>
    <row r="284">
      <c r="A284" s="147"/>
      <c r="B284" s="147"/>
      <c r="C284" s="147"/>
      <c r="D284" s="147"/>
      <c r="E284" s="147"/>
      <c r="F284" s="147"/>
      <c r="G284" s="147"/>
      <c r="H284" s="262"/>
      <c r="I284" s="147"/>
      <c r="J284" s="147"/>
      <c r="K284" s="147"/>
      <c r="L284" s="147"/>
      <c r="M284" s="147"/>
      <c r="N284" s="147"/>
      <c r="O284" s="147"/>
      <c r="P284" s="147"/>
      <c r="Q284" s="147"/>
      <c r="R284" s="147"/>
      <c r="S284" s="147"/>
      <c r="T284" s="147"/>
      <c r="U284" s="147"/>
      <c r="V284" s="147"/>
      <c r="W284" s="147"/>
      <c r="X284" s="147"/>
      <c r="Y284" s="147"/>
      <c r="Z284" s="147"/>
      <c r="AA284" s="147"/>
      <c r="AB284" s="147"/>
      <c r="AC284" s="147"/>
      <c r="AD284" s="147"/>
    </row>
    <row r="285">
      <c r="A285" s="147"/>
      <c r="B285" s="147"/>
      <c r="C285" s="147"/>
      <c r="D285" s="147"/>
      <c r="E285" s="147"/>
      <c r="F285" s="147"/>
      <c r="G285" s="147"/>
      <c r="H285" s="262"/>
      <c r="I285" s="147"/>
      <c r="J285" s="147"/>
      <c r="K285" s="147"/>
      <c r="L285" s="147"/>
      <c r="M285" s="147"/>
      <c r="N285" s="147"/>
      <c r="O285" s="147"/>
      <c r="P285" s="147"/>
      <c r="Q285" s="147"/>
      <c r="R285" s="147"/>
      <c r="S285" s="147"/>
      <c r="T285" s="147"/>
      <c r="U285" s="147"/>
      <c r="V285" s="147"/>
      <c r="W285" s="147"/>
      <c r="X285" s="147"/>
      <c r="Y285" s="147"/>
      <c r="Z285" s="147"/>
      <c r="AA285" s="147"/>
      <c r="AB285" s="147"/>
      <c r="AC285" s="147"/>
      <c r="AD285" s="147"/>
    </row>
    <row r="286">
      <c r="A286" s="147"/>
      <c r="B286" s="147"/>
      <c r="C286" s="147"/>
      <c r="D286" s="147"/>
      <c r="E286" s="147"/>
      <c r="F286" s="147"/>
      <c r="G286" s="147"/>
      <c r="H286" s="262"/>
      <c r="I286" s="147"/>
      <c r="J286" s="147"/>
      <c r="K286" s="147"/>
      <c r="L286" s="147"/>
      <c r="M286" s="147"/>
      <c r="N286" s="147"/>
      <c r="O286" s="147"/>
      <c r="P286" s="147"/>
      <c r="Q286" s="147"/>
      <c r="R286" s="147"/>
      <c r="S286" s="147"/>
      <c r="T286" s="147"/>
      <c r="U286" s="147"/>
      <c r="V286" s="147"/>
      <c r="W286" s="147"/>
      <c r="X286" s="147"/>
      <c r="Y286" s="147"/>
      <c r="Z286" s="147"/>
      <c r="AA286" s="147"/>
      <c r="AB286" s="147"/>
      <c r="AC286" s="147"/>
      <c r="AD286" s="147"/>
    </row>
    <row r="287">
      <c r="A287" s="147"/>
      <c r="B287" s="147"/>
      <c r="C287" s="147"/>
      <c r="D287" s="147"/>
      <c r="E287" s="147"/>
      <c r="F287" s="147"/>
      <c r="G287" s="147"/>
      <c r="H287" s="262"/>
      <c r="I287" s="147"/>
      <c r="J287" s="147"/>
      <c r="K287" s="147"/>
      <c r="L287" s="147"/>
      <c r="M287" s="147"/>
      <c r="N287" s="147"/>
      <c r="O287" s="147"/>
      <c r="P287" s="147"/>
      <c r="Q287" s="147"/>
      <c r="R287" s="147"/>
      <c r="S287" s="147"/>
      <c r="T287" s="147"/>
      <c r="U287" s="147"/>
      <c r="V287" s="147"/>
      <c r="W287" s="147"/>
      <c r="X287" s="147"/>
      <c r="Y287" s="147"/>
      <c r="Z287" s="147"/>
      <c r="AA287" s="147"/>
      <c r="AB287" s="147"/>
      <c r="AC287" s="147"/>
      <c r="AD287" s="147"/>
    </row>
    <row r="288">
      <c r="A288" s="147"/>
      <c r="B288" s="147"/>
      <c r="C288" s="147"/>
      <c r="D288" s="147"/>
      <c r="E288" s="147"/>
      <c r="F288" s="147"/>
      <c r="G288" s="147"/>
      <c r="H288" s="262"/>
      <c r="I288" s="147"/>
      <c r="J288" s="147"/>
      <c r="K288" s="147"/>
      <c r="L288" s="147"/>
      <c r="M288" s="147"/>
      <c r="N288" s="147"/>
      <c r="O288" s="147"/>
      <c r="P288" s="147"/>
      <c r="Q288" s="147"/>
      <c r="R288" s="147"/>
      <c r="S288" s="147"/>
      <c r="T288" s="147"/>
      <c r="U288" s="147"/>
      <c r="V288" s="147"/>
      <c r="W288" s="147"/>
      <c r="X288" s="147"/>
      <c r="Y288" s="147"/>
      <c r="Z288" s="147"/>
      <c r="AA288" s="147"/>
      <c r="AB288" s="147"/>
      <c r="AC288" s="147"/>
      <c r="AD288" s="147"/>
    </row>
    <row r="289">
      <c r="A289" s="147"/>
      <c r="B289" s="147"/>
      <c r="C289" s="147"/>
      <c r="D289" s="147"/>
      <c r="E289" s="147"/>
      <c r="F289" s="147"/>
      <c r="G289" s="147"/>
      <c r="H289" s="262"/>
      <c r="I289" s="147"/>
      <c r="J289" s="147"/>
      <c r="K289" s="147"/>
      <c r="L289" s="147"/>
      <c r="M289" s="147"/>
      <c r="N289" s="147"/>
      <c r="O289" s="147"/>
      <c r="P289" s="147"/>
      <c r="Q289" s="147"/>
      <c r="R289" s="147"/>
      <c r="S289" s="147"/>
      <c r="T289" s="147"/>
      <c r="U289" s="147"/>
      <c r="V289" s="147"/>
      <c r="W289" s="147"/>
      <c r="X289" s="147"/>
      <c r="Y289" s="147"/>
      <c r="Z289" s="147"/>
      <c r="AA289" s="147"/>
      <c r="AB289" s="147"/>
      <c r="AC289" s="147"/>
      <c r="AD289" s="147"/>
    </row>
    <row r="290">
      <c r="A290" s="147"/>
      <c r="B290" s="147"/>
      <c r="C290" s="147"/>
      <c r="D290" s="147"/>
      <c r="E290" s="147"/>
      <c r="F290" s="147"/>
      <c r="G290" s="147"/>
      <c r="H290" s="262"/>
      <c r="I290" s="147"/>
      <c r="J290" s="147"/>
      <c r="K290" s="147"/>
      <c r="L290" s="147"/>
      <c r="M290" s="147"/>
      <c r="N290" s="147"/>
      <c r="O290" s="147"/>
      <c r="P290" s="147"/>
      <c r="Q290" s="147"/>
      <c r="R290" s="147"/>
      <c r="S290" s="147"/>
      <c r="T290" s="147"/>
      <c r="U290" s="147"/>
      <c r="V290" s="147"/>
      <c r="W290" s="147"/>
      <c r="X290" s="147"/>
      <c r="Y290" s="147"/>
      <c r="Z290" s="147"/>
      <c r="AA290" s="147"/>
      <c r="AB290" s="147"/>
      <c r="AC290" s="147"/>
      <c r="AD290" s="147"/>
    </row>
    <row r="291">
      <c r="A291" s="147"/>
      <c r="B291" s="147"/>
      <c r="C291" s="147"/>
      <c r="D291" s="147"/>
      <c r="E291" s="147"/>
      <c r="F291" s="147"/>
      <c r="G291" s="147"/>
      <c r="H291" s="262"/>
      <c r="I291" s="147"/>
      <c r="J291" s="147"/>
      <c r="K291" s="147"/>
      <c r="L291" s="147"/>
      <c r="M291" s="147"/>
      <c r="N291" s="147"/>
      <c r="O291" s="147"/>
      <c r="P291" s="147"/>
      <c r="Q291" s="147"/>
      <c r="R291" s="147"/>
      <c r="S291" s="147"/>
      <c r="T291" s="147"/>
      <c r="U291" s="147"/>
      <c r="V291" s="147"/>
      <c r="W291" s="147"/>
      <c r="X291" s="147"/>
      <c r="Y291" s="147"/>
      <c r="Z291" s="147"/>
      <c r="AA291" s="147"/>
      <c r="AB291" s="147"/>
      <c r="AC291" s="147"/>
      <c r="AD291" s="147"/>
    </row>
    <row r="292">
      <c r="A292" s="147"/>
      <c r="B292" s="147"/>
      <c r="C292" s="147"/>
      <c r="D292" s="147"/>
      <c r="E292" s="147"/>
      <c r="F292" s="147"/>
      <c r="G292" s="147"/>
      <c r="H292" s="262"/>
      <c r="I292" s="147"/>
      <c r="J292" s="147"/>
      <c r="K292" s="147"/>
      <c r="L292" s="147"/>
      <c r="M292" s="147"/>
      <c r="N292" s="147"/>
      <c r="O292" s="147"/>
      <c r="P292" s="147"/>
      <c r="Q292" s="147"/>
      <c r="R292" s="147"/>
      <c r="S292" s="147"/>
      <c r="T292" s="147"/>
      <c r="U292" s="147"/>
      <c r="V292" s="147"/>
      <c r="W292" s="147"/>
      <c r="X292" s="147"/>
      <c r="Y292" s="147"/>
      <c r="Z292" s="147"/>
      <c r="AA292" s="147"/>
      <c r="AB292" s="147"/>
      <c r="AC292" s="147"/>
      <c r="AD292" s="147"/>
    </row>
    <row r="293">
      <c r="A293" s="147"/>
      <c r="B293" s="147"/>
      <c r="C293" s="147"/>
      <c r="D293" s="147"/>
      <c r="E293" s="147"/>
      <c r="F293" s="147"/>
      <c r="G293" s="147"/>
      <c r="H293" s="262"/>
      <c r="I293" s="147"/>
      <c r="J293" s="147"/>
      <c r="K293" s="147"/>
      <c r="L293" s="147"/>
      <c r="M293" s="147"/>
      <c r="N293" s="147"/>
      <c r="O293" s="147"/>
      <c r="P293" s="147"/>
      <c r="Q293" s="147"/>
      <c r="R293" s="147"/>
      <c r="S293" s="147"/>
      <c r="T293" s="147"/>
      <c r="U293" s="147"/>
      <c r="V293" s="147"/>
      <c r="W293" s="147"/>
      <c r="X293" s="147"/>
      <c r="Y293" s="147"/>
      <c r="Z293" s="147"/>
      <c r="AA293" s="147"/>
      <c r="AB293" s="147"/>
      <c r="AC293" s="147"/>
      <c r="AD293" s="147"/>
    </row>
    <row r="294">
      <c r="A294" s="147"/>
      <c r="B294" s="147"/>
      <c r="C294" s="147"/>
      <c r="D294" s="147"/>
      <c r="E294" s="147"/>
      <c r="F294" s="147"/>
      <c r="G294" s="147"/>
      <c r="H294" s="262"/>
      <c r="I294" s="147"/>
      <c r="J294" s="147"/>
      <c r="K294" s="147"/>
      <c r="L294" s="147"/>
      <c r="M294" s="147"/>
      <c r="N294" s="147"/>
      <c r="O294" s="147"/>
      <c r="P294" s="147"/>
      <c r="Q294" s="147"/>
      <c r="R294" s="147"/>
      <c r="S294" s="147"/>
      <c r="T294" s="147"/>
      <c r="U294" s="147"/>
      <c r="V294" s="147"/>
      <c r="W294" s="147"/>
      <c r="X294" s="147"/>
      <c r="Y294" s="147"/>
      <c r="Z294" s="147"/>
      <c r="AA294" s="147"/>
      <c r="AB294" s="147"/>
      <c r="AC294" s="147"/>
      <c r="AD294" s="147"/>
    </row>
    <row r="295">
      <c r="A295" s="147"/>
      <c r="B295" s="147"/>
      <c r="C295" s="147"/>
      <c r="D295" s="147"/>
      <c r="E295" s="147"/>
      <c r="F295" s="147"/>
      <c r="G295" s="147"/>
      <c r="H295" s="262"/>
      <c r="I295" s="147"/>
      <c r="J295" s="147"/>
      <c r="K295" s="147"/>
      <c r="L295" s="147"/>
      <c r="M295" s="147"/>
      <c r="N295" s="147"/>
      <c r="O295" s="147"/>
      <c r="P295" s="147"/>
      <c r="Q295" s="147"/>
      <c r="R295" s="147"/>
      <c r="S295" s="147"/>
      <c r="T295" s="147"/>
      <c r="U295" s="147"/>
      <c r="V295" s="147"/>
      <c r="W295" s="147"/>
      <c r="X295" s="147"/>
      <c r="Y295" s="147"/>
      <c r="Z295" s="147"/>
      <c r="AA295" s="147"/>
      <c r="AB295" s="147"/>
      <c r="AC295" s="147"/>
      <c r="AD295" s="147"/>
    </row>
    <row r="296">
      <c r="A296" s="147"/>
      <c r="B296" s="147"/>
      <c r="C296" s="147"/>
      <c r="D296" s="147"/>
      <c r="E296" s="147"/>
      <c r="F296" s="147"/>
      <c r="G296" s="147"/>
      <c r="H296" s="262"/>
      <c r="I296" s="147"/>
      <c r="J296" s="147"/>
      <c r="K296" s="147"/>
      <c r="L296" s="147"/>
      <c r="M296" s="147"/>
      <c r="N296" s="147"/>
      <c r="O296" s="147"/>
      <c r="P296" s="147"/>
      <c r="Q296" s="147"/>
      <c r="R296" s="147"/>
      <c r="S296" s="147"/>
      <c r="T296" s="147"/>
      <c r="U296" s="147"/>
      <c r="V296" s="147"/>
      <c r="W296" s="147"/>
      <c r="X296" s="147"/>
      <c r="Y296" s="147"/>
      <c r="Z296" s="147"/>
      <c r="AA296" s="147"/>
      <c r="AB296" s="147"/>
      <c r="AC296" s="147"/>
      <c r="AD296" s="147"/>
    </row>
    <row r="297">
      <c r="A297" s="147"/>
      <c r="B297" s="147"/>
      <c r="C297" s="147"/>
      <c r="D297" s="147"/>
      <c r="E297" s="147"/>
      <c r="F297" s="147"/>
      <c r="G297" s="147"/>
      <c r="H297" s="262"/>
      <c r="I297" s="147"/>
      <c r="J297" s="147"/>
      <c r="K297" s="147"/>
      <c r="L297" s="147"/>
      <c r="M297" s="147"/>
      <c r="N297" s="147"/>
      <c r="O297" s="147"/>
      <c r="P297" s="147"/>
      <c r="Q297" s="147"/>
      <c r="R297" s="147"/>
      <c r="S297" s="147"/>
      <c r="T297" s="147"/>
      <c r="U297" s="147"/>
      <c r="V297" s="147"/>
      <c r="W297" s="147"/>
      <c r="X297" s="147"/>
      <c r="Y297" s="147"/>
      <c r="Z297" s="147"/>
      <c r="AA297" s="147"/>
      <c r="AB297" s="147"/>
      <c r="AC297" s="147"/>
      <c r="AD297" s="147"/>
    </row>
    <row r="298">
      <c r="A298" s="147"/>
      <c r="B298" s="147"/>
      <c r="C298" s="147"/>
      <c r="D298" s="147"/>
      <c r="E298" s="147"/>
      <c r="F298" s="147"/>
      <c r="G298" s="147"/>
      <c r="H298" s="262"/>
      <c r="I298" s="147"/>
      <c r="J298" s="147"/>
      <c r="K298" s="147"/>
      <c r="L298" s="147"/>
      <c r="M298" s="147"/>
      <c r="N298" s="147"/>
      <c r="O298" s="147"/>
      <c r="P298" s="147"/>
      <c r="Q298" s="147"/>
      <c r="R298" s="147"/>
      <c r="S298" s="147"/>
      <c r="T298" s="147"/>
      <c r="U298" s="147"/>
      <c r="V298" s="147"/>
      <c r="W298" s="147"/>
      <c r="X298" s="147"/>
      <c r="Y298" s="147"/>
      <c r="Z298" s="147"/>
      <c r="AA298" s="147"/>
      <c r="AB298" s="147"/>
      <c r="AC298" s="147"/>
      <c r="AD298" s="147"/>
    </row>
    <row r="299">
      <c r="A299" s="147"/>
      <c r="B299" s="147"/>
      <c r="C299" s="147"/>
      <c r="D299" s="147"/>
      <c r="E299" s="147"/>
      <c r="F299" s="147"/>
      <c r="G299" s="147"/>
      <c r="H299" s="262"/>
      <c r="I299" s="147"/>
      <c r="J299" s="147"/>
      <c r="K299" s="147"/>
      <c r="L299" s="147"/>
      <c r="M299" s="147"/>
      <c r="N299" s="147"/>
      <c r="O299" s="147"/>
      <c r="P299" s="147"/>
      <c r="Q299" s="147"/>
      <c r="R299" s="147"/>
      <c r="S299" s="147"/>
      <c r="T299" s="147"/>
      <c r="U299" s="147"/>
      <c r="V299" s="147"/>
      <c r="W299" s="147"/>
      <c r="X299" s="147"/>
      <c r="Y299" s="147"/>
      <c r="Z299" s="147"/>
      <c r="AA299" s="147"/>
      <c r="AB299" s="147"/>
      <c r="AC299" s="147"/>
      <c r="AD299" s="147"/>
    </row>
    <row r="300">
      <c r="A300" s="147"/>
      <c r="B300" s="147"/>
      <c r="C300" s="147"/>
      <c r="D300" s="147"/>
      <c r="E300" s="147"/>
      <c r="F300" s="147"/>
      <c r="G300" s="147"/>
      <c r="H300" s="262"/>
      <c r="I300" s="147"/>
      <c r="J300" s="147"/>
      <c r="K300" s="147"/>
      <c r="L300" s="147"/>
      <c r="M300" s="147"/>
      <c r="N300" s="147"/>
      <c r="O300" s="147"/>
      <c r="P300" s="147"/>
      <c r="Q300" s="147"/>
      <c r="R300" s="147"/>
      <c r="S300" s="147"/>
      <c r="T300" s="147"/>
      <c r="U300" s="147"/>
      <c r="V300" s="147"/>
      <c r="W300" s="147"/>
      <c r="X300" s="147"/>
      <c r="Y300" s="147"/>
      <c r="Z300" s="147"/>
      <c r="AA300" s="147"/>
      <c r="AB300" s="147"/>
      <c r="AC300" s="147"/>
      <c r="AD300" s="147"/>
    </row>
    <row r="301">
      <c r="A301" s="147"/>
      <c r="B301" s="147"/>
      <c r="C301" s="147"/>
      <c r="D301" s="147"/>
      <c r="E301" s="147"/>
      <c r="F301" s="147"/>
      <c r="G301" s="147"/>
      <c r="H301" s="262"/>
      <c r="I301" s="147"/>
      <c r="J301" s="147"/>
      <c r="K301" s="147"/>
      <c r="L301" s="147"/>
      <c r="M301" s="147"/>
      <c r="N301" s="147"/>
      <c r="O301" s="147"/>
      <c r="P301" s="147"/>
      <c r="Q301" s="147"/>
      <c r="R301" s="147"/>
      <c r="S301" s="147"/>
      <c r="T301" s="147"/>
      <c r="U301" s="147"/>
      <c r="V301" s="147"/>
      <c r="W301" s="147"/>
      <c r="X301" s="147"/>
      <c r="Y301" s="147"/>
      <c r="Z301" s="147"/>
      <c r="AA301" s="147"/>
      <c r="AB301" s="147"/>
      <c r="AC301" s="147"/>
      <c r="AD301" s="147"/>
    </row>
    <row r="302">
      <c r="A302" s="147"/>
      <c r="B302" s="147"/>
      <c r="C302" s="147"/>
      <c r="D302" s="147"/>
      <c r="E302" s="147"/>
      <c r="F302" s="147"/>
      <c r="G302" s="147"/>
      <c r="H302" s="262"/>
      <c r="I302" s="147"/>
      <c r="J302" s="147"/>
      <c r="K302" s="147"/>
      <c r="L302" s="147"/>
      <c r="M302" s="147"/>
      <c r="N302" s="147"/>
      <c r="O302" s="147"/>
      <c r="P302" s="147"/>
      <c r="Q302" s="147"/>
      <c r="R302" s="147"/>
      <c r="S302" s="147"/>
      <c r="T302" s="147"/>
      <c r="U302" s="147"/>
      <c r="V302" s="147"/>
      <c r="W302" s="147"/>
      <c r="X302" s="147"/>
      <c r="Y302" s="147"/>
      <c r="Z302" s="147"/>
      <c r="AA302" s="147"/>
      <c r="AB302" s="147"/>
      <c r="AC302" s="147"/>
      <c r="AD302" s="147"/>
    </row>
    <row r="303">
      <c r="A303" s="147"/>
      <c r="B303" s="147"/>
      <c r="C303" s="147"/>
      <c r="D303" s="147"/>
      <c r="E303" s="147"/>
      <c r="F303" s="147"/>
      <c r="G303" s="147"/>
      <c r="H303" s="262"/>
      <c r="I303" s="147"/>
      <c r="J303" s="147"/>
      <c r="K303" s="147"/>
      <c r="L303" s="147"/>
      <c r="M303" s="147"/>
      <c r="N303" s="147"/>
      <c r="O303" s="147"/>
      <c r="P303" s="147"/>
      <c r="Q303" s="147"/>
      <c r="R303" s="147"/>
      <c r="S303" s="147"/>
      <c r="T303" s="147"/>
      <c r="U303" s="147"/>
      <c r="V303" s="147"/>
      <c r="W303" s="147"/>
      <c r="X303" s="147"/>
      <c r="Y303" s="147"/>
      <c r="Z303" s="147"/>
      <c r="AA303" s="147"/>
      <c r="AB303" s="147"/>
      <c r="AC303" s="147"/>
      <c r="AD303" s="147"/>
    </row>
    <row r="304">
      <c r="A304" s="147"/>
      <c r="B304" s="147"/>
      <c r="C304" s="147"/>
      <c r="D304" s="147"/>
      <c r="E304" s="147"/>
      <c r="F304" s="147"/>
      <c r="G304" s="147"/>
      <c r="H304" s="262"/>
      <c r="I304" s="147"/>
      <c r="J304" s="147"/>
      <c r="K304" s="147"/>
      <c r="L304" s="147"/>
      <c r="M304" s="147"/>
      <c r="N304" s="147"/>
      <c r="O304" s="147"/>
      <c r="P304" s="147"/>
      <c r="Q304" s="147"/>
      <c r="R304" s="147"/>
      <c r="S304" s="147"/>
      <c r="T304" s="147"/>
      <c r="U304" s="147"/>
      <c r="V304" s="147"/>
      <c r="W304" s="147"/>
      <c r="X304" s="147"/>
      <c r="Y304" s="147"/>
      <c r="Z304" s="147"/>
      <c r="AA304" s="147"/>
      <c r="AB304" s="147"/>
      <c r="AC304" s="147"/>
      <c r="AD304" s="147"/>
    </row>
    <row r="305">
      <c r="A305" s="147"/>
      <c r="B305" s="147"/>
      <c r="C305" s="147"/>
      <c r="D305" s="147"/>
      <c r="E305" s="147"/>
      <c r="F305" s="147"/>
      <c r="G305" s="147"/>
      <c r="H305" s="262"/>
      <c r="I305" s="147"/>
      <c r="J305" s="147"/>
      <c r="K305" s="147"/>
      <c r="L305" s="147"/>
      <c r="M305" s="147"/>
      <c r="N305" s="147"/>
      <c r="O305" s="147"/>
      <c r="P305" s="147"/>
      <c r="Q305" s="147"/>
      <c r="R305" s="147"/>
      <c r="S305" s="147"/>
      <c r="T305" s="147"/>
      <c r="U305" s="147"/>
      <c r="V305" s="147"/>
      <c r="W305" s="147"/>
      <c r="X305" s="147"/>
      <c r="Y305" s="147"/>
      <c r="Z305" s="147"/>
      <c r="AA305" s="147"/>
      <c r="AB305" s="147"/>
      <c r="AC305" s="147"/>
      <c r="AD305" s="147"/>
    </row>
    <row r="306">
      <c r="A306" s="147"/>
      <c r="B306" s="147"/>
      <c r="C306" s="147"/>
      <c r="D306" s="147"/>
      <c r="E306" s="147"/>
      <c r="F306" s="147"/>
      <c r="G306" s="147"/>
      <c r="H306" s="262"/>
      <c r="I306" s="147"/>
      <c r="J306" s="147"/>
      <c r="K306" s="147"/>
      <c r="L306" s="147"/>
      <c r="M306" s="147"/>
      <c r="N306" s="147"/>
      <c r="O306" s="147"/>
      <c r="P306" s="147"/>
      <c r="Q306" s="147"/>
      <c r="R306" s="147"/>
      <c r="S306" s="147"/>
      <c r="T306" s="147"/>
      <c r="U306" s="147"/>
      <c r="V306" s="147"/>
      <c r="W306" s="147"/>
      <c r="X306" s="147"/>
      <c r="Y306" s="147"/>
      <c r="Z306" s="147"/>
      <c r="AA306" s="147"/>
      <c r="AB306" s="147"/>
      <c r="AC306" s="147"/>
      <c r="AD306" s="147"/>
    </row>
    <row r="307">
      <c r="A307" s="147"/>
      <c r="B307" s="147"/>
      <c r="C307" s="147"/>
      <c r="D307" s="147"/>
      <c r="E307" s="147"/>
      <c r="F307" s="147"/>
      <c r="G307" s="147"/>
      <c r="H307" s="262"/>
      <c r="I307" s="147"/>
      <c r="J307" s="147"/>
      <c r="K307" s="147"/>
      <c r="L307" s="147"/>
      <c r="M307" s="147"/>
      <c r="N307" s="147"/>
      <c r="O307" s="147"/>
      <c r="P307" s="147"/>
      <c r="Q307" s="147"/>
      <c r="R307" s="147"/>
      <c r="S307" s="147"/>
      <c r="T307" s="147"/>
      <c r="U307" s="147"/>
      <c r="V307" s="147"/>
      <c r="W307" s="147"/>
      <c r="X307" s="147"/>
      <c r="Y307" s="147"/>
      <c r="Z307" s="147"/>
      <c r="AA307" s="147"/>
      <c r="AB307" s="147"/>
      <c r="AC307" s="147"/>
      <c r="AD307" s="147"/>
    </row>
    <row r="308">
      <c r="A308" s="147"/>
      <c r="B308" s="147"/>
      <c r="C308" s="147"/>
      <c r="D308" s="147"/>
      <c r="E308" s="147"/>
      <c r="F308" s="147"/>
      <c r="G308" s="147"/>
      <c r="H308" s="262"/>
      <c r="I308" s="147"/>
      <c r="J308" s="147"/>
      <c r="K308" s="147"/>
      <c r="L308" s="147"/>
      <c r="M308" s="147"/>
      <c r="N308" s="147"/>
      <c r="O308" s="147"/>
      <c r="P308" s="147"/>
      <c r="Q308" s="147"/>
      <c r="R308" s="147"/>
      <c r="S308" s="147"/>
      <c r="T308" s="147"/>
      <c r="U308" s="147"/>
      <c r="V308" s="147"/>
      <c r="W308" s="147"/>
      <c r="X308" s="147"/>
      <c r="Y308" s="147"/>
      <c r="Z308" s="147"/>
      <c r="AA308" s="147"/>
      <c r="AB308" s="147"/>
      <c r="AC308" s="147"/>
      <c r="AD308" s="147"/>
    </row>
    <row r="309">
      <c r="A309" s="147"/>
      <c r="B309" s="147"/>
      <c r="C309" s="147"/>
      <c r="D309" s="147"/>
      <c r="E309" s="147"/>
      <c r="F309" s="147"/>
      <c r="G309" s="147"/>
      <c r="H309" s="262"/>
      <c r="I309" s="147"/>
      <c r="J309" s="147"/>
      <c r="K309" s="147"/>
      <c r="L309" s="147"/>
      <c r="M309" s="147"/>
      <c r="N309" s="147"/>
      <c r="O309" s="147"/>
      <c r="P309" s="147"/>
      <c r="Q309" s="147"/>
      <c r="R309" s="147"/>
      <c r="S309" s="147"/>
      <c r="T309" s="147"/>
      <c r="U309" s="147"/>
      <c r="V309" s="147"/>
      <c r="W309" s="147"/>
      <c r="X309" s="147"/>
      <c r="Y309" s="147"/>
      <c r="Z309" s="147"/>
      <c r="AA309" s="147"/>
      <c r="AB309" s="147"/>
      <c r="AC309" s="147"/>
      <c r="AD309" s="147"/>
    </row>
    <row r="310">
      <c r="A310" s="147"/>
      <c r="B310" s="147"/>
      <c r="C310" s="147"/>
      <c r="D310" s="147"/>
      <c r="E310" s="147"/>
      <c r="F310" s="147"/>
      <c r="G310" s="147"/>
      <c r="H310" s="262"/>
      <c r="I310" s="147"/>
      <c r="J310" s="147"/>
      <c r="K310" s="147"/>
      <c r="L310" s="147"/>
      <c r="M310" s="147"/>
      <c r="N310" s="147"/>
      <c r="O310" s="147"/>
      <c r="P310" s="147"/>
      <c r="Q310" s="147"/>
      <c r="R310" s="147"/>
      <c r="S310" s="147"/>
      <c r="T310" s="147"/>
      <c r="U310" s="147"/>
      <c r="V310" s="147"/>
      <c r="W310" s="147"/>
      <c r="X310" s="147"/>
      <c r="Y310" s="147"/>
      <c r="Z310" s="147"/>
      <c r="AA310" s="147"/>
      <c r="AB310" s="147"/>
      <c r="AC310" s="147"/>
      <c r="AD310" s="147"/>
    </row>
    <row r="311">
      <c r="A311" s="147"/>
      <c r="B311" s="147"/>
      <c r="C311" s="147"/>
      <c r="D311" s="147"/>
      <c r="E311" s="147"/>
      <c r="F311" s="147"/>
      <c r="G311" s="147"/>
      <c r="H311" s="262"/>
      <c r="I311" s="147"/>
      <c r="J311" s="147"/>
      <c r="K311" s="147"/>
      <c r="L311" s="147"/>
      <c r="M311" s="147"/>
      <c r="N311" s="147"/>
      <c r="O311" s="147"/>
      <c r="P311" s="147"/>
      <c r="Q311" s="147"/>
      <c r="R311" s="147"/>
      <c r="S311" s="147"/>
      <c r="T311" s="147"/>
      <c r="U311" s="147"/>
      <c r="V311" s="147"/>
      <c r="W311" s="147"/>
      <c r="X311" s="147"/>
      <c r="Y311" s="147"/>
      <c r="Z311" s="147"/>
      <c r="AA311" s="147"/>
      <c r="AB311" s="147"/>
      <c r="AC311" s="147"/>
      <c r="AD311" s="147"/>
    </row>
    <row r="312">
      <c r="A312" s="147"/>
      <c r="B312" s="147"/>
      <c r="C312" s="147"/>
      <c r="D312" s="147"/>
      <c r="E312" s="147"/>
      <c r="F312" s="147"/>
      <c r="G312" s="147"/>
      <c r="H312" s="262"/>
      <c r="I312" s="147"/>
      <c r="J312" s="147"/>
      <c r="K312" s="147"/>
      <c r="L312" s="147"/>
      <c r="M312" s="147"/>
      <c r="N312" s="147"/>
      <c r="O312" s="147"/>
      <c r="P312" s="147"/>
      <c r="Q312" s="147"/>
      <c r="R312" s="147"/>
      <c r="S312" s="147"/>
      <c r="T312" s="147"/>
      <c r="U312" s="147"/>
      <c r="V312" s="147"/>
      <c r="W312" s="147"/>
      <c r="X312" s="147"/>
      <c r="Y312" s="147"/>
      <c r="Z312" s="147"/>
      <c r="AA312" s="147"/>
      <c r="AB312" s="147"/>
      <c r="AC312" s="147"/>
      <c r="AD312" s="147"/>
    </row>
    <row r="313">
      <c r="A313" s="147"/>
      <c r="B313" s="147"/>
      <c r="C313" s="147"/>
      <c r="D313" s="147"/>
      <c r="E313" s="147"/>
      <c r="F313" s="147"/>
      <c r="G313" s="147"/>
      <c r="H313" s="262"/>
      <c r="I313" s="147"/>
      <c r="J313" s="147"/>
      <c r="K313" s="147"/>
      <c r="L313" s="147"/>
      <c r="M313" s="147"/>
      <c r="N313" s="147"/>
      <c r="O313" s="147"/>
      <c r="P313" s="147"/>
      <c r="Q313" s="147"/>
      <c r="R313" s="147"/>
      <c r="S313" s="147"/>
      <c r="T313" s="147"/>
      <c r="U313" s="147"/>
      <c r="V313" s="147"/>
      <c r="W313" s="147"/>
      <c r="X313" s="147"/>
      <c r="Y313" s="147"/>
      <c r="Z313" s="147"/>
      <c r="AA313" s="147"/>
      <c r="AB313" s="147"/>
      <c r="AC313" s="147"/>
      <c r="AD313" s="147"/>
    </row>
    <row r="314">
      <c r="A314" s="147"/>
      <c r="B314" s="147"/>
      <c r="C314" s="147"/>
      <c r="D314" s="147"/>
      <c r="E314" s="147"/>
      <c r="F314" s="147"/>
      <c r="G314" s="147"/>
      <c r="H314" s="262"/>
      <c r="I314" s="147"/>
      <c r="J314" s="147"/>
      <c r="K314" s="147"/>
      <c r="L314" s="147"/>
      <c r="M314" s="147"/>
      <c r="N314" s="147"/>
      <c r="O314" s="147"/>
      <c r="P314" s="147"/>
      <c r="Q314" s="147"/>
      <c r="R314" s="147"/>
      <c r="S314" s="147"/>
      <c r="T314" s="147"/>
      <c r="U314" s="147"/>
      <c r="V314" s="147"/>
      <c r="W314" s="147"/>
      <c r="X314" s="147"/>
      <c r="Y314" s="147"/>
      <c r="Z314" s="147"/>
      <c r="AA314" s="147"/>
      <c r="AB314" s="147"/>
      <c r="AC314" s="147"/>
      <c r="AD314" s="147"/>
    </row>
    <row r="315">
      <c r="A315" s="147"/>
      <c r="B315" s="147"/>
      <c r="C315" s="147"/>
      <c r="D315" s="147"/>
      <c r="E315" s="147"/>
      <c r="F315" s="147"/>
      <c r="G315" s="147"/>
      <c r="H315" s="262"/>
      <c r="I315" s="147"/>
      <c r="J315" s="147"/>
      <c r="K315" s="147"/>
      <c r="L315" s="147"/>
      <c r="M315" s="147"/>
      <c r="N315" s="147"/>
      <c r="O315" s="147"/>
      <c r="P315" s="147"/>
      <c r="Q315" s="147"/>
      <c r="R315" s="147"/>
      <c r="S315" s="147"/>
      <c r="T315" s="147"/>
      <c r="U315" s="147"/>
      <c r="V315" s="147"/>
      <c r="W315" s="147"/>
      <c r="X315" s="147"/>
      <c r="Y315" s="147"/>
      <c r="Z315" s="147"/>
      <c r="AA315" s="147"/>
      <c r="AB315" s="147"/>
      <c r="AC315" s="147"/>
      <c r="AD315" s="147"/>
    </row>
    <row r="316">
      <c r="A316" s="147"/>
      <c r="B316" s="147"/>
      <c r="C316" s="147"/>
      <c r="D316" s="147"/>
      <c r="E316" s="147"/>
      <c r="F316" s="147"/>
      <c r="G316" s="147"/>
      <c r="H316" s="262"/>
      <c r="I316" s="147"/>
      <c r="J316" s="147"/>
      <c r="K316" s="147"/>
      <c r="L316" s="147"/>
      <c r="M316" s="147"/>
      <c r="N316" s="147"/>
      <c r="O316" s="147"/>
      <c r="P316" s="147"/>
      <c r="Q316" s="147"/>
      <c r="R316" s="147"/>
      <c r="S316" s="147"/>
      <c r="T316" s="147"/>
      <c r="U316" s="147"/>
      <c r="V316" s="147"/>
      <c r="W316" s="147"/>
      <c r="X316" s="147"/>
      <c r="Y316" s="147"/>
      <c r="Z316" s="147"/>
      <c r="AA316" s="147"/>
      <c r="AB316" s="147"/>
      <c r="AC316" s="147"/>
      <c r="AD316" s="147"/>
    </row>
    <row r="317">
      <c r="A317" s="147"/>
      <c r="B317" s="147"/>
      <c r="C317" s="147"/>
      <c r="D317" s="147"/>
      <c r="E317" s="147"/>
      <c r="F317" s="147"/>
      <c r="G317" s="147"/>
      <c r="H317" s="262"/>
      <c r="I317" s="147"/>
      <c r="J317" s="147"/>
      <c r="K317" s="147"/>
      <c r="L317" s="147"/>
      <c r="M317" s="147"/>
      <c r="N317" s="147"/>
      <c r="O317" s="147"/>
      <c r="P317" s="147"/>
      <c r="Q317" s="147"/>
      <c r="R317" s="147"/>
      <c r="S317" s="147"/>
      <c r="T317" s="147"/>
      <c r="U317" s="147"/>
      <c r="V317" s="147"/>
      <c r="W317" s="147"/>
      <c r="X317" s="147"/>
      <c r="Y317" s="147"/>
      <c r="Z317" s="147"/>
      <c r="AA317" s="147"/>
      <c r="AB317" s="147"/>
      <c r="AC317" s="147"/>
      <c r="AD317" s="147"/>
    </row>
    <row r="318">
      <c r="A318" s="147"/>
      <c r="B318" s="147"/>
      <c r="C318" s="147"/>
      <c r="D318" s="147"/>
      <c r="E318" s="147"/>
      <c r="F318" s="147"/>
      <c r="G318" s="147"/>
      <c r="H318" s="262"/>
      <c r="I318" s="147"/>
      <c r="J318" s="147"/>
      <c r="K318" s="147"/>
      <c r="L318" s="147"/>
      <c r="M318" s="147"/>
      <c r="N318" s="147"/>
      <c r="O318" s="147"/>
      <c r="P318" s="147"/>
      <c r="Q318" s="147"/>
      <c r="R318" s="147"/>
      <c r="S318" s="147"/>
      <c r="T318" s="147"/>
      <c r="U318" s="147"/>
      <c r="V318" s="147"/>
      <c r="W318" s="147"/>
      <c r="X318" s="147"/>
      <c r="Y318" s="147"/>
      <c r="Z318" s="147"/>
      <c r="AA318" s="147"/>
      <c r="AB318" s="147"/>
      <c r="AC318" s="147"/>
      <c r="AD318" s="147"/>
    </row>
    <row r="319">
      <c r="A319" s="147"/>
      <c r="B319" s="147"/>
      <c r="C319" s="147"/>
      <c r="D319" s="147"/>
      <c r="E319" s="147"/>
      <c r="F319" s="147"/>
      <c r="G319" s="147"/>
      <c r="H319" s="262"/>
      <c r="I319" s="147"/>
      <c r="J319" s="147"/>
      <c r="K319" s="147"/>
      <c r="L319" s="147"/>
      <c r="M319" s="147"/>
      <c r="N319" s="147"/>
      <c r="O319" s="147"/>
      <c r="P319" s="147"/>
      <c r="Q319" s="147"/>
      <c r="R319" s="147"/>
      <c r="S319" s="147"/>
      <c r="T319" s="147"/>
      <c r="U319" s="147"/>
      <c r="V319" s="147"/>
      <c r="W319" s="147"/>
      <c r="X319" s="147"/>
      <c r="Y319" s="147"/>
      <c r="Z319" s="147"/>
      <c r="AA319" s="147"/>
      <c r="AB319" s="147"/>
      <c r="AC319" s="147"/>
      <c r="AD319" s="147"/>
    </row>
    <row r="320">
      <c r="A320" s="147"/>
      <c r="B320" s="147"/>
      <c r="C320" s="147"/>
      <c r="D320" s="147"/>
      <c r="E320" s="147"/>
      <c r="F320" s="147"/>
      <c r="G320" s="147"/>
      <c r="H320" s="262"/>
      <c r="I320" s="147"/>
      <c r="J320" s="147"/>
      <c r="K320" s="147"/>
      <c r="L320" s="147"/>
      <c r="M320" s="147"/>
      <c r="N320" s="147"/>
      <c r="O320" s="147"/>
      <c r="P320" s="147"/>
      <c r="Q320" s="147"/>
      <c r="R320" s="147"/>
      <c r="S320" s="147"/>
      <c r="T320" s="147"/>
      <c r="U320" s="147"/>
      <c r="V320" s="147"/>
      <c r="W320" s="147"/>
      <c r="X320" s="147"/>
      <c r="Y320" s="147"/>
      <c r="Z320" s="147"/>
      <c r="AA320" s="147"/>
      <c r="AB320" s="147"/>
      <c r="AC320" s="147"/>
      <c r="AD320" s="147"/>
    </row>
    <row r="321">
      <c r="A321" s="147"/>
      <c r="B321" s="147"/>
      <c r="C321" s="147"/>
      <c r="D321" s="147"/>
      <c r="E321" s="147"/>
      <c r="F321" s="147"/>
      <c r="G321" s="147"/>
      <c r="H321" s="262"/>
      <c r="I321" s="147"/>
      <c r="J321" s="147"/>
      <c r="K321" s="147"/>
      <c r="L321" s="147"/>
      <c r="M321" s="147"/>
      <c r="N321" s="147"/>
      <c r="O321" s="147"/>
      <c r="P321" s="147"/>
      <c r="Q321" s="147"/>
      <c r="R321" s="147"/>
      <c r="S321" s="147"/>
      <c r="T321" s="147"/>
      <c r="U321" s="147"/>
      <c r="V321" s="147"/>
      <c r="W321" s="147"/>
      <c r="X321" s="147"/>
      <c r="Y321" s="147"/>
      <c r="Z321" s="147"/>
      <c r="AA321" s="147"/>
      <c r="AB321" s="147"/>
      <c r="AC321" s="147"/>
      <c r="AD321" s="147"/>
    </row>
    <row r="322">
      <c r="A322" s="147"/>
      <c r="B322" s="147"/>
      <c r="C322" s="147"/>
      <c r="D322" s="147"/>
      <c r="E322" s="147"/>
      <c r="F322" s="147"/>
      <c r="G322" s="147"/>
      <c r="H322" s="262"/>
      <c r="I322" s="147"/>
      <c r="J322" s="147"/>
      <c r="K322" s="147"/>
      <c r="L322" s="147"/>
      <c r="M322" s="147"/>
      <c r="N322" s="147"/>
      <c r="O322" s="147"/>
      <c r="P322" s="147"/>
      <c r="Q322" s="147"/>
      <c r="R322" s="147"/>
      <c r="S322" s="147"/>
      <c r="T322" s="147"/>
      <c r="U322" s="147"/>
      <c r="V322" s="147"/>
      <c r="W322" s="147"/>
      <c r="X322" s="147"/>
      <c r="Y322" s="147"/>
      <c r="Z322" s="147"/>
      <c r="AA322" s="147"/>
      <c r="AB322" s="147"/>
      <c r="AC322" s="147"/>
      <c r="AD322" s="147"/>
    </row>
    <row r="323">
      <c r="A323" s="147"/>
      <c r="B323" s="147"/>
      <c r="C323" s="147"/>
      <c r="D323" s="147"/>
      <c r="E323" s="147"/>
      <c r="F323" s="147"/>
      <c r="G323" s="147"/>
      <c r="H323" s="262"/>
      <c r="I323" s="147"/>
      <c r="J323" s="147"/>
      <c r="K323" s="147"/>
      <c r="L323" s="147"/>
      <c r="M323" s="147"/>
      <c r="N323" s="147"/>
      <c r="O323" s="147"/>
      <c r="P323" s="147"/>
      <c r="Q323" s="147"/>
      <c r="R323" s="147"/>
      <c r="S323" s="147"/>
      <c r="T323" s="147"/>
      <c r="U323" s="147"/>
      <c r="V323" s="147"/>
      <c r="W323" s="147"/>
      <c r="X323" s="147"/>
      <c r="Y323" s="147"/>
      <c r="Z323" s="147"/>
      <c r="AA323" s="147"/>
      <c r="AB323" s="147"/>
      <c r="AC323" s="147"/>
      <c r="AD323" s="147"/>
    </row>
    <row r="324">
      <c r="A324" s="147"/>
      <c r="B324" s="147"/>
      <c r="C324" s="147"/>
      <c r="D324" s="147"/>
      <c r="E324" s="147"/>
      <c r="F324" s="147"/>
      <c r="G324" s="147"/>
      <c r="H324" s="262"/>
      <c r="I324" s="147"/>
      <c r="J324" s="147"/>
      <c r="K324" s="147"/>
      <c r="L324" s="147"/>
      <c r="M324" s="147"/>
      <c r="N324" s="147"/>
      <c r="O324" s="147"/>
      <c r="P324" s="147"/>
      <c r="Q324" s="147"/>
      <c r="R324" s="147"/>
      <c r="S324" s="147"/>
      <c r="T324" s="147"/>
      <c r="U324" s="147"/>
      <c r="V324" s="147"/>
      <c r="W324" s="147"/>
      <c r="X324" s="147"/>
      <c r="Y324" s="147"/>
      <c r="Z324" s="147"/>
      <c r="AA324" s="147"/>
      <c r="AB324" s="147"/>
      <c r="AC324" s="147"/>
      <c r="AD324" s="147"/>
    </row>
    <row r="325">
      <c r="A325" s="147"/>
      <c r="B325" s="147"/>
      <c r="C325" s="147"/>
      <c r="D325" s="147"/>
      <c r="E325" s="147"/>
      <c r="F325" s="147"/>
      <c r="G325" s="147"/>
      <c r="H325" s="262"/>
      <c r="I325" s="147"/>
      <c r="J325" s="147"/>
      <c r="K325" s="147"/>
      <c r="L325" s="147"/>
      <c r="M325" s="147"/>
      <c r="N325" s="147"/>
      <c r="O325" s="147"/>
      <c r="P325" s="147"/>
      <c r="Q325" s="147"/>
      <c r="R325" s="147"/>
      <c r="S325" s="147"/>
      <c r="T325" s="147"/>
      <c r="U325" s="147"/>
      <c r="V325" s="147"/>
      <c r="W325" s="147"/>
      <c r="X325" s="147"/>
      <c r="Y325" s="147"/>
      <c r="Z325" s="147"/>
      <c r="AA325" s="147"/>
      <c r="AB325" s="147"/>
      <c r="AC325" s="147"/>
      <c r="AD325" s="147"/>
    </row>
    <row r="326">
      <c r="A326" s="147"/>
      <c r="B326" s="147"/>
      <c r="C326" s="147"/>
      <c r="D326" s="147"/>
      <c r="E326" s="147"/>
      <c r="F326" s="147"/>
      <c r="G326" s="147"/>
      <c r="H326" s="262"/>
      <c r="I326" s="147"/>
      <c r="J326" s="147"/>
      <c r="K326" s="147"/>
      <c r="L326" s="147"/>
      <c r="M326" s="147"/>
      <c r="N326" s="147"/>
      <c r="O326" s="147"/>
      <c r="P326" s="147"/>
      <c r="Q326" s="147"/>
      <c r="R326" s="147"/>
      <c r="S326" s="147"/>
      <c r="T326" s="147"/>
      <c r="U326" s="147"/>
      <c r="V326" s="147"/>
      <c r="W326" s="147"/>
      <c r="X326" s="147"/>
      <c r="Y326" s="147"/>
      <c r="Z326" s="147"/>
      <c r="AA326" s="147"/>
      <c r="AB326" s="147"/>
      <c r="AC326" s="147"/>
      <c r="AD326" s="147"/>
    </row>
    <row r="327">
      <c r="A327" s="147"/>
      <c r="B327" s="147"/>
      <c r="C327" s="147"/>
      <c r="D327" s="147"/>
      <c r="E327" s="147"/>
      <c r="F327" s="147"/>
      <c r="G327" s="147"/>
      <c r="H327" s="262"/>
      <c r="I327" s="147"/>
      <c r="J327" s="147"/>
      <c r="K327" s="147"/>
      <c r="L327" s="147"/>
      <c r="M327" s="147"/>
      <c r="N327" s="147"/>
      <c r="O327" s="147"/>
      <c r="P327" s="147"/>
      <c r="Q327" s="147"/>
      <c r="R327" s="147"/>
      <c r="S327" s="147"/>
      <c r="T327" s="147"/>
      <c r="U327" s="147"/>
      <c r="V327" s="147"/>
      <c r="W327" s="147"/>
      <c r="X327" s="147"/>
      <c r="Y327" s="147"/>
      <c r="Z327" s="147"/>
      <c r="AA327" s="147"/>
      <c r="AB327" s="147"/>
      <c r="AC327" s="147"/>
      <c r="AD327" s="147"/>
    </row>
    <row r="328">
      <c r="A328" s="147"/>
      <c r="B328" s="147"/>
      <c r="C328" s="147"/>
      <c r="D328" s="147"/>
      <c r="E328" s="147"/>
      <c r="F328" s="147"/>
      <c r="G328" s="147"/>
      <c r="H328" s="262"/>
      <c r="I328" s="147"/>
      <c r="J328" s="147"/>
      <c r="K328" s="147"/>
      <c r="L328" s="147"/>
      <c r="M328" s="147"/>
      <c r="N328" s="147"/>
      <c r="O328" s="147"/>
      <c r="P328" s="147"/>
      <c r="Q328" s="147"/>
      <c r="R328" s="147"/>
      <c r="S328" s="147"/>
      <c r="T328" s="147"/>
      <c r="U328" s="147"/>
      <c r="V328" s="147"/>
      <c r="W328" s="147"/>
      <c r="X328" s="147"/>
      <c r="Y328" s="147"/>
      <c r="Z328" s="147"/>
      <c r="AA328" s="147"/>
      <c r="AB328" s="147"/>
      <c r="AC328" s="147"/>
      <c r="AD328" s="147"/>
    </row>
    <row r="329">
      <c r="A329" s="147"/>
      <c r="B329" s="147"/>
      <c r="C329" s="147"/>
      <c r="D329" s="147"/>
      <c r="E329" s="147"/>
      <c r="F329" s="147"/>
      <c r="G329" s="147"/>
      <c r="H329" s="262"/>
      <c r="I329" s="147"/>
      <c r="J329" s="147"/>
      <c r="K329" s="147"/>
      <c r="L329" s="147"/>
      <c r="M329" s="147"/>
      <c r="N329" s="147"/>
      <c r="O329" s="147"/>
      <c r="P329" s="147"/>
      <c r="Q329" s="147"/>
      <c r="R329" s="147"/>
      <c r="S329" s="147"/>
      <c r="T329" s="147"/>
      <c r="U329" s="147"/>
      <c r="V329" s="147"/>
      <c r="W329" s="147"/>
      <c r="X329" s="147"/>
      <c r="Y329" s="147"/>
      <c r="Z329" s="147"/>
      <c r="AA329" s="147"/>
      <c r="AB329" s="147"/>
      <c r="AC329" s="147"/>
      <c r="AD329" s="147"/>
    </row>
    <row r="330">
      <c r="A330" s="147"/>
      <c r="B330" s="147"/>
      <c r="C330" s="147"/>
      <c r="D330" s="147"/>
      <c r="E330" s="147"/>
      <c r="F330" s="147"/>
      <c r="G330" s="147"/>
      <c r="H330" s="262"/>
      <c r="I330" s="147"/>
      <c r="J330" s="147"/>
      <c r="K330" s="147"/>
      <c r="L330" s="147"/>
      <c r="M330" s="147"/>
      <c r="N330" s="147"/>
      <c r="O330" s="147"/>
      <c r="P330" s="147"/>
      <c r="Q330" s="147"/>
      <c r="R330" s="147"/>
      <c r="S330" s="147"/>
      <c r="T330" s="147"/>
      <c r="U330" s="147"/>
      <c r="V330" s="147"/>
      <c r="W330" s="147"/>
      <c r="X330" s="147"/>
      <c r="Y330" s="147"/>
      <c r="Z330" s="147"/>
      <c r="AA330" s="147"/>
      <c r="AB330" s="147"/>
      <c r="AC330" s="147"/>
      <c r="AD330" s="147"/>
    </row>
    <row r="331">
      <c r="A331" s="147"/>
      <c r="B331" s="147"/>
      <c r="C331" s="147"/>
      <c r="D331" s="147"/>
      <c r="E331" s="147"/>
      <c r="F331" s="147"/>
      <c r="G331" s="147"/>
      <c r="H331" s="262"/>
      <c r="I331" s="147"/>
      <c r="J331" s="147"/>
      <c r="K331" s="147"/>
      <c r="L331" s="147"/>
      <c r="M331" s="147"/>
      <c r="N331" s="147"/>
      <c r="O331" s="147"/>
      <c r="P331" s="147"/>
      <c r="Q331" s="147"/>
      <c r="R331" s="147"/>
      <c r="S331" s="147"/>
      <c r="T331" s="147"/>
      <c r="U331" s="147"/>
      <c r="V331" s="147"/>
      <c r="W331" s="147"/>
      <c r="X331" s="147"/>
      <c r="Y331" s="147"/>
      <c r="Z331" s="147"/>
      <c r="AA331" s="147"/>
      <c r="AB331" s="147"/>
      <c r="AC331" s="147"/>
      <c r="AD331" s="147"/>
    </row>
    <row r="332">
      <c r="A332" s="147"/>
      <c r="B332" s="147"/>
      <c r="C332" s="147"/>
      <c r="D332" s="147"/>
      <c r="E332" s="147"/>
      <c r="F332" s="147"/>
      <c r="G332" s="147"/>
      <c r="H332" s="262"/>
      <c r="I332" s="147"/>
      <c r="J332" s="147"/>
      <c r="K332" s="147"/>
      <c r="L332" s="147"/>
      <c r="M332" s="147"/>
      <c r="N332" s="147"/>
      <c r="O332" s="147"/>
      <c r="P332" s="147"/>
      <c r="Q332" s="147"/>
      <c r="R332" s="147"/>
      <c r="S332" s="147"/>
      <c r="T332" s="147"/>
      <c r="U332" s="147"/>
      <c r="V332" s="147"/>
      <c r="W332" s="147"/>
      <c r="X332" s="147"/>
      <c r="Y332" s="147"/>
      <c r="Z332" s="147"/>
      <c r="AA332" s="147"/>
      <c r="AB332" s="147"/>
      <c r="AC332" s="147"/>
      <c r="AD332" s="147"/>
    </row>
    <row r="333">
      <c r="A333" s="147"/>
      <c r="B333" s="147"/>
      <c r="C333" s="147"/>
      <c r="D333" s="147"/>
      <c r="E333" s="147"/>
      <c r="F333" s="147"/>
      <c r="G333" s="147"/>
      <c r="H333" s="262"/>
      <c r="I333" s="147"/>
      <c r="J333" s="147"/>
      <c r="K333" s="147"/>
      <c r="L333" s="147"/>
      <c r="M333" s="147"/>
      <c r="N333" s="147"/>
      <c r="O333" s="147"/>
      <c r="P333" s="147"/>
      <c r="Q333" s="147"/>
      <c r="R333" s="147"/>
      <c r="S333" s="147"/>
      <c r="T333" s="147"/>
      <c r="U333" s="147"/>
      <c r="V333" s="147"/>
      <c r="W333" s="147"/>
      <c r="X333" s="147"/>
      <c r="Y333" s="147"/>
      <c r="Z333" s="147"/>
      <c r="AA333" s="147"/>
      <c r="AB333" s="147"/>
      <c r="AC333" s="147"/>
      <c r="AD333" s="147"/>
    </row>
    <row r="334">
      <c r="A334" s="147"/>
      <c r="B334" s="147"/>
      <c r="C334" s="147"/>
      <c r="D334" s="147"/>
      <c r="E334" s="147"/>
      <c r="F334" s="147"/>
      <c r="G334" s="147"/>
      <c r="H334" s="262"/>
      <c r="I334" s="147"/>
      <c r="J334" s="147"/>
      <c r="K334" s="147"/>
      <c r="L334" s="147"/>
      <c r="M334" s="147"/>
      <c r="N334" s="147"/>
      <c r="O334" s="147"/>
      <c r="P334" s="147"/>
      <c r="Q334" s="147"/>
      <c r="R334" s="147"/>
      <c r="S334" s="147"/>
      <c r="T334" s="147"/>
      <c r="U334" s="147"/>
      <c r="V334" s="147"/>
      <c r="W334" s="147"/>
      <c r="X334" s="147"/>
      <c r="Y334" s="147"/>
      <c r="Z334" s="147"/>
      <c r="AA334" s="147"/>
      <c r="AB334" s="147"/>
      <c r="AC334" s="147"/>
      <c r="AD334" s="147"/>
    </row>
    <row r="335">
      <c r="A335" s="147"/>
      <c r="B335" s="147"/>
      <c r="C335" s="147"/>
      <c r="D335" s="147"/>
      <c r="E335" s="147"/>
      <c r="F335" s="147"/>
      <c r="G335" s="147"/>
      <c r="H335" s="262"/>
      <c r="I335" s="147"/>
      <c r="J335" s="147"/>
      <c r="K335" s="147"/>
      <c r="L335" s="147"/>
      <c r="M335" s="147"/>
      <c r="N335" s="147"/>
      <c r="O335" s="147"/>
      <c r="P335" s="147"/>
      <c r="Q335" s="147"/>
      <c r="R335" s="147"/>
      <c r="S335" s="147"/>
      <c r="T335" s="147"/>
      <c r="U335" s="147"/>
      <c r="V335" s="147"/>
      <c r="W335" s="147"/>
      <c r="X335" s="147"/>
      <c r="Y335" s="147"/>
      <c r="Z335" s="147"/>
      <c r="AA335" s="147"/>
      <c r="AB335" s="147"/>
      <c r="AC335" s="147"/>
      <c r="AD335" s="147"/>
    </row>
    <row r="336">
      <c r="A336" s="147"/>
      <c r="B336" s="147"/>
      <c r="C336" s="147"/>
      <c r="D336" s="147"/>
      <c r="E336" s="147"/>
      <c r="F336" s="147"/>
      <c r="G336" s="147"/>
      <c r="H336" s="262"/>
      <c r="I336" s="147"/>
      <c r="J336" s="147"/>
      <c r="K336" s="147"/>
      <c r="L336" s="147"/>
      <c r="M336" s="147"/>
      <c r="N336" s="147"/>
      <c r="O336" s="147"/>
      <c r="P336" s="147"/>
      <c r="Q336" s="147"/>
      <c r="R336" s="147"/>
      <c r="S336" s="147"/>
      <c r="T336" s="147"/>
      <c r="U336" s="147"/>
      <c r="V336" s="147"/>
      <c r="W336" s="147"/>
      <c r="X336" s="147"/>
      <c r="Y336" s="147"/>
      <c r="Z336" s="147"/>
      <c r="AA336" s="147"/>
      <c r="AB336" s="147"/>
      <c r="AC336" s="147"/>
      <c r="AD336" s="147"/>
    </row>
    <row r="337">
      <c r="A337" s="147"/>
      <c r="B337" s="147"/>
      <c r="C337" s="147"/>
      <c r="D337" s="147"/>
      <c r="E337" s="147"/>
      <c r="F337" s="147"/>
      <c r="G337" s="147"/>
      <c r="H337" s="262"/>
      <c r="I337" s="147"/>
      <c r="J337" s="147"/>
      <c r="K337" s="147"/>
      <c r="L337" s="147"/>
      <c r="M337" s="147"/>
      <c r="N337" s="147"/>
      <c r="O337" s="147"/>
      <c r="P337" s="147"/>
      <c r="Q337" s="147"/>
      <c r="R337" s="147"/>
      <c r="S337" s="147"/>
      <c r="T337" s="147"/>
      <c r="U337" s="147"/>
      <c r="V337" s="147"/>
      <c r="W337" s="147"/>
      <c r="X337" s="147"/>
      <c r="Y337" s="147"/>
      <c r="Z337" s="147"/>
      <c r="AA337" s="147"/>
      <c r="AB337" s="147"/>
      <c r="AC337" s="147"/>
      <c r="AD337" s="147"/>
    </row>
    <row r="338">
      <c r="A338" s="147"/>
      <c r="B338" s="147"/>
      <c r="C338" s="147"/>
      <c r="D338" s="147"/>
      <c r="E338" s="147"/>
      <c r="F338" s="147"/>
      <c r="G338" s="147"/>
      <c r="H338" s="262"/>
      <c r="I338" s="147"/>
      <c r="J338" s="147"/>
      <c r="K338" s="147"/>
      <c r="L338" s="147"/>
      <c r="M338" s="147"/>
      <c r="N338" s="147"/>
      <c r="O338" s="147"/>
      <c r="P338" s="147"/>
      <c r="Q338" s="147"/>
      <c r="R338" s="147"/>
      <c r="S338" s="147"/>
      <c r="T338" s="147"/>
      <c r="U338" s="147"/>
      <c r="V338" s="147"/>
      <c r="W338" s="147"/>
      <c r="X338" s="147"/>
      <c r="Y338" s="147"/>
      <c r="Z338" s="147"/>
      <c r="AA338" s="147"/>
      <c r="AB338" s="147"/>
      <c r="AC338" s="147"/>
      <c r="AD338" s="147"/>
    </row>
    <row r="339">
      <c r="A339" s="147"/>
      <c r="B339" s="147"/>
      <c r="C339" s="147"/>
      <c r="D339" s="147"/>
      <c r="E339" s="147"/>
      <c r="F339" s="147"/>
      <c r="G339" s="147"/>
      <c r="H339" s="262"/>
      <c r="I339" s="147"/>
      <c r="J339" s="147"/>
      <c r="K339" s="147"/>
      <c r="L339" s="147"/>
      <c r="M339" s="147"/>
      <c r="N339" s="147"/>
      <c r="O339" s="147"/>
      <c r="P339" s="147"/>
      <c r="Q339" s="147"/>
      <c r="R339" s="147"/>
      <c r="S339" s="147"/>
      <c r="T339" s="147"/>
      <c r="U339" s="147"/>
      <c r="V339" s="147"/>
      <c r="W339" s="147"/>
      <c r="X339" s="147"/>
      <c r="Y339" s="147"/>
      <c r="Z339" s="147"/>
      <c r="AA339" s="147"/>
      <c r="AB339" s="147"/>
      <c r="AC339" s="147"/>
      <c r="AD339" s="147"/>
    </row>
    <row r="340">
      <c r="A340" s="147"/>
      <c r="B340" s="147"/>
      <c r="C340" s="147"/>
      <c r="D340" s="147"/>
      <c r="E340" s="147"/>
      <c r="F340" s="147"/>
      <c r="G340" s="147"/>
      <c r="H340" s="262"/>
      <c r="I340" s="147"/>
      <c r="J340" s="147"/>
      <c r="K340" s="147"/>
      <c r="L340" s="147"/>
      <c r="M340" s="147"/>
      <c r="N340" s="147"/>
      <c r="O340" s="147"/>
      <c r="P340" s="147"/>
      <c r="Q340" s="147"/>
      <c r="R340" s="147"/>
      <c r="S340" s="147"/>
      <c r="T340" s="147"/>
      <c r="U340" s="147"/>
      <c r="V340" s="147"/>
      <c r="W340" s="147"/>
      <c r="X340" s="147"/>
      <c r="Y340" s="147"/>
      <c r="Z340" s="147"/>
      <c r="AA340" s="147"/>
      <c r="AB340" s="147"/>
      <c r="AC340" s="147"/>
      <c r="AD340" s="147"/>
    </row>
    <row r="341">
      <c r="A341" s="147"/>
      <c r="B341" s="147"/>
      <c r="C341" s="147"/>
      <c r="D341" s="147"/>
      <c r="E341" s="147"/>
      <c r="F341" s="147"/>
      <c r="G341" s="147"/>
      <c r="H341" s="262"/>
      <c r="I341" s="147"/>
      <c r="J341" s="147"/>
      <c r="K341" s="147"/>
      <c r="L341" s="147"/>
      <c r="M341" s="147"/>
      <c r="N341" s="147"/>
      <c r="O341" s="147"/>
      <c r="P341" s="147"/>
      <c r="Q341" s="147"/>
      <c r="R341" s="147"/>
      <c r="S341" s="147"/>
      <c r="T341" s="147"/>
      <c r="U341" s="147"/>
      <c r="V341" s="147"/>
      <c r="W341" s="147"/>
      <c r="X341" s="147"/>
      <c r="Y341" s="147"/>
      <c r="Z341" s="147"/>
      <c r="AA341" s="147"/>
      <c r="AB341" s="147"/>
      <c r="AC341" s="147"/>
      <c r="AD341" s="147"/>
    </row>
    <row r="342">
      <c r="A342" s="147"/>
      <c r="B342" s="147"/>
      <c r="C342" s="147"/>
      <c r="D342" s="147"/>
      <c r="E342" s="147"/>
      <c r="F342" s="147"/>
      <c r="G342" s="147"/>
      <c r="H342" s="262"/>
      <c r="I342" s="147"/>
      <c r="J342" s="147"/>
      <c r="K342" s="147"/>
      <c r="L342" s="147"/>
      <c r="M342" s="147"/>
      <c r="N342" s="147"/>
      <c r="O342" s="147"/>
      <c r="P342" s="147"/>
      <c r="Q342" s="147"/>
      <c r="R342" s="147"/>
      <c r="S342" s="147"/>
      <c r="T342" s="147"/>
      <c r="U342" s="147"/>
      <c r="V342" s="147"/>
      <c r="W342" s="147"/>
      <c r="X342" s="147"/>
      <c r="Y342" s="147"/>
      <c r="Z342" s="147"/>
      <c r="AA342" s="147"/>
      <c r="AB342" s="147"/>
      <c r="AC342" s="147"/>
      <c r="AD342" s="147"/>
    </row>
    <row r="343">
      <c r="A343" s="147"/>
      <c r="B343" s="147"/>
      <c r="C343" s="147"/>
      <c r="D343" s="147"/>
      <c r="E343" s="147"/>
      <c r="F343" s="147"/>
      <c r="G343" s="147"/>
      <c r="H343" s="262"/>
      <c r="I343" s="147"/>
      <c r="J343" s="147"/>
      <c r="K343" s="147"/>
      <c r="L343" s="147"/>
      <c r="M343" s="147"/>
      <c r="N343" s="147"/>
      <c r="O343" s="147"/>
      <c r="P343" s="147"/>
      <c r="Q343" s="147"/>
      <c r="R343" s="147"/>
      <c r="S343" s="147"/>
      <c r="T343" s="147"/>
      <c r="U343" s="147"/>
      <c r="V343" s="147"/>
      <c r="W343" s="147"/>
      <c r="X343" s="147"/>
      <c r="Y343" s="147"/>
      <c r="Z343" s="147"/>
      <c r="AA343" s="147"/>
      <c r="AB343" s="147"/>
      <c r="AC343" s="147"/>
      <c r="AD343" s="147"/>
    </row>
    <row r="344">
      <c r="A344" s="147"/>
      <c r="B344" s="147"/>
      <c r="C344" s="147"/>
      <c r="D344" s="147"/>
      <c r="E344" s="147"/>
      <c r="F344" s="147"/>
      <c r="G344" s="147"/>
      <c r="H344" s="262"/>
      <c r="I344" s="147"/>
      <c r="J344" s="147"/>
      <c r="K344" s="147"/>
      <c r="L344" s="147"/>
      <c r="M344" s="147"/>
      <c r="N344" s="147"/>
      <c r="O344" s="147"/>
      <c r="P344" s="147"/>
      <c r="Q344" s="147"/>
      <c r="R344" s="147"/>
      <c r="S344" s="147"/>
      <c r="T344" s="147"/>
      <c r="U344" s="147"/>
      <c r="V344" s="147"/>
      <c r="W344" s="147"/>
      <c r="X344" s="147"/>
      <c r="Y344" s="147"/>
      <c r="Z344" s="147"/>
      <c r="AA344" s="147"/>
      <c r="AB344" s="147"/>
      <c r="AC344" s="147"/>
      <c r="AD344" s="147"/>
    </row>
    <row r="345">
      <c r="A345" s="147"/>
      <c r="B345" s="147"/>
      <c r="C345" s="147"/>
      <c r="D345" s="147"/>
      <c r="E345" s="147"/>
      <c r="F345" s="147"/>
      <c r="G345" s="147"/>
      <c r="H345" s="262"/>
      <c r="I345" s="147"/>
      <c r="J345" s="147"/>
      <c r="K345" s="147"/>
      <c r="L345" s="147"/>
      <c r="M345" s="147"/>
      <c r="N345" s="147"/>
      <c r="O345" s="147"/>
      <c r="P345" s="147"/>
      <c r="Q345" s="147"/>
      <c r="R345" s="147"/>
      <c r="S345" s="147"/>
      <c r="T345" s="147"/>
      <c r="U345" s="147"/>
      <c r="V345" s="147"/>
      <c r="W345" s="147"/>
      <c r="X345" s="147"/>
      <c r="Y345" s="147"/>
      <c r="Z345" s="147"/>
      <c r="AA345" s="147"/>
      <c r="AB345" s="147"/>
      <c r="AC345" s="147"/>
      <c r="AD345" s="147"/>
    </row>
    <row r="346">
      <c r="A346" s="147"/>
      <c r="B346" s="147"/>
      <c r="C346" s="147"/>
      <c r="D346" s="147"/>
      <c r="E346" s="147"/>
      <c r="F346" s="147"/>
      <c r="G346" s="147"/>
      <c r="H346" s="262"/>
      <c r="I346" s="147"/>
      <c r="J346" s="147"/>
      <c r="K346" s="147"/>
      <c r="L346" s="147"/>
      <c r="M346" s="147"/>
      <c r="N346" s="147"/>
      <c r="O346" s="147"/>
      <c r="P346" s="147"/>
      <c r="Q346" s="147"/>
      <c r="R346" s="147"/>
      <c r="S346" s="147"/>
      <c r="T346" s="147"/>
      <c r="U346" s="147"/>
      <c r="V346" s="147"/>
      <c r="W346" s="147"/>
      <c r="X346" s="147"/>
      <c r="Y346" s="147"/>
      <c r="Z346" s="147"/>
      <c r="AA346" s="147"/>
      <c r="AB346" s="147"/>
      <c r="AC346" s="147"/>
      <c r="AD346" s="147"/>
    </row>
    <row r="347">
      <c r="A347" s="147"/>
      <c r="B347" s="147"/>
      <c r="C347" s="147"/>
      <c r="D347" s="147"/>
      <c r="E347" s="147"/>
      <c r="F347" s="147"/>
      <c r="G347" s="147"/>
      <c r="H347" s="262"/>
      <c r="I347" s="147"/>
      <c r="J347" s="147"/>
      <c r="K347" s="147"/>
      <c r="L347" s="147"/>
      <c r="M347" s="147"/>
      <c r="N347" s="147"/>
      <c r="O347" s="147"/>
      <c r="P347" s="147"/>
      <c r="Q347" s="147"/>
      <c r="R347" s="147"/>
      <c r="S347" s="147"/>
      <c r="T347" s="147"/>
      <c r="U347" s="147"/>
      <c r="V347" s="147"/>
      <c r="W347" s="147"/>
      <c r="X347" s="147"/>
      <c r="Y347" s="147"/>
      <c r="Z347" s="147"/>
      <c r="AA347" s="147"/>
      <c r="AB347" s="147"/>
      <c r="AC347" s="147"/>
      <c r="AD347" s="147"/>
    </row>
    <row r="348">
      <c r="A348" s="147"/>
      <c r="B348" s="147"/>
      <c r="C348" s="147"/>
      <c r="D348" s="147"/>
      <c r="E348" s="147"/>
      <c r="F348" s="147"/>
      <c r="G348" s="147"/>
      <c r="H348" s="262"/>
      <c r="I348" s="147"/>
      <c r="J348" s="147"/>
      <c r="K348" s="147"/>
      <c r="L348" s="147"/>
      <c r="M348" s="147"/>
      <c r="N348" s="147"/>
      <c r="O348" s="147"/>
      <c r="P348" s="147"/>
      <c r="Q348" s="147"/>
      <c r="R348" s="147"/>
      <c r="S348" s="147"/>
      <c r="T348" s="147"/>
      <c r="U348" s="147"/>
      <c r="V348" s="147"/>
      <c r="W348" s="147"/>
      <c r="X348" s="147"/>
      <c r="Y348" s="147"/>
      <c r="Z348" s="147"/>
      <c r="AA348" s="147"/>
      <c r="AB348" s="147"/>
      <c r="AC348" s="147"/>
      <c r="AD348" s="147"/>
    </row>
    <row r="349">
      <c r="A349" s="147"/>
      <c r="B349" s="147"/>
      <c r="C349" s="147"/>
      <c r="D349" s="147"/>
      <c r="E349" s="147"/>
      <c r="F349" s="147"/>
      <c r="G349" s="147"/>
      <c r="H349" s="262"/>
      <c r="I349" s="147"/>
      <c r="J349" s="147"/>
      <c r="K349" s="147"/>
      <c r="L349" s="147"/>
      <c r="M349" s="147"/>
      <c r="N349" s="147"/>
      <c r="O349" s="147"/>
      <c r="P349" s="147"/>
      <c r="Q349" s="147"/>
      <c r="R349" s="147"/>
      <c r="S349" s="147"/>
      <c r="T349" s="147"/>
      <c r="U349" s="147"/>
      <c r="V349" s="147"/>
      <c r="W349" s="147"/>
      <c r="X349" s="147"/>
      <c r="Y349" s="147"/>
      <c r="Z349" s="147"/>
      <c r="AA349" s="147"/>
      <c r="AB349" s="147"/>
      <c r="AC349" s="147"/>
      <c r="AD349" s="147"/>
    </row>
    <row r="350">
      <c r="A350" s="147"/>
      <c r="B350" s="147"/>
      <c r="C350" s="147"/>
      <c r="D350" s="147"/>
      <c r="E350" s="147"/>
      <c r="F350" s="147"/>
      <c r="G350" s="147"/>
      <c r="H350" s="262"/>
      <c r="I350" s="147"/>
      <c r="J350" s="147"/>
      <c r="K350" s="147"/>
      <c r="L350" s="147"/>
      <c r="M350" s="147"/>
      <c r="N350" s="147"/>
      <c r="O350" s="147"/>
      <c r="P350" s="147"/>
      <c r="Q350" s="147"/>
      <c r="R350" s="147"/>
      <c r="S350" s="147"/>
      <c r="T350" s="147"/>
      <c r="U350" s="147"/>
      <c r="V350" s="147"/>
      <c r="W350" s="147"/>
      <c r="X350" s="147"/>
      <c r="Y350" s="147"/>
      <c r="Z350" s="147"/>
      <c r="AA350" s="147"/>
      <c r="AB350" s="147"/>
      <c r="AC350" s="147"/>
      <c r="AD350" s="147"/>
    </row>
    <row r="351">
      <c r="A351" s="147"/>
      <c r="B351" s="147"/>
      <c r="C351" s="147"/>
      <c r="D351" s="147"/>
      <c r="E351" s="147"/>
      <c r="F351" s="147"/>
      <c r="G351" s="147"/>
      <c r="H351" s="262"/>
      <c r="I351" s="147"/>
      <c r="J351" s="147"/>
      <c r="K351" s="147"/>
      <c r="L351" s="147"/>
      <c r="M351" s="147"/>
      <c r="N351" s="147"/>
      <c r="O351" s="147"/>
      <c r="P351" s="147"/>
      <c r="Q351" s="147"/>
      <c r="R351" s="147"/>
      <c r="S351" s="147"/>
      <c r="T351" s="147"/>
      <c r="U351" s="147"/>
      <c r="V351" s="147"/>
      <c r="W351" s="147"/>
      <c r="X351" s="147"/>
      <c r="Y351" s="147"/>
      <c r="Z351" s="147"/>
      <c r="AA351" s="147"/>
      <c r="AB351" s="147"/>
      <c r="AC351" s="147"/>
      <c r="AD351" s="147"/>
    </row>
    <row r="352">
      <c r="A352" s="147"/>
      <c r="B352" s="147"/>
      <c r="C352" s="147"/>
      <c r="D352" s="147"/>
      <c r="E352" s="147"/>
      <c r="F352" s="147"/>
      <c r="G352" s="147"/>
      <c r="H352" s="262"/>
      <c r="I352" s="147"/>
      <c r="J352" s="147"/>
      <c r="K352" s="147"/>
      <c r="L352" s="147"/>
      <c r="M352" s="147"/>
      <c r="N352" s="147"/>
      <c r="O352" s="147"/>
      <c r="P352" s="147"/>
      <c r="Q352" s="147"/>
      <c r="R352" s="147"/>
      <c r="S352" s="147"/>
      <c r="T352" s="147"/>
      <c r="U352" s="147"/>
      <c r="V352" s="147"/>
      <c r="W352" s="147"/>
      <c r="X352" s="147"/>
      <c r="Y352" s="147"/>
      <c r="Z352" s="147"/>
      <c r="AA352" s="147"/>
      <c r="AB352" s="147"/>
      <c r="AC352" s="147"/>
      <c r="AD352" s="147"/>
    </row>
    <row r="353">
      <c r="A353" s="147"/>
      <c r="B353" s="147"/>
      <c r="C353" s="147"/>
      <c r="D353" s="147"/>
      <c r="E353" s="147"/>
      <c r="F353" s="147"/>
      <c r="G353" s="147"/>
      <c r="H353" s="262"/>
      <c r="I353" s="147"/>
      <c r="J353" s="147"/>
      <c r="K353" s="147"/>
      <c r="L353" s="147"/>
      <c r="M353" s="147"/>
      <c r="N353" s="147"/>
      <c r="O353" s="147"/>
      <c r="P353" s="147"/>
      <c r="Q353" s="147"/>
      <c r="R353" s="147"/>
      <c r="S353" s="147"/>
      <c r="T353" s="147"/>
      <c r="U353" s="147"/>
      <c r="V353" s="147"/>
      <c r="W353" s="147"/>
      <c r="X353" s="147"/>
      <c r="Y353" s="147"/>
      <c r="Z353" s="147"/>
      <c r="AA353" s="147"/>
      <c r="AB353" s="147"/>
      <c r="AC353" s="147"/>
      <c r="AD353" s="147"/>
    </row>
    <row r="354">
      <c r="A354" s="147"/>
      <c r="B354" s="147"/>
      <c r="C354" s="147"/>
      <c r="D354" s="147"/>
      <c r="E354" s="147"/>
      <c r="F354" s="147"/>
      <c r="G354" s="147"/>
      <c r="H354" s="262"/>
      <c r="I354" s="147"/>
      <c r="J354" s="147"/>
      <c r="K354" s="147"/>
      <c r="L354" s="147"/>
      <c r="M354" s="147"/>
      <c r="N354" s="147"/>
      <c r="O354" s="147"/>
      <c r="P354" s="147"/>
      <c r="Q354" s="147"/>
      <c r="R354" s="147"/>
      <c r="S354" s="147"/>
      <c r="T354" s="147"/>
      <c r="U354" s="147"/>
      <c r="V354" s="147"/>
      <c r="W354" s="147"/>
      <c r="X354" s="147"/>
      <c r="Y354" s="147"/>
      <c r="Z354" s="147"/>
      <c r="AA354" s="147"/>
      <c r="AB354" s="147"/>
      <c r="AC354" s="147"/>
      <c r="AD354" s="147"/>
    </row>
    <row r="355">
      <c r="A355" s="147"/>
      <c r="B355" s="147"/>
      <c r="C355" s="147"/>
      <c r="D355" s="147"/>
      <c r="E355" s="147"/>
      <c r="F355" s="147"/>
      <c r="G355" s="147"/>
      <c r="H355" s="262"/>
      <c r="I355" s="147"/>
      <c r="J355" s="147"/>
      <c r="K355" s="147"/>
      <c r="L355" s="147"/>
      <c r="M355" s="147"/>
      <c r="N355" s="147"/>
      <c r="O355" s="147"/>
      <c r="P355" s="147"/>
      <c r="Q355" s="147"/>
      <c r="R355" s="147"/>
      <c r="S355" s="147"/>
      <c r="T355" s="147"/>
      <c r="U355" s="147"/>
      <c r="V355" s="147"/>
      <c r="W355" s="147"/>
      <c r="X355" s="147"/>
      <c r="Y355" s="147"/>
      <c r="Z355" s="147"/>
      <c r="AA355" s="147"/>
      <c r="AB355" s="147"/>
      <c r="AC355" s="147"/>
      <c r="AD355" s="147"/>
    </row>
    <row r="356">
      <c r="A356" s="147"/>
      <c r="B356" s="147"/>
      <c r="C356" s="147"/>
      <c r="D356" s="147"/>
      <c r="E356" s="147"/>
      <c r="F356" s="147"/>
      <c r="G356" s="147"/>
      <c r="H356" s="262"/>
      <c r="I356" s="147"/>
      <c r="J356" s="147"/>
      <c r="K356" s="147"/>
      <c r="L356" s="147"/>
      <c r="M356" s="147"/>
      <c r="N356" s="147"/>
      <c r="O356" s="147"/>
      <c r="P356" s="147"/>
      <c r="Q356" s="147"/>
      <c r="R356" s="147"/>
      <c r="S356" s="147"/>
      <c r="T356" s="147"/>
      <c r="U356" s="147"/>
      <c r="V356" s="147"/>
      <c r="W356" s="147"/>
      <c r="X356" s="147"/>
      <c r="Y356" s="147"/>
      <c r="Z356" s="147"/>
      <c r="AA356" s="147"/>
      <c r="AB356" s="147"/>
      <c r="AC356" s="147"/>
      <c r="AD356" s="147"/>
    </row>
    <row r="357">
      <c r="A357" s="147"/>
      <c r="B357" s="147"/>
      <c r="C357" s="147"/>
      <c r="D357" s="147"/>
      <c r="E357" s="147"/>
      <c r="F357" s="147"/>
      <c r="G357" s="147"/>
      <c r="H357" s="262"/>
      <c r="I357" s="147"/>
      <c r="J357" s="147"/>
      <c r="K357" s="147"/>
      <c r="L357" s="147"/>
      <c r="M357" s="147"/>
      <c r="N357" s="147"/>
      <c r="O357" s="147"/>
      <c r="P357" s="147"/>
      <c r="Q357" s="147"/>
      <c r="R357" s="147"/>
      <c r="S357" s="147"/>
      <c r="T357" s="147"/>
      <c r="U357" s="147"/>
      <c r="V357" s="147"/>
      <c r="W357" s="147"/>
      <c r="X357" s="147"/>
      <c r="Y357" s="147"/>
      <c r="Z357" s="147"/>
      <c r="AA357" s="147"/>
      <c r="AB357" s="147"/>
      <c r="AC357" s="147"/>
      <c r="AD357" s="147"/>
    </row>
    <row r="358">
      <c r="A358" s="147"/>
      <c r="B358" s="147"/>
      <c r="C358" s="147"/>
      <c r="D358" s="147"/>
      <c r="E358" s="147"/>
      <c r="F358" s="147"/>
      <c r="G358" s="147"/>
      <c r="H358" s="262"/>
      <c r="I358" s="147"/>
      <c r="J358" s="147"/>
      <c r="K358" s="147"/>
      <c r="L358" s="147"/>
      <c r="M358" s="147"/>
      <c r="N358" s="147"/>
      <c r="O358" s="147"/>
      <c r="P358" s="147"/>
      <c r="Q358" s="147"/>
      <c r="R358" s="147"/>
      <c r="S358" s="147"/>
      <c r="T358" s="147"/>
      <c r="U358" s="147"/>
      <c r="V358" s="147"/>
      <c r="W358" s="147"/>
      <c r="X358" s="147"/>
      <c r="Y358" s="147"/>
      <c r="Z358" s="147"/>
      <c r="AA358" s="147"/>
      <c r="AB358" s="147"/>
      <c r="AC358" s="147"/>
      <c r="AD358" s="147"/>
    </row>
    <row r="359">
      <c r="A359" s="147"/>
      <c r="B359" s="147"/>
      <c r="C359" s="147"/>
      <c r="D359" s="147"/>
      <c r="E359" s="147"/>
      <c r="F359" s="147"/>
      <c r="G359" s="147"/>
      <c r="H359" s="262"/>
      <c r="I359" s="147"/>
      <c r="J359" s="147"/>
      <c r="K359" s="147"/>
      <c r="L359" s="147"/>
      <c r="M359" s="147"/>
      <c r="N359" s="147"/>
      <c r="O359" s="147"/>
      <c r="P359" s="147"/>
      <c r="Q359" s="147"/>
      <c r="R359" s="147"/>
      <c r="S359" s="147"/>
      <c r="T359" s="147"/>
      <c r="U359" s="147"/>
      <c r="V359" s="147"/>
      <c r="W359" s="147"/>
      <c r="X359" s="147"/>
      <c r="Y359" s="147"/>
      <c r="Z359" s="147"/>
      <c r="AA359" s="147"/>
      <c r="AB359" s="147"/>
      <c r="AC359" s="147"/>
      <c r="AD359" s="147"/>
    </row>
    <row r="360">
      <c r="A360" s="147"/>
      <c r="B360" s="147"/>
      <c r="C360" s="147"/>
      <c r="D360" s="147"/>
      <c r="E360" s="147"/>
      <c r="F360" s="147"/>
      <c r="G360" s="147"/>
      <c r="H360" s="262"/>
      <c r="I360" s="147"/>
      <c r="J360" s="147"/>
      <c r="K360" s="147"/>
      <c r="L360" s="147"/>
      <c r="M360" s="147"/>
      <c r="N360" s="147"/>
      <c r="O360" s="147"/>
      <c r="P360" s="147"/>
      <c r="Q360" s="147"/>
      <c r="R360" s="147"/>
      <c r="S360" s="147"/>
      <c r="T360" s="147"/>
      <c r="U360" s="147"/>
      <c r="V360" s="147"/>
      <c r="W360" s="147"/>
      <c r="X360" s="147"/>
      <c r="Y360" s="147"/>
      <c r="Z360" s="147"/>
      <c r="AA360" s="147"/>
      <c r="AB360" s="147"/>
      <c r="AC360" s="147"/>
      <c r="AD360" s="147"/>
    </row>
    <row r="361">
      <c r="A361" s="147"/>
      <c r="B361" s="147"/>
      <c r="C361" s="147"/>
      <c r="D361" s="147"/>
      <c r="E361" s="147"/>
      <c r="F361" s="147"/>
      <c r="G361" s="147"/>
      <c r="H361" s="262"/>
      <c r="I361" s="147"/>
      <c r="J361" s="147"/>
      <c r="K361" s="147"/>
      <c r="L361" s="147"/>
      <c r="M361" s="147"/>
      <c r="N361" s="147"/>
      <c r="O361" s="147"/>
      <c r="P361" s="147"/>
      <c r="Q361" s="147"/>
      <c r="R361" s="147"/>
      <c r="S361" s="147"/>
      <c r="T361" s="147"/>
      <c r="U361" s="147"/>
      <c r="V361" s="147"/>
      <c r="W361" s="147"/>
      <c r="X361" s="147"/>
      <c r="Y361" s="147"/>
      <c r="Z361" s="147"/>
      <c r="AA361" s="147"/>
      <c r="AB361" s="147"/>
      <c r="AC361" s="147"/>
      <c r="AD361" s="147"/>
    </row>
    <row r="362">
      <c r="A362" s="147"/>
      <c r="B362" s="147"/>
      <c r="C362" s="147"/>
      <c r="D362" s="147"/>
      <c r="E362" s="147"/>
      <c r="F362" s="147"/>
      <c r="G362" s="147"/>
      <c r="H362" s="262"/>
      <c r="I362" s="147"/>
      <c r="J362" s="147"/>
      <c r="K362" s="147"/>
      <c r="L362" s="147"/>
      <c r="M362" s="147"/>
      <c r="N362" s="147"/>
      <c r="O362" s="147"/>
      <c r="P362" s="147"/>
      <c r="Q362" s="147"/>
      <c r="R362" s="147"/>
      <c r="S362" s="147"/>
      <c r="T362" s="147"/>
      <c r="U362" s="147"/>
      <c r="V362" s="147"/>
      <c r="W362" s="147"/>
      <c r="X362" s="147"/>
      <c r="Y362" s="147"/>
      <c r="Z362" s="147"/>
      <c r="AA362" s="147"/>
      <c r="AB362" s="147"/>
      <c r="AC362" s="147"/>
      <c r="AD362" s="147"/>
    </row>
    <row r="363">
      <c r="A363" s="147"/>
      <c r="B363" s="147"/>
      <c r="C363" s="147"/>
      <c r="D363" s="147"/>
      <c r="E363" s="147"/>
      <c r="F363" s="147"/>
      <c r="G363" s="147"/>
      <c r="H363" s="262"/>
      <c r="I363" s="147"/>
      <c r="J363" s="147"/>
      <c r="K363" s="147"/>
      <c r="L363" s="147"/>
      <c r="M363" s="147"/>
      <c r="N363" s="147"/>
      <c r="O363" s="147"/>
      <c r="P363" s="147"/>
      <c r="Q363" s="147"/>
      <c r="R363" s="147"/>
      <c r="S363" s="147"/>
      <c r="T363" s="147"/>
      <c r="U363" s="147"/>
      <c r="V363" s="147"/>
      <c r="W363" s="147"/>
      <c r="X363" s="147"/>
      <c r="Y363" s="147"/>
      <c r="Z363" s="147"/>
      <c r="AA363" s="147"/>
      <c r="AB363" s="147"/>
      <c r="AC363" s="147"/>
      <c r="AD363" s="147"/>
    </row>
    <row r="364">
      <c r="A364" s="147"/>
      <c r="B364" s="147"/>
      <c r="C364" s="147"/>
      <c r="D364" s="147"/>
      <c r="E364" s="147"/>
      <c r="F364" s="147"/>
      <c r="G364" s="147"/>
      <c r="H364" s="262"/>
      <c r="I364" s="147"/>
      <c r="J364" s="147"/>
      <c r="K364" s="147"/>
      <c r="L364" s="147"/>
      <c r="M364" s="147"/>
      <c r="N364" s="147"/>
      <c r="O364" s="147"/>
      <c r="P364" s="147"/>
      <c r="Q364" s="147"/>
      <c r="R364" s="147"/>
      <c r="S364" s="147"/>
      <c r="T364" s="147"/>
      <c r="U364" s="147"/>
      <c r="V364" s="147"/>
      <c r="W364" s="147"/>
      <c r="X364" s="147"/>
      <c r="Y364" s="147"/>
      <c r="Z364" s="147"/>
      <c r="AA364" s="147"/>
      <c r="AB364" s="147"/>
      <c r="AC364" s="147"/>
      <c r="AD364" s="147"/>
    </row>
    <row r="365">
      <c r="A365" s="147"/>
      <c r="B365" s="147"/>
      <c r="C365" s="147"/>
      <c r="D365" s="147"/>
      <c r="E365" s="147"/>
      <c r="F365" s="147"/>
      <c r="G365" s="147"/>
      <c r="H365" s="262"/>
      <c r="I365" s="147"/>
      <c r="J365" s="147"/>
      <c r="K365" s="147"/>
      <c r="L365" s="147"/>
      <c r="M365" s="147"/>
      <c r="N365" s="147"/>
      <c r="O365" s="147"/>
      <c r="P365" s="147"/>
      <c r="Q365" s="147"/>
      <c r="R365" s="147"/>
      <c r="S365" s="147"/>
      <c r="T365" s="147"/>
      <c r="U365" s="147"/>
      <c r="V365" s="147"/>
      <c r="W365" s="147"/>
      <c r="X365" s="147"/>
      <c r="Y365" s="147"/>
      <c r="Z365" s="147"/>
      <c r="AA365" s="147"/>
      <c r="AB365" s="147"/>
      <c r="AC365" s="147"/>
      <c r="AD365" s="147"/>
    </row>
    <row r="366">
      <c r="A366" s="147"/>
      <c r="B366" s="147"/>
      <c r="C366" s="147"/>
      <c r="D366" s="147"/>
      <c r="E366" s="147"/>
      <c r="F366" s="147"/>
      <c r="G366" s="147"/>
      <c r="H366" s="262"/>
      <c r="I366" s="147"/>
      <c r="J366" s="147"/>
      <c r="K366" s="147"/>
      <c r="L366" s="147"/>
      <c r="M366" s="147"/>
      <c r="N366" s="147"/>
      <c r="O366" s="147"/>
      <c r="P366" s="147"/>
      <c r="Q366" s="147"/>
      <c r="R366" s="147"/>
      <c r="S366" s="147"/>
      <c r="T366" s="147"/>
      <c r="U366" s="147"/>
      <c r="V366" s="147"/>
      <c r="W366" s="147"/>
      <c r="X366" s="147"/>
      <c r="Y366" s="147"/>
      <c r="Z366" s="147"/>
      <c r="AA366" s="147"/>
      <c r="AB366" s="147"/>
      <c r="AC366" s="147"/>
      <c r="AD366" s="147"/>
    </row>
    <row r="367">
      <c r="A367" s="147"/>
      <c r="B367" s="147"/>
      <c r="C367" s="147"/>
      <c r="D367" s="147"/>
      <c r="E367" s="147"/>
      <c r="F367" s="147"/>
      <c r="G367" s="147"/>
      <c r="H367" s="262"/>
      <c r="I367" s="147"/>
      <c r="J367" s="147"/>
      <c r="K367" s="147"/>
      <c r="L367" s="147"/>
      <c r="M367" s="147"/>
      <c r="N367" s="147"/>
      <c r="O367" s="147"/>
      <c r="P367" s="147"/>
      <c r="Q367" s="147"/>
      <c r="R367" s="147"/>
      <c r="S367" s="147"/>
      <c r="T367" s="147"/>
      <c r="U367" s="147"/>
      <c r="V367" s="147"/>
      <c r="W367" s="147"/>
      <c r="X367" s="147"/>
      <c r="Y367" s="147"/>
      <c r="Z367" s="147"/>
      <c r="AA367" s="147"/>
      <c r="AB367" s="147"/>
      <c r="AC367" s="147"/>
      <c r="AD367" s="147"/>
    </row>
    <row r="368">
      <c r="A368" s="147"/>
      <c r="B368" s="147"/>
      <c r="C368" s="147"/>
      <c r="D368" s="147"/>
      <c r="E368" s="147"/>
      <c r="F368" s="147"/>
      <c r="G368" s="147"/>
      <c r="H368" s="262"/>
      <c r="I368" s="147"/>
      <c r="J368" s="147"/>
      <c r="K368" s="147"/>
      <c r="L368" s="147"/>
      <c r="M368" s="147"/>
      <c r="N368" s="147"/>
      <c r="O368" s="147"/>
      <c r="P368" s="147"/>
      <c r="Q368" s="147"/>
      <c r="R368" s="147"/>
      <c r="S368" s="147"/>
      <c r="T368" s="147"/>
      <c r="U368" s="147"/>
      <c r="V368" s="147"/>
      <c r="W368" s="147"/>
      <c r="X368" s="147"/>
      <c r="Y368" s="147"/>
      <c r="Z368" s="147"/>
      <c r="AA368" s="147"/>
      <c r="AB368" s="147"/>
      <c r="AC368" s="147"/>
      <c r="AD368" s="147"/>
    </row>
    <row r="369">
      <c r="A369" s="147"/>
      <c r="B369" s="147"/>
      <c r="C369" s="147"/>
      <c r="D369" s="147"/>
      <c r="E369" s="147"/>
      <c r="F369" s="147"/>
      <c r="G369" s="147"/>
      <c r="H369" s="262"/>
      <c r="I369" s="147"/>
      <c r="J369" s="147"/>
      <c r="K369" s="147"/>
      <c r="L369" s="147"/>
      <c r="M369" s="147"/>
      <c r="N369" s="147"/>
      <c r="O369" s="147"/>
      <c r="P369" s="147"/>
      <c r="Q369" s="147"/>
      <c r="R369" s="147"/>
      <c r="S369" s="147"/>
      <c r="T369" s="147"/>
      <c r="U369" s="147"/>
      <c r="V369" s="147"/>
      <c r="W369" s="147"/>
      <c r="X369" s="147"/>
      <c r="Y369" s="147"/>
      <c r="Z369" s="147"/>
      <c r="AA369" s="147"/>
      <c r="AB369" s="147"/>
      <c r="AC369" s="147"/>
      <c r="AD369" s="147"/>
    </row>
    <row r="370">
      <c r="A370" s="147"/>
      <c r="B370" s="147"/>
      <c r="C370" s="147"/>
      <c r="D370" s="147"/>
      <c r="E370" s="147"/>
      <c r="F370" s="147"/>
      <c r="G370" s="147"/>
      <c r="H370" s="262"/>
      <c r="I370" s="147"/>
      <c r="J370" s="147"/>
      <c r="K370" s="147"/>
      <c r="L370" s="147"/>
      <c r="M370" s="147"/>
      <c r="N370" s="147"/>
      <c r="O370" s="147"/>
      <c r="P370" s="147"/>
      <c r="Q370" s="147"/>
      <c r="R370" s="147"/>
      <c r="S370" s="147"/>
      <c r="T370" s="147"/>
      <c r="U370" s="147"/>
      <c r="V370" s="147"/>
      <c r="W370" s="147"/>
      <c r="X370" s="147"/>
      <c r="Y370" s="147"/>
      <c r="Z370" s="147"/>
      <c r="AA370" s="147"/>
      <c r="AB370" s="147"/>
      <c r="AC370" s="147"/>
      <c r="AD370" s="147"/>
    </row>
    <row r="371">
      <c r="A371" s="147"/>
      <c r="B371" s="147"/>
      <c r="C371" s="147"/>
      <c r="D371" s="147"/>
      <c r="E371" s="147"/>
      <c r="F371" s="147"/>
      <c r="G371" s="147"/>
      <c r="H371" s="262"/>
      <c r="I371" s="147"/>
      <c r="J371" s="147"/>
      <c r="K371" s="147"/>
      <c r="L371" s="147"/>
      <c r="M371" s="147"/>
      <c r="N371" s="147"/>
      <c r="O371" s="147"/>
      <c r="P371" s="147"/>
      <c r="Q371" s="147"/>
      <c r="R371" s="147"/>
      <c r="S371" s="147"/>
      <c r="T371" s="147"/>
      <c r="U371" s="147"/>
      <c r="V371" s="147"/>
      <c r="W371" s="147"/>
      <c r="X371" s="147"/>
      <c r="Y371" s="147"/>
      <c r="Z371" s="147"/>
      <c r="AA371" s="147"/>
      <c r="AB371" s="147"/>
      <c r="AC371" s="147"/>
      <c r="AD371" s="147"/>
    </row>
    <row r="372">
      <c r="A372" s="147"/>
      <c r="B372" s="147"/>
      <c r="C372" s="147"/>
      <c r="D372" s="147"/>
      <c r="E372" s="147"/>
      <c r="F372" s="147"/>
      <c r="G372" s="147"/>
      <c r="H372" s="262"/>
      <c r="I372" s="147"/>
      <c r="J372" s="147"/>
      <c r="K372" s="147"/>
      <c r="L372" s="147"/>
      <c r="M372" s="147"/>
      <c r="N372" s="147"/>
      <c r="O372" s="147"/>
      <c r="P372" s="147"/>
      <c r="Q372" s="147"/>
      <c r="R372" s="147"/>
      <c r="S372" s="147"/>
      <c r="T372" s="147"/>
      <c r="U372" s="147"/>
      <c r="V372" s="147"/>
      <c r="W372" s="147"/>
      <c r="X372" s="147"/>
      <c r="Y372" s="147"/>
      <c r="Z372" s="147"/>
      <c r="AA372" s="147"/>
      <c r="AB372" s="147"/>
      <c r="AC372" s="147"/>
      <c r="AD372" s="147"/>
    </row>
    <row r="373">
      <c r="A373" s="147"/>
      <c r="B373" s="147"/>
      <c r="C373" s="147"/>
      <c r="D373" s="147"/>
      <c r="E373" s="147"/>
      <c r="F373" s="147"/>
      <c r="G373" s="147"/>
      <c r="H373" s="262"/>
      <c r="I373" s="147"/>
      <c r="J373" s="147"/>
      <c r="K373" s="147"/>
      <c r="L373" s="147"/>
      <c r="M373" s="147"/>
      <c r="N373" s="147"/>
      <c r="O373" s="147"/>
      <c r="P373" s="147"/>
      <c r="Q373" s="147"/>
      <c r="R373" s="147"/>
      <c r="S373" s="147"/>
      <c r="T373" s="147"/>
      <c r="U373" s="147"/>
      <c r="V373" s="147"/>
      <c r="W373" s="147"/>
      <c r="X373" s="147"/>
      <c r="Y373" s="147"/>
      <c r="Z373" s="147"/>
      <c r="AA373" s="147"/>
      <c r="AB373" s="147"/>
      <c r="AC373" s="147"/>
      <c r="AD373" s="147"/>
    </row>
    <row r="374">
      <c r="A374" s="147"/>
      <c r="B374" s="147"/>
      <c r="C374" s="147"/>
      <c r="D374" s="147"/>
      <c r="E374" s="147"/>
      <c r="F374" s="147"/>
      <c r="G374" s="147"/>
      <c r="H374" s="262"/>
      <c r="I374" s="147"/>
      <c r="J374" s="147"/>
      <c r="K374" s="147"/>
      <c r="L374" s="147"/>
      <c r="M374" s="147"/>
      <c r="N374" s="147"/>
      <c r="O374" s="147"/>
      <c r="P374" s="147"/>
      <c r="Q374" s="147"/>
      <c r="R374" s="147"/>
      <c r="S374" s="147"/>
      <c r="T374" s="147"/>
      <c r="U374" s="147"/>
      <c r="V374" s="147"/>
      <c r="W374" s="147"/>
      <c r="X374" s="147"/>
      <c r="Y374" s="147"/>
      <c r="Z374" s="147"/>
      <c r="AA374" s="147"/>
      <c r="AB374" s="147"/>
      <c r="AC374" s="147"/>
      <c r="AD374" s="147"/>
    </row>
    <row r="375">
      <c r="A375" s="147"/>
      <c r="B375" s="147"/>
      <c r="C375" s="147"/>
      <c r="D375" s="147"/>
      <c r="E375" s="147"/>
      <c r="F375" s="147"/>
      <c r="G375" s="147"/>
      <c r="H375" s="262"/>
      <c r="I375" s="147"/>
      <c r="J375" s="147"/>
      <c r="K375" s="147"/>
      <c r="L375" s="147"/>
      <c r="M375" s="147"/>
      <c r="N375" s="147"/>
      <c r="O375" s="147"/>
      <c r="P375" s="147"/>
      <c r="Q375" s="147"/>
      <c r="R375" s="147"/>
      <c r="S375" s="147"/>
      <c r="T375" s="147"/>
      <c r="U375" s="147"/>
      <c r="V375" s="147"/>
      <c r="W375" s="147"/>
      <c r="X375" s="147"/>
      <c r="Y375" s="147"/>
      <c r="Z375" s="147"/>
      <c r="AA375" s="147"/>
      <c r="AB375" s="147"/>
      <c r="AC375" s="147"/>
      <c r="AD375" s="147"/>
    </row>
    <row r="376">
      <c r="A376" s="147"/>
      <c r="B376" s="147"/>
      <c r="C376" s="147"/>
      <c r="D376" s="147"/>
      <c r="E376" s="147"/>
      <c r="F376" s="147"/>
      <c r="G376" s="147"/>
      <c r="H376" s="262"/>
      <c r="I376" s="147"/>
      <c r="J376" s="147"/>
      <c r="K376" s="147"/>
      <c r="L376" s="147"/>
      <c r="M376" s="147"/>
      <c r="N376" s="147"/>
      <c r="O376" s="147"/>
      <c r="P376" s="147"/>
      <c r="Q376" s="147"/>
      <c r="R376" s="147"/>
      <c r="S376" s="147"/>
      <c r="T376" s="147"/>
      <c r="U376" s="147"/>
      <c r="V376" s="147"/>
      <c r="W376" s="147"/>
      <c r="X376" s="147"/>
      <c r="Y376" s="147"/>
      <c r="Z376" s="147"/>
      <c r="AA376" s="147"/>
      <c r="AB376" s="147"/>
      <c r="AC376" s="147"/>
      <c r="AD376" s="147"/>
    </row>
    <row r="377">
      <c r="A377" s="147"/>
      <c r="B377" s="147"/>
      <c r="C377" s="147"/>
      <c r="D377" s="147"/>
      <c r="E377" s="147"/>
      <c r="F377" s="147"/>
      <c r="G377" s="147"/>
      <c r="H377" s="262"/>
      <c r="I377" s="147"/>
      <c r="J377" s="147"/>
      <c r="K377" s="147"/>
      <c r="L377" s="147"/>
      <c r="M377" s="147"/>
      <c r="N377" s="147"/>
      <c r="O377" s="147"/>
      <c r="P377" s="147"/>
      <c r="Q377" s="147"/>
      <c r="R377" s="147"/>
      <c r="S377" s="147"/>
      <c r="T377" s="147"/>
      <c r="U377" s="147"/>
      <c r="V377" s="147"/>
      <c r="W377" s="147"/>
      <c r="X377" s="147"/>
      <c r="Y377" s="147"/>
      <c r="Z377" s="147"/>
      <c r="AA377" s="147"/>
      <c r="AB377" s="147"/>
      <c r="AC377" s="147"/>
      <c r="AD377" s="147"/>
    </row>
    <row r="378">
      <c r="A378" s="147"/>
      <c r="B378" s="147"/>
      <c r="C378" s="147"/>
      <c r="D378" s="147"/>
      <c r="E378" s="147"/>
      <c r="F378" s="147"/>
      <c r="G378" s="147"/>
      <c r="H378" s="262"/>
      <c r="I378" s="147"/>
      <c r="J378" s="147"/>
      <c r="K378" s="147"/>
      <c r="L378" s="147"/>
      <c r="M378" s="147"/>
      <c r="N378" s="147"/>
      <c r="O378" s="147"/>
      <c r="P378" s="147"/>
      <c r="Q378" s="147"/>
      <c r="R378" s="147"/>
      <c r="S378" s="147"/>
      <c r="T378" s="147"/>
      <c r="U378" s="147"/>
      <c r="V378" s="147"/>
      <c r="W378" s="147"/>
      <c r="X378" s="147"/>
      <c r="Y378" s="147"/>
      <c r="Z378" s="147"/>
      <c r="AA378" s="147"/>
      <c r="AB378" s="147"/>
      <c r="AC378" s="147"/>
      <c r="AD378" s="147"/>
    </row>
    <row r="379">
      <c r="A379" s="147"/>
      <c r="B379" s="147"/>
      <c r="C379" s="147"/>
      <c r="D379" s="147"/>
      <c r="E379" s="147"/>
      <c r="F379" s="147"/>
      <c r="G379" s="147"/>
      <c r="H379" s="262"/>
      <c r="I379" s="147"/>
      <c r="J379" s="147"/>
      <c r="K379" s="147"/>
      <c r="L379" s="147"/>
      <c r="M379" s="147"/>
      <c r="N379" s="147"/>
      <c r="O379" s="147"/>
      <c r="P379" s="147"/>
      <c r="Q379" s="147"/>
      <c r="R379" s="147"/>
      <c r="S379" s="147"/>
      <c r="T379" s="147"/>
      <c r="U379" s="147"/>
      <c r="V379" s="147"/>
      <c r="W379" s="147"/>
      <c r="X379" s="147"/>
      <c r="Y379" s="147"/>
      <c r="Z379" s="147"/>
      <c r="AA379" s="147"/>
      <c r="AB379" s="147"/>
      <c r="AC379" s="147"/>
      <c r="AD379" s="147"/>
    </row>
    <row r="380">
      <c r="A380" s="147"/>
      <c r="B380" s="147"/>
      <c r="C380" s="147"/>
      <c r="D380" s="147"/>
      <c r="E380" s="147"/>
      <c r="F380" s="147"/>
      <c r="G380" s="147"/>
      <c r="H380" s="262"/>
      <c r="I380" s="147"/>
      <c r="J380" s="147"/>
      <c r="K380" s="147"/>
      <c r="L380" s="147"/>
      <c r="M380" s="147"/>
      <c r="N380" s="147"/>
      <c r="O380" s="147"/>
      <c r="P380" s="147"/>
      <c r="Q380" s="147"/>
      <c r="R380" s="147"/>
      <c r="S380" s="147"/>
      <c r="T380" s="147"/>
      <c r="U380" s="147"/>
      <c r="V380" s="147"/>
      <c r="W380" s="147"/>
      <c r="X380" s="147"/>
      <c r="Y380" s="147"/>
      <c r="Z380" s="147"/>
      <c r="AA380" s="147"/>
      <c r="AB380" s="147"/>
      <c r="AC380" s="147"/>
      <c r="AD380" s="147"/>
    </row>
    <row r="381">
      <c r="A381" s="147"/>
      <c r="B381" s="147"/>
      <c r="C381" s="147"/>
      <c r="D381" s="147"/>
      <c r="E381" s="147"/>
      <c r="F381" s="147"/>
      <c r="G381" s="147"/>
      <c r="H381" s="262"/>
      <c r="I381" s="147"/>
      <c r="J381" s="147"/>
      <c r="K381" s="147"/>
      <c r="L381" s="147"/>
      <c r="M381" s="147"/>
      <c r="N381" s="147"/>
      <c r="O381" s="147"/>
      <c r="P381" s="147"/>
      <c r="Q381" s="147"/>
      <c r="R381" s="147"/>
      <c r="S381" s="147"/>
      <c r="T381" s="147"/>
      <c r="U381" s="147"/>
      <c r="V381" s="147"/>
      <c r="W381" s="147"/>
      <c r="X381" s="147"/>
      <c r="Y381" s="147"/>
      <c r="Z381" s="147"/>
      <c r="AA381" s="147"/>
      <c r="AB381" s="147"/>
      <c r="AC381" s="147"/>
      <c r="AD381" s="147"/>
    </row>
    <row r="382">
      <c r="A382" s="147"/>
      <c r="B382" s="147"/>
      <c r="C382" s="147"/>
      <c r="D382" s="147"/>
      <c r="E382" s="147"/>
      <c r="F382" s="147"/>
      <c r="G382" s="147"/>
      <c r="H382" s="262"/>
      <c r="I382" s="147"/>
      <c r="J382" s="147"/>
      <c r="K382" s="147"/>
      <c r="L382" s="147"/>
      <c r="M382" s="147"/>
      <c r="N382" s="147"/>
      <c r="O382" s="147"/>
      <c r="P382" s="147"/>
      <c r="Q382" s="147"/>
      <c r="R382" s="147"/>
      <c r="S382" s="147"/>
      <c r="T382" s="147"/>
      <c r="U382" s="147"/>
      <c r="V382" s="147"/>
      <c r="W382" s="147"/>
      <c r="X382" s="147"/>
      <c r="Y382" s="147"/>
      <c r="Z382" s="147"/>
      <c r="AA382" s="147"/>
      <c r="AB382" s="147"/>
      <c r="AC382" s="147"/>
      <c r="AD382" s="147"/>
    </row>
    <row r="383">
      <c r="A383" s="147"/>
      <c r="B383" s="147"/>
      <c r="C383" s="147"/>
      <c r="D383" s="147"/>
      <c r="E383" s="147"/>
      <c r="F383" s="147"/>
      <c r="G383" s="147"/>
      <c r="H383" s="262"/>
      <c r="I383" s="147"/>
      <c r="J383" s="147"/>
      <c r="K383" s="147"/>
      <c r="L383" s="147"/>
      <c r="M383" s="147"/>
      <c r="N383" s="147"/>
      <c r="O383" s="147"/>
      <c r="P383" s="147"/>
      <c r="Q383" s="147"/>
      <c r="R383" s="147"/>
      <c r="S383" s="147"/>
      <c r="T383" s="147"/>
      <c r="U383" s="147"/>
      <c r="V383" s="147"/>
      <c r="W383" s="147"/>
      <c r="X383" s="147"/>
      <c r="Y383" s="147"/>
      <c r="Z383" s="147"/>
      <c r="AA383" s="147"/>
      <c r="AB383" s="147"/>
      <c r="AC383" s="147"/>
      <c r="AD383" s="147"/>
    </row>
    <row r="384">
      <c r="A384" s="147"/>
      <c r="B384" s="147"/>
      <c r="C384" s="147"/>
      <c r="D384" s="147"/>
      <c r="E384" s="147"/>
      <c r="F384" s="147"/>
      <c r="G384" s="147"/>
      <c r="H384" s="262"/>
      <c r="I384" s="147"/>
      <c r="J384" s="147"/>
      <c r="K384" s="147"/>
      <c r="L384" s="147"/>
      <c r="M384" s="147"/>
      <c r="N384" s="147"/>
      <c r="O384" s="147"/>
      <c r="P384" s="147"/>
      <c r="Q384" s="147"/>
      <c r="R384" s="147"/>
      <c r="S384" s="147"/>
      <c r="T384" s="147"/>
      <c r="U384" s="147"/>
      <c r="V384" s="147"/>
      <c r="W384" s="147"/>
      <c r="X384" s="147"/>
      <c r="Y384" s="147"/>
      <c r="Z384" s="147"/>
      <c r="AA384" s="147"/>
      <c r="AB384" s="147"/>
      <c r="AC384" s="147"/>
      <c r="AD384" s="147"/>
    </row>
    <row r="385">
      <c r="A385" s="147"/>
      <c r="B385" s="147"/>
      <c r="C385" s="147"/>
      <c r="D385" s="147"/>
      <c r="E385" s="147"/>
      <c r="F385" s="147"/>
      <c r="G385" s="147"/>
      <c r="H385" s="262"/>
      <c r="I385" s="147"/>
      <c r="J385" s="147"/>
      <c r="K385" s="147"/>
      <c r="L385" s="147"/>
      <c r="M385" s="147"/>
      <c r="N385" s="147"/>
      <c r="O385" s="147"/>
      <c r="P385" s="147"/>
      <c r="Q385" s="147"/>
      <c r="R385" s="147"/>
      <c r="S385" s="147"/>
      <c r="T385" s="147"/>
      <c r="U385" s="147"/>
      <c r="V385" s="147"/>
      <c r="W385" s="147"/>
      <c r="X385" s="147"/>
      <c r="Y385" s="147"/>
      <c r="Z385" s="147"/>
      <c r="AA385" s="147"/>
      <c r="AB385" s="147"/>
      <c r="AC385" s="147"/>
      <c r="AD385" s="147"/>
    </row>
    <row r="386">
      <c r="A386" s="147"/>
      <c r="B386" s="147"/>
      <c r="C386" s="147"/>
      <c r="D386" s="147"/>
      <c r="E386" s="147"/>
      <c r="F386" s="147"/>
      <c r="G386" s="147"/>
      <c r="H386" s="262"/>
      <c r="I386" s="147"/>
      <c r="J386" s="147"/>
      <c r="K386" s="147"/>
      <c r="L386" s="147"/>
      <c r="M386" s="147"/>
      <c r="N386" s="147"/>
      <c r="O386" s="147"/>
      <c r="P386" s="147"/>
      <c r="Q386" s="147"/>
      <c r="R386" s="147"/>
      <c r="S386" s="147"/>
      <c r="T386" s="147"/>
      <c r="U386" s="147"/>
      <c r="V386" s="147"/>
      <c r="W386" s="147"/>
      <c r="X386" s="147"/>
      <c r="Y386" s="147"/>
      <c r="Z386" s="147"/>
      <c r="AA386" s="147"/>
      <c r="AB386" s="147"/>
      <c r="AC386" s="147"/>
      <c r="AD386" s="147"/>
    </row>
    <row r="387">
      <c r="A387" s="147"/>
      <c r="B387" s="147"/>
      <c r="C387" s="147"/>
      <c r="D387" s="147"/>
      <c r="E387" s="147"/>
      <c r="F387" s="147"/>
      <c r="G387" s="147"/>
      <c r="H387" s="262"/>
      <c r="I387" s="147"/>
      <c r="J387" s="147"/>
      <c r="K387" s="147"/>
      <c r="L387" s="147"/>
      <c r="M387" s="147"/>
      <c r="N387" s="147"/>
      <c r="O387" s="147"/>
      <c r="P387" s="147"/>
      <c r="Q387" s="147"/>
      <c r="R387" s="147"/>
      <c r="S387" s="147"/>
      <c r="T387" s="147"/>
      <c r="U387" s="147"/>
      <c r="V387" s="147"/>
      <c r="W387" s="147"/>
      <c r="X387" s="147"/>
      <c r="Y387" s="147"/>
      <c r="Z387" s="147"/>
      <c r="AA387" s="147"/>
      <c r="AB387" s="147"/>
      <c r="AC387" s="147"/>
      <c r="AD387" s="147"/>
    </row>
    <row r="388">
      <c r="A388" s="147"/>
      <c r="B388" s="147"/>
      <c r="C388" s="147"/>
      <c r="D388" s="147"/>
      <c r="E388" s="147"/>
      <c r="F388" s="147"/>
      <c r="G388" s="147"/>
      <c r="H388" s="262"/>
      <c r="I388" s="147"/>
      <c r="J388" s="147"/>
      <c r="K388" s="147"/>
      <c r="L388" s="147"/>
      <c r="M388" s="147"/>
      <c r="N388" s="147"/>
      <c r="O388" s="147"/>
      <c r="P388" s="147"/>
      <c r="Q388" s="147"/>
      <c r="R388" s="147"/>
      <c r="S388" s="147"/>
      <c r="T388" s="147"/>
      <c r="U388" s="147"/>
      <c r="V388" s="147"/>
      <c r="W388" s="147"/>
      <c r="X388" s="147"/>
      <c r="Y388" s="147"/>
      <c r="Z388" s="147"/>
      <c r="AA388" s="147"/>
      <c r="AB388" s="147"/>
      <c r="AC388" s="147"/>
      <c r="AD388" s="147"/>
    </row>
    <row r="389">
      <c r="A389" s="147"/>
      <c r="B389" s="147"/>
      <c r="C389" s="147"/>
      <c r="D389" s="147"/>
      <c r="E389" s="147"/>
      <c r="F389" s="147"/>
      <c r="G389" s="147"/>
      <c r="H389" s="262"/>
      <c r="I389" s="147"/>
      <c r="J389" s="147"/>
      <c r="K389" s="147"/>
      <c r="L389" s="147"/>
      <c r="M389" s="147"/>
      <c r="N389" s="147"/>
      <c r="O389" s="147"/>
      <c r="P389" s="147"/>
      <c r="Q389" s="147"/>
      <c r="R389" s="147"/>
      <c r="S389" s="147"/>
      <c r="T389" s="147"/>
      <c r="U389" s="147"/>
      <c r="V389" s="147"/>
      <c r="W389" s="147"/>
      <c r="X389" s="147"/>
      <c r="Y389" s="147"/>
      <c r="Z389" s="147"/>
      <c r="AA389" s="147"/>
      <c r="AB389" s="147"/>
      <c r="AC389" s="147"/>
      <c r="AD389" s="147"/>
    </row>
    <row r="390">
      <c r="A390" s="147"/>
      <c r="B390" s="147"/>
      <c r="C390" s="147"/>
      <c r="D390" s="147"/>
      <c r="E390" s="147"/>
      <c r="F390" s="147"/>
      <c r="G390" s="147"/>
      <c r="H390" s="262"/>
      <c r="I390" s="147"/>
      <c r="J390" s="147"/>
      <c r="K390" s="147"/>
      <c r="L390" s="147"/>
      <c r="M390" s="147"/>
      <c r="N390" s="147"/>
      <c r="O390" s="147"/>
      <c r="P390" s="147"/>
      <c r="Q390" s="147"/>
      <c r="R390" s="147"/>
      <c r="S390" s="147"/>
      <c r="T390" s="147"/>
      <c r="U390" s="147"/>
      <c r="V390" s="147"/>
      <c r="W390" s="147"/>
      <c r="X390" s="147"/>
      <c r="Y390" s="147"/>
      <c r="Z390" s="147"/>
      <c r="AA390" s="147"/>
      <c r="AB390" s="147"/>
      <c r="AC390" s="147"/>
      <c r="AD390" s="147"/>
    </row>
    <row r="391">
      <c r="A391" s="147"/>
      <c r="B391" s="147"/>
      <c r="C391" s="147"/>
      <c r="D391" s="147"/>
      <c r="E391" s="147"/>
      <c r="F391" s="147"/>
      <c r="G391" s="147"/>
      <c r="H391" s="262"/>
      <c r="I391" s="147"/>
      <c r="J391" s="147"/>
      <c r="K391" s="147"/>
      <c r="L391" s="147"/>
      <c r="M391" s="147"/>
      <c r="N391" s="147"/>
      <c r="O391" s="147"/>
      <c r="P391" s="147"/>
      <c r="Q391" s="147"/>
      <c r="R391" s="147"/>
      <c r="S391" s="147"/>
      <c r="T391" s="147"/>
      <c r="U391" s="147"/>
      <c r="V391" s="147"/>
      <c r="W391" s="147"/>
      <c r="X391" s="147"/>
      <c r="Y391" s="147"/>
      <c r="Z391" s="147"/>
      <c r="AA391" s="147"/>
      <c r="AB391" s="147"/>
      <c r="AC391" s="147"/>
      <c r="AD391" s="147"/>
    </row>
    <row r="392">
      <c r="A392" s="147"/>
      <c r="B392" s="147"/>
      <c r="C392" s="147"/>
      <c r="D392" s="147"/>
      <c r="E392" s="147"/>
      <c r="F392" s="147"/>
      <c r="G392" s="147"/>
      <c r="H392" s="262"/>
      <c r="I392" s="147"/>
      <c r="J392" s="147"/>
      <c r="K392" s="147"/>
      <c r="L392" s="147"/>
      <c r="M392" s="147"/>
      <c r="N392" s="147"/>
      <c r="O392" s="147"/>
      <c r="P392" s="147"/>
      <c r="Q392" s="147"/>
      <c r="R392" s="147"/>
      <c r="S392" s="147"/>
      <c r="T392" s="147"/>
      <c r="U392" s="147"/>
      <c r="V392" s="147"/>
      <c r="W392" s="147"/>
      <c r="X392" s="147"/>
      <c r="Y392" s="147"/>
      <c r="Z392" s="147"/>
      <c r="AA392" s="147"/>
      <c r="AB392" s="147"/>
      <c r="AC392" s="147"/>
      <c r="AD392" s="147"/>
    </row>
    <row r="393">
      <c r="A393" s="147"/>
      <c r="B393" s="147"/>
      <c r="C393" s="147"/>
      <c r="D393" s="147"/>
      <c r="E393" s="147"/>
      <c r="F393" s="147"/>
      <c r="G393" s="147"/>
      <c r="H393" s="262"/>
      <c r="I393" s="147"/>
      <c r="J393" s="147"/>
      <c r="K393" s="147"/>
      <c r="L393" s="147"/>
      <c r="M393" s="147"/>
      <c r="N393" s="147"/>
      <c r="O393" s="147"/>
      <c r="P393" s="147"/>
      <c r="Q393" s="147"/>
      <c r="R393" s="147"/>
      <c r="S393" s="147"/>
      <c r="T393" s="147"/>
      <c r="U393" s="147"/>
      <c r="V393" s="147"/>
      <c r="W393" s="147"/>
      <c r="X393" s="147"/>
      <c r="Y393" s="147"/>
      <c r="Z393" s="147"/>
      <c r="AA393" s="147"/>
      <c r="AB393" s="147"/>
      <c r="AC393" s="147"/>
      <c r="AD393" s="147"/>
    </row>
    <row r="394">
      <c r="A394" s="147"/>
      <c r="B394" s="147"/>
      <c r="C394" s="147"/>
      <c r="D394" s="147"/>
      <c r="E394" s="147"/>
      <c r="F394" s="147"/>
      <c r="G394" s="147"/>
      <c r="H394" s="262"/>
      <c r="I394" s="147"/>
      <c r="J394" s="147"/>
      <c r="K394" s="147"/>
      <c r="L394" s="147"/>
      <c r="M394" s="147"/>
      <c r="N394" s="147"/>
      <c r="O394" s="147"/>
      <c r="P394" s="147"/>
      <c r="Q394" s="147"/>
      <c r="R394" s="147"/>
      <c r="S394" s="147"/>
      <c r="T394" s="147"/>
      <c r="U394" s="147"/>
      <c r="V394" s="147"/>
      <c r="W394" s="147"/>
      <c r="X394" s="147"/>
      <c r="Y394" s="147"/>
      <c r="Z394" s="147"/>
      <c r="AA394" s="147"/>
      <c r="AB394" s="147"/>
      <c r="AC394" s="147"/>
      <c r="AD394" s="147"/>
    </row>
    <row r="395">
      <c r="A395" s="147"/>
      <c r="B395" s="147"/>
      <c r="C395" s="147"/>
      <c r="D395" s="147"/>
      <c r="E395" s="147"/>
      <c r="F395" s="147"/>
      <c r="G395" s="147"/>
      <c r="H395" s="262"/>
      <c r="I395" s="147"/>
      <c r="J395" s="147"/>
      <c r="K395" s="147"/>
      <c r="L395" s="147"/>
      <c r="M395" s="147"/>
      <c r="N395" s="147"/>
      <c r="O395" s="147"/>
      <c r="P395" s="147"/>
      <c r="Q395" s="147"/>
      <c r="R395" s="147"/>
      <c r="S395" s="147"/>
      <c r="T395" s="147"/>
      <c r="U395" s="147"/>
      <c r="V395" s="147"/>
      <c r="W395" s="147"/>
      <c r="X395" s="147"/>
      <c r="Y395" s="147"/>
      <c r="Z395" s="147"/>
      <c r="AA395" s="147"/>
      <c r="AB395" s="147"/>
      <c r="AC395" s="147"/>
      <c r="AD395" s="147"/>
    </row>
    <row r="396">
      <c r="A396" s="147"/>
      <c r="B396" s="147"/>
      <c r="C396" s="147"/>
      <c r="D396" s="147"/>
      <c r="E396" s="147"/>
      <c r="F396" s="147"/>
      <c r="G396" s="147"/>
      <c r="H396" s="262"/>
      <c r="I396" s="147"/>
      <c r="J396" s="147"/>
      <c r="K396" s="147"/>
      <c r="L396" s="147"/>
      <c r="M396" s="147"/>
      <c r="N396" s="147"/>
      <c r="O396" s="147"/>
      <c r="P396" s="147"/>
      <c r="Q396" s="147"/>
      <c r="R396" s="147"/>
      <c r="S396" s="147"/>
      <c r="T396" s="147"/>
      <c r="U396" s="147"/>
      <c r="V396" s="147"/>
      <c r="W396" s="147"/>
      <c r="X396" s="147"/>
      <c r="Y396" s="147"/>
      <c r="Z396" s="147"/>
      <c r="AA396" s="147"/>
      <c r="AB396" s="147"/>
      <c r="AC396" s="147"/>
      <c r="AD396" s="147"/>
    </row>
    <row r="397">
      <c r="A397" s="147"/>
      <c r="B397" s="147"/>
      <c r="C397" s="147"/>
      <c r="D397" s="147"/>
      <c r="E397" s="147"/>
      <c r="F397" s="147"/>
      <c r="G397" s="147"/>
      <c r="H397" s="262"/>
      <c r="I397" s="147"/>
      <c r="J397" s="147"/>
      <c r="K397" s="147"/>
      <c r="L397" s="147"/>
      <c r="M397" s="147"/>
      <c r="N397" s="147"/>
      <c r="O397" s="147"/>
      <c r="P397" s="147"/>
      <c r="Q397" s="147"/>
      <c r="R397" s="147"/>
      <c r="S397" s="147"/>
      <c r="T397" s="147"/>
      <c r="U397" s="147"/>
      <c r="V397" s="147"/>
      <c r="W397" s="147"/>
      <c r="X397" s="147"/>
      <c r="Y397" s="147"/>
      <c r="Z397" s="147"/>
      <c r="AA397" s="147"/>
      <c r="AB397" s="147"/>
      <c r="AC397" s="147"/>
      <c r="AD397" s="147"/>
    </row>
    <row r="398">
      <c r="A398" s="147"/>
      <c r="B398" s="147"/>
      <c r="C398" s="147"/>
      <c r="D398" s="147"/>
      <c r="E398" s="147"/>
      <c r="F398" s="147"/>
      <c r="G398" s="147"/>
      <c r="H398" s="262"/>
      <c r="I398" s="147"/>
      <c r="J398" s="147"/>
      <c r="K398" s="147"/>
      <c r="L398" s="147"/>
      <c r="M398" s="147"/>
      <c r="N398" s="147"/>
      <c r="O398" s="147"/>
      <c r="P398" s="147"/>
      <c r="Q398" s="147"/>
      <c r="R398" s="147"/>
      <c r="S398" s="147"/>
      <c r="T398" s="147"/>
      <c r="U398" s="147"/>
      <c r="V398" s="147"/>
      <c r="W398" s="147"/>
      <c r="X398" s="147"/>
      <c r="Y398" s="147"/>
      <c r="Z398" s="147"/>
      <c r="AA398" s="147"/>
      <c r="AB398" s="147"/>
      <c r="AC398" s="147"/>
      <c r="AD398" s="147"/>
    </row>
    <row r="399">
      <c r="A399" s="147"/>
      <c r="B399" s="147"/>
      <c r="C399" s="147"/>
      <c r="D399" s="147"/>
      <c r="E399" s="147"/>
      <c r="F399" s="147"/>
      <c r="G399" s="147"/>
      <c r="H399" s="262"/>
      <c r="I399" s="147"/>
      <c r="J399" s="147"/>
      <c r="K399" s="147"/>
      <c r="L399" s="147"/>
      <c r="M399" s="147"/>
      <c r="N399" s="147"/>
      <c r="O399" s="147"/>
      <c r="P399" s="147"/>
      <c r="Q399" s="147"/>
      <c r="R399" s="147"/>
      <c r="S399" s="147"/>
      <c r="T399" s="147"/>
      <c r="U399" s="147"/>
      <c r="V399" s="147"/>
      <c r="W399" s="147"/>
      <c r="X399" s="147"/>
      <c r="Y399" s="147"/>
      <c r="Z399" s="147"/>
      <c r="AA399" s="147"/>
      <c r="AB399" s="147"/>
      <c r="AC399" s="147"/>
      <c r="AD399" s="147"/>
    </row>
    <row r="400">
      <c r="A400" s="147"/>
      <c r="B400" s="147"/>
      <c r="C400" s="147"/>
      <c r="D400" s="147"/>
      <c r="E400" s="147"/>
      <c r="F400" s="147"/>
      <c r="G400" s="147"/>
      <c r="H400" s="262"/>
      <c r="I400" s="147"/>
      <c r="J400" s="147"/>
      <c r="K400" s="147"/>
      <c r="L400" s="147"/>
      <c r="M400" s="147"/>
      <c r="N400" s="147"/>
      <c r="O400" s="147"/>
      <c r="P400" s="147"/>
      <c r="Q400" s="147"/>
      <c r="R400" s="147"/>
      <c r="S400" s="147"/>
      <c r="T400" s="147"/>
      <c r="U400" s="147"/>
      <c r="V400" s="147"/>
      <c r="W400" s="147"/>
      <c r="X400" s="147"/>
      <c r="Y400" s="147"/>
      <c r="Z400" s="147"/>
      <c r="AA400" s="147"/>
      <c r="AB400" s="147"/>
      <c r="AC400" s="147"/>
      <c r="AD400" s="147"/>
    </row>
    <row r="401">
      <c r="A401" s="147"/>
      <c r="B401" s="147"/>
      <c r="C401" s="147"/>
      <c r="D401" s="147"/>
      <c r="E401" s="147"/>
      <c r="F401" s="147"/>
      <c r="G401" s="147"/>
      <c r="H401" s="262"/>
      <c r="I401" s="147"/>
      <c r="J401" s="147"/>
      <c r="K401" s="147"/>
      <c r="L401" s="147"/>
      <c r="M401" s="147"/>
      <c r="N401" s="147"/>
      <c r="O401" s="147"/>
      <c r="P401" s="147"/>
      <c r="Q401" s="147"/>
      <c r="R401" s="147"/>
      <c r="S401" s="147"/>
      <c r="T401" s="147"/>
      <c r="U401" s="147"/>
      <c r="V401" s="147"/>
      <c r="W401" s="147"/>
      <c r="X401" s="147"/>
      <c r="Y401" s="147"/>
      <c r="Z401" s="147"/>
      <c r="AA401" s="147"/>
      <c r="AB401" s="147"/>
      <c r="AC401" s="147"/>
      <c r="AD401" s="147"/>
    </row>
    <row r="402">
      <c r="A402" s="147"/>
      <c r="B402" s="147"/>
      <c r="C402" s="147"/>
      <c r="D402" s="147"/>
      <c r="E402" s="147"/>
      <c r="F402" s="147"/>
      <c r="G402" s="147"/>
      <c r="H402" s="262"/>
      <c r="I402" s="147"/>
      <c r="J402" s="147"/>
      <c r="K402" s="147"/>
      <c r="L402" s="147"/>
      <c r="M402" s="147"/>
      <c r="N402" s="147"/>
      <c r="O402" s="147"/>
      <c r="P402" s="147"/>
      <c r="Q402" s="147"/>
      <c r="R402" s="147"/>
      <c r="S402" s="147"/>
      <c r="T402" s="147"/>
      <c r="U402" s="147"/>
      <c r="V402" s="147"/>
      <c r="W402" s="147"/>
      <c r="X402" s="147"/>
      <c r="Y402" s="147"/>
      <c r="Z402" s="147"/>
      <c r="AA402" s="147"/>
      <c r="AB402" s="147"/>
      <c r="AC402" s="147"/>
      <c r="AD402" s="147"/>
    </row>
    <row r="403">
      <c r="A403" s="147"/>
      <c r="B403" s="147"/>
      <c r="C403" s="147"/>
      <c r="D403" s="147"/>
      <c r="E403" s="147"/>
      <c r="F403" s="147"/>
      <c r="G403" s="147"/>
      <c r="H403" s="262"/>
      <c r="I403" s="147"/>
      <c r="J403" s="147"/>
      <c r="K403" s="147"/>
      <c r="L403" s="147"/>
      <c r="M403" s="147"/>
      <c r="N403" s="147"/>
      <c r="O403" s="147"/>
      <c r="P403" s="147"/>
      <c r="Q403" s="147"/>
      <c r="R403" s="147"/>
      <c r="S403" s="147"/>
      <c r="T403" s="147"/>
      <c r="U403" s="147"/>
      <c r="V403" s="147"/>
      <c r="W403" s="147"/>
      <c r="X403" s="147"/>
      <c r="Y403" s="147"/>
      <c r="Z403" s="147"/>
      <c r="AA403" s="147"/>
      <c r="AB403" s="147"/>
      <c r="AC403" s="147"/>
      <c r="AD403" s="147"/>
    </row>
    <row r="404">
      <c r="A404" s="147"/>
      <c r="B404" s="147"/>
      <c r="C404" s="147"/>
      <c r="D404" s="147"/>
      <c r="E404" s="147"/>
      <c r="F404" s="147"/>
      <c r="G404" s="147"/>
      <c r="H404" s="262"/>
      <c r="I404" s="147"/>
      <c r="J404" s="147"/>
      <c r="K404" s="147"/>
      <c r="L404" s="147"/>
      <c r="M404" s="147"/>
      <c r="N404" s="147"/>
      <c r="O404" s="147"/>
      <c r="P404" s="147"/>
      <c r="Q404" s="147"/>
      <c r="R404" s="147"/>
      <c r="S404" s="147"/>
      <c r="T404" s="147"/>
      <c r="U404" s="147"/>
      <c r="V404" s="147"/>
      <c r="W404" s="147"/>
      <c r="X404" s="147"/>
      <c r="Y404" s="147"/>
      <c r="Z404" s="147"/>
      <c r="AA404" s="147"/>
      <c r="AB404" s="147"/>
      <c r="AC404" s="147"/>
      <c r="AD404" s="147"/>
    </row>
    <row r="405">
      <c r="A405" s="147"/>
      <c r="B405" s="147"/>
      <c r="C405" s="147"/>
      <c r="D405" s="147"/>
      <c r="E405" s="147"/>
      <c r="F405" s="147"/>
      <c r="G405" s="147"/>
      <c r="H405" s="262"/>
      <c r="I405" s="147"/>
      <c r="J405" s="147"/>
      <c r="K405" s="147"/>
      <c r="L405" s="147"/>
      <c r="M405" s="147"/>
      <c r="N405" s="147"/>
      <c r="O405" s="147"/>
      <c r="P405" s="147"/>
      <c r="Q405" s="147"/>
      <c r="R405" s="147"/>
      <c r="S405" s="147"/>
      <c r="T405" s="147"/>
      <c r="U405" s="147"/>
      <c r="V405" s="147"/>
      <c r="W405" s="147"/>
      <c r="X405" s="147"/>
      <c r="Y405" s="147"/>
      <c r="Z405" s="147"/>
      <c r="AA405" s="147"/>
      <c r="AB405" s="147"/>
      <c r="AC405" s="147"/>
      <c r="AD405" s="147"/>
    </row>
    <row r="406">
      <c r="A406" s="147"/>
      <c r="B406" s="147"/>
      <c r="C406" s="147"/>
      <c r="D406" s="147"/>
      <c r="E406" s="147"/>
      <c r="F406" s="147"/>
      <c r="G406" s="147"/>
      <c r="H406" s="262"/>
      <c r="I406" s="147"/>
      <c r="J406" s="147"/>
      <c r="K406" s="147"/>
      <c r="L406" s="147"/>
      <c r="M406" s="147"/>
      <c r="N406" s="147"/>
      <c r="O406" s="147"/>
      <c r="P406" s="147"/>
      <c r="Q406" s="147"/>
      <c r="R406" s="147"/>
      <c r="S406" s="147"/>
      <c r="T406" s="147"/>
      <c r="U406" s="147"/>
      <c r="V406" s="147"/>
      <c r="W406" s="147"/>
      <c r="X406" s="147"/>
      <c r="Y406" s="147"/>
      <c r="Z406" s="147"/>
      <c r="AA406" s="147"/>
      <c r="AB406" s="147"/>
      <c r="AC406" s="147"/>
      <c r="AD406" s="147"/>
    </row>
    <row r="407">
      <c r="A407" s="147"/>
      <c r="B407" s="147"/>
      <c r="C407" s="147"/>
      <c r="D407" s="147"/>
      <c r="E407" s="147"/>
      <c r="F407" s="147"/>
      <c r="G407" s="147"/>
      <c r="H407" s="262"/>
      <c r="I407" s="147"/>
      <c r="J407" s="147"/>
      <c r="K407" s="147"/>
      <c r="L407" s="147"/>
      <c r="M407" s="147"/>
      <c r="N407" s="147"/>
      <c r="O407" s="147"/>
      <c r="P407" s="147"/>
      <c r="Q407" s="147"/>
      <c r="R407" s="147"/>
      <c r="S407" s="147"/>
      <c r="T407" s="147"/>
      <c r="U407" s="147"/>
      <c r="V407" s="147"/>
      <c r="W407" s="147"/>
      <c r="X407" s="147"/>
      <c r="Y407" s="147"/>
      <c r="Z407" s="147"/>
      <c r="AA407" s="147"/>
      <c r="AB407" s="147"/>
      <c r="AC407" s="147"/>
      <c r="AD407" s="147"/>
    </row>
    <row r="408">
      <c r="A408" s="147"/>
      <c r="B408" s="147"/>
      <c r="C408" s="147"/>
      <c r="D408" s="147"/>
      <c r="E408" s="147"/>
      <c r="F408" s="147"/>
      <c r="G408" s="147"/>
      <c r="H408" s="262"/>
      <c r="I408" s="147"/>
      <c r="J408" s="147"/>
      <c r="K408" s="147"/>
      <c r="L408" s="147"/>
      <c r="M408" s="147"/>
      <c r="N408" s="147"/>
      <c r="O408" s="147"/>
      <c r="P408" s="147"/>
      <c r="Q408" s="147"/>
      <c r="R408" s="147"/>
      <c r="S408" s="147"/>
      <c r="T408" s="147"/>
      <c r="U408" s="147"/>
      <c r="V408" s="147"/>
      <c r="W408" s="147"/>
      <c r="X408" s="147"/>
      <c r="Y408" s="147"/>
      <c r="Z408" s="147"/>
      <c r="AA408" s="147"/>
      <c r="AB408" s="147"/>
      <c r="AC408" s="147"/>
      <c r="AD408" s="147"/>
    </row>
    <row r="409">
      <c r="A409" s="147"/>
      <c r="B409" s="147"/>
      <c r="C409" s="147"/>
      <c r="D409" s="147"/>
      <c r="E409" s="147"/>
      <c r="F409" s="147"/>
      <c r="G409" s="147"/>
      <c r="H409" s="262"/>
      <c r="I409" s="147"/>
      <c r="J409" s="147"/>
      <c r="K409" s="147"/>
      <c r="L409" s="147"/>
      <c r="M409" s="147"/>
      <c r="N409" s="147"/>
      <c r="O409" s="147"/>
      <c r="P409" s="147"/>
      <c r="Q409" s="147"/>
      <c r="R409" s="147"/>
      <c r="S409" s="147"/>
      <c r="T409" s="147"/>
      <c r="U409" s="147"/>
      <c r="V409" s="147"/>
      <c r="W409" s="147"/>
      <c r="X409" s="147"/>
      <c r="Y409" s="147"/>
      <c r="Z409" s="147"/>
      <c r="AA409" s="147"/>
      <c r="AB409" s="147"/>
      <c r="AC409" s="147"/>
      <c r="AD409" s="147"/>
    </row>
    <row r="410">
      <c r="A410" s="147"/>
      <c r="B410" s="147"/>
      <c r="C410" s="147"/>
      <c r="D410" s="147"/>
      <c r="E410" s="147"/>
      <c r="F410" s="147"/>
      <c r="G410" s="147"/>
      <c r="H410" s="262"/>
      <c r="I410" s="147"/>
      <c r="J410" s="147"/>
      <c r="K410" s="147"/>
      <c r="L410" s="147"/>
      <c r="M410" s="147"/>
      <c r="N410" s="147"/>
      <c r="O410" s="147"/>
      <c r="P410" s="147"/>
      <c r="Q410" s="147"/>
      <c r="R410" s="147"/>
      <c r="S410" s="147"/>
      <c r="T410" s="147"/>
      <c r="U410" s="147"/>
      <c r="V410" s="147"/>
      <c r="W410" s="147"/>
      <c r="X410" s="147"/>
      <c r="Y410" s="147"/>
      <c r="Z410" s="147"/>
      <c r="AA410" s="147"/>
      <c r="AB410" s="147"/>
      <c r="AC410" s="147"/>
      <c r="AD410" s="147"/>
    </row>
    <row r="411">
      <c r="A411" s="147"/>
      <c r="B411" s="147"/>
      <c r="C411" s="147"/>
      <c r="D411" s="147"/>
      <c r="E411" s="147"/>
      <c r="F411" s="147"/>
      <c r="G411" s="147"/>
      <c r="H411" s="262"/>
      <c r="I411" s="147"/>
      <c r="J411" s="147"/>
      <c r="K411" s="147"/>
      <c r="L411" s="147"/>
      <c r="M411" s="147"/>
      <c r="N411" s="147"/>
      <c r="O411" s="147"/>
      <c r="P411" s="147"/>
      <c r="Q411" s="147"/>
      <c r="R411" s="147"/>
      <c r="S411" s="147"/>
      <c r="T411" s="147"/>
      <c r="U411" s="147"/>
      <c r="V411" s="147"/>
      <c r="W411" s="147"/>
      <c r="X411" s="147"/>
      <c r="Y411" s="147"/>
      <c r="Z411" s="147"/>
      <c r="AA411" s="147"/>
      <c r="AB411" s="147"/>
      <c r="AC411" s="147"/>
      <c r="AD411" s="147"/>
    </row>
    <row r="412">
      <c r="A412" s="147"/>
      <c r="B412" s="147"/>
      <c r="C412" s="147"/>
      <c r="D412" s="147"/>
      <c r="E412" s="147"/>
      <c r="F412" s="147"/>
      <c r="G412" s="147"/>
      <c r="H412" s="262"/>
      <c r="I412" s="147"/>
      <c r="J412" s="147"/>
      <c r="K412" s="147"/>
      <c r="L412" s="147"/>
      <c r="M412" s="147"/>
      <c r="N412" s="147"/>
      <c r="O412" s="147"/>
      <c r="P412" s="147"/>
      <c r="Q412" s="147"/>
      <c r="R412" s="147"/>
      <c r="S412" s="147"/>
      <c r="T412" s="147"/>
      <c r="U412" s="147"/>
      <c r="V412" s="147"/>
      <c r="W412" s="147"/>
      <c r="X412" s="147"/>
      <c r="Y412" s="147"/>
      <c r="Z412" s="147"/>
      <c r="AA412" s="147"/>
      <c r="AB412" s="147"/>
      <c r="AC412" s="147"/>
      <c r="AD412" s="147"/>
    </row>
    <row r="413">
      <c r="A413" s="147"/>
      <c r="B413" s="147"/>
      <c r="C413" s="147"/>
      <c r="D413" s="147"/>
      <c r="E413" s="147"/>
      <c r="F413" s="147"/>
      <c r="G413" s="147"/>
      <c r="H413" s="262"/>
      <c r="I413" s="147"/>
      <c r="J413" s="147"/>
      <c r="K413" s="147"/>
      <c r="L413" s="147"/>
      <c r="M413" s="147"/>
      <c r="N413" s="147"/>
      <c r="O413" s="147"/>
      <c r="P413" s="147"/>
      <c r="Q413" s="147"/>
      <c r="R413" s="147"/>
      <c r="S413" s="147"/>
      <c r="T413" s="147"/>
      <c r="U413" s="147"/>
      <c r="V413" s="147"/>
      <c r="W413" s="147"/>
      <c r="X413" s="147"/>
      <c r="Y413" s="147"/>
      <c r="Z413" s="147"/>
      <c r="AA413" s="147"/>
      <c r="AB413" s="147"/>
      <c r="AC413" s="147"/>
      <c r="AD413" s="147"/>
    </row>
    <row r="414">
      <c r="A414" s="147"/>
      <c r="B414" s="147"/>
      <c r="C414" s="147"/>
      <c r="D414" s="147"/>
      <c r="E414" s="147"/>
      <c r="F414" s="147"/>
      <c r="G414" s="147"/>
      <c r="H414" s="262"/>
      <c r="I414" s="147"/>
      <c r="J414" s="147"/>
      <c r="K414" s="147"/>
      <c r="L414" s="147"/>
      <c r="M414" s="147"/>
      <c r="N414" s="147"/>
      <c r="O414" s="147"/>
      <c r="P414" s="147"/>
      <c r="Q414" s="147"/>
      <c r="R414" s="147"/>
      <c r="S414" s="147"/>
      <c r="T414" s="147"/>
      <c r="U414" s="147"/>
      <c r="V414" s="147"/>
      <c r="W414" s="147"/>
      <c r="X414" s="147"/>
      <c r="Y414" s="147"/>
      <c r="Z414" s="147"/>
      <c r="AA414" s="147"/>
      <c r="AB414" s="147"/>
      <c r="AC414" s="147"/>
      <c r="AD414" s="147"/>
    </row>
    <row r="415">
      <c r="A415" s="147"/>
      <c r="B415" s="147"/>
      <c r="C415" s="147"/>
      <c r="D415" s="147"/>
      <c r="E415" s="147"/>
      <c r="F415" s="147"/>
      <c r="G415" s="147"/>
      <c r="H415" s="262"/>
      <c r="I415" s="147"/>
      <c r="J415" s="147"/>
      <c r="K415" s="147"/>
      <c r="L415" s="147"/>
      <c r="M415" s="147"/>
      <c r="N415" s="147"/>
      <c r="O415" s="147"/>
      <c r="P415" s="147"/>
      <c r="Q415" s="147"/>
      <c r="R415" s="147"/>
      <c r="S415" s="147"/>
      <c r="T415" s="147"/>
      <c r="U415" s="147"/>
      <c r="V415" s="147"/>
      <c r="W415" s="147"/>
      <c r="X415" s="147"/>
      <c r="Y415" s="147"/>
      <c r="Z415" s="147"/>
      <c r="AA415" s="147"/>
      <c r="AB415" s="147"/>
      <c r="AC415" s="147"/>
      <c r="AD415" s="147"/>
    </row>
    <row r="416">
      <c r="A416" s="147"/>
      <c r="B416" s="147"/>
      <c r="C416" s="147"/>
      <c r="D416" s="147"/>
      <c r="E416" s="147"/>
      <c r="F416" s="147"/>
      <c r="G416" s="147"/>
      <c r="H416" s="262"/>
      <c r="I416" s="147"/>
      <c r="J416" s="147"/>
      <c r="K416" s="147"/>
      <c r="L416" s="147"/>
      <c r="M416" s="147"/>
      <c r="N416" s="147"/>
      <c r="O416" s="147"/>
      <c r="P416" s="147"/>
      <c r="Q416" s="147"/>
      <c r="R416" s="147"/>
      <c r="S416" s="147"/>
      <c r="T416" s="147"/>
      <c r="U416" s="147"/>
      <c r="V416" s="147"/>
      <c r="W416" s="147"/>
      <c r="X416" s="147"/>
      <c r="Y416" s="147"/>
      <c r="Z416" s="147"/>
      <c r="AA416" s="147"/>
      <c r="AB416" s="147"/>
      <c r="AC416" s="147"/>
      <c r="AD416" s="147"/>
    </row>
    <row r="417">
      <c r="A417" s="147"/>
      <c r="B417" s="147"/>
      <c r="C417" s="147"/>
      <c r="D417" s="147"/>
      <c r="E417" s="147"/>
      <c r="F417" s="147"/>
      <c r="G417" s="147"/>
      <c r="H417" s="262"/>
      <c r="I417" s="147"/>
      <c r="J417" s="147"/>
      <c r="K417" s="147"/>
      <c r="L417" s="147"/>
      <c r="M417" s="147"/>
      <c r="N417" s="147"/>
      <c r="O417" s="147"/>
      <c r="P417" s="147"/>
      <c r="Q417" s="147"/>
      <c r="R417" s="147"/>
      <c r="S417" s="147"/>
      <c r="T417" s="147"/>
      <c r="U417" s="147"/>
      <c r="V417" s="147"/>
      <c r="W417" s="147"/>
      <c r="X417" s="147"/>
      <c r="Y417" s="147"/>
      <c r="Z417" s="147"/>
      <c r="AA417" s="147"/>
      <c r="AB417" s="147"/>
      <c r="AC417" s="147"/>
      <c r="AD417" s="147"/>
    </row>
    <row r="418">
      <c r="A418" s="147"/>
      <c r="B418" s="147"/>
      <c r="C418" s="147"/>
      <c r="D418" s="147"/>
      <c r="E418" s="147"/>
      <c r="F418" s="147"/>
      <c r="G418" s="147"/>
      <c r="H418" s="262"/>
      <c r="I418" s="147"/>
      <c r="J418" s="147"/>
      <c r="K418" s="147"/>
      <c r="L418" s="147"/>
      <c r="M418" s="147"/>
      <c r="N418" s="147"/>
      <c r="O418" s="147"/>
      <c r="P418" s="147"/>
      <c r="Q418" s="147"/>
      <c r="R418" s="147"/>
      <c r="S418" s="147"/>
      <c r="T418" s="147"/>
      <c r="U418" s="147"/>
      <c r="V418" s="147"/>
      <c r="W418" s="147"/>
      <c r="X418" s="147"/>
      <c r="Y418" s="147"/>
      <c r="Z418" s="147"/>
      <c r="AA418" s="147"/>
      <c r="AB418" s="147"/>
      <c r="AC418" s="147"/>
      <c r="AD418" s="147"/>
    </row>
    <row r="419">
      <c r="A419" s="147"/>
      <c r="B419" s="147"/>
      <c r="C419" s="147"/>
      <c r="D419" s="147"/>
      <c r="E419" s="147"/>
      <c r="F419" s="147"/>
      <c r="G419" s="147"/>
      <c r="H419" s="262"/>
      <c r="I419" s="147"/>
      <c r="J419" s="147"/>
      <c r="K419" s="147"/>
      <c r="L419" s="147"/>
      <c r="M419" s="147"/>
      <c r="N419" s="147"/>
      <c r="O419" s="147"/>
      <c r="P419" s="147"/>
      <c r="Q419" s="147"/>
      <c r="R419" s="147"/>
      <c r="S419" s="147"/>
      <c r="T419" s="147"/>
      <c r="U419" s="147"/>
      <c r="V419" s="147"/>
      <c r="W419" s="147"/>
      <c r="X419" s="147"/>
      <c r="Y419" s="147"/>
      <c r="Z419" s="147"/>
      <c r="AA419" s="147"/>
      <c r="AB419" s="147"/>
      <c r="AC419" s="147"/>
      <c r="AD419" s="147"/>
    </row>
    <row r="420">
      <c r="A420" s="147"/>
      <c r="B420" s="147"/>
      <c r="C420" s="147"/>
      <c r="D420" s="147"/>
      <c r="E420" s="147"/>
      <c r="F420" s="147"/>
      <c r="G420" s="147"/>
      <c r="H420" s="262"/>
      <c r="I420" s="147"/>
      <c r="J420" s="147"/>
      <c r="K420" s="147"/>
      <c r="L420" s="147"/>
      <c r="M420" s="147"/>
      <c r="N420" s="147"/>
      <c r="O420" s="147"/>
      <c r="P420" s="147"/>
      <c r="Q420" s="147"/>
      <c r="R420" s="147"/>
      <c r="S420" s="147"/>
      <c r="T420" s="147"/>
      <c r="U420" s="147"/>
      <c r="V420" s="147"/>
      <c r="W420" s="147"/>
      <c r="X420" s="147"/>
      <c r="Y420" s="147"/>
      <c r="Z420" s="147"/>
      <c r="AA420" s="147"/>
      <c r="AB420" s="147"/>
      <c r="AC420" s="147"/>
      <c r="AD420" s="147"/>
    </row>
    <row r="421">
      <c r="A421" s="147"/>
      <c r="B421" s="147"/>
      <c r="C421" s="147"/>
      <c r="D421" s="147"/>
      <c r="E421" s="147"/>
      <c r="F421" s="147"/>
      <c r="G421" s="147"/>
      <c r="H421" s="262"/>
      <c r="I421" s="147"/>
      <c r="J421" s="147"/>
      <c r="K421" s="147"/>
      <c r="L421" s="147"/>
      <c r="M421" s="147"/>
      <c r="N421" s="147"/>
      <c r="O421" s="147"/>
      <c r="P421" s="147"/>
      <c r="Q421" s="147"/>
      <c r="R421" s="147"/>
      <c r="S421" s="147"/>
      <c r="T421" s="147"/>
      <c r="U421" s="147"/>
      <c r="V421" s="147"/>
      <c r="W421" s="147"/>
      <c r="X421" s="147"/>
      <c r="Y421" s="147"/>
      <c r="Z421" s="147"/>
      <c r="AA421" s="147"/>
      <c r="AB421" s="147"/>
      <c r="AC421" s="147"/>
      <c r="AD421" s="147"/>
    </row>
    <row r="422">
      <c r="A422" s="147"/>
      <c r="B422" s="147"/>
      <c r="C422" s="147"/>
      <c r="D422" s="147"/>
      <c r="E422" s="147"/>
      <c r="F422" s="147"/>
      <c r="G422" s="147"/>
      <c r="H422" s="262"/>
      <c r="I422" s="147"/>
      <c r="J422" s="147"/>
      <c r="K422" s="147"/>
      <c r="L422" s="147"/>
      <c r="M422" s="147"/>
      <c r="N422" s="147"/>
      <c r="O422" s="147"/>
      <c r="P422" s="147"/>
      <c r="Q422" s="147"/>
      <c r="R422" s="147"/>
      <c r="S422" s="147"/>
      <c r="T422" s="147"/>
      <c r="U422" s="147"/>
      <c r="V422" s="147"/>
      <c r="W422" s="147"/>
      <c r="X422" s="147"/>
      <c r="Y422" s="147"/>
      <c r="Z422" s="147"/>
      <c r="AA422" s="147"/>
      <c r="AB422" s="147"/>
      <c r="AC422" s="147"/>
      <c r="AD422" s="147"/>
    </row>
    <row r="423">
      <c r="A423" s="147"/>
      <c r="B423" s="147"/>
      <c r="C423" s="147"/>
      <c r="D423" s="147"/>
      <c r="E423" s="147"/>
      <c r="F423" s="147"/>
      <c r="G423" s="147"/>
      <c r="H423" s="262"/>
      <c r="I423" s="147"/>
      <c r="J423" s="147"/>
      <c r="K423" s="147"/>
      <c r="L423" s="147"/>
      <c r="M423" s="147"/>
      <c r="N423" s="147"/>
      <c r="O423" s="147"/>
      <c r="P423" s="147"/>
      <c r="Q423" s="147"/>
      <c r="R423" s="147"/>
      <c r="S423" s="147"/>
      <c r="T423" s="147"/>
      <c r="U423" s="147"/>
      <c r="V423" s="147"/>
      <c r="W423" s="147"/>
      <c r="X423" s="147"/>
      <c r="Y423" s="147"/>
      <c r="Z423" s="147"/>
      <c r="AA423" s="147"/>
      <c r="AB423" s="147"/>
      <c r="AC423" s="147"/>
      <c r="AD423" s="147"/>
    </row>
    <row r="424">
      <c r="A424" s="147"/>
      <c r="B424" s="147"/>
      <c r="C424" s="147"/>
      <c r="D424" s="147"/>
      <c r="E424" s="147"/>
      <c r="F424" s="147"/>
      <c r="G424" s="147"/>
      <c r="H424" s="262"/>
      <c r="I424" s="147"/>
      <c r="J424" s="147"/>
      <c r="K424" s="147"/>
      <c r="L424" s="147"/>
      <c r="M424" s="147"/>
      <c r="N424" s="147"/>
      <c r="O424" s="147"/>
      <c r="P424" s="147"/>
      <c r="Q424" s="147"/>
      <c r="R424" s="147"/>
      <c r="S424" s="147"/>
      <c r="T424" s="147"/>
      <c r="U424" s="147"/>
      <c r="V424" s="147"/>
      <c r="W424" s="147"/>
      <c r="X424" s="147"/>
      <c r="Y424" s="147"/>
      <c r="Z424" s="147"/>
      <c r="AA424" s="147"/>
      <c r="AB424" s="147"/>
      <c r="AC424" s="147"/>
      <c r="AD424" s="147"/>
    </row>
    <row r="425">
      <c r="A425" s="147"/>
      <c r="B425" s="147"/>
      <c r="C425" s="147"/>
      <c r="D425" s="147"/>
      <c r="E425" s="147"/>
      <c r="F425" s="147"/>
      <c r="G425" s="147"/>
      <c r="H425" s="262"/>
      <c r="I425" s="147"/>
      <c r="J425" s="147"/>
      <c r="K425" s="147"/>
      <c r="L425" s="147"/>
      <c r="M425" s="147"/>
      <c r="N425" s="147"/>
      <c r="O425" s="147"/>
      <c r="P425" s="147"/>
      <c r="Q425" s="147"/>
      <c r="R425" s="147"/>
      <c r="S425" s="147"/>
      <c r="T425" s="147"/>
      <c r="U425" s="147"/>
      <c r="V425" s="147"/>
      <c r="W425" s="147"/>
      <c r="X425" s="147"/>
      <c r="Y425" s="147"/>
      <c r="Z425" s="147"/>
      <c r="AA425" s="147"/>
      <c r="AB425" s="147"/>
      <c r="AC425" s="147"/>
      <c r="AD425" s="147"/>
    </row>
    <row r="426">
      <c r="A426" s="147"/>
      <c r="B426" s="147"/>
      <c r="C426" s="147"/>
      <c r="D426" s="147"/>
      <c r="E426" s="147"/>
      <c r="F426" s="147"/>
      <c r="G426" s="147"/>
      <c r="H426" s="262"/>
      <c r="I426" s="147"/>
      <c r="J426" s="147"/>
      <c r="K426" s="147"/>
      <c r="L426" s="147"/>
      <c r="M426" s="147"/>
      <c r="N426" s="147"/>
      <c r="O426" s="147"/>
      <c r="P426" s="147"/>
      <c r="Q426" s="147"/>
      <c r="R426" s="147"/>
      <c r="S426" s="147"/>
      <c r="T426" s="147"/>
      <c r="U426" s="147"/>
      <c r="V426" s="147"/>
      <c r="W426" s="147"/>
      <c r="X426" s="147"/>
      <c r="Y426" s="147"/>
      <c r="Z426" s="147"/>
      <c r="AA426" s="147"/>
      <c r="AB426" s="147"/>
      <c r="AC426" s="147"/>
      <c r="AD426" s="147"/>
    </row>
    <row r="427">
      <c r="A427" s="147"/>
      <c r="B427" s="147"/>
      <c r="C427" s="147"/>
      <c r="D427" s="147"/>
      <c r="E427" s="147"/>
      <c r="F427" s="147"/>
      <c r="G427" s="147"/>
      <c r="H427" s="262"/>
      <c r="I427" s="147"/>
      <c r="J427" s="147"/>
      <c r="K427" s="147"/>
      <c r="L427" s="147"/>
      <c r="M427" s="147"/>
      <c r="N427" s="147"/>
      <c r="O427" s="147"/>
      <c r="P427" s="147"/>
      <c r="Q427" s="147"/>
      <c r="R427" s="147"/>
      <c r="S427" s="147"/>
      <c r="T427" s="147"/>
      <c r="U427" s="147"/>
      <c r="V427" s="147"/>
      <c r="W427" s="147"/>
      <c r="X427" s="147"/>
      <c r="Y427" s="147"/>
      <c r="Z427" s="147"/>
      <c r="AA427" s="147"/>
      <c r="AB427" s="147"/>
      <c r="AC427" s="147"/>
      <c r="AD427" s="147"/>
    </row>
    <row r="428">
      <c r="A428" s="147"/>
      <c r="B428" s="147"/>
      <c r="C428" s="147"/>
      <c r="D428" s="147"/>
      <c r="E428" s="147"/>
      <c r="F428" s="147"/>
      <c r="G428" s="147"/>
      <c r="H428" s="262"/>
      <c r="I428" s="147"/>
      <c r="J428" s="147"/>
      <c r="K428" s="147"/>
      <c r="L428" s="147"/>
      <c r="M428" s="147"/>
      <c r="N428" s="147"/>
      <c r="O428" s="147"/>
      <c r="P428" s="147"/>
      <c r="Q428" s="147"/>
      <c r="R428" s="147"/>
      <c r="S428" s="147"/>
      <c r="T428" s="147"/>
      <c r="U428" s="147"/>
      <c r="V428" s="147"/>
      <c r="W428" s="147"/>
      <c r="X428" s="147"/>
      <c r="Y428" s="147"/>
      <c r="Z428" s="147"/>
      <c r="AA428" s="147"/>
      <c r="AB428" s="147"/>
      <c r="AC428" s="147"/>
      <c r="AD428" s="147"/>
    </row>
    <row r="429">
      <c r="A429" s="147"/>
      <c r="B429" s="147"/>
      <c r="C429" s="147"/>
      <c r="D429" s="147"/>
      <c r="E429" s="147"/>
      <c r="F429" s="147"/>
      <c r="G429" s="147"/>
      <c r="H429" s="262"/>
      <c r="I429" s="147"/>
      <c r="J429" s="147"/>
      <c r="K429" s="147"/>
      <c r="L429" s="147"/>
      <c r="M429" s="147"/>
      <c r="N429" s="147"/>
      <c r="O429" s="147"/>
      <c r="P429" s="147"/>
      <c r="Q429" s="147"/>
      <c r="R429" s="147"/>
      <c r="S429" s="147"/>
      <c r="T429" s="147"/>
      <c r="U429" s="147"/>
      <c r="V429" s="147"/>
      <c r="W429" s="147"/>
      <c r="X429" s="147"/>
      <c r="Y429" s="147"/>
      <c r="Z429" s="147"/>
      <c r="AA429" s="147"/>
      <c r="AB429" s="147"/>
      <c r="AC429" s="147"/>
      <c r="AD429" s="147"/>
    </row>
    <row r="430">
      <c r="A430" s="147"/>
      <c r="B430" s="147"/>
      <c r="C430" s="147"/>
      <c r="D430" s="147"/>
      <c r="E430" s="147"/>
      <c r="F430" s="147"/>
      <c r="G430" s="147"/>
      <c r="H430" s="262"/>
      <c r="I430" s="147"/>
      <c r="J430" s="147"/>
      <c r="K430" s="147"/>
      <c r="L430" s="147"/>
      <c r="M430" s="147"/>
      <c r="N430" s="147"/>
      <c r="O430" s="147"/>
      <c r="P430" s="147"/>
      <c r="Q430" s="147"/>
      <c r="R430" s="147"/>
      <c r="S430" s="147"/>
      <c r="T430" s="147"/>
      <c r="U430" s="147"/>
      <c r="V430" s="147"/>
      <c r="W430" s="147"/>
      <c r="X430" s="147"/>
      <c r="Y430" s="147"/>
      <c r="Z430" s="147"/>
      <c r="AA430" s="147"/>
      <c r="AB430" s="147"/>
      <c r="AC430" s="147"/>
      <c r="AD430" s="147"/>
    </row>
    <row r="431">
      <c r="A431" s="147"/>
      <c r="B431" s="147"/>
      <c r="C431" s="147"/>
      <c r="D431" s="147"/>
      <c r="E431" s="147"/>
      <c r="F431" s="147"/>
      <c r="G431" s="147"/>
      <c r="H431" s="262"/>
      <c r="I431" s="147"/>
      <c r="J431" s="147"/>
      <c r="K431" s="147"/>
      <c r="L431" s="147"/>
      <c r="M431" s="147"/>
      <c r="N431" s="147"/>
      <c r="O431" s="147"/>
      <c r="P431" s="147"/>
      <c r="Q431" s="147"/>
      <c r="R431" s="147"/>
      <c r="S431" s="147"/>
      <c r="T431" s="147"/>
      <c r="U431" s="147"/>
      <c r="V431" s="147"/>
      <c r="W431" s="147"/>
      <c r="X431" s="147"/>
      <c r="Y431" s="147"/>
      <c r="Z431" s="147"/>
      <c r="AA431" s="147"/>
      <c r="AB431" s="147"/>
      <c r="AC431" s="147"/>
      <c r="AD431" s="147"/>
    </row>
    <row r="432">
      <c r="A432" s="147"/>
      <c r="B432" s="147"/>
      <c r="C432" s="147"/>
      <c r="D432" s="147"/>
      <c r="E432" s="147"/>
      <c r="F432" s="147"/>
      <c r="G432" s="147"/>
      <c r="H432" s="262"/>
      <c r="I432" s="147"/>
      <c r="J432" s="147"/>
      <c r="K432" s="147"/>
      <c r="L432" s="147"/>
      <c r="M432" s="147"/>
      <c r="N432" s="147"/>
      <c r="O432" s="147"/>
      <c r="P432" s="147"/>
      <c r="Q432" s="147"/>
      <c r="R432" s="147"/>
      <c r="S432" s="147"/>
      <c r="T432" s="147"/>
      <c r="U432" s="147"/>
      <c r="V432" s="147"/>
      <c r="W432" s="147"/>
      <c r="X432" s="147"/>
      <c r="Y432" s="147"/>
      <c r="Z432" s="147"/>
      <c r="AA432" s="147"/>
      <c r="AB432" s="147"/>
      <c r="AC432" s="147"/>
      <c r="AD432" s="147"/>
    </row>
    <row r="433">
      <c r="A433" s="147"/>
      <c r="B433" s="147"/>
      <c r="C433" s="147"/>
      <c r="D433" s="147"/>
      <c r="E433" s="147"/>
      <c r="F433" s="147"/>
      <c r="G433" s="147"/>
      <c r="H433" s="262"/>
      <c r="I433" s="147"/>
      <c r="J433" s="147"/>
      <c r="K433" s="147"/>
      <c r="L433" s="147"/>
      <c r="M433" s="147"/>
      <c r="N433" s="147"/>
      <c r="O433" s="147"/>
      <c r="P433" s="147"/>
      <c r="Q433" s="147"/>
      <c r="R433" s="147"/>
      <c r="S433" s="147"/>
      <c r="T433" s="147"/>
      <c r="U433" s="147"/>
      <c r="V433" s="147"/>
      <c r="W433" s="147"/>
      <c r="X433" s="147"/>
      <c r="Y433" s="147"/>
      <c r="Z433" s="147"/>
      <c r="AA433" s="147"/>
      <c r="AB433" s="147"/>
      <c r="AC433" s="147"/>
      <c r="AD433" s="147"/>
    </row>
    <row r="434">
      <c r="A434" s="147"/>
      <c r="B434" s="147"/>
      <c r="C434" s="147"/>
      <c r="D434" s="147"/>
      <c r="E434" s="147"/>
      <c r="F434" s="147"/>
      <c r="G434" s="147"/>
      <c r="H434" s="262"/>
      <c r="I434" s="147"/>
      <c r="J434" s="147"/>
      <c r="K434" s="147"/>
      <c r="L434" s="147"/>
      <c r="M434" s="147"/>
      <c r="N434" s="147"/>
      <c r="O434" s="147"/>
      <c r="P434" s="147"/>
      <c r="Q434" s="147"/>
      <c r="R434" s="147"/>
      <c r="S434" s="147"/>
      <c r="T434" s="147"/>
      <c r="U434" s="147"/>
      <c r="V434" s="147"/>
      <c r="W434" s="147"/>
      <c r="X434" s="147"/>
      <c r="Y434" s="147"/>
      <c r="Z434" s="147"/>
      <c r="AA434" s="147"/>
      <c r="AB434" s="147"/>
      <c r="AC434" s="147"/>
      <c r="AD434" s="147"/>
    </row>
    <row r="435">
      <c r="A435" s="147"/>
      <c r="B435" s="147"/>
      <c r="C435" s="147"/>
      <c r="D435" s="147"/>
      <c r="E435" s="147"/>
      <c r="F435" s="147"/>
      <c r="G435" s="147"/>
      <c r="H435" s="262"/>
      <c r="I435" s="147"/>
      <c r="J435" s="147"/>
      <c r="K435" s="147"/>
      <c r="L435" s="147"/>
      <c r="M435" s="147"/>
      <c r="N435" s="147"/>
      <c r="O435" s="147"/>
      <c r="P435" s="147"/>
      <c r="Q435" s="147"/>
      <c r="R435" s="147"/>
      <c r="S435" s="147"/>
      <c r="T435" s="147"/>
      <c r="U435" s="147"/>
      <c r="V435" s="147"/>
      <c r="W435" s="147"/>
      <c r="X435" s="147"/>
      <c r="Y435" s="147"/>
      <c r="Z435" s="147"/>
      <c r="AA435" s="147"/>
      <c r="AB435" s="147"/>
      <c r="AC435" s="147"/>
      <c r="AD435" s="147"/>
    </row>
    <row r="436">
      <c r="A436" s="147"/>
      <c r="B436" s="147"/>
      <c r="C436" s="147"/>
      <c r="D436" s="147"/>
      <c r="E436" s="147"/>
      <c r="F436" s="147"/>
      <c r="G436" s="147"/>
      <c r="H436" s="262"/>
      <c r="I436" s="147"/>
      <c r="J436" s="147"/>
      <c r="K436" s="147"/>
      <c r="L436" s="147"/>
      <c r="M436" s="147"/>
      <c r="N436" s="147"/>
      <c r="O436" s="147"/>
      <c r="P436" s="147"/>
      <c r="Q436" s="147"/>
      <c r="R436" s="147"/>
      <c r="S436" s="147"/>
      <c r="T436" s="147"/>
      <c r="U436" s="147"/>
      <c r="V436" s="147"/>
      <c r="W436" s="147"/>
      <c r="X436" s="147"/>
      <c r="Y436" s="147"/>
      <c r="Z436" s="147"/>
      <c r="AA436" s="147"/>
      <c r="AB436" s="147"/>
      <c r="AC436" s="147"/>
      <c r="AD436" s="147"/>
    </row>
    <row r="437">
      <c r="A437" s="147"/>
      <c r="B437" s="147"/>
      <c r="C437" s="147"/>
      <c r="D437" s="147"/>
      <c r="E437" s="147"/>
      <c r="F437" s="147"/>
      <c r="G437" s="147"/>
      <c r="H437" s="262"/>
      <c r="I437" s="147"/>
      <c r="J437" s="147"/>
      <c r="K437" s="147"/>
      <c r="L437" s="147"/>
      <c r="M437" s="147"/>
      <c r="N437" s="147"/>
      <c r="O437" s="147"/>
      <c r="P437" s="147"/>
      <c r="Q437" s="147"/>
      <c r="R437" s="147"/>
      <c r="S437" s="147"/>
      <c r="T437" s="147"/>
      <c r="U437" s="147"/>
      <c r="V437" s="147"/>
      <c r="W437" s="147"/>
      <c r="X437" s="147"/>
      <c r="Y437" s="147"/>
      <c r="Z437" s="147"/>
      <c r="AA437" s="147"/>
      <c r="AB437" s="147"/>
      <c r="AC437" s="147"/>
      <c r="AD437" s="147"/>
    </row>
    <row r="438">
      <c r="A438" s="147"/>
      <c r="B438" s="147"/>
      <c r="C438" s="147"/>
      <c r="D438" s="147"/>
      <c r="E438" s="147"/>
      <c r="F438" s="147"/>
      <c r="G438" s="147"/>
      <c r="H438" s="262"/>
      <c r="I438" s="147"/>
      <c r="J438" s="147"/>
      <c r="K438" s="147"/>
      <c r="L438" s="147"/>
      <c r="M438" s="147"/>
      <c r="N438" s="147"/>
      <c r="O438" s="147"/>
      <c r="P438" s="147"/>
      <c r="Q438" s="147"/>
      <c r="R438" s="147"/>
      <c r="S438" s="147"/>
      <c r="T438" s="147"/>
      <c r="U438" s="147"/>
      <c r="V438" s="147"/>
      <c r="W438" s="147"/>
      <c r="X438" s="147"/>
      <c r="Y438" s="147"/>
      <c r="Z438" s="147"/>
      <c r="AA438" s="147"/>
      <c r="AB438" s="147"/>
      <c r="AC438" s="147"/>
      <c r="AD438" s="147"/>
    </row>
    <row r="439">
      <c r="A439" s="147"/>
      <c r="B439" s="147"/>
      <c r="C439" s="147"/>
      <c r="D439" s="147"/>
      <c r="E439" s="147"/>
      <c r="F439" s="147"/>
      <c r="G439" s="147"/>
      <c r="H439" s="262"/>
      <c r="I439" s="147"/>
      <c r="J439" s="147"/>
      <c r="K439" s="147"/>
      <c r="L439" s="147"/>
      <c r="M439" s="147"/>
      <c r="N439" s="147"/>
      <c r="O439" s="147"/>
      <c r="P439" s="147"/>
      <c r="Q439" s="147"/>
      <c r="R439" s="147"/>
      <c r="S439" s="147"/>
      <c r="T439" s="147"/>
      <c r="U439" s="147"/>
      <c r="V439" s="147"/>
      <c r="W439" s="147"/>
      <c r="X439" s="147"/>
      <c r="Y439" s="147"/>
      <c r="Z439" s="147"/>
      <c r="AA439" s="147"/>
      <c r="AB439" s="147"/>
      <c r="AC439" s="147"/>
      <c r="AD439" s="147"/>
    </row>
    <row r="440">
      <c r="A440" s="147"/>
      <c r="B440" s="147"/>
      <c r="C440" s="147"/>
      <c r="D440" s="147"/>
      <c r="E440" s="147"/>
      <c r="F440" s="147"/>
      <c r="G440" s="147"/>
      <c r="H440" s="262"/>
      <c r="I440" s="147"/>
      <c r="J440" s="147"/>
      <c r="K440" s="147"/>
      <c r="L440" s="147"/>
      <c r="M440" s="147"/>
      <c r="N440" s="147"/>
      <c r="O440" s="147"/>
      <c r="P440" s="147"/>
      <c r="Q440" s="147"/>
      <c r="R440" s="147"/>
      <c r="S440" s="147"/>
      <c r="T440" s="147"/>
      <c r="U440" s="147"/>
      <c r="V440" s="147"/>
      <c r="W440" s="147"/>
      <c r="X440" s="147"/>
      <c r="Y440" s="147"/>
      <c r="Z440" s="147"/>
      <c r="AA440" s="147"/>
      <c r="AB440" s="147"/>
      <c r="AC440" s="147"/>
      <c r="AD440" s="147"/>
    </row>
    <row r="441">
      <c r="A441" s="147"/>
      <c r="B441" s="147"/>
      <c r="C441" s="147"/>
      <c r="D441" s="147"/>
      <c r="E441" s="147"/>
      <c r="F441" s="147"/>
      <c r="G441" s="147"/>
      <c r="H441" s="262"/>
      <c r="I441" s="147"/>
      <c r="J441" s="147"/>
      <c r="K441" s="147"/>
      <c r="L441" s="147"/>
      <c r="M441" s="147"/>
      <c r="N441" s="147"/>
      <c r="O441" s="147"/>
      <c r="P441" s="147"/>
      <c r="Q441" s="147"/>
      <c r="R441" s="147"/>
      <c r="S441" s="147"/>
      <c r="T441" s="147"/>
      <c r="U441" s="147"/>
      <c r="V441" s="147"/>
      <c r="W441" s="147"/>
      <c r="X441" s="147"/>
      <c r="Y441" s="147"/>
      <c r="Z441" s="147"/>
      <c r="AA441" s="147"/>
      <c r="AB441" s="147"/>
      <c r="AC441" s="147"/>
      <c r="AD441" s="147"/>
    </row>
    <row r="442">
      <c r="A442" s="147"/>
      <c r="B442" s="147"/>
      <c r="C442" s="147"/>
      <c r="D442" s="147"/>
      <c r="E442" s="147"/>
      <c r="F442" s="147"/>
      <c r="G442" s="147"/>
      <c r="H442" s="262"/>
      <c r="I442" s="147"/>
      <c r="J442" s="147"/>
      <c r="K442" s="147"/>
      <c r="L442" s="147"/>
      <c r="M442" s="147"/>
      <c r="N442" s="147"/>
      <c r="O442" s="147"/>
      <c r="P442" s="147"/>
      <c r="Q442" s="147"/>
      <c r="R442" s="147"/>
      <c r="S442" s="147"/>
      <c r="T442" s="147"/>
      <c r="U442" s="147"/>
      <c r="V442" s="147"/>
      <c r="W442" s="147"/>
      <c r="X442" s="147"/>
      <c r="Y442" s="147"/>
      <c r="Z442" s="147"/>
      <c r="AA442" s="147"/>
      <c r="AB442" s="147"/>
      <c r="AC442" s="147"/>
      <c r="AD442" s="147"/>
    </row>
    <row r="443">
      <c r="A443" s="147"/>
      <c r="B443" s="147"/>
      <c r="C443" s="147"/>
      <c r="D443" s="147"/>
      <c r="E443" s="147"/>
      <c r="F443" s="147"/>
      <c r="G443" s="147"/>
      <c r="H443" s="262"/>
      <c r="I443" s="147"/>
      <c r="J443" s="147"/>
      <c r="K443" s="147"/>
      <c r="L443" s="147"/>
      <c r="M443" s="147"/>
      <c r="N443" s="147"/>
      <c r="O443" s="147"/>
      <c r="P443" s="147"/>
      <c r="Q443" s="147"/>
      <c r="R443" s="147"/>
      <c r="S443" s="147"/>
      <c r="T443" s="147"/>
      <c r="U443" s="147"/>
      <c r="V443" s="147"/>
      <c r="W443" s="147"/>
      <c r="X443" s="147"/>
      <c r="Y443" s="147"/>
      <c r="Z443" s="147"/>
      <c r="AA443" s="147"/>
      <c r="AB443" s="147"/>
      <c r="AC443" s="147"/>
      <c r="AD443" s="147"/>
    </row>
    <row r="444">
      <c r="A444" s="147"/>
      <c r="B444" s="147"/>
      <c r="C444" s="147"/>
      <c r="D444" s="147"/>
      <c r="E444" s="147"/>
      <c r="F444" s="147"/>
      <c r="G444" s="147"/>
      <c r="H444" s="262"/>
      <c r="I444" s="147"/>
      <c r="J444" s="147"/>
      <c r="K444" s="147"/>
      <c r="L444" s="147"/>
      <c r="M444" s="147"/>
      <c r="N444" s="147"/>
      <c r="O444" s="147"/>
      <c r="P444" s="147"/>
      <c r="Q444" s="147"/>
      <c r="R444" s="147"/>
      <c r="S444" s="147"/>
      <c r="T444" s="147"/>
      <c r="U444" s="147"/>
      <c r="V444" s="147"/>
      <c r="W444" s="147"/>
      <c r="X444" s="147"/>
      <c r="Y444" s="147"/>
      <c r="Z444" s="147"/>
      <c r="AA444" s="147"/>
      <c r="AB444" s="147"/>
      <c r="AC444" s="147"/>
      <c r="AD444" s="147"/>
    </row>
    <row r="445">
      <c r="A445" s="147"/>
      <c r="B445" s="147"/>
      <c r="C445" s="147"/>
      <c r="D445" s="147"/>
      <c r="E445" s="147"/>
      <c r="F445" s="147"/>
      <c r="G445" s="147"/>
      <c r="H445" s="262"/>
      <c r="I445" s="147"/>
      <c r="J445" s="147"/>
      <c r="K445" s="147"/>
      <c r="L445" s="147"/>
      <c r="M445" s="147"/>
      <c r="N445" s="147"/>
      <c r="O445" s="147"/>
      <c r="P445" s="147"/>
      <c r="Q445" s="147"/>
      <c r="R445" s="147"/>
      <c r="S445" s="147"/>
      <c r="T445" s="147"/>
      <c r="U445" s="147"/>
      <c r="V445" s="147"/>
      <c r="W445" s="147"/>
      <c r="X445" s="147"/>
      <c r="Y445" s="147"/>
      <c r="Z445" s="147"/>
      <c r="AA445" s="147"/>
      <c r="AB445" s="147"/>
      <c r="AC445" s="147"/>
      <c r="AD445" s="147"/>
    </row>
    <row r="446">
      <c r="A446" s="147"/>
      <c r="B446" s="147"/>
      <c r="C446" s="147"/>
      <c r="D446" s="147"/>
      <c r="E446" s="147"/>
      <c r="F446" s="147"/>
      <c r="G446" s="147"/>
      <c r="H446" s="262"/>
      <c r="I446" s="147"/>
      <c r="J446" s="147"/>
      <c r="K446" s="147"/>
      <c r="L446" s="147"/>
      <c r="M446" s="147"/>
      <c r="N446" s="147"/>
      <c r="O446" s="147"/>
      <c r="P446" s="147"/>
      <c r="Q446" s="147"/>
      <c r="R446" s="147"/>
      <c r="S446" s="147"/>
      <c r="T446" s="147"/>
      <c r="U446" s="147"/>
      <c r="V446" s="147"/>
      <c r="W446" s="147"/>
      <c r="X446" s="147"/>
      <c r="Y446" s="147"/>
      <c r="Z446" s="147"/>
      <c r="AA446" s="147"/>
      <c r="AB446" s="147"/>
      <c r="AC446" s="147"/>
      <c r="AD446" s="147"/>
    </row>
    <row r="447">
      <c r="A447" s="147"/>
      <c r="B447" s="147"/>
      <c r="C447" s="147"/>
      <c r="D447" s="147"/>
      <c r="E447" s="147"/>
      <c r="F447" s="147"/>
      <c r="G447" s="147"/>
      <c r="H447" s="262"/>
      <c r="I447" s="147"/>
      <c r="J447" s="147"/>
      <c r="K447" s="147"/>
      <c r="L447" s="147"/>
      <c r="M447" s="147"/>
      <c r="N447" s="147"/>
      <c r="O447" s="147"/>
      <c r="P447" s="147"/>
      <c r="Q447" s="147"/>
      <c r="R447" s="147"/>
      <c r="S447" s="147"/>
      <c r="T447" s="147"/>
      <c r="U447" s="147"/>
      <c r="V447" s="147"/>
      <c r="W447" s="147"/>
      <c r="X447" s="147"/>
      <c r="Y447" s="147"/>
      <c r="Z447" s="147"/>
      <c r="AA447" s="147"/>
      <c r="AB447" s="147"/>
      <c r="AC447" s="147"/>
      <c r="AD447" s="147"/>
    </row>
    <row r="448">
      <c r="A448" s="147"/>
      <c r="B448" s="147"/>
      <c r="C448" s="147"/>
      <c r="D448" s="147"/>
      <c r="E448" s="147"/>
      <c r="F448" s="147"/>
      <c r="G448" s="147"/>
      <c r="H448" s="262"/>
      <c r="I448" s="147"/>
      <c r="J448" s="147"/>
      <c r="K448" s="147"/>
      <c r="L448" s="147"/>
      <c r="M448" s="147"/>
      <c r="N448" s="147"/>
      <c r="O448" s="147"/>
      <c r="P448" s="147"/>
      <c r="Q448" s="147"/>
      <c r="R448" s="147"/>
      <c r="S448" s="147"/>
      <c r="T448" s="147"/>
      <c r="U448" s="147"/>
      <c r="V448" s="147"/>
      <c r="W448" s="147"/>
      <c r="X448" s="147"/>
      <c r="Y448" s="147"/>
      <c r="Z448" s="147"/>
      <c r="AA448" s="147"/>
      <c r="AB448" s="147"/>
      <c r="AC448" s="147"/>
      <c r="AD448" s="147"/>
    </row>
    <row r="449">
      <c r="A449" s="147"/>
      <c r="B449" s="147"/>
      <c r="C449" s="147"/>
      <c r="D449" s="147"/>
      <c r="E449" s="147"/>
      <c r="F449" s="147"/>
      <c r="G449" s="147"/>
      <c r="H449" s="262"/>
      <c r="I449" s="147"/>
      <c r="J449" s="147"/>
      <c r="K449" s="147"/>
      <c r="L449" s="147"/>
      <c r="M449" s="147"/>
      <c r="N449" s="147"/>
      <c r="O449" s="147"/>
      <c r="P449" s="147"/>
      <c r="Q449" s="147"/>
      <c r="R449" s="147"/>
      <c r="S449" s="147"/>
      <c r="T449" s="147"/>
      <c r="U449" s="147"/>
      <c r="V449" s="147"/>
      <c r="W449" s="147"/>
      <c r="X449" s="147"/>
      <c r="Y449" s="147"/>
      <c r="Z449" s="147"/>
      <c r="AA449" s="147"/>
      <c r="AB449" s="147"/>
      <c r="AC449" s="147"/>
      <c r="AD449" s="147"/>
    </row>
    <row r="450">
      <c r="A450" s="147"/>
      <c r="B450" s="147"/>
      <c r="C450" s="147"/>
      <c r="D450" s="147"/>
      <c r="E450" s="147"/>
      <c r="F450" s="147"/>
      <c r="G450" s="147"/>
      <c r="H450" s="262"/>
      <c r="I450" s="147"/>
      <c r="J450" s="147"/>
      <c r="K450" s="147"/>
      <c r="L450" s="147"/>
      <c r="M450" s="147"/>
      <c r="N450" s="147"/>
      <c r="O450" s="147"/>
      <c r="P450" s="147"/>
      <c r="Q450" s="147"/>
      <c r="R450" s="147"/>
      <c r="S450" s="147"/>
      <c r="T450" s="147"/>
      <c r="U450" s="147"/>
      <c r="V450" s="147"/>
      <c r="W450" s="147"/>
      <c r="X450" s="147"/>
      <c r="Y450" s="147"/>
      <c r="Z450" s="147"/>
      <c r="AA450" s="147"/>
      <c r="AB450" s="147"/>
      <c r="AC450" s="147"/>
      <c r="AD450" s="147"/>
    </row>
    <row r="451">
      <c r="A451" s="147"/>
      <c r="B451" s="147"/>
      <c r="C451" s="147"/>
      <c r="D451" s="147"/>
      <c r="E451" s="147"/>
      <c r="F451" s="147"/>
      <c r="G451" s="147"/>
      <c r="H451" s="262"/>
      <c r="I451" s="147"/>
      <c r="J451" s="147"/>
      <c r="K451" s="147"/>
      <c r="L451" s="147"/>
      <c r="M451" s="147"/>
      <c r="N451" s="147"/>
      <c r="O451" s="147"/>
      <c r="P451" s="147"/>
      <c r="Q451" s="147"/>
      <c r="R451" s="147"/>
      <c r="S451" s="147"/>
      <c r="T451" s="147"/>
      <c r="U451" s="147"/>
      <c r="V451" s="147"/>
      <c r="W451" s="147"/>
      <c r="X451" s="147"/>
      <c r="Y451" s="147"/>
      <c r="Z451" s="147"/>
      <c r="AA451" s="147"/>
      <c r="AB451" s="147"/>
      <c r="AC451" s="147"/>
      <c r="AD451" s="147"/>
    </row>
    <row r="452">
      <c r="A452" s="147"/>
      <c r="B452" s="147"/>
      <c r="C452" s="147"/>
      <c r="D452" s="147"/>
      <c r="E452" s="147"/>
      <c r="F452" s="147"/>
      <c r="G452" s="147"/>
      <c r="H452" s="262"/>
      <c r="I452" s="147"/>
      <c r="J452" s="147"/>
      <c r="K452" s="147"/>
      <c r="L452" s="147"/>
      <c r="M452" s="147"/>
      <c r="N452" s="147"/>
      <c r="O452" s="147"/>
      <c r="P452" s="147"/>
      <c r="Q452" s="147"/>
      <c r="R452" s="147"/>
      <c r="S452" s="147"/>
      <c r="T452" s="147"/>
      <c r="U452" s="147"/>
      <c r="V452" s="147"/>
      <c r="W452" s="147"/>
      <c r="X452" s="147"/>
      <c r="Y452" s="147"/>
      <c r="Z452" s="147"/>
      <c r="AA452" s="147"/>
      <c r="AB452" s="147"/>
      <c r="AC452" s="147"/>
      <c r="AD452" s="147"/>
    </row>
    <row r="453">
      <c r="A453" s="147"/>
      <c r="B453" s="147"/>
      <c r="C453" s="147"/>
      <c r="D453" s="147"/>
      <c r="E453" s="147"/>
      <c r="F453" s="147"/>
      <c r="G453" s="147"/>
      <c r="H453" s="262"/>
      <c r="I453" s="147"/>
      <c r="J453" s="147"/>
      <c r="K453" s="147"/>
      <c r="L453" s="147"/>
      <c r="M453" s="147"/>
      <c r="N453" s="147"/>
      <c r="O453" s="147"/>
      <c r="P453" s="147"/>
      <c r="Q453" s="147"/>
      <c r="R453" s="147"/>
      <c r="S453" s="147"/>
      <c r="T453" s="147"/>
      <c r="U453" s="147"/>
      <c r="V453" s="147"/>
      <c r="W453" s="147"/>
      <c r="X453" s="147"/>
      <c r="Y453" s="147"/>
      <c r="Z453" s="147"/>
      <c r="AA453" s="147"/>
      <c r="AB453" s="147"/>
      <c r="AC453" s="147"/>
      <c r="AD453" s="147"/>
    </row>
    <row r="454">
      <c r="A454" s="147"/>
      <c r="B454" s="147"/>
      <c r="C454" s="147"/>
      <c r="D454" s="147"/>
      <c r="E454" s="147"/>
      <c r="F454" s="147"/>
      <c r="G454" s="147"/>
      <c r="H454" s="262"/>
      <c r="I454" s="147"/>
      <c r="J454" s="147"/>
      <c r="K454" s="147"/>
      <c r="L454" s="147"/>
      <c r="M454" s="147"/>
      <c r="N454" s="147"/>
      <c r="O454" s="147"/>
      <c r="P454" s="147"/>
      <c r="Q454" s="147"/>
      <c r="R454" s="147"/>
      <c r="S454" s="147"/>
      <c r="T454" s="147"/>
      <c r="U454" s="147"/>
      <c r="V454" s="147"/>
      <c r="W454" s="147"/>
      <c r="X454" s="147"/>
      <c r="Y454" s="147"/>
      <c r="Z454" s="147"/>
      <c r="AA454" s="147"/>
      <c r="AB454" s="147"/>
      <c r="AC454" s="147"/>
      <c r="AD454" s="147"/>
    </row>
    <row r="455">
      <c r="A455" s="147"/>
      <c r="B455" s="147"/>
      <c r="C455" s="147"/>
      <c r="D455" s="147"/>
      <c r="E455" s="147"/>
      <c r="F455" s="147"/>
      <c r="G455" s="147"/>
      <c r="H455" s="262"/>
      <c r="I455" s="147"/>
      <c r="J455" s="147"/>
      <c r="K455" s="147"/>
      <c r="L455" s="147"/>
      <c r="M455" s="147"/>
      <c r="N455" s="147"/>
      <c r="O455" s="147"/>
      <c r="P455" s="147"/>
      <c r="Q455" s="147"/>
      <c r="R455" s="147"/>
      <c r="S455" s="147"/>
      <c r="T455" s="147"/>
      <c r="U455" s="147"/>
      <c r="V455" s="147"/>
      <c r="W455" s="147"/>
      <c r="X455" s="147"/>
      <c r="Y455" s="147"/>
      <c r="Z455" s="147"/>
      <c r="AA455" s="147"/>
      <c r="AB455" s="147"/>
      <c r="AC455" s="147"/>
      <c r="AD455" s="147"/>
    </row>
    <row r="456">
      <c r="A456" s="147"/>
      <c r="B456" s="147"/>
      <c r="C456" s="147"/>
      <c r="D456" s="147"/>
      <c r="E456" s="147"/>
      <c r="F456" s="147"/>
      <c r="G456" s="147"/>
      <c r="H456" s="262"/>
      <c r="I456" s="147"/>
      <c r="J456" s="147"/>
      <c r="K456" s="147"/>
      <c r="L456" s="147"/>
      <c r="M456" s="147"/>
      <c r="N456" s="147"/>
      <c r="O456" s="147"/>
      <c r="P456" s="147"/>
      <c r="Q456" s="147"/>
      <c r="R456" s="147"/>
      <c r="S456" s="147"/>
      <c r="T456" s="147"/>
      <c r="U456" s="147"/>
      <c r="V456" s="147"/>
      <c r="W456" s="147"/>
      <c r="X456" s="147"/>
      <c r="Y456" s="147"/>
      <c r="Z456" s="147"/>
      <c r="AA456" s="147"/>
      <c r="AB456" s="147"/>
      <c r="AC456" s="147"/>
      <c r="AD456" s="147"/>
    </row>
    <row r="457">
      <c r="A457" s="147"/>
      <c r="B457" s="147"/>
      <c r="C457" s="147"/>
      <c r="D457" s="147"/>
      <c r="E457" s="147"/>
      <c r="F457" s="147"/>
      <c r="G457" s="147"/>
      <c r="H457" s="262"/>
      <c r="I457" s="147"/>
      <c r="J457" s="147"/>
      <c r="K457" s="147"/>
      <c r="L457" s="147"/>
      <c r="M457" s="147"/>
      <c r="N457" s="147"/>
      <c r="O457" s="147"/>
      <c r="P457" s="147"/>
      <c r="Q457" s="147"/>
      <c r="R457" s="147"/>
      <c r="S457" s="147"/>
      <c r="T457" s="147"/>
      <c r="U457" s="147"/>
      <c r="V457" s="147"/>
      <c r="W457" s="147"/>
      <c r="X457" s="147"/>
      <c r="Y457" s="147"/>
      <c r="Z457" s="147"/>
      <c r="AA457" s="147"/>
      <c r="AB457" s="147"/>
      <c r="AC457" s="147"/>
      <c r="AD457" s="147"/>
    </row>
    <row r="458">
      <c r="A458" s="147"/>
      <c r="B458" s="147"/>
      <c r="C458" s="147"/>
      <c r="D458" s="147"/>
      <c r="E458" s="147"/>
      <c r="F458" s="147"/>
      <c r="G458" s="147"/>
      <c r="H458" s="262"/>
      <c r="I458" s="147"/>
      <c r="J458" s="147"/>
      <c r="K458" s="147"/>
      <c r="L458" s="147"/>
      <c r="M458" s="147"/>
      <c r="N458" s="147"/>
      <c r="O458" s="147"/>
      <c r="P458" s="147"/>
      <c r="Q458" s="147"/>
      <c r="R458" s="147"/>
      <c r="S458" s="147"/>
      <c r="T458" s="147"/>
      <c r="U458" s="147"/>
      <c r="V458" s="147"/>
      <c r="W458" s="147"/>
      <c r="X458" s="147"/>
      <c r="Y458" s="147"/>
      <c r="Z458" s="147"/>
      <c r="AA458" s="147"/>
      <c r="AB458" s="147"/>
      <c r="AC458" s="147"/>
      <c r="AD458" s="147"/>
    </row>
    <row r="459">
      <c r="A459" s="147"/>
      <c r="B459" s="147"/>
      <c r="C459" s="147"/>
      <c r="D459" s="147"/>
      <c r="E459" s="147"/>
      <c r="F459" s="147"/>
      <c r="G459" s="147"/>
      <c r="H459" s="262"/>
      <c r="I459" s="147"/>
      <c r="J459" s="147"/>
      <c r="K459" s="147"/>
      <c r="L459" s="147"/>
      <c r="M459" s="147"/>
      <c r="N459" s="147"/>
      <c r="O459" s="147"/>
      <c r="P459" s="147"/>
      <c r="Q459" s="147"/>
      <c r="R459" s="147"/>
      <c r="S459" s="147"/>
      <c r="T459" s="147"/>
      <c r="U459" s="147"/>
      <c r="V459" s="147"/>
      <c r="W459" s="147"/>
      <c r="X459" s="147"/>
      <c r="Y459" s="147"/>
      <c r="Z459" s="147"/>
      <c r="AA459" s="147"/>
      <c r="AB459" s="147"/>
      <c r="AC459" s="147"/>
      <c r="AD459" s="147"/>
    </row>
    <row r="460">
      <c r="A460" s="147"/>
      <c r="B460" s="147"/>
      <c r="C460" s="147"/>
      <c r="D460" s="147"/>
      <c r="E460" s="147"/>
      <c r="F460" s="147"/>
      <c r="G460" s="147"/>
      <c r="H460" s="262"/>
      <c r="I460" s="147"/>
      <c r="J460" s="147"/>
      <c r="K460" s="147"/>
      <c r="L460" s="147"/>
      <c r="M460" s="147"/>
      <c r="N460" s="147"/>
      <c r="O460" s="147"/>
      <c r="P460" s="147"/>
      <c r="Q460" s="147"/>
      <c r="R460" s="147"/>
      <c r="S460" s="147"/>
      <c r="T460" s="147"/>
      <c r="U460" s="147"/>
      <c r="V460" s="147"/>
      <c r="W460" s="147"/>
      <c r="X460" s="147"/>
      <c r="Y460" s="147"/>
      <c r="Z460" s="147"/>
      <c r="AA460" s="147"/>
      <c r="AB460" s="147"/>
      <c r="AC460" s="147"/>
      <c r="AD460" s="147"/>
    </row>
    <row r="461">
      <c r="A461" s="147"/>
      <c r="B461" s="147"/>
      <c r="C461" s="147"/>
      <c r="D461" s="147"/>
      <c r="E461" s="147"/>
      <c r="F461" s="147"/>
      <c r="G461" s="147"/>
      <c r="H461" s="262"/>
      <c r="I461" s="147"/>
      <c r="J461" s="147"/>
      <c r="K461" s="147"/>
      <c r="L461" s="147"/>
      <c r="M461" s="147"/>
      <c r="N461" s="147"/>
      <c r="O461" s="147"/>
      <c r="P461" s="147"/>
      <c r="Q461" s="147"/>
      <c r="R461" s="147"/>
      <c r="S461" s="147"/>
      <c r="T461" s="147"/>
      <c r="U461" s="147"/>
      <c r="V461" s="147"/>
      <c r="W461" s="147"/>
      <c r="X461" s="147"/>
      <c r="Y461" s="147"/>
      <c r="Z461" s="147"/>
      <c r="AA461" s="147"/>
      <c r="AB461" s="147"/>
      <c r="AC461" s="147"/>
      <c r="AD461" s="147"/>
    </row>
    <row r="462">
      <c r="A462" s="147"/>
      <c r="B462" s="147"/>
      <c r="C462" s="147"/>
      <c r="D462" s="147"/>
      <c r="E462" s="147"/>
      <c r="F462" s="147"/>
      <c r="G462" s="147"/>
      <c r="H462" s="262"/>
      <c r="I462" s="147"/>
      <c r="J462" s="147"/>
      <c r="K462" s="147"/>
      <c r="L462" s="147"/>
      <c r="M462" s="147"/>
      <c r="N462" s="147"/>
      <c r="O462" s="147"/>
      <c r="P462" s="147"/>
      <c r="Q462" s="147"/>
      <c r="R462" s="147"/>
      <c r="S462" s="147"/>
      <c r="T462" s="147"/>
      <c r="U462" s="147"/>
      <c r="V462" s="147"/>
      <c r="W462" s="147"/>
      <c r="X462" s="147"/>
      <c r="Y462" s="147"/>
      <c r="Z462" s="147"/>
      <c r="AA462" s="147"/>
      <c r="AB462" s="147"/>
      <c r="AC462" s="147"/>
      <c r="AD462" s="147"/>
    </row>
    <row r="463">
      <c r="A463" s="147"/>
      <c r="B463" s="147"/>
      <c r="C463" s="147"/>
      <c r="D463" s="147"/>
      <c r="E463" s="147"/>
      <c r="F463" s="147"/>
      <c r="G463" s="147"/>
      <c r="H463" s="262"/>
      <c r="I463" s="147"/>
      <c r="J463" s="147"/>
      <c r="K463" s="147"/>
      <c r="L463" s="147"/>
      <c r="M463" s="147"/>
      <c r="N463" s="147"/>
      <c r="O463" s="147"/>
      <c r="P463" s="147"/>
      <c r="Q463" s="147"/>
      <c r="R463" s="147"/>
      <c r="S463" s="147"/>
      <c r="T463" s="147"/>
      <c r="U463" s="147"/>
      <c r="V463" s="147"/>
      <c r="W463" s="147"/>
      <c r="X463" s="147"/>
      <c r="Y463" s="147"/>
      <c r="Z463" s="147"/>
      <c r="AA463" s="147"/>
      <c r="AB463" s="147"/>
      <c r="AC463" s="147"/>
      <c r="AD463" s="147"/>
    </row>
    <row r="464">
      <c r="A464" s="147"/>
      <c r="B464" s="147"/>
      <c r="C464" s="147"/>
      <c r="D464" s="147"/>
      <c r="E464" s="147"/>
      <c r="F464" s="147"/>
      <c r="G464" s="147"/>
      <c r="H464" s="262"/>
      <c r="I464" s="147"/>
      <c r="J464" s="147"/>
      <c r="K464" s="147"/>
      <c r="L464" s="147"/>
      <c r="M464" s="147"/>
      <c r="N464" s="147"/>
      <c r="O464" s="147"/>
      <c r="P464" s="147"/>
      <c r="Q464" s="147"/>
      <c r="R464" s="147"/>
      <c r="S464" s="147"/>
      <c r="T464" s="147"/>
      <c r="U464" s="147"/>
      <c r="V464" s="147"/>
      <c r="W464" s="147"/>
      <c r="X464" s="147"/>
      <c r="Y464" s="147"/>
      <c r="Z464" s="147"/>
      <c r="AA464" s="147"/>
      <c r="AB464" s="147"/>
      <c r="AC464" s="147"/>
      <c r="AD464" s="147"/>
    </row>
    <row r="465">
      <c r="A465" s="147"/>
      <c r="B465" s="147"/>
      <c r="C465" s="147"/>
      <c r="D465" s="147"/>
      <c r="E465" s="147"/>
      <c r="F465" s="147"/>
      <c r="G465" s="147"/>
      <c r="H465" s="262"/>
      <c r="I465" s="147"/>
      <c r="J465" s="147"/>
      <c r="K465" s="147"/>
      <c r="L465" s="147"/>
      <c r="M465" s="147"/>
      <c r="N465" s="147"/>
      <c r="O465" s="147"/>
      <c r="P465" s="147"/>
      <c r="Q465" s="147"/>
      <c r="R465" s="147"/>
      <c r="S465" s="147"/>
      <c r="T465" s="147"/>
      <c r="U465" s="147"/>
      <c r="V465" s="147"/>
      <c r="W465" s="147"/>
      <c r="X465" s="147"/>
      <c r="Y465" s="147"/>
      <c r="Z465" s="147"/>
      <c r="AA465" s="147"/>
      <c r="AB465" s="147"/>
      <c r="AC465" s="147"/>
      <c r="AD465" s="147"/>
    </row>
    <row r="466">
      <c r="A466" s="147"/>
      <c r="B466" s="147"/>
      <c r="C466" s="147"/>
      <c r="D466" s="147"/>
      <c r="E466" s="147"/>
      <c r="F466" s="147"/>
      <c r="G466" s="147"/>
      <c r="H466" s="262"/>
      <c r="I466" s="147"/>
      <c r="J466" s="147"/>
      <c r="K466" s="147"/>
      <c r="L466" s="147"/>
      <c r="M466" s="147"/>
      <c r="N466" s="147"/>
      <c r="O466" s="147"/>
      <c r="P466" s="147"/>
      <c r="Q466" s="147"/>
      <c r="R466" s="147"/>
      <c r="S466" s="147"/>
      <c r="T466" s="147"/>
      <c r="U466" s="147"/>
      <c r="V466" s="147"/>
      <c r="W466" s="147"/>
      <c r="X466" s="147"/>
      <c r="Y466" s="147"/>
      <c r="Z466" s="147"/>
      <c r="AA466" s="147"/>
      <c r="AB466" s="147"/>
      <c r="AC466" s="147"/>
      <c r="AD466" s="147"/>
    </row>
    <row r="467">
      <c r="A467" s="147"/>
      <c r="B467" s="147"/>
      <c r="C467" s="147"/>
      <c r="D467" s="147"/>
      <c r="E467" s="147"/>
      <c r="F467" s="147"/>
      <c r="G467" s="147"/>
      <c r="H467" s="262"/>
      <c r="I467" s="147"/>
      <c r="J467" s="147"/>
      <c r="K467" s="147"/>
      <c r="L467" s="147"/>
      <c r="M467" s="147"/>
      <c r="N467" s="147"/>
      <c r="O467" s="147"/>
      <c r="P467" s="147"/>
      <c r="Q467" s="147"/>
      <c r="R467" s="147"/>
      <c r="S467" s="147"/>
      <c r="T467" s="147"/>
      <c r="U467" s="147"/>
      <c r="V467" s="147"/>
      <c r="W467" s="147"/>
      <c r="X467" s="147"/>
      <c r="Y467" s="147"/>
      <c r="Z467" s="147"/>
      <c r="AA467" s="147"/>
      <c r="AB467" s="147"/>
      <c r="AC467" s="147"/>
      <c r="AD467" s="147"/>
    </row>
    <row r="468">
      <c r="A468" s="147"/>
      <c r="B468" s="147"/>
      <c r="C468" s="147"/>
      <c r="D468" s="147"/>
      <c r="E468" s="147"/>
      <c r="F468" s="147"/>
      <c r="G468" s="147"/>
      <c r="H468" s="262"/>
      <c r="I468" s="147"/>
      <c r="J468" s="147"/>
      <c r="K468" s="147"/>
      <c r="L468" s="147"/>
      <c r="M468" s="147"/>
      <c r="N468" s="147"/>
      <c r="O468" s="147"/>
      <c r="P468" s="147"/>
      <c r="Q468" s="147"/>
      <c r="R468" s="147"/>
      <c r="S468" s="147"/>
      <c r="T468" s="147"/>
      <c r="U468" s="147"/>
      <c r="V468" s="147"/>
      <c r="W468" s="147"/>
      <c r="X468" s="147"/>
      <c r="Y468" s="147"/>
      <c r="Z468" s="147"/>
      <c r="AA468" s="147"/>
      <c r="AB468" s="147"/>
      <c r="AC468" s="147"/>
      <c r="AD468" s="147"/>
    </row>
    <row r="469">
      <c r="A469" s="147"/>
      <c r="B469" s="147"/>
      <c r="C469" s="147"/>
      <c r="D469" s="147"/>
      <c r="E469" s="147"/>
      <c r="F469" s="147"/>
      <c r="G469" s="147"/>
      <c r="H469" s="262"/>
      <c r="I469" s="147"/>
      <c r="J469" s="147"/>
      <c r="K469" s="147"/>
      <c r="L469" s="147"/>
      <c r="M469" s="147"/>
      <c r="N469" s="147"/>
      <c r="O469" s="147"/>
      <c r="P469" s="147"/>
      <c r="Q469" s="147"/>
      <c r="R469" s="147"/>
      <c r="S469" s="147"/>
      <c r="T469" s="147"/>
      <c r="U469" s="147"/>
      <c r="V469" s="147"/>
      <c r="W469" s="147"/>
      <c r="X469" s="147"/>
      <c r="Y469" s="147"/>
      <c r="Z469" s="147"/>
      <c r="AA469" s="147"/>
      <c r="AB469" s="147"/>
      <c r="AC469" s="147"/>
      <c r="AD469" s="147"/>
    </row>
    <row r="470">
      <c r="A470" s="147"/>
      <c r="B470" s="147"/>
      <c r="C470" s="147"/>
      <c r="D470" s="147"/>
      <c r="E470" s="147"/>
      <c r="F470" s="147"/>
      <c r="G470" s="147"/>
      <c r="H470" s="262"/>
      <c r="I470" s="147"/>
      <c r="J470" s="147"/>
      <c r="K470" s="147"/>
      <c r="L470" s="147"/>
      <c r="M470" s="147"/>
      <c r="N470" s="147"/>
      <c r="O470" s="147"/>
      <c r="P470" s="147"/>
      <c r="Q470" s="147"/>
      <c r="R470" s="147"/>
      <c r="S470" s="147"/>
      <c r="T470" s="147"/>
      <c r="U470" s="147"/>
      <c r="V470" s="147"/>
      <c r="W470" s="147"/>
      <c r="X470" s="147"/>
      <c r="Y470" s="147"/>
      <c r="Z470" s="147"/>
      <c r="AA470" s="147"/>
      <c r="AB470" s="147"/>
      <c r="AC470" s="147"/>
      <c r="AD470" s="147"/>
    </row>
    <row r="471">
      <c r="A471" s="147"/>
      <c r="B471" s="147"/>
      <c r="C471" s="147"/>
      <c r="D471" s="147"/>
      <c r="E471" s="147"/>
      <c r="F471" s="147"/>
      <c r="G471" s="147"/>
      <c r="H471" s="262"/>
      <c r="I471" s="147"/>
      <c r="J471" s="147"/>
      <c r="K471" s="147"/>
      <c r="L471" s="147"/>
      <c r="M471" s="147"/>
      <c r="N471" s="147"/>
      <c r="O471" s="147"/>
      <c r="P471" s="147"/>
      <c r="Q471" s="147"/>
      <c r="R471" s="147"/>
      <c r="S471" s="147"/>
      <c r="T471" s="147"/>
      <c r="U471" s="147"/>
      <c r="V471" s="147"/>
      <c r="W471" s="147"/>
      <c r="X471" s="147"/>
      <c r="Y471" s="147"/>
      <c r="Z471" s="147"/>
      <c r="AA471" s="147"/>
      <c r="AB471" s="147"/>
      <c r="AC471" s="147"/>
      <c r="AD471" s="147"/>
    </row>
    <row r="472">
      <c r="A472" s="147"/>
      <c r="B472" s="147"/>
      <c r="C472" s="147"/>
      <c r="D472" s="147"/>
      <c r="E472" s="147"/>
      <c r="F472" s="147"/>
      <c r="G472" s="147"/>
      <c r="H472" s="262"/>
      <c r="I472" s="147"/>
      <c r="J472" s="147"/>
      <c r="K472" s="147"/>
      <c r="L472" s="147"/>
      <c r="M472" s="147"/>
      <c r="N472" s="147"/>
      <c r="O472" s="147"/>
      <c r="P472" s="147"/>
      <c r="Q472" s="147"/>
      <c r="R472" s="147"/>
      <c r="S472" s="147"/>
      <c r="T472" s="147"/>
      <c r="U472" s="147"/>
      <c r="V472" s="147"/>
      <c r="W472" s="147"/>
      <c r="X472" s="147"/>
      <c r="Y472" s="147"/>
      <c r="Z472" s="147"/>
      <c r="AA472" s="147"/>
      <c r="AB472" s="147"/>
      <c r="AC472" s="147"/>
      <c r="AD472" s="147"/>
    </row>
    <row r="473">
      <c r="A473" s="147"/>
      <c r="B473" s="147"/>
      <c r="C473" s="147"/>
      <c r="D473" s="147"/>
      <c r="E473" s="147"/>
      <c r="F473" s="147"/>
      <c r="G473" s="147"/>
      <c r="H473" s="262"/>
      <c r="I473" s="147"/>
      <c r="J473" s="147"/>
      <c r="K473" s="147"/>
      <c r="L473" s="147"/>
      <c r="M473" s="147"/>
      <c r="N473" s="147"/>
      <c r="O473" s="147"/>
      <c r="P473" s="147"/>
      <c r="Q473" s="147"/>
      <c r="R473" s="147"/>
      <c r="S473" s="147"/>
      <c r="T473" s="147"/>
      <c r="U473" s="147"/>
      <c r="V473" s="147"/>
      <c r="W473" s="147"/>
      <c r="X473" s="147"/>
      <c r="Y473" s="147"/>
      <c r="Z473" s="147"/>
      <c r="AA473" s="147"/>
      <c r="AB473" s="147"/>
      <c r="AC473" s="147"/>
      <c r="AD473" s="147"/>
    </row>
    <row r="474">
      <c r="A474" s="147"/>
      <c r="B474" s="147"/>
      <c r="C474" s="147"/>
      <c r="D474" s="147"/>
      <c r="E474" s="147"/>
      <c r="F474" s="147"/>
      <c r="G474" s="147"/>
      <c r="H474" s="262"/>
      <c r="I474" s="147"/>
      <c r="J474" s="147"/>
      <c r="K474" s="147"/>
      <c r="L474" s="147"/>
      <c r="M474" s="147"/>
      <c r="N474" s="147"/>
      <c r="O474" s="147"/>
      <c r="P474" s="147"/>
      <c r="Q474" s="147"/>
      <c r="R474" s="147"/>
      <c r="S474" s="147"/>
      <c r="T474" s="147"/>
      <c r="U474" s="147"/>
      <c r="V474" s="147"/>
      <c r="W474" s="147"/>
      <c r="X474" s="147"/>
      <c r="Y474" s="147"/>
      <c r="Z474" s="147"/>
      <c r="AA474" s="147"/>
      <c r="AB474" s="147"/>
      <c r="AC474" s="147"/>
      <c r="AD474" s="147"/>
    </row>
    <row r="475">
      <c r="A475" s="147"/>
      <c r="B475" s="147"/>
      <c r="C475" s="147"/>
      <c r="D475" s="147"/>
      <c r="E475" s="147"/>
      <c r="F475" s="147"/>
      <c r="G475" s="147"/>
      <c r="H475" s="262"/>
      <c r="I475" s="147"/>
      <c r="J475" s="147"/>
      <c r="K475" s="147"/>
      <c r="L475" s="147"/>
      <c r="M475" s="147"/>
      <c r="N475" s="147"/>
      <c r="O475" s="147"/>
      <c r="P475" s="147"/>
      <c r="Q475" s="147"/>
      <c r="R475" s="147"/>
      <c r="S475" s="147"/>
      <c r="T475" s="147"/>
      <c r="U475" s="147"/>
      <c r="V475" s="147"/>
      <c r="W475" s="147"/>
      <c r="X475" s="147"/>
      <c r="Y475" s="147"/>
      <c r="Z475" s="147"/>
      <c r="AA475" s="147"/>
      <c r="AB475" s="147"/>
      <c r="AC475" s="147"/>
      <c r="AD475" s="147"/>
    </row>
    <row r="476">
      <c r="A476" s="147"/>
      <c r="B476" s="147"/>
      <c r="C476" s="147"/>
      <c r="D476" s="147"/>
      <c r="E476" s="147"/>
      <c r="F476" s="147"/>
      <c r="G476" s="147"/>
      <c r="H476" s="262"/>
      <c r="I476" s="147"/>
      <c r="J476" s="147"/>
      <c r="K476" s="147"/>
      <c r="L476" s="147"/>
      <c r="M476" s="147"/>
      <c r="N476" s="147"/>
      <c r="O476" s="147"/>
      <c r="P476" s="147"/>
      <c r="Q476" s="147"/>
      <c r="R476" s="147"/>
      <c r="S476" s="147"/>
      <c r="T476" s="147"/>
      <c r="U476" s="147"/>
      <c r="V476" s="147"/>
      <c r="W476" s="147"/>
      <c r="X476" s="147"/>
      <c r="Y476" s="147"/>
      <c r="Z476" s="147"/>
      <c r="AA476" s="147"/>
      <c r="AB476" s="147"/>
      <c r="AC476" s="147"/>
      <c r="AD476" s="147"/>
    </row>
    <row r="477">
      <c r="A477" s="147"/>
      <c r="B477" s="147"/>
      <c r="C477" s="147"/>
      <c r="D477" s="147"/>
      <c r="E477" s="147"/>
      <c r="F477" s="147"/>
      <c r="G477" s="147"/>
      <c r="H477" s="262"/>
      <c r="I477" s="147"/>
      <c r="J477" s="147"/>
      <c r="K477" s="147"/>
      <c r="L477" s="147"/>
      <c r="M477" s="147"/>
      <c r="N477" s="147"/>
      <c r="O477" s="147"/>
      <c r="P477" s="147"/>
      <c r="Q477" s="147"/>
      <c r="R477" s="147"/>
      <c r="S477" s="147"/>
      <c r="T477" s="147"/>
      <c r="U477" s="147"/>
      <c r="V477" s="147"/>
      <c r="W477" s="147"/>
      <c r="X477" s="147"/>
      <c r="Y477" s="147"/>
      <c r="Z477" s="147"/>
      <c r="AA477" s="147"/>
      <c r="AB477" s="147"/>
      <c r="AC477" s="147"/>
      <c r="AD477" s="147"/>
    </row>
    <row r="478">
      <c r="A478" s="147"/>
      <c r="B478" s="147"/>
      <c r="C478" s="147"/>
      <c r="D478" s="147"/>
      <c r="E478" s="147"/>
      <c r="F478" s="147"/>
      <c r="G478" s="147"/>
      <c r="H478" s="262"/>
      <c r="I478" s="147"/>
      <c r="J478" s="147"/>
      <c r="K478" s="147"/>
      <c r="L478" s="147"/>
      <c r="M478" s="147"/>
      <c r="N478" s="147"/>
      <c r="O478" s="147"/>
      <c r="P478" s="147"/>
      <c r="Q478" s="147"/>
      <c r="R478" s="147"/>
      <c r="S478" s="147"/>
      <c r="T478" s="147"/>
      <c r="U478" s="147"/>
      <c r="V478" s="147"/>
      <c r="W478" s="147"/>
      <c r="X478" s="147"/>
      <c r="Y478" s="147"/>
      <c r="Z478" s="147"/>
      <c r="AA478" s="147"/>
      <c r="AB478" s="147"/>
      <c r="AC478" s="147"/>
      <c r="AD478" s="147"/>
    </row>
    <row r="479">
      <c r="A479" s="147"/>
      <c r="B479" s="147"/>
      <c r="C479" s="147"/>
      <c r="D479" s="147"/>
      <c r="E479" s="147"/>
      <c r="F479" s="147"/>
      <c r="G479" s="147"/>
      <c r="H479" s="262"/>
      <c r="I479" s="147"/>
      <c r="J479" s="147"/>
      <c r="K479" s="147"/>
      <c r="L479" s="147"/>
      <c r="M479" s="147"/>
      <c r="N479" s="147"/>
      <c r="O479" s="147"/>
      <c r="P479" s="147"/>
      <c r="Q479" s="147"/>
      <c r="R479" s="147"/>
      <c r="S479" s="147"/>
      <c r="T479" s="147"/>
      <c r="U479" s="147"/>
      <c r="V479" s="147"/>
      <c r="W479" s="147"/>
      <c r="X479" s="147"/>
      <c r="Y479" s="147"/>
      <c r="Z479" s="147"/>
      <c r="AA479" s="147"/>
      <c r="AB479" s="147"/>
      <c r="AC479" s="147"/>
      <c r="AD479" s="147"/>
    </row>
    <row r="480">
      <c r="A480" s="147"/>
      <c r="B480" s="147"/>
      <c r="C480" s="147"/>
      <c r="D480" s="147"/>
      <c r="E480" s="147"/>
      <c r="F480" s="147"/>
      <c r="G480" s="147"/>
      <c r="H480" s="262"/>
      <c r="I480" s="147"/>
      <c r="J480" s="147"/>
      <c r="K480" s="147"/>
      <c r="L480" s="147"/>
      <c r="M480" s="147"/>
      <c r="N480" s="147"/>
      <c r="O480" s="147"/>
      <c r="P480" s="147"/>
      <c r="Q480" s="147"/>
      <c r="R480" s="147"/>
      <c r="S480" s="147"/>
      <c r="T480" s="147"/>
      <c r="U480" s="147"/>
      <c r="V480" s="147"/>
      <c r="W480" s="147"/>
      <c r="X480" s="147"/>
      <c r="Y480" s="147"/>
      <c r="Z480" s="147"/>
      <c r="AA480" s="147"/>
      <c r="AB480" s="147"/>
      <c r="AC480" s="147"/>
      <c r="AD480" s="147"/>
    </row>
    <row r="481">
      <c r="A481" s="147"/>
      <c r="B481" s="147"/>
      <c r="C481" s="147"/>
      <c r="D481" s="147"/>
      <c r="E481" s="147"/>
      <c r="F481" s="147"/>
      <c r="G481" s="147"/>
      <c r="H481" s="262"/>
      <c r="I481" s="147"/>
      <c r="J481" s="147"/>
      <c r="K481" s="147"/>
      <c r="L481" s="147"/>
      <c r="M481" s="147"/>
      <c r="N481" s="147"/>
      <c r="O481" s="147"/>
      <c r="P481" s="147"/>
      <c r="Q481" s="147"/>
      <c r="R481" s="147"/>
      <c r="S481" s="147"/>
      <c r="T481" s="147"/>
      <c r="U481" s="147"/>
      <c r="V481" s="147"/>
      <c r="W481" s="147"/>
      <c r="X481" s="147"/>
      <c r="Y481" s="147"/>
      <c r="Z481" s="147"/>
      <c r="AA481" s="147"/>
      <c r="AB481" s="147"/>
      <c r="AC481" s="147"/>
      <c r="AD481" s="147"/>
    </row>
    <row r="482">
      <c r="A482" s="147"/>
      <c r="B482" s="147"/>
      <c r="C482" s="147"/>
      <c r="D482" s="147"/>
      <c r="E482" s="147"/>
      <c r="F482" s="147"/>
      <c r="G482" s="147"/>
      <c r="H482" s="262"/>
      <c r="I482" s="147"/>
      <c r="J482" s="147"/>
      <c r="K482" s="147"/>
      <c r="L482" s="147"/>
      <c r="M482" s="147"/>
      <c r="N482" s="147"/>
      <c r="O482" s="147"/>
      <c r="P482" s="147"/>
      <c r="Q482" s="147"/>
      <c r="R482" s="147"/>
      <c r="S482" s="147"/>
      <c r="T482" s="147"/>
      <c r="U482" s="147"/>
      <c r="V482" s="147"/>
      <c r="W482" s="147"/>
      <c r="X482" s="147"/>
      <c r="Y482" s="147"/>
      <c r="Z482" s="147"/>
      <c r="AA482" s="147"/>
      <c r="AB482" s="147"/>
      <c r="AC482" s="147"/>
      <c r="AD482" s="147"/>
    </row>
    <row r="483">
      <c r="A483" s="147"/>
      <c r="B483" s="147"/>
      <c r="C483" s="147"/>
      <c r="D483" s="147"/>
      <c r="E483" s="147"/>
      <c r="F483" s="147"/>
      <c r="G483" s="147"/>
      <c r="H483" s="262"/>
      <c r="I483" s="147"/>
      <c r="J483" s="147"/>
      <c r="K483" s="147"/>
      <c r="L483" s="147"/>
      <c r="M483" s="147"/>
      <c r="N483" s="147"/>
      <c r="O483" s="147"/>
      <c r="P483" s="147"/>
      <c r="Q483" s="147"/>
      <c r="R483" s="147"/>
      <c r="S483" s="147"/>
      <c r="T483" s="147"/>
      <c r="U483" s="147"/>
      <c r="V483" s="147"/>
      <c r="W483" s="147"/>
      <c r="X483" s="147"/>
      <c r="Y483" s="147"/>
      <c r="Z483" s="147"/>
      <c r="AA483" s="147"/>
      <c r="AB483" s="147"/>
      <c r="AC483" s="147"/>
      <c r="AD483" s="147"/>
    </row>
    <row r="484">
      <c r="A484" s="147"/>
      <c r="B484" s="147"/>
      <c r="C484" s="147"/>
      <c r="D484" s="147"/>
      <c r="E484" s="147"/>
      <c r="F484" s="147"/>
      <c r="G484" s="147"/>
      <c r="H484" s="262"/>
      <c r="I484" s="147"/>
      <c r="J484" s="147"/>
      <c r="K484" s="147"/>
      <c r="L484" s="147"/>
      <c r="M484" s="147"/>
      <c r="N484" s="147"/>
      <c r="O484" s="147"/>
      <c r="P484" s="147"/>
      <c r="Q484" s="147"/>
      <c r="R484" s="147"/>
      <c r="S484" s="147"/>
      <c r="T484" s="147"/>
      <c r="U484" s="147"/>
      <c r="V484" s="147"/>
      <c r="W484" s="147"/>
      <c r="X484" s="147"/>
      <c r="Y484" s="147"/>
      <c r="Z484" s="147"/>
      <c r="AA484" s="147"/>
      <c r="AB484" s="147"/>
      <c r="AC484" s="147"/>
      <c r="AD484" s="147"/>
    </row>
    <row r="485">
      <c r="A485" s="147"/>
      <c r="B485" s="147"/>
      <c r="C485" s="147"/>
      <c r="D485" s="147"/>
      <c r="E485" s="147"/>
      <c r="F485" s="147"/>
      <c r="G485" s="147"/>
      <c r="H485" s="262"/>
      <c r="I485" s="147"/>
      <c r="J485" s="147"/>
      <c r="K485" s="147"/>
      <c r="L485" s="147"/>
      <c r="M485" s="147"/>
      <c r="N485" s="147"/>
      <c r="O485" s="147"/>
      <c r="P485" s="147"/>
      <c r="Q485" s="147"/>
      <c r="R485" s="147"/>
      <c r="S485" s="147"/>
      <c r="T485" s="147"/>
      <c r="U485" s="147"/>
      <c r="V485" s="147"/>
      <c r="W485" s="147"/>
      <c r="X485" s="147"/>
      <c r="Y485" s="147"/>
      <c r="Z485" s="147"/>
      <c r="AA485" s="147"/>
      <c r="AB485" s="147"/>
      <c r="AC485" s="147"/>
      <c r="AD485" s="147"/>
    </row>
    <row r="486">
      <c r="A486" s="147"/>
      <c r="B486" s="147"/>
      <c r="C486" s="147"/>
      <c r="D486" s="147"/>
      <c r="E486" s="147"/>
      <c r="F486" s="147"/>
      <c r="G486" s="147"/>
      <c r="H486" s="262"/>
      <c r="I486" s="147"/>
      <c r="J486" s="147"/>
      <c r="K486" s="147"/>
      <c r="L486" s="147"/>
      <c r="M486" s="147"/>
      <c r="N486" s="147"/>
      <c r="O486" s="147"/>
      <c r="P486" s="147"/>
      <c r="Q486" s="147"/>
      <c r="R486" s="147"/>
      <c r="S486" s="147"/>
      <c r="T486" s="147"/>
      <c r="U486" s="147"/>
      <c r="V486" s="147"/>
      <c r="W486" s="147"/>
      <c r="X486" s="147"/>
      <c r="Y486" s="147"/>
      <c r="Z486" s="147"/>
      <c r="AA486" s="147"/>
      <c r="AB486" s="147"/>
      <c r="AC486" s="147"/>
      <c r="AD486" s="147"/>
    </row>
    <row r="487">
      <c r="A487" s="147"/>
      <c r="B487" s="147"/>
      <c r="C487" s="147"/>
      <c r="D487" s="147"/>
      <c r="E487" s="147"/>
      <c r="F487" s="147"/>
      <c r="G487" s="147"/>
      <c r="H487" s="262"/>
      <c r="I487" s="147"/>
      <c r="J487" s="147"/>
      <c r="K487" s="147"/>
      <c r="L487" s="147"/>
      <c r="M487" s="147"/>
      <c r="N487" s="147"/>
      <c r="O487" s="147"/>
      <c r="P487" s="147"/>
      <c r="Q487" s="147"/>
      <c r="R487" s="147"/>
      <c r="S487" s="147"/>
      <c r="T487" s="147"/>
      <c r="U487" s="147"/>
      <c r="V487" s="147"/>
      <c r="W487" s="147"/>
      <c r="X487" s="147"/>
      <c r="Y487" s="147"/>
      <c r="Z487" s="147"/>
      <c r="AA487" s="147"/>
      <c r="AB487" s="147"/>
      <c r="AC487" s="147"/>
      <c r="AD487" s="147"/>
    </row>
    <row r="488">
      <c r="A488" s="147"/>
      <c r="B488" s="147"/>
      <c r="C488" s="147"/>
      <c r="D488" s="147"/>
      <c r="E488" s="147"/>
      <c r="F488" s="147"/>
      <c r="G488" s="147"/>
      <c r="H488" s="262"/>
      <c r="I488" s="147"/>
      <c r="J488" s="147"/>
      <c r="K488" s="147"/>
      <c r="L488" s="147"/>
      <c r="M488" s="147"/>
      <c r="N488" s="147"/>
      <c r="O488" s="147"/>
      <c r="P488" s="147"/>
      <c r="Q488" s="147"/>
      <c r="R488" s="147"/>
      <c r="S488" s="147"/>
      <c r="T488" s="147"/>
      <c r="U488" s="147"/>
      <c r="V488" s="147"/>
      <c r="W488" s="147"/>
      <c r="X488" s="147"/>
      <c r="Y488" s="147"/>
      <c r="Z488" s="147"/>
      <c r="AA488" s="147"/>
      <c r="AB488" s="147"/>
      <c r="AC488" s="147"/>
      <c r="AD488" s="147"/>
    </row>
    <row r="489">
      <c r="A489" s="147"/>
      <c r="B489" s="147"/>
      <c r="C489" s="147"/>
      <c r="D489" s="147"/>
      <c r="E489" s="147"/>
      <c r="F489" s="147"/>
      <c r="G489" s="147"/>
      <c r="H489" s="262"/>
      <c r="I489" s="147"/>
      <c r="J489" s="147"/>
      <c r="K489" s="147"/>
      <c r="L489" s="147"/>
      <c r="M489" s="147"/>
      <c r="N489" s="147"/>
      <c r="O489" s="147"/>
      <c r="P489" s="147"/>
      <c r="Q489" s="147"/>
      <c r="R489" s="147"/>
      <c r="S489" s="147"/>
      <c r="T489" s="147"/>
      <c r="U489" s="147"/>
      <c r="V489" s="147"/>
      <c r="W489" s="147"/>
      <c r="X489" s="147"/>
      <c r="Y489" s="147"/>
      <c r="Z489" s="147"/>
      <c r="AA489" s="147"/>
      <c r="AB489" s="147"/>
      <c r="AC489" s="147"/>
      <c r="AD489" s="147"/>
    </row>
    <row r="490">
      <c r="A490" s="147"/>
      <c r="B490" s="147"/>
      <c r="C490" s="147"/>
      <c r="D490" s="147"/>
      <c r="E490" s="147"/>
      <c r="F490" s="147"/>
      <c r="G490" s="147"/>
      <c r="H490" s="262"/>
      <c r="I490" s="147"/>
      <c r="J490" s="147"/>
      <c r="K490" s="147"/>
      <c r="L490" s="147"/>
      <c r="M490" s="147"/>
      <c r="N490" s="147"/>
      <c r="O490" s="147"/>
      <c r="P490" s="147"/>
      <c r="Q490" s="147"/>
      <c r="R490" s="147"/>
      <c r="S490" s="147"/>
      <c r="T490" s="147"/>
      <c r="U490" s="147"/>
      <c r="V490" s="147"/>
      <c r="W490" s="147"/>
      <c r="X490" s="147"/>
      <c r="Y490" s="147"/>
      <c r="Z490" s="147"/>
      <c r="AA490" s="147"/>
      <c r="AB490" s="147"/>
      <c r="AC490" s="147"/>
      <c r="AD490" s="147"/>
    </row>
    <row r="491">
      <c r="A491" s="147"/>
      <c r="B491" s="147"/>
      <c r="C491" s="147"/>
      <c r="D491" s="147"/>
      <c r="E491" s="147"/>
      <c r="F491" s="147"/>
      <c r="G491" s="147"/>
      <c r="H491" s="262"/>
      <c r="I491" s="147"/>
      <c r="J491" s="147"/>
      <c r="K491" s="147"/>
      <c r="L491" s="147"/>
      <c r="M491" s="147"/>
      <c r="N491" s="147"/>
      <c r="O491" s="147"/>
      <c r="P491" s="147"/>
      <c r="Q491" s="147"/>
      <c r="R491" s="147"/>
      <c r="S491" s="147"/>
      <c r="T491" s="147"/>
      <c r="U491" s="147"/>
      <c r="V491" s="147"/>
      <c r="W491" s="147"/>
      <c r="X491" s="147"/>
      <c r="Y491" s="147"/>
      <c r="Z491" s="147"/>
      <c r="AA491" s="147"/>
      <c r="AB491" s="147"/>
      <c r="AC491" s="147"/>
      <c r="AD491" s="147"/>
    </row>
    <row r="492">
      <c r="A492" s="147"/>
      <c r="B492" s="147"/>
      <c r="C492" s="147"/>
      <c r="D492" s="147"/>
      <c r="E492" s="147"/>
      <c r="F492" s="147"/>
      <c r="G492" s="147"/>
      <c r="H492" s="262"/>
      <c r="I492" s="147"/>
      <c r="J492" s="147"/>
      <c r="K492" s="147"/>
      <c r="L492" s="147"/>
      <c r="M492" s="147"/>
      <c r="N492" s="147"/>
      <c r="O492" s="147"/>
      <c r="P492" s="147"/>
      <c r="Q492" s="147"/>
      <c r="R492" s="147"/>
      <c r="S492" s="147"/>
      <c r="T492" s="147"/>
      <c r="U492" s="147"/>
      <c r="V492" s="147"/>
      <c r="W492" s="147"/>
      <c r="X492" s="147"/>
      <c r="Y492" s="147"/>
      <c r="Z492" s="147"/>
      <c r="AA492" s="147"/>
      <c r="AB492" s="147"/>
      <c r="AC492" s="147"/>
      <c r="AD492" s="147"/>
    </row>
    <row r="493">
      <c r="A493" s="147"/>
      <c r="B493" s="147"/>
      <c r="C493" s="147"/>
      <c r="D493" s="147"/>
      <c r="E493" s="147"/>
      <c r="F493" s="147"/>
      <c r="G493" s="147"/>
      <c r="H493" s="262"/>
      <c r="I493" s="147"/>
      <c r="J493" s="147"/>
      <c r="K493" s="147"/>
      <c r="L493" s="147"/>
      <c r="M493" s="147"/>
      <c r="N493" s="147"/>
      <c r="O493" s="147"/>
      <c r="P493" s="147"/>
      <c r="Q493" s="147"/>
      <c r="R493" s="147"/>
      <c r="S493" s="147"/>
      <c r="T493" s="147"/>
      <c r="U493" s="147"/>
      <c r="V493" s="147"/>
      <c r="W493" s="147"/>
      <c r="X493" s="147"/>
      <c r="Y493" s="147"/>
      <c r="Z493" s="147"/>
      <c r="AA493" s="147"/>
      <c r="AB493" s="147"/>
      <c r="AC493" s="147"/>
      <c r="AD493" s="147"/>
    </row>
    <row r="494">
      <c r="A494" s="147"/>
      <c r="B494" s="147"/>
      <c r="C494" s="147"/>
      <c r="D494" s="147"/>
      <c r="E494" s="147"/>
      <c r="F494" s="147"/>
      <c r="G494" s="147"/>
      <c r="H494" s="262"/>
      <c r="I494" s="147"/>
      <c r="J494" s="147"/>
      <c r="K494" s="147"/>
      <c r="L494" s="147"/>
      <c r="M494" s="147"/>
      <c r="N494" s="147"/>
      <c r="O494" s="147"/>
      <c r="P494" s="147"/>
      <c r="Q494" s="147"/>
      <c r="R494" s="147"/>
      <c r="S494" s="147"/>
      <c r="T494" s="147"/>
      <c r="U494" s="147"/>
      <c r="V494" s="147"/>
      <c r="W494" s="147"/>
      <c r="X494" s="147"/>
      <c r="Y494" s="147"/>
      <c r="Z494" s="147"/>
      <c r="AA494" s="147"/>
      <c r="AB494" s="147"/>
      <c r="AC494" s="147"/>
      <c r="AD494" s="147"/>
    </row>
    <row r="495">
      <c r="A495" s="147"/>
      <c r="B495" s="147"/>
      <c r="C495" s="147"/>
      <c r="D495" s="147"/>
      <c r="E495" s="147"/>
      <c r="F495" s="147"/>
      <c r="G495" s="147"/>
      <c r="H495" s="262"/>
      <c r="I495" s="147"/>
      <c r="J495" s="147"/>
      <c r="K495" s="147"/>
      <c r="L495" s="147"/>
      <c r="M495" s="147"/>
      <c r="N495" s="147"/>
      <c r="O495" s="147"/>
      <c r="P495" s="147"/>
      <c r="Q495" s="147"/>
      <c r="R495" s="147"/>
      <c r="S495" s="147"/>
      <c r="T495" s="147"/>
      <c r="U495" s="147"/>
      <c r="V495" s="147"/>
      <c r="W495" s="147"/>
      <c r="X495" s="147"/>
      <c r="Y495" s="147"/>
      <c r="Z495" s="147"/>
      <c r="AA495" s="147"/>
      <c r="AB495" s="147"/>
      <c r="AC495" s="147"/>
      <c r="AD495" s="147"/>
    </row>
    <row r="496">
      <c r="A496" s="147"/>
      <c r="B496" s="147"/>
      <c r="C496" s="147"/>
      <c r="D496" s="147"/>
      <c r="E496" s="147"/>
      <c r="F496" s="147"/>
      <c r="G496" s="147"/>
      <c r="H496" s="262"/>
      <c r="I496" s="147"/>
      <c r="J496" s="147"/>
      <c r="K496" s="147"/>
      <c r="L496" s="147"/>
      <c r="M496" s="147"/>
      <c r="N496" s="147"/>
      <c r="O496" s="147"/>
      <c r="P496" s="147"/>
      <c r="Q496" s="147"/>
      <c r="R496" s="147"/>
      <c r="S496" s="147"/>
      <c r="T496" s="147"/>
      <c r="U496" s="147"/>
      <c r="V496" s="147"/>
      <c r="W496" s="147"/>
      <c r="X496" s="147"/>
      <c r="Y496" s="147"/>
      <c r="Z496" s="147"/>
      <c r="AA496" s="147"/>
      <c r="AB496" s="147"/>
      <c r="AC496" s="147"/>
      <c r="AD496" s="147"/>
    </row>
    <row r="497">
      <c r="A497" s="147"/>
      <c r="B497" s="147"/>
      <c r="C497" s="147"/>
      <c r="D497" s="147"/>
      <c r="E497" s="147"/>
      <c r="F497" s="147"/>
      <c r="G497" s="147"/>
      <c r="H497" s="262"/>
      <c r="I497" s="147"/>
      <c r="J497" s="147"/>
      <c r="K497" s="147"/>
      <c r="L497" s="147"/>
      <c r="M497" s="147"/>
      <c r="N497" s="147"/>
      <c r="O497" s="147"/>
      <c r="P497" s="147"/>
      <c r="Q497" s="147"/>
      <c r="R497" s="147"/>
      <c r="S497" s="147"/>
      <c r="T497" s="147"/>
      <c r="U497" s="147"/>
      <c r="V497" s="147"/>
      <c r="W497" s="147"/>
      <c r="X497" s="147"/>
      <c r="Y497" s="147"/>
      <c r="Z497" s="147"/>
      <c r="AA497" s="147"/>
      <c r="AB497" s="147"/>
      <c r="AC497" s="147"/>
      <c r="AD497" s="147"/>
    </row>
    <row r="498">
      <c r="A498" s="147"/>
      <c r="B498" s="147"/>
      <c r="C498" s="147"/>
      <c r="D498" s="147"/>
      <c r="E498" s="147"/>
      <c r="F498" s="147"/>
      <c r="G498" s="147"/>
      <c r="H498" s="262"/>
      <c r="I498" s="147"/>
      <c r="J498" s="147"/>
      <c r="K498" s="147"/>
      <c r="L498" s="147"/>
      <c r="M498" s="147"/>
      <c r="N498" s="147"/>
      <c r="O498" s="147"/>
      <c r="P498" s="147"/>
      <c r="Q498" s="147"/>
      <c r="R498" s="147"/>
      <c r="S498" s="147"/>
      <c r="T498" s="147"/>
      <c r="U498" s="147"/>
      <c r="V498" s="147"/>
      <c r="W498" s="147"/>
      <c r="X498" s="147"/>
      <c r="Y498" s="147"/>
      <c r="Z498" s="147"/>
      <c r="AA498" s="147"/>
      <c r="AB498" s="147"/>
      <c r="AC498" s="147"/>
      <c r="AD498" s="147"/>
    </row>
    <row r="499">
      <c r="A499" s="147"/>
      <c r="B499" s="147"/>
      <c r="C499" s="147"/>
      <c r="D499" s="147"/>
      <c r="E499" s="147"/>
      <c r="F499" s="147"/>
      <c r="G499" s="147"/>
      <c r="H499" s="262"/>
      <c r="I499" s="147"/>
      <c r="J499" s="147"/>
      <c r="K499" s="147"/>
      <c r="L499" s="147"/>
      <c r="M499" s="147"/>
      <c r="N499" s="147"/>
      <c r="O499" s="147"/>
      <c r="P499" s="147"/>
      <c r="Q499" s="147"/>
      <c r="R499" s="147"/>
      <c r="S499" s="147"/>
      <c r="T499" s="147"/>
      <c r="U499" s="147"/>
      <c r="V499" s="147"/>
      <c r="W499" s="147"/>
      <c r="X499" s="147"/>
      <c r="Y499" s="147"/>
      <c r="Z499" s="147"/>
      <c r="AA499" s="147"/>
      <c r="AB499" s="147"/>
      <c r="AC499" s="147"/>
      <c r="AD499" s="147"/>
    </row>
    <row r="500">
      <c r="A500" s="147"/>
      <c r="B500" s="147"/>
      <c r="C500" s="147"/>
      <c r="D500" s="147"/>
      <c r="E500" s="147"/>
      <c r="F500" s="147"/>
      <c r="G500" s="147"/>
      <c r="H500" s="262"/>
      <c r="I500" s="147"/>
      <c r="J500" s="147"/>
      <c r="K500" s="147"/>
      <c r="L500" s="147"/>
      <c r="M500" s="147"/>
      <c r="N500" s="147"/>
      <c r="O500" s="147"/>
      <c r="P500" s="147"/>
      <c r="Q500" s="147"/>
      <c r="R500" s="147"/>
      <c r="S500" s="147"/>
      <c r="T500" s="147"/>
      <c r="U500" s="147"/>
      <c r="V500" s="147"/>
      <c r="W500" s="147"/>
      <c r="X500" s="147"/>
      <c r="Y500" s="147"/>
      <c r="Z500" s="147"/>
      <c r="AA500" s="147"/>
      <c r="AB500" s="147"/>
      <c r="AC500" s="147"/>
      <c r="AD500" s="147"/>
    </row>
    <row r="501">
      <c r="A501" s="147"/>
      <c r="B501" s="147"/>
      <c r="C501" s="147"/>
      <c r="D501" s="147"/>
      <c r="E501" s="147"/>
      <c r="F501" s="147"/>
      <c r="G501" s="147"/>
      <c r="H501" s="262"/>
      <c r="I501" s="147"/>
      <c r="J501" s="147"/>
      <c r="K501" s="147"/>
      <c r="L501" s="147"/>
      <c r="M501" s="147"/>
      <c r="N501" s="147"/>
      <c r="O501" s="147"/>
      <c r="P501" s="147"/>
      <c r="Q501" s="147"/>
      <c r="R501" s="147"/>
      <c r="S501" s="147"/>
      <c r="T501" s="147"/>
      <c r="U501" s="147"/>
      <c r="V501" s="147"/>
      <c r="W501" s="147"/>
      <c r="X501" s="147"/>
      <c r="Y501" s="147"/>
      <c r="Z501" s="147"/>
      <c r="AA501" s="147"/>
      <c r="AB501" s="147"/>
      <c r="AC501" s="147"/>
      <c r="AD501" s="147"/>
    </row>
    <row r="502">
      <c r="A502" s="147"/>
      <c r="B502" s="147"/>
      <c r="C502" s="147"/>
      <c r="D502" s="147"/>
      <c r="E502" s="147"/>
      <c r="F502" s="147"/>
      <c r="G502" s="147"/>
      <c r="H502" s="262"/>
      <c r="I502" s="147"/>
      <c r="J502" s="147"/>
      <c r="K502" s="147"/>
      <c r="L502" s="147"/>
      <c r="M502" s="147"/>
      <c r="N502" s="147"/>
      <c r="O502" s="147"/>
      <c r="P502" s="147"/>
      <c r="Q502" s="147"/>
      <c r="R502" s="147"/>
      <c r="S502" s="147"/>
      <c r="T502" s="147"/>
      <c r="U502" s="147"/>
      <c r="V502" s="147"/>
      <c r="W502" s="147"/>
      <c r="X502" s="147"/>
      <c r="Y502" s="147"/>
      <c r="Z502" s="147"/>
      <c r="AA502" s="147"/>
      <c r="AB502" s="147"/>
      <c r="AC502" s="147"/>
      <c r="AD502" s="147"/>
    </row>
    <row r="503">
      <c r="A503" s="147"/>
      <c r="B503" s="147"/>
      <c r="C503" s="147"/>
      <c r="D503" s="147"/>
      <c r="E503" s="147"/>
      <c r="F503" s="147"/>
      <c r="G503" s="147"/>
      <c r="H503" s="262"/>
      <c r="I503" s="147"/>
      <c r="J503" s="147"/>
      <c r="K503" s="147"/>
      <c r="L503" s="147"/>
      <c r="M503" s="147"/>
      <c r="N503" s="147"/>
      <c r="O503" s="147"/>
      <c r="P503" s="147"/>
      <c r="Q503" s="147"/>
      <c r="R503" s="147"/>
      <c r="S503" s="147"/>
      <c r="T503" s="147"/>
      <c r="U503" s="147"/>
      <c r="V503" s="147"/>
      <c r="W503" s="147"/>
      <c r="X503" s="147"/>
      <c r="Y503" s="147"/>
      <c r="Z503" s="147"/>
      <c r="AA503" s="147"/>
      <c r="AB503" s="147"/>
      <c r="AC503" s="147"/>
      <c r="AD503" s="147"/>
    </row>
    <row r="504">
      <c r="A504" s="147"/>
      <c r="B504" s="147"/>
      <c r="C504" s="147"/>
      <c r="D504" s="147"/>
      <c r="E504" s="147"/>
      <c r="F504" s="147"/>
      <c r="G504" s="147"/>
      <c r="H504" s="262"/>
      <c r="I504" s="147"/>
      <c r="J504" s="147"/>
      <c r="K504" s="147"/>
      <c r="L504" s="147"/>
      <c r="M504" s="147"/>
      <c r="N504" s="147"/>
      <c r="O504" s="147"/>
      <c r="P504" s="147"/>
      <c r="Q504" s="147"/>
      <c r="R504" s="147"/>
      <c r="S504" s="147"/>
      <c r="T504" s="147"/>
      <c r="U504" s="147"/>
      <c r="V504" s="147"/>
      <c r="W504" s="147"/>
      <c r="X504" s="147"/>
      <c r="Y504" s="147"/>
      <c r="Z504" s="147"/>
      <c r="AA504" s="147"/>
      <c r="AB504" s="147"/>
      <c r="AC504" s="147"/>
      <c r="AD504" s="147"/>
    </row>
    <row r="505">
      <c r="A505" s="147"/>
      <c r="B505" s="147"/>
      <c r="C505" s="147"/>
      <c r="D505" s="147"/>
      <c r="E505" s="147"/>
      <c r="F505" s="147"/>
      <c r="G505" s="147"/>
      <c r="H505" s="262"/>
      <c r="I505" s="147"/>
      <c r="J505" s="147"/>
      <c r="K505" s="147"/>
      <c r="L505" s="147"/>
      <c r="M505" s="147"/>
      <c r="N505" s="147"/>
      <c r="O505" s="147"/>
      <c r="P505" s="147"/>
      <c r="Q505" s="147"/>
      <c r="R505" s="147"/>
      <c r="S505" s="147"/>
      <c r="T505" s="147"/>
      <c r="U505" s="147"/>
      <c r="V505" s="147"/>
      <c r="W505" s="147"/>
      <c r="X505" s="147"/>
      <c r="Y505" s="147"/>
      <c r="Z505" s="147"/>
      <c r="AA505" s="147"/>
      <c r="AB505" s="147"/>
      <c r="AC505" s="147"/>
      <c r="AD505" s="147"/>
    </row>
    <row r="506">
      <c r="A506" s="147"/>
      <c r="B506" s="147"/>
      <c r="C506" s="147"/>
      <c r="D506" s="147"/>
      <c r="E506" s="147"/>
      <c r="F506" s="147"/>
      <c r="G506" s="147"/>
      <c r="H506" s="262"/>
      <c r="I506" s="147"/>
      <c r="J506" s="147"/>
      <c r="K506" s="147"/>
      <c r="L506" s="147"/>
      <c r="M506" s="147"/>
      <c r="N506" s="147"/>
      <c r="O506" s="147"/>
      <c r="P506" s="147"/>
      <c r="Q506" s="147"/>
      <c r="R506" s="147"/>
      <c r="S506" s="147"/>
      <c r="T506" s="147"/>
      <c r="U506" s="147"/>
      <c r="V506" s="147"/>
      <c r="W506" s="147"/>
      <c r="X506" s="147"/>
      <c r="Y506" s="147"/>
      <c r="Z506" s="147"/>
      <c r="AA506" s="147"/>
      <c r="AB506" s="147"/>
      <c r="AC506" s="147"/>
      <c r="AD506" s="147"/>
    </row>
    <row r="507">
      <c r="A507" s="147"/>
      <c r="B507" s="147"/>
      <c r="C507" s="147"/>
      <c r="D507" s="147"/>
      <c r="E507" s="147"/>
      <c r="F507" s="147"/>
      <c r="G507" s="147"/>
      <c r="H507" s="262"/>
      <c r="I507" s="147"/>
      <c r="J507" s="147"/>
      <c r="K507" s="147"/>
      <c r="L507" s="147"/>
      <c r="M507" s="147"/>
      <c r="N507" s="147"/>
      <c r="O507" s="147"/>
      <c r="P507" s="147"/>
      <c r="Q507" s="147"/>
      <c r="R507" s="147"/>
      <c r="S507" s="147"/>
      <c r="T507" s="147"/>
      <c r="U507" s="147"/>
      <c r="V507" s="147"/>
      <c r="W507" s="147"/>
      <c r="X507" s="147"/>
      <c r="Y507" s="147"/>
      <c r="Z507" s="147"/>
      <c r="AA507" s="147"/>
      <c r="AB507" s="147"/>
      <c r="AC507" s="147"/>
      <c r="AD507" s="147"/>
    </row>
    <row r="508">
      <c r="A508" s="147"/>
      <c r="B508" s="147"/>
      <c r="C508" s="147"/>
      <c r="D508" s="147"/>
      <c r="E508" s="147"/>
      <c r="F508" s="147"/>
      <c r="G508" s="147"/>
      <c r="H508" s="262"/>
      <c r="I508" s="147"/>
      <c r="J508" s="147"/>
      <c r="K508" s="147"/>
      <c r="L508" s="147"/>
      <c r="M508" s="147"/>
      <c r="N508" s="147"/>
      <c r="O508" s="147"/>
      <c r="P508" s="147"/>
      <c r="Q508" s="147"/>
      <c r="R508" s="147"/>
      <c r="S508" s="147"/>
      <c r="T508" s="147"/>
      <c r="U508" s="147"/>
      <c r="V508" s="147"/>
      <c r="W508" s="147"/>
      <c r="X508" s="147"/>
      <c r="Y508" s="147"/>
      <c r="Z508" s="147"/>
      <c r="AA508" s="147"/>
      <c r="AB508" s="147"/>
      <c r="AC508" s="147"/>
      <c r="AD508" s="147"/>
    </row>
    <row r="509">
      <c r="A509" s="147"/>
      <c r="B509" s="147"/>
      <c r="C509" s="147"/>
      <c r="D509" s="147"/>
      <c r="E509" s="147"/>
      <c r="F509" s="147"/>
      <c r="G509" s="147"/>
      <c r="H509" s="262"/>
      <c r="I509" s="147"/>
      <c r="J509" s="147"/>
      <c r="K509" s="147"/>
      <c r="L509" s="147"/>
      <c r="M509" s="147"/>
      <c r="N509" s="147"/>
      <c r="O509" s="147"/>
      <c r="P509" s="147"/>
      <c r="Q509" s="147"/>
      <c r="R509" s="147"/>
      <c r="S509" s="147"/>
      <c r="T509" s="147"/>
      <c r="U509" s="147"/>
      <c r="V509" s="147"/>
      <c r="W509" s="147"/>
      <c r="X509" s="147"/>
      <c r="Y509" s="147"/>
      <c r="Z509" s="147"/>
      <c r="AA509" s="147"/>
      <c r="AB509" s="147"/>
      <c r="AC509" s="147"/>
      <c r="AD509" s="147"/>
    </row>
    <row r="510">
      <c r="A510" s="147"/>
      <c r="B510" s="147"/>
      <c r="C510" s="147"/>
      <c r="D510" s="147"/>
      <c r="E510" s="147"/>
      <c r="F510" s="147"/>
      <c r="G510" s="147"/>
      <c r="H510" s="262"/>
      <c r="I510" s="147"/>
      <c r="J510" s="147"/>
      <c r="K510" s="147"/>
      <c r="L510" s="147"/>
      <c r="M510" s="147"/>
      <c r="N510" s="147"/>
      <c r="O510" s="147"/>
      <c r="P510" s="147"/>
      <c r="Q510" s="147"/>
      <c r="R510" s="147"/>
      <c r="S510" s="147"/>
      <c r="T510" s="147"/>
      <c r="U510" s="147"/>
      <c r="V510" s="147"/>
      <c r="W510" s="147"/>
      <c r="X510" s="147"/>
      <c r="Y510" s="147"/>
      <c r="Z510" s="147"/>
      <c r="AA510" s="147"/>
      <c r="AB510" s="147"/>
      <c r="AC510" s="147"/>
      <c r="AD510" s="147"/>
    </row>
    <row r="511">
      <c r="A511" s="147"/>
      <c r="B511" s="147"/>
      <c r="C511" s="147"/>
      <c r="D511" s="147"/>
      <c r="E511" s="147"/>
      <c r="F511" s="147"/>
      <c r="G511" s="147"/>
      <c r="H511" s="262"/>
      <c r="I511" s="147"/>
      <c r="J511" s="147"/>
      <c r="K511" s="147"/>
      <c r="L511" s="147"/>
      <c r="M511" s="147"/>
      <c r="N511" s="147"/>
      <c r="O511" s="147"/>
      <c r="P511" s="147"/>
      <c r="Q511" s="147"/>
      <c r="R511" s="147"/>
      <c r="S511" s="147"/>
      <c r="T511" s="147"/>
      <c r="U511" s="147"/>
      <c r="V511" s="147"/>
      <c r="W511" s="147"/>
      <c r="X511" s="147"/>
      <c r="Y511" s="147"/>
      <c r="Z511" s="147"/>
      <c r="AA511" s="147"/>
      <c r="AB511" s="147"/>
      <c r="AC511" s="147"/>
      <c r="AD511" s="147"/>
    </row>
    <row r="512">
      <c r="A512" s="147"/>
      <c r="B512" s="147"/>
      <c r="C512" s="147"/>
      <c r="D512" s="147"/>
      <c r="E512" s="147"/>
      <c r="F512" s="147"/>
      <c r="G512" s="147"/>
      <c r="H512" s="262"/>
      <c r="I512" s="147"/>
      <c r="J512" s="147"/>
      <c r="K512" s="147"/>
      <c r="L512" s="147"/>
      <c r="M512" s="147"/>
      <c r="N512" s="147"/>
      <c r="O512" s="147"/>
      <c r="P512" s="147"/>
      <c r="Q512" s="147"/>
      <c r="R512" s="147"/>
      <c r="S512" s="147"/>
      <c r="T512" s="147"/>
      <c r="U512" s="147"/>
      <c r="V512" s="147"/>
      <c r="W512" s="147"/>
      <c r="X512" s="147"/>
      <c r="Y512" s="147"/>
      <c r="Z512" s="147"/>
      <c r="AA512" s="147"/>
      <c r="AB512" s="147"/>
      <c r="AC512" s="147"/>
      <c r="AD512" s="147"/>
    </row>
    <row r="513">
      <c r="A513" s="147"/>
      <c r="B513" s="147"/>
      <c r="C513" s="147"/>
      <c r="D513" s="147"/>
      <c r="E513" s="147"/>
      <c r="F513" s="147"/>
      <c r="G513" s="147"/>
      <c r="H513" s="262"/>
      <c r="I513" s="147"/>
      <c r="J513" s="147"/>
      <c r="K513" s="147"/>
      <c r="L513" s="147"/>
      <c r="M513" s="147"/>
      <c r="N513" s="147"/>
      <c r="O513" s="147"/>
      <c r="P513" s="147"/>
      <c r="Q513" s="147"/>
      <c r="R513" s="147"/>
      <c r="S513" s="147"/>
      <c r="T513" s="147"/>
      <c r="U513" s="147"/>
      <c r="V513" s="147"/>
      <c r="W513" s="147"/>
      <c r="X513" s="147"/>
      <c r="Y513" s="147"/>
      <c r="Z513" s="147"/>
      <c r="AA513" s="147"/>
      <c r="AB513" s="147"/>
      <c r="AC513" s="147"/>
      <c r="AD513" s="147"/>
    </row>
    <row r="514">
      <c r="A514" s="147"/>
      <c r="B514" s="147"/>
      <c r="C514" s="147"/>
      <c r="D514" s="147"/>
      <c r="E514" s="147"/>
      <c r="F514" s="147"/>
      <c r="G514" s="147"/>
      <c r="H514" s="262"/>
      <c r="I514" s="147"/>
      <c r="J514" s="147"/>
      <c r="K514" s="147"/>
      <c r="L514" s="147"/>
      <c r="M514" s="147"/>
      <c r="N514" s="147"/>
      <c r="O514" s="147"/>
      <c r="P514" s="147"/>
      <c r="Q514" s="147"/>
      <c r="R514" s="147"/>
      <c r="S514" s="147"/>
      <c r="T514" s="147"/>
      <c r="U514" s="147"/>
      <c r="V514" s="147"/>
      <c r="W514" s="147"/>
      <c r="X514" s="147"/>
      <c r="Y514" s="147"/>
      <c r="Z514" s="147"/>
      <c r="AA514" s="147"/>
      <c r="AB514" s="147"/>
      <c r="AC514" s="147"/>
      <c r="AD514" s="147"/>
    </row>
    <row r="515">
      <c r="A515" s="147"/>
      <c r="B515" s="147"/>
      <c r="C515" s="147"/>
      <c r="D515" s="147"/>
      <c r="E515" s="147"/>
      <c r="F515" s="147"/>
      <c r="G515" s="147"/>
      <c r="H515" s="262"/>
      <c r="I515" s="147"/>
      <c r="J515" s="147"/>
      <c r="K515" s="147"/>
      <c r="L515" s="147"/>
      <c r="M515" s="147"/>
      <c r="N515" s="147"/>
      <c r="O515" s="147"/>
      <c r="P515" s="147"/>
      <c r="Q515" s="147"/>
      <c r="R515" s="147"/>
      <c r="S515" s="147"/>
      <c r="T515" s="147"/>
      <c r="U515" s="147"/>
      <c r="V515" s="147"/>
      <c r="W515" s="147"/>
      <c r="X515" s="147"/>
      <c r="Y515" s="147"/>
      <c r="Z515" s="147"/>
      <c r="AA515" s="147"/>
      <c r="AB515" s="147"/>
      <c r="AC515" s="147"/>
      <c r="AD515" s="147"/>
    </row>
    <row r="516">
      <c r="A516" s="147"/>
      <c r="B516" s="147"/>
      <c r="C516" s="147"/>
      <c r="D516" s="147"/>
      <c r="E516" s="147"/>
      <c r="F516" s="147"/>
      <c r="G516" s="147"/>
      <c r="H516" s="262"/>
      <c r="I516" s="147"/>
      <c r="J516" s="147"/>
      <c r="K516" s="147"/>
      <c r="L516" s="147"/>
      <c r="M516" s="147"/>
      <c r="N516" s="147"/>
      <c r="O516" s="147"/>
      <c r="P516" s="147"/>
      <c r="Q516" s="147"/>
      <c r="R516" s="147"/>
      <c r="S516" s="147"/>
      <c r="T516" s="147"/>
      <c r="U516" s="147"/>
      <c r="V516" s="147"/>
      <c r="W516" s="147"/>
      <c r="X516" s="147"/>
      <c r="Y516" s="147"/>
      <c r="Z516" s="147"/>
      <c r="AA516" s="147"/>
      <c r="AB516" s="147"/>
      <c r="AC516" s="147"/>
      <c r="AD516" s="147"/>
    </row>
    <row r="517">
      <c r="A517" s="147"/>
      <c r="B517" s="147"/>
      <c r="C517" s="147"/>
      <c r="D517" s="147"/>
      <c r="E517" s="147"/>
      <c r="F517" s="147"/>
      <c r="G517" s="147"/>
      <c r="H517" s="262"/>
      <c r="I517" s="147"/>
      <c r="J517" s="147"/>
      <c r="K517" s="147"/>
      <c r="L517" s="147"/>
      <c r="M517" s="147"/>
      <c r="N517" s="147"/>
      <c r="O517" s="147"/>
      <c r="P517" s="147"/>
      <c r="Q517" s="147"/>
      <c r="R517" s="147"/>
      <c r="S517" s="147"/>
      <c r="T517" s="147"/>
      <c r="U517" s="147"/>
      <c r="V517" s="147"/>
      <c r="W517" s="147"/>
      <c r="X517" s="147"/>
      <c r="Y517" s="147"/>
      <c r="Z517" s="147"/>
      <c r="AA517" s="147"/>
      <c r="AB517" s="147"/>
      <c r="AC517" s="147"/>
      <c r="AD517" s="147"/>
    </row>
    <row r="518">
      <c r="A518" s="147"/>
      <c r="B518" s="147"/>
      <c r="C518" s="147"/>
      <c r="D518" s="147"/>
      <c r="E518" s="147"/>
      <c r="F518" s="147"/>
      <c r="G518" s="147"/>
      <c r="H518" s="262"/>
      <c r="I518" s="147"/>
      <c r="J518" s="147"/>
      <c r="K518" s="147"/>
      <c r="L518" s="147"/>
      <c r="M518" s="147"/>
      <c r="N518" s="147"/>
      <c r="O518" s="147"/>
      <c r="P518" s="147"/>
      <c r="Q518" s="147"/>
      <c r="R518" s="147"/>
      <c r="S518" s="147"/>
      <c r="T518" s="147"/>
      <c r="U518" s="147"/>
      <c r="V518" s="147"/>
      <c r="W518" s="147"/>
      <c r="X518" s="147"/>
      <c r="Y518" s="147"/>
      <c r="Z518" s="147"/>
      <c r="AA518" s="147"/>
      <c r="AB518" s="147"/>
      <c r="AC518" s="147"/>
      <c r="AD518" s="147"/>
    </row>
    <row r="519">
      <c r="A519" s="147"/>
      <c r="B519" s="147"/>
      <c r="C519" s="147"/>
      <c r="D519" s="147"/>
      <c r="E519" s="147"/>
      <c r="F519" s="147"/>
      <c r="G519" s="147"/>
      <c r="H519" s="262"/>
      <c r="I519" s="147"/>
      <c r="J519" s="147"/>
      <c r="K519" s="147"/>
      <c r="L519" s="147"/>
      <c r="M519" s="147"/>
      <c r="N519" s="147"/>
      <c r="O519" s="147"/>
      <c r="P519" s="147"/>
      <c r="Q519" s="147"/>
      <c r="R519" s="147"/>
      <c r="S519" s="147"/>
      <c r="T519" s="147"/>
      <c r="U519" s="147"/>
      <c r="V519" s="147"/>
      <c r="W519" s="147"/>
      <c r="X519" s="147"/>
      <c r="Y519" s="147"/>
      <c r="Z519" s="147"/>
      <c r="AA519" s="147"/>
      <c r="AB519" s="147"/>
      <c r="AC519" s="147"/>
      <c r="AD519" s="147"/>
    </row>
    <row r="520">
      <c r="A520" s="147"/>
      <c r="B520" s="147"/>
      <c r="C520" s="147"/>
      <c r="D520" s="147"/>
      <c r="E520" s="147"/>
      <c r="F520" s="147"/>
      <c r="G520" s="147"/>
      <c r="H520" s="262"/>
      <c r="I520" s="147"/>
      <c r="J520" s="147"/>
      <c r="K520" s="147"/>
      <c r="L520" s="147"/>
      <c r="M520" s="147"/>
      <c r="N520" s="147"/>
      <c r="O520" s="147"/>
      <c r="P520" s="147"/>
      <c r="Q520" s="147"/>
      <c r="R520" s="147"/>
      <c r="S520" s="147"/>
      <c r="T520" s="147"/>
      <c r="U520" s="147"/>
      <c r="V520" s="147"/>
      <c r="W520" s="147"/>
      <c r="X520" s="147"/>
      <c r="Y520" s="147"/>
      <c r="Z520" s="147"/>
      <c r="AA520" s="147"/>
      <c r="AB520" s="147"/>
      <c r="AC520" s="147"/>
      <c r="AD520" s="147"/>
    </row>
    <row r="521">
      <c r="A521" s="147"/>
      <c r="B521" s="147"/>
      <c r="C521" s="147"/>
      <c r="D521" s="147"/>
      <c r="E521" s="147"/>
      <c r="F521" s="147"/>
      <c r="G521" s="147"/>
      <c r="H521" s="262"/>
      <c r="I521" s="147"/>
      <c r="J521" s="147"/>
      <c r="K521" s="147"/>
      <c r="L521" s="147"/>
      <c r="M521" s="147"/>
      <c r="N521" s="147"/>
      <c r="O521" s="147"/>
      <c r="P521" s="147"/>
      <c r="Q521" s="147"/>
      <c r="R521" s="147"/>
      <c r="S521" s="147"/>
      <c r="T521" s="147"/>
      <c r="U521" s="147"/>
      <c r="V521" s="147"/>
      <c r="W521" s="147"/>
      <c r="X521" s="147"/>
      <c r="Y521" s="147"/>
      <c r="Z521" s="147"/>
      <c r="AA521" s="147"/>
      <c r="AB521" s="147"/>
      <c r="AC521" s="147"/>
      <c r="AD521" s="147"/>
    </row>
    <row r="522">
      <c r="A522" s="147"/>
      <c r="B522" s="147"/>
      <c r="C522" s="147"/>
      <c r="D522" s="147"/>
      <c r="E522" s="147"/>
      <c r="F522" s="147"/>
      <c r="G522" s="147"/>
      <c r="H522" s="262"/>
      <c r="I522" s="147"/>
      <c r="J522" s="147"/>
      <c r="K522" s="147"/>
      <c r="L522" s="147"/>
      <c r="M522" s="147"/>
      <c r="N522" s="147"/>
      <c r="O522" s="147"/>
      <c r="P522" s="147"/>
      <c r="Q522" s="147"/>
      <c r="R522" s="147"/>
      <c r="S522" s="147"/>
      <c r="T522" s="147"/>
      <c r="U522" s="147"/>
      <c r="V522" s="147"/>
      <c r="W522" s="147"/>
      <c r="X522" s="147"/>
      <c r="Y522" s="147"/>
      <c r="Z522" s="147"/>
      <c r="AA522" s="147"/>
      <c r="AB522" s="147"/>
      <c r="AC522" s="147"/>
      <c r="AD522" s="147"/>
    </row>
    <row r="523">
      <c r="A523" s="147"/>
      <c r="B523" s="147"/>
      <c r="C523" s="147"/>
      <c r="D523" s="147"/>
      <c r="E523" s="147"/>
      <c r="F523" s="147"/>
      <c r="G523" s="147"/>
      <c r="H523" s="262"/>
      <c r="I523" s="147"/>
      <c r="J523" s="147"/>
      <c r="K523" s="147"/>
      <c r="L523" s="147"/>
      <c r="M523" s="147"/>
      <c r="N523" s="147"/>
      <c r="O523" s="147"/>
      <c r="P523" s="147"/>
      <c r="Q523" s="147"/>
      <c r="R523" s="147"/>
      <c r="S523" s="147"/>
      <c r="T523" s="147"/>
      <c r="U523" s="147"/>
      <c r="V523" s="147"/>
      <c r="W523" s="147"/>
      <c r="X523" s="147"/>
      <c r="Y523" s="147"/>
      <c r="Z523" s="147"/>
      <c r="AA523" s="147"/>
      <c r="AB523" s="147"/>
      <c r="AC523" s="147"/>
      <c r="AD523" s="147"/>
    </row>
    <row r="524">
      <c r="A524" s="147"/>
      <c r="B524" s="147"/>
      <c r="C524" s="147"/>
      <c r="D524" s="147"/>
      <c r="E524" s="147"/>
      <c r="F524" s="147"/>
      <c r="G524" s="147"/>
      <c r="H524" s="262"/>
      <c r="I524" s="147"/>
      <c r="J524" s="147"/>
      <c r="K524" s="147"/>
      <c r="L524" s="147"/>
      <c r="M524" s="147"/>
      <c r="N524" s="147"/>
      <c r="O524" s="147"/>
      <c r="P524" s="147"/>
      <c r="Q524" s="147"/>
      <c r="R524" s="147"/>
      <c r="S524" s="147"/>
      <c r="T524" s="147"/>
      <c r="U524" s="147"/>
      <c r="V524" s="147"/>
      <c r="W524" s="147"/>
      <c r="X524" s="147"/>
      <c r="Y524" s="147"/>
      <c r="Z524" s="147"/>
      <c r="AA524" s="147"/>
      <c r="AB524" s="147"/>
      <c r="AC524" s="147"/>
      <c r="AD524" s="147"/>
    </row>
    <row r="525">
      <c r="A525" s="147"/>
      <c r="B525" s="147"/>
      <c r="C525" s="147"/>
      <c r="D525" s="147"/>
      <c r="E525" s="147"/>
      <c r="F525" s="147"/>
      <c r="G525" s="147"/>
      <c r="H525" s="262"/>
      <c r="I525" s="147"/>
      <c r="J525" s="147"/>
      <c r="K525" s="147"/>
      <c r="L525" s="147"/>
      <c r="M525" s="147"/>
      <c r="N525" s="147"/>
      <c r="O525" s="147"/>
      <c r="P525" s="147"/>
      <c r="Q525" s="147"/>
      <c r="R525" s="147"/>
      <c r="S525" s="147"/>
      <c r="T525" s="147"/>
      <c r="U525" s="147"/>
      <c r="V525" s="147"/>
      <c r="W525" s="147"/>
      <c r="X525" s="147"/>
      <c r="Y525" s="147"/>
      <c r="Z525" s="147"/>
      <c r="AA525" s="147"/>
      <c r="AB525" s="147"/>
      <c r="AC525" s="147"/>
      <c r="AD525" s="147"/>
    </row>
    <row r="526">
      <c r="A526" s="147"/>
      <c r="B526" s="147"/>
      <c r="C526" s="147"/>
      <c r="D526" s="147"/>
      <c r="E526" s="147"/>
      <c r="F526" s="147"/>
      <c r="G526" s="147"/>
      <c r="H526" s="262"/>
      <c r="I526" s="147"/>
      <c r="J526" s="147"/>
      <c r="K526" s="147"/>
      <c r="L526" s="147"/>
      <c r="M526" s="147"/>
      <c r="N526" s="147"/>
      <c r="O526" s="147"/>
      <c r="P526" s="147"/>
      <c r="Q526" s="147"/>
      <c r="R526" s="147"/>
      <c r="S526" s="147"/>
      <c r="T526" s="147"/>
      <c r="U526" s="147"/>
      <c r="V526" s="147"/>
      <c r="W526" s="147"/>
      <c r="X526" s="147"/>
      <c r="Y526" s="147"/>
      <c r="Z526" s="147"/>
      <c r="AA526" s="147"/>
      <c r="AB526" s="147"/>
      <c r="AC526" s="147"/>
      <c r="AD526" s="147"/>
    </row>
    <row r="527">
      <c r="A527" s="147"/>
      <c r="B527" s="147"/>
      <c r="C527" s="147"/>
      <c r="D527" s="147"/>
      <c r="E527" s="147"/>
      <c r="F527" s="147"/>
      <c r="G527" s="147"/>
      <c r="H527" s="262"/>
      <c r="I527" s="147"/>
      <c r="J527" s="147"/>
      <c r="K527" s="147"/>
      <c r="L527" s="147"/>
      <c r="M527" s="147"/>
      <c r="N527" s="147"/>
      <c r="O527" s="147"/>
      <c r="P527" s="147"/>
      <c r="Q527" s="147"/>
      <c r="R527" s="147"/>
      <c r="S527" s="147"/>
      <c r="T527" s="147"/>
      <c r="U527" s="147"/>
      <c r="V527" s="147"/>
      <c r="W527" s="147"/>
      <c r="X527" s="147"/>
      <c r="Y527" s="147"/>
      <c r="Z527" s="147"/>
      <c r="AA527" s="147"/>
      <c r="AB527" s="147"/>
      <c r="AC527" s="147"/>
      <c r="AD527" s="147"/>
    </row>
    <row r="528">
      <c r="A528" s="147"/>
      <c r="B528" s="147"/>
      <c r="C528" s="147"/>
      <c r="D528" s="147"/>
      <c r="E528" s="147"/>
      <c r="F528" s="147"/>
      <c r="G528" s="147"/>
      <c r="H528" s="262"/>
      <c r="I528" s="147"/>
      <c r="J528" s="147"/>
      <c r="K528" s="147"/>
      <c r="L528" s="147"/>
      <c r="M528" s="147"/>
      <c r="N528" s="147"/>
      <c r="O528" s="147"/>
      <c r="P528" s="147"/>
      <c r="Q528" s="147"/>
      <c r="R528" s="147"/>
      <c r="S528" s="147"/>
      <c r="T528" s="147"/>
      <c r="U528" s="147"/>
      <c r="V528" s="147"/>
      <c r="W528" s="147"/>
      <c r="X528" s="147"/>
      <c r="Y528" s="147"/>
      <c r="Z528" s="147"/>
      <c r="AA528" s="147"/>
      <c r="AB528" s="147"/>
      <c r="AC528" s="147"/>
      <c r="AD528" s="147"/>
    </row>
    <row r="529">
      <c r="A529" s="147"/>
      <c r="B529" s="147"/>
      <c r="C529" s="147"/>
      <c r="D529" s="147"/>
      <c r="E529" s="147"/>
      <c r="F529" s="147"/>
      <c r="G529" s="147"/>
      <c r="H529" s="262"/>
      <c r="I529" s="147"/>
      <c r="J529" s="147"/>
      <c r="K529" s="147"/>
      <c r="L529" s="147"/>
      <c r="M529" s="147"/>
      <c r="N529" s="147"/>
      <c r="O529" s="147"/>
      <c r="P529" s="147"/>
      <c r="Q529" s="147"/>
      <c r="R529" s="147"/>
      <c r="S529" s="147"/>
      <c r="T529" s="147"/>
      <c r="U529" s="147"/>
      <c r="V529" s="147"/>
      <c r="W529" s="147"/>
      <c r="X529" s="147"/>
      <c r="Y529" s="147"/>
      <c r="Z529" s="147"/>
      <c r="AA529" s="147"/>
      <c r="AB529" s="147"/>
      <c r="AC529" s="147"/>
      <c r="AD529" s="147"/>
    </row>
    <row r="530">
      <c r="A530" s="147"/>
      <c r="B530" s="147"/>
      <c r="C530" s="147"/>
      <c r="D530" s="147"/>
      <c r="E530" s="147"/>
      <c r="F530" s="147"/>
      <c r="G530" s="147"/>
      <c r="H530" s="262"/>
      <c r="I530" s="147"/>
      <c r="J530" s="147"/>
      <c r="K530" s="147"/>
      <c r="L530" s="147"/>
      <c r="M530" s="147"/>
      <c r="N530" s="147"/>
      <c r="O530" s="147"/>
      <c r="P530" s="147"/>
      <c r="Q530" s="147"/>
      <c r="R530" s="147"/>
      <c r="S530" s="147"/>
      <c r="T530" s="147"/>
      <c r="U530" s="147"/>
      <c r="V530" s="147"/>
      <c r="W530" s="147"/>
      <c r="X530" s="147"/>
      <c r="Y530" s="147"/>
      <c r="Z530" s="147"/>
      <c r="AA530" s="147"/>
      <c r="AB530" s="147"/>
      <c r="AC530" s="147"/>
      <c r="AD530" s="147"/>
    </row>
    <row r="531">
      <c r="A531" s="147"/>
      <c r="B531" s="147"/>
      <c r="C531" s="147"/>
      <c r="D531" s="147"/>
      <c r="E531" s="147"/>
      <c r="F531" s="147"/>
      <c r="G531" s="147"/>
      <c r="H531" s="262"/>
      <c r="I531" s="147"/>
      <c r="J531" s="147"/>
      <c r="K531" s="147"/>
      <c r="L531" s="147"/>
      <c r="M531" s="147"/>
      <c r="N531" s="147"/>
      <c r="O531" s="147"/>
      <c r="P531" s="147"/>
      <c r="Q531" s="147"/>
      <c r="R531" s="147"/>
      <c r="S531" s="147"/>
      <c r="T531" s="147"/>
      <c r="U531" s="147"/>
      <c r="V531" s="147"/>
      <c r="W531" s="147"/>
      <c r="X531" s="147"/>
      <c r="Y531" s="147"/>
      <c r="Z531" s="147"/>
      <c r="AA531" s="147"/>
      <c r="AB531" s="147"/>
      <c r="AC531" s="147"/>
      <c r="AD531" s="147"/>
    </row>
    <row r="532">
      <c r="A532" s="147"/>
      <c r="B532" s="147"/>
      <c r="C532" s="147"/>
      <c r="D532" s="147"/>
      <c r="E532" s="147"/>
      <c r="F532" s="147"/>
      <c r="G532" s="147"/>
      <c r="H532" s="262"/>
      <c r="I532" s="147"/>
      <c r="J532" s="147"/>
      <c r="K532" s="147"/>
      <c r="L532" s="147"/>
      <c r="M532" s="147"/>
      <c r="N532" s="147"/>
      <c r="O532" s="147"/>
      <c r="P532" s="147"/>
      <c r="Q532" s="147"/>
      <c r="R532" s="147"/>
      <c r="S532" s="147"/>
      <c r="T532" s="147"/>
      <c r="U532" s="147"/>
      <c r="V532" s="147"/>
      <c r="W532" s="147"/>
      <c r="X532" s="147"/>
      <c r="Y532" s="147"/>
      <c r="Z532" s="147"/>
      <c r="AA532" s="147"/>
      <c r="AB532" s="147"/>
      <c r="AC532" s="147"/>
      <c r="AD532" s="147"/>
    </row>
    <row r="533">
      <c r="A533" s="147"/>
      <c r="B533" s="147"/>
      <c r="C533" s="147"/>
      <c r="D533" s="147"/>
      <c r="E533" s="147"/>
      <c r="F533" s="147"/>
      <c r="G533" s="147"/>
      <c r="H533" s="262"/>
      <c r="I533" s="147"/>
      <c r="J533" s="147"/>
      <c r="K533" s="147"/>
      <c r="L533" s="147"/>
      <c r="M533" s="147"/>
      <c r="N533" s="147"/>
      <c r="O533" s="147"/>
      <c r="P533" s="147"/>
      <c r="Q533" s="147"/>
      <c r="R533" s="147"/>
      <c r="S533" s="147"/>
      <c r="T533" s="147"/>
      <c r="U533" s="147"/>
      <c r="V533" s="147"/>
      <c r="W533" s="147"/>
      <c r="X533" s="147"/>
      <c r="Y533" s="147"/>
      <c r="Z533" s="147"/>
      <c r="AA533" s="147"/>
      <c r="AB533" s="147"/>
      <c r="AC533" s="147"/>
      <c r="AD533" s="147"/>
    </row>
    <row r="534">
      <c r="A534" s="147"/>
      <c r="B534" s="147"/>
      <c r="C534" s="147"/>
      <c r="D534" s="147"/>
      <c r="E534" s="147"/>
      <c r="F534" s="147"/>
      <c r="G534" s="147"/>
      <c r="H534" s="262"/>
      <c r="I534" s="147"/>
      <c r="J534" s="147"/>
      <c r="K534" s="147"/>
      <c r="L534" s="147"/>
      <c r="M534" s="147"/>
      <c r="N534" s="147"/>
      <c r="O534" s="147"/>
      <c r="P534" s="147"/>
      <c r="Q534" s="147"/>
      <c r="R534" s="147"/>
      <c r="S534" s="147"/>
      <c r="T534" s="147"/>
      <c r="U534" s="147"/>
      <c r="V534" s="147"/>
      <c r="W534" s="147"/>
      <c r="X534" s="147"/>
      <c r="Y534" s="147"/>
      <c r="Z534" s="147"/>
      <c r="AA534" s="147"/>
      <c r="AB534" s="147"/>
      <c r="AC534" s="147"/>
      <c r="AD534" s="147"/>
    </row>
    <row r="535">
      <c r="A535" s="147"/>
      <c r="B535" s="147"/>
      <c r="C535" s="147"/>
      <c r="D535" s="147"/>
      <c r="E535" s="147"/>
      <c r="F535" s="147"/>
      <c r="G535" s="147"/>
      <c r="H535" s="262"/>
      <c r="I535" s="147"/>
      <c r="J535" s="147"/>
      <c r="K535" s="147"/>
      <c r="L535" s="147"/>
      <c r="M535" s="147"/>
      <c r="N535" s="147"/>
      <c r="O535" s="147"/>
      <c r="P535" s="147"/>
      <c r="Q535" s="147"/>
      <c r="R535" s="147"/>
      <c r="S535" s="147"/>
      <c r="T535" s="147"/>
      <c r="U535" s="147"/>
      <c r="V535" s="147"/>
      <c r="W535" s="147"/>
      <c r="X535" s="147"/>
      <c r="Y535" s="147"/>
      <c r="Z535" s="147"/>
      <c r="AA535" s="147"/>
      <c r="AB535" s="147"/>
      <c r="AC535" s="147"/>
      <c r="AD535" s="147"/>
    </row>
    <row r="536">
      <c r="A536" s="147"/>
      <c r="B536" s="147"/>
      <c r="C536" s="147"/>
      <c r="D536" s="147"/>
      <c r="E536" s="147"/>
      <c r="F536" s="147"/>
      <c r="G536" s="147"/>
      <c r="H536" s="262"/>
      <c r="I536" s="147"/>
      <c r="J536" s="147"/>
      <c r="K536" s="147"/>
      <c r="L536" s="147"/>
      <c r="M536" s="147"/>
      <c r="N536" s="147"/>
      <c r="O536" s="147"/>
      <c r="P536" s="147"/>
      <c r="Q536" s="147"/>
      <c r="R536" s="147"/>
      <c r="S536" s="147"/>
      <c r="T536" s="147"/>
      <c r="U536" s="147"/>
      <c r="V536" s="147"/>
      <c r="W536" s="147"/>
      <c r="X536" s="147"/>
      <c r="Y536" s="147"/>
      <c r="Z536" s="147"/>
      <c r="AA536" s="147"/>
      <c r="AB536" s="147"/>
      <c r="AC536" s="147"/>
      <c r="AD536" s="147"/>
    </row>
    <row r="537">
      <c r="A537" s="147"/>
      <c r="B537" s="147"/>
      <c r="C537" s="147"/>
      <c r="D537" s="147"/>
      <c r="E537" s="147"/>
      <c r="F537" s="147"/>
      <c r="G537" s="147"/>
      <c r="H537" s="262"/>
      <c r="I537" s="147"/>
      <c r="J537" s="147"/>
      <c r="K537" s="147"/>
      <c r="L537" s="147"/>
      <c r="M537" s="147"/>
      <c r="N537" s="147"/>
      <c r="O537" s="147"/>
      <c r="P537" s="147"/>
      <c r="Q537" s="147"/>
      <c r="R537" s="147"/>
      <c r="S537" s="147"/>
      <c r="T537" s="147"/>
      <c r="U537" s="147"/>
      <c r="V537" s="147"/>
      <c r="W537" s="147"/>
      <c r="X537" s="147"/>
      <c r="Y537" s="147"/>
      <c r="Z537" s="147"/>
      <c r="AA537" s="147"/>
      <c r="AB537" s="147"/>
      <c r="AC537" s="147"/>
      <c r="AD537" s="147"/>
    </row>
    <row r="538">
      <c r="A538" s="147"/>
      <c r="B538" s="147"/>
      <c r="C538" s="147"/>
      <c r="D538" s="147"/>
      <c r="E538" s="147"/>
      <c r="F538" s="147"/>
      <c r="G538" s="147"/>
      <c r="H538" s="262"/>
      <c r="I538" s="147"/>
      <c r="J538" s="147"/>
      <c r="K538" s="147"/>
      <c r="L538" s="147"/>
      <c r="M538" s="147"/>
      <c r="N538" s="147"/>
      <c r="O538" s="147"/>
      <c r="P538" s="147"/>
      <c r="Q538" s="147"/>
      <c r="R538" s="147"/>
      <c r="S538" s="147"/>
      <c r="T538" s="147"/>
      <c r="U538" s="147"/>
      <c r="V538" s="147"/>
      <c r="W538" s="147"/>
      <c r="X538" s="147"/>
      <c r="Y538" s="147"/>
      <c r="Z538" s="147"/>
      <c r="AA538" s="147"/>
      <c r="AB538" s="147"/>
      <c r="AC538" s="147"/>
      <c r="AD538" s="147"/>
    </row>
    <row r="539">
      <c r="A539" s="147"/>
      <c r="B539" s="147"/>
      <c r="C539" s="147"/>
      <c r="D539" s="147"/>
      <c r="E539" s="147"/>
      <c r="F539" s="147"/>
      <c r="G539" s="147"/>
      <c r="H539" s="262"/>
      <c r="I539" s="147"/>
      <c r="J539" s="147"/>
      <c r="K539" s="147"/>
      <c r="L539" s="147"/>
      <c r="M539" s="147"/>
      <c r="N539" s="147"/>
      <c r="O539" s="147"/>
      <c r="P539" s="147"/>
      <c r="Q539" s="147"/>
      <c r="R539" s="147"/>
      <c r="S539" s="147"/>
      <c r="T539" s="147"/>
      <c r="U539" s="147"/>
      <c r="V539" s="147"/>
      <c r="W539" s="147"/>
      <c r="X539" s="147"/>
      <c r="Y539" s="147"/>
      <c r="Z539" s="147"/>
      <c r="AA539" s="147"/>
      <c r="AB539" s="147"/>
      <c r="AC539" s="147"/>
      <c r="AD539" s="147"/>
    </row>
    <row r="540">
      <c r="A540" s="147"/>
      <c r="B540" s="147"/>
      <c r="C540" s="147"/>
      <c r="D540" s="147"/>
      <c r="E540" s="147"/>
      <c r="F540" s="147"/>
      <c r="G540" s="147"/>
      <c r="H540" s="262"/>
      <c r="I540" s="147"/>
      <c r="J540" s="147"/>
      <c r="K540" s="147"/>
      <c r="L540" s="147"/>
      <c r="M540" s="147"/>
      <c r="N540" s="147"/>
      <c r="O540" s="147"/>
      <c r="P540" s="147"/>
      <c r="Q540" s="147"/>
      <c r="R540" s="147"/>
      <c r="S540" s="147"/>
      <c r="T540" s="147"/>
      <c r="U540" s="147"/>
      <c r="V540" s="147"/>
      <c r="W540" s="147"/>
      <c r="X540" s="147"/>
      <c r="Y540" s="147"/>
      <c r="Z540" s="147"/>
      <c r="AA540" s="147"/>
      <c r="AB540" s="147"/>
      <c r="AC540" s="147"/>
      <c r="AD540" s="147"/>
    </row>
    <row r="541">
      <c r="A541" s="147"/>
      <c r="B541" s="147"/>
      <c r="C541" s="147"/>
      <c r="D541" s="147"/>
      <c r="E541" s="147"/>
      <c r="F541" s="147"/>
      <c r="G541" s="147"/>
      <c r="H541" s="262"/>
      <c r="I541" s="147"/>
      <c r="J541" s="147"/>
      <c r="K541" s="147"/>
      <c r="L541" s="147"/>
      <c r="M541" s="147"/>
      <c r="N541" s="147"/>
      <c r="O541" s="147"/>
      <c r="P541" s="147"/>
      <c r="Q541" s="147"/>
      <c r="R541" s="147"/>
      <c r="S541" s="147"/>
      <c r="T541" s="147"/>
      <c r="U541" s="147"/>
      <c r="V541" s="147"/>
      <c r="W541" s="147"/>
      <c r="X541" s="147"/>
      <c r="Y541" s="147"/>
      <c r="Z541" s="147"/>
      <c r="AA541" s="147"/>
      <c r="AB541" s="147"/>
      <c r="AC541" s="147"/>
      <c r="AD541" s="147"/>
    </row>
    <row r="542">
      <c r="A542" s="147"/>
      <c r="B542" s="147"/>
      <c r="C542" s="147"/>
      <c r="D542" s="147"/>
      <c r="E542" s="147"/>
      <c r="F542" s="147"/>
      <c r="G542" s="147"/>
      <c r="H542" s="262"/>
      <c r="I542" s="147"/>
      <c r="J542" s="147"/>
      <c r="K542" s="147"/>
      <c r="L542" s="147"/>
      <c r="M542" s="147"/>
      <c r="N542" s="147"/>
      <c r="O542" s="147"/>
      <c r="P542" s="147"/>
      <c r="Q542" s="147"/>
      <c r="R542" s="147"/>
      <c r="S542" s="147"/>
      <c r="T542" s="147"/>
      <c r="U542" s="147"/>
      <c r="V542" s="147"/>
      <c r="W542" s="147"/>
      <c r="X542" s="147"/>
      <c r="Y542" s="147"/>
      <c r="Z542" s="147"/>
      <c r="AA542" s="147"/>
      <c r="AB542" s="147"/>
      <c r="AC542" s="147"/>
      <c r="AD542" s="147"/>
    </row>
    <row r="543">
      <c r="A543" s="147"/>
      <c r="B543" s="147"/>
      <c r="C543" s="147"/>
      <c r="D543" s="147"/>
      <c r="E543" s="147"/>
      <c r="F543" s="147"/>
      <c r="G543" s="147"/>
      <c r="H543" s="262"/>
      <c r="I543" s="147"/>
      <c r="J543" s="147"/>
      <c r="K543" s="147"/>
      <c r="L543" s="147"/>
      <c r="M543" s="147"/>
      <c r="N543" s="147"/>
      <c r="O543" s="147"/>
      <c r="P543" s="147"/>
      <c r="Q543" s="147"/>
      <c r="R543" s="147"/>
      <c r="S543" s="147"/>
      <c r="T543" s="147"/>
      <c r="U543" s="147"/>
      <c r="V543" s="147"/>
      <c r="W543" s="147"/>
      <c r="X543" s="147"/>
      <c r="Y543" s="147"/>
      <c r="Z543" s="147"/>
      <c r="AA543" s="147"/>
      <c r="AB543" s="147"/>
      <c r="AC543" s="147"/>
      <c r="AD543" s="147"/>
    </row>
    <row r="544">
      <c r="A544" s="147"/>
      <c r="B544" s="147"/>
      <c r="C544" s="147"/>
      <c r="D544" s="147"/>
      <c r="E544" s="147"/>
      <c r="F544" s="147"/>
      <c r="G544" s="147"/>
      <c r="H544" s="262"/>
      <c r="I544" s="147"/>
      <c r="J544" s="147"/>
      <c r="K544" s="147"/>
      <c r="L544" s="147"/>
      <c r="M544" s="147"/>
      <c r="N544" s="147"/>
      <c r="O544" s="147"/>
      <c r="P544" s="147"/>
      <c r="Q544" s="147"/>
      <c r="R544" s="147"/>
      <c r="S544" s="147"/>
      <c r="T544" s="147"/>
      <c r="U544" s="147"/>
      <c r="V544" s="147"/>
      <c r="W544" s="147"/>
      <c r="X544" s="147"/>
      <c r="Y544" s="147"/>
      <c r="Z544" s="147"/>
      <c r="AA544" s="147"/>
      <c r="AB544" s="147"/>
      <c r="AC544" s="147"/>
      <c r="AD544" s="147"/>
    </row>
    <row r="545">
      <c r="A545" s="147"/>
      <c r="B545" s="147"/>
      <c r="C545" s="147"/>
      <c r="D545" s="147"/>
      <c r="E545" s="147"/>
      <c r="F545" s="147"/>
      <c r="G545" s="147"/>
      <c r="H545" s="262"/>
      <c r="I545" s="147"/>
      <c r="J545" s="147"/>
      <c r="K545" s="147"/>
      <c r="L545" s="147"/>
      <c r="M545" s="147"/>
      <c r="N545" s="147"/>
      <c r="O545" s="147"/>
      <c r="P545" s="147"/>
      <c r="Q545" s="147"/>
      <c r="R545" s="147"/>
      <c r="S545" s="147"/>
      <c r="T545" s="147"/>
      <c r="U545" s="147"/>
      <c r="V545" s="147"/>
      <c r="W545" s="147"/>
      <c r="X545" s="147"/>
      <c r="Y545" s="147"/>
      <c r="Z545" s="147"/>
      <c r="AA545" s="147"/>
      <c r="AB545" s="147"/>
      <c r="AC545" s="147"/>
      <c r="AD545" s="147"/>
    </row>
    <row r="546">
      <c r="A546" s="147"/>
      <c r="B546" s="147"/>
      <c r="C546" s="147"/>
      <c r="D546" s="147"/>
      <c r="E546" s="147"/>
      <c r="F546" s="147"/>
      <c r="G546" s="147"/>
      <c r="H546" s="262"/>
      <c r="I546" s="147"/>
      <c r="J546" s="147"/>
      <c r="K546" s="147"/>
      <c r="L546" s="147"/>
      <c r="M546" s="147"/>
      <c r="N546" s="147"/>
      <c r="O546" s="147"/>
      <c r="P546" s="147"/>
      <c r="Q546" s="147"/>
      <c r="R546" s="147"/>
      <c r="S546" s="147"/>
      <c r="T546" s="147"/>
      <c r="U546" s="147"/>
      <c r="V546" s="147"/>
      <c r="W546" s="147"/>
      <c r="X546" s="147"/>
      <c r="Y546" s="147"/>
      <c r="Z546" s="147"/>
      <c r="AA546" s="147"/>
      <c r="AB546" s="147"/>
      <c r="AC546" s="147"/>
      <c r="AD546" s="147"/>
    </row>
    <row r="547">
      <c r="A547" s="147"/>
      <c r="B547" s="147"/>
      <c r="C547" s="147"/>
      <c r="D547" s="147"/>
      <c r="E547" s="147"/>
      <c r="F547" s="147"/>
      <c r="G547" s="147"/>
      <c r="H547" s="262"/>
      <c r="I547" s="147"/>
      <c r="J547" s="147"/>
      <c r="K547" s="147"/>
      <c r="L547" s="147"/>
      <c r="M547" s="147"/>
      <c r="N547" s="147"/>
      <c r="O547" s="147"/>
      <c r="P547" s="147"/>
      <c r="Q547" s="147"/>
      <c r="R547" s="147"/>
      <c r="S547" s="147"/>
      <c r="T547" s="147"/>
      <c r="U547" s="147"/>
      <c r="V547" s="147"/>
      <c r="W547" s="147"/>
      <c r="X547" s="147"/>
      <c r="Y547" s="147"/>
      <c r="Z547" s="147"/>
      <c r="AA547" s="147"/>
      <c r="AB547" s="147"/>
      <c r="AC547" s="147"/>
      <c r="AD547" s="147"/>
    </row>
    <row r="548">
      <c r="A548" s="147"/>
      <c r="B548" s="147"/>
      <c r="C548" s="147"/>
      <c r="D548" s="147"/>
      <c r="E548" s="147"/>
      <c r="F548" s="147"/>
      <c r="G548" s="147"/>
      <c r="H548" s="262"/>
      <c r="I548" s="147"/>
      <c r="J548" s="147"/>
      <c r="K548" s="147"/>
      <c r="L548" s="147"/>
      <c r="M548" s="147"/>
      <c r="N548" s="147"/>
      <c r="O548" s="147"/>
      <c r="P548" s="147"/>
      <c r="Q548" s="147"/>
      <c r="R548" s="147"/>
      <c r="S548" s="147"/>
      <c r="T548" s="147"/>
      <c r="U548" s="147"/>
      <c r="V548" s="147"/>
      <c r="W548" s="147"/>
      <c r="X548" s="147"/>
      <c r="Y548" s="147"/>
      <c r="Z548" s="147"/>
      <c r="AA548" s="147"/>
      <c r="AB548" s="147"/>
      <c r="AC548" s="147"/>
      <c r="AD548" s="147"/>
    </row>
    <row r="549">
      <c r="A549" s="147"/>
      <c r="B549" s="147"/>
      <c r="C549" s="147"/>
      <c r="D549" s="147"/>
      <c r="E549" s="147"/>
      <c r="F549" s="147"/>
      <c r="G549" s="147"/>
      <c r="H549" s="262"/>
      <c r="I549" s="147"/>
      <c r="J549" s="147"/>
      <c r="K549" s="147"/>
      <c r="L549" s="147"/>
      <c r="M549" s="147"/>
      <c r="N549" s="147"/>
      <c r="O549" s="147"/>
      <c r="P549" s="147"/>
      <c r="Q549" s="147"/>
      <c r="R549" s="147"/>
      <c r="S549" s="147"/>
      <c r="T549" s="147"/>
      <c r="U549" s="147"/>
      <c r="V549" s="147"/>
      <c r="W549" s="147"/>
      <c r="X549" s="147"/>
      <c r="Y549" s="147"/>
      <c r="Z549" s="147"/>
      <c r="AA549" s="147"/>
      <c r="AB549" s="147"/>
      <c r="AC549" s="147"/>
      <c r="AD549" s="147"/>
    </row>
    <row r="550">
      <c r="A550" s="147"/>
      <c r="B550" s="147"/>
      <c r="C550" s="147"/>
      <c r="D550" s="147"/>
      <c r="E550" s="147"/>
      <c r="F550" s="147"/>
      <c r="G550" s="147"/>
      <c r="H550" s="262"/>
      <c r="I550" s="147"/>
      <c r="J550" s="147"/>
      <c r="K550" s="147"/>
      <c r="L550" s="147"/>
      <c r="M550" s="147"/>
      <c r="N550" s="147"/>
      <c r="O550" s="147"/>
      <c r="P550" s="147"/>
      <c r="Q550" s="147"/>
      <c r="R550" s="147"/>
      <c r="S550" s="147"/>
      <c r="T550" s="147"/>
      <c r="U550" s="147"/>
      <c r="V550" s="147"/>
      <c r="W550" s="147"/>
      <c r="X550" s="147"/>
      <c r="Y550" s="147"/>
      <c r="Z550" s="147"/>
      <c r="AA550" s="147"/>
      <c r="AB550" s="147"/>
      <c r="AC550" s="147"/>
      <c r="AD550" s="147"/>
    </row>
    <row r="551">
      <c r="A551" s="147"/>
      <c r="B551" s="147"/>
      <c r="C551" s="147"/>
      <c r="D551" s="147"/>
      <c r="E551" s="147"/>
      <c r="F551" s="147"/>
      <c r="G551" s="147"/>
      <c r="H551" s="262"/>
      <c r="I551" s="147"/>
      <c r="J551" s="147"/>
      <c r="K551" s="147"/>
      <c r="L551" s="147"/>
      <c r="M551" s="147"/>
      <c r="N551" s="147"/>
      <c r="O551" s="147"/>
      <c r="P551" s="147"/>
      <c r="Q551" s="147"/>
      <c r="R551" s="147"/>
      <c r="S551" s="147"/>
      <c r="T551" s="147"/>
      <c r="U551" s="147"/>
      <c r="V551" s="147"/>
      <c r="W551" s="147"/>
      <c r="X551" s="147"/>
      <c r="Y551" s="147"/>
      <c r="Z551" s="147"/>
      <c r="AA551" s="147"/>
      <c r="AB551" s="147"/>
      <c r="AC551" s="147"/>
      <c r="AD551" s="147"/>
    </row>
    <row r="552">
      <c r="A552" s="147"/>
      <c r="B552" s="147"/>
      <c r="C552" s="147"/>
      <c r="D552" s="147"/>
      <c r="E552" s="147"/>
      <c r="F552" s="147"/>
      <c r="G552" s="147"/>
      <c r="H552" s="262"/>
      <c r="I552" s="147"/>
      <c r="J552" s="147"/>
      <c r="K552" s="147"/>
      <c r="L552" s="147"/>
      <c r="M552" s="147"/>
      <c r="N552" s="147"/>
      <c r="O552" s="147"/>
      <c r="P552" s="147"/>
      <c r="Q552" s="147"/>
      <c r="R552" s="147"/>
      <c r="S552" s="147"/>
      <c r="T552" s="147"/>
      <c r="U552" s="147"/>
      <c r="V552" s="147"/>
      <c r="W552" s="147"/>
      <c r="X552" s="147"/>
      <c r="Y552" s="147"/>
      <c r="Z552" s="147"/>
      <c r="AA552" s="147"/>
      <c r="AB552" s="147"/>
      <c r="AC552" s="147"/>
      <c r="AD552" s="147"/>
    </row>
    <row r="553">
      <c r="A553" s="147"/>
      <c r="B553" s="147"/>
      <c r="C553" s="147"/>
      <c r="D553" s="147"/>
      <c r="E553" s="147"/>
      <c r="F553" s="147"/>
      <c r="G553" s="147"/>
      <c r="H553" s="262"/>
      <c r="I553" s="147"/>
      <c r="J553" s="147"/>
      <c r="K553" s="147"/>
      <c r="L553" s="147"/>
      <c r="M553" s="147"/>
      <c r="N553" s="147"/>
      <c r="O553" s="147"/>
      <c r="P553" s="147"/>
      <c r="Q553" s="147"/>
      <c r="R553" s="147"/>
      <c r="S553" s="147"/>
      <c r="T553" s="147"/>
      <c r="U553" s="147"/>
      <c r="V553" s="147"/>
      <c r="W553" s="147"/>
      <c r="X553" s="147"/>
      <c r="Y553" s="147"/>
      <c r="Z553" s="147"/>
      <c r="AA553" s="147"/>
      <c r="AB553" s="147"/>
      <c r="AC553" s="147"/>
      <c r="AD553" s="147"/>
    </row>
    <row r="554">
      <c r="A554" s="147"/>
      <c r="B554" s="147"/>
      <c r="C554" s="147"/>
      <c r="D554" s="147"/>
      <c r="E554" s="147"/>
      <c r="F554" s="147"/>
      <c r="G554" s="147"/>
      <c r="H554" s="262"/>
      <c r="I554" s="147"/>
      <c r="J554" s="147"/>
      <c r="K554" s="147"/>
      <c r="L554" s="147"/>
      <c r="M554" s="147"/>
      <c r="N554" s="147"/>
      <c r="O554" s="147"/>
      <c r="P554" s="147"/>
      <c r="Q554" s="147"/>
      <c r="R554" s="147"/>
      <c r="S554" s="147"/>
      <c r="T554" s="147"/>
      <c r="U554" s="147"/>
      <c r="V554" s="147"/>
      <c r="W554" s="147"/>
      <c r="X554" s="147"/>
      <c r="Y554" s="147"/>
      <c r="Z554" s="147"/>
      <c r="AA554" s="147"/>
      <c r="AB554" s="147"/>
      <c r="AC554" s="147"/>
      <c r="AD554" s="147"/>
    </row>
    <row r="555">
      <c r="A555" s="147"/>
      <c r="B555" s="147"/>
      <c r="C555" s="147"/>
      <c r="D555" s="147"/>
      <c r="E555" s="147"/>
      <c r="F555" s="147"/>
      <c r="G555" s="147"/>
      <c r="H555" s="262"/>
      <c r="I555" s="147"/>
      <c r="J555" s="147"/>
      <c r="K555" s="147"/>
      <c r="L555" s="147"/>
      <c r="M555" s="147"/>
      <c r="N555" s="147"/>
      <c r="O555" s="147"/>
      <c r="P555" s="147"/>
      <c r="Q555" s="147"/>
      <c r="R555" s="147"/>
      <c r="S555" s="147"/>
      <c r="T555" s="147"/>
      <c r="U555" s="147"/>
      <c r="V555" s="147"/>
      <c r="W555" s="147"/>
      <c r="X555" s="147"/>
      <c r="Y555" s="147"/>
      <c r="Z555" s="147"/>
      <c r="AA555" s="147"/>
      <c r="AB555" s="147"/>
      <c r="AC555" s="147"/>
      <c r="AD555" s="147"/>
    </row>
    <row r="556">
      <c r="A556" s="147"/>
      <c r="B556" s="147"/>
      <c r="C556" s="147"/>
      <c r="D556" s="147"/>
      <c r="E556" s="147"/>
      <c r="F556" s="147"/>
      <c r="G556" s="147"/>
      <c r="H556" s="262"/>
      <c r="I556" s="147"/>
      <c r="J556" s="147"/>
      <c r="K556" s="147"/>
      <c r="L556" s="147"/>
      <c r="M556" s="147"/>
      <c r="N556" s="147"/>
      <c r="O556" s="147"/>
      <c r="P556" s="147"/>
      <c r="Q556" s="147"/>
      <c r="R556" s="147"/>
      <c r="S556" s="147"/>
      <c r="T556" s="147"/>
      <c r="U556" s="147"/>
      <c r="V556" s="147"/>
      <c r="W556" s="147"/>
      <c r="X556" s="147"/>
      <c r="Y556" s="147"/>
      <c r="Z556" s="147"/>
      <c r="AA556" s="147"/>
      <c r="AB556" s="147"/>
      <c r="AC556" s="147"/>
      <c r="AD556" s="147"/>
    </row>
    <row r="557">
      <c r="A557" s="147"/>
      <c r="B557" s="147"/>
      <c r="C557" s="147"/>
      <c r="D557" s="147"/>
      <c r="E557" s="147"/>
      <c r="F557" s="147"/>
      <c r="G557" s="147"/>
      <c r="H557" s="262"/>
      <c r="I557" s="147"/>
      <c r="J557" s="147"/>
      <c r="K557" s="147"/>
      <c r="L557" s="147"/>
      <c r="M557" s="147"/>
      <c r="N557" s="147"/>
      <c r="O557" s="147"/>
      <c r="P557" s="147"/>
      <c r="Q557" s="147"/>
      <c r="R557" s="147"/>
      <c r="S557" s="147"/>
      <c r="T557" s="147"/>
      <c r="U557" s="147"/>
      <c r="V557" s="147"/>
      <c r="W557" s="147"/>
      <c r="X557" s="147"/>
      <c r="Y557" s="147"/>
      <c r="Z557" s="147"/>
      <c r="AA557" s="147"/>
      <c r="AB557" s="147"/>
      <c r="AC557" s="147"/>
      <c r="AD557" s="147"/>
    </row>
    <row r="558">
      <c r="A558" s="147"/>
      <c r="B558" s="147"/>
      <c r="C558" s="147"/>
      <c r="D558" s="147"/>
      <c r="E558" s="147"/>
      <c r="F558" s="147"/>
      <c r="G558" s="147"/>
      <c r="H558" s="262"/>
      <c r="I558" s="147"/>
      <c r="J558" s="147"/>
      <c r="K558" s="147"/>
      <c r="L558" s="147"/>
      <c r="M558" s="147"/>
      <c r="N558" s="147"/>
      <c r="O558" s="147"/>
      <c r="P558" s="147"/>
      <c r="Q558" s="147"/>
      <c r="R558" s="147"/>
      <c r="S558" s="147"/>
      <c r="T558" s="147"/>
      <c r="U558" s="147"/>
      <c r="V558" s="147"/>
      <c r="W558" s="147"/>
      <c r="X558" s="147"/>
      <c r="Y558" s="147"/>
      <c r="Z558" s="147"/>
      <c r="AA558" s="147"/>
      <c r="AB558" s="147"/>
      <c r="AC558" s="147"/>
      <c r="AD558" s="147"/>
    </row>
    <row r="559">
      <c r="A559" s="147"/>
      <c r="B559" s="147"/>
      <c r="C559" s="147"/>
      <c r="D559" s="147"/>
      <c r="E559" s="147"/>
      <c r="F559" s="147"/>
      <c r="G559" s="147"/>
      <c r="H559" s="262"/>
      <c r="I559" s="147"/>
      <c r="J559" s="147"/>
      <c r="K559" s="147"/>
      <c r="L559" s="147"/>
      <c r="M559" s="147"/>
      <c r="N559" s="147"/>
      <c r="O559" s="147"/>
      <c r="P559" s="147"/>
      <c r="Q559" s="147"/>
      <c r="R559" s="147"/>
      <c r="S559" s="147"/>
      <c r="T559" s="147"/>
      <c r="U559" s="147"/>
      <c r="V559" s="147"/>
      <c r="W559" s="147"/>
      <c r="X559" s="147"/>
      <c r="Y559" s="147"/>
      <c r="Z559" s="147"/>
      <c r="AA559" s="147"/>
      <c r="AB559" s="147"/>
      <c r="AC559" s="147"/>
      <c r="AD559" s="147"/>
    </row>
    <row r="560">
      <c r="A560" s="147"/>
      <c r="B560" s="147"/>
      <c r="C560" s="147"/>
      <c r="D560" s="147"/>
      <c r="E560" s="147"/>
      <c r="F560" s="147"/>
      <c r="G560" s="147"/>
      <c r="H560" s="262"/>
      <c r="I560" s="147"/>
      <c r="J560" s="147"/>
      <c r="K560" s="147"/>
      <c r="L560" s="147"/>
      <c r="M560" s="147"/>
      <c r="N560" s="147"/>
      <c r="O560" s="147"/>
      <c r="P560" s="147"/>
      <c r="Q560" s="147"/>
      <c r="R560" s="147"/>
      <c r="S560" s="147"/>
      <c r="T560" s="147"/>
      <c r="U560" s="147"/>
      <c r="V560" s="147"/>
      <c r="W560" s="147"/>
      <c r="X560" s="147"/>
      <c r="Y560" s="147"/>
      <c r="Z560" s="147"/>
      <c r="AA560" s="147"/>
      <c r="AB560" s="147"/>
      <c r="AC560" s="147"/>
      <c r="AD560" s="147"/>
    </row>
    <row r="561">
      <c r="A561" s="147"/>
      <c r="B561" s="147"/>
      <c r="C561" s="147"/>
      <c r="D561" s="147"/>
      <c r="E561" s="147"/>
      <c r="F561" s="147"/>
      <c r="G561" s="147"/>
      <c r="H561" s="262"/>
      <c r="I561" s="147"/>
      <c r="J561" s="147"/>
      <c r="K561" s="147"/>
      <c r="L561" s="147"/>
      <c r="M561" s="147"/>
      <c r="N561" s="147"/>
      <c r="O561" s="147"/>
      <c r="P561" s="147"/>
      <c r="Q561" s="147"/>
      <c r="R561" s="147"/>
      <c r="S561" s="147"/>
      <c r="T561" s="147"/>
      <c r="U561" s="147"/>
      <c r="V561" s="147"/>
      <c r="W561" s="147"/>
      <c r="X561" s="147"/>
      <c r="Y561" s="147"/>
      <c r="Z561" s="147"/>
      <c r="AA561" s="147"/>
      <c r="AB561" s="147"/>
      <c r="AC561" s="147"/>
      <c r="AD561" s="147"/>
    </row>
    <row r="562">
      <c r="A562" s="147"/>
      <c r="B562" s="147"/>
      <c r="C562" s="147"/>
      <c r="D562" s="147"/>
      <c r="E562" s="147"/>
      <c r="F562" s="147"/>
      <c r="G562" s="147"/>
      <c r="H562" s="262"/>
      <c r="I562" s="147"/>
      <c r="J562" s="147"/>
      <c r="K562" s="147"/>
      <c r="L562" s="147"/>
      <c r="M562" s="147"/>
      <c r="N562" s="147"/>
      <c r="O562" s="147"/>
      <c r="P562" s="147"/>
      <c r="Q562" s="147"/>
      <c r="R562" s="147"/>
      <c r="S562" s="147"/>
      <c r="T562" s="147"/>
      <c r="U562" s="147"/>
      <c r="V562" s="147"/>
      <c r="W562" s="147"/>
      <c r="X562" s="147"/>
      <c r="Y562" s="147"/>
      <c r="Z562" s="147"/>
      <c r="AA562" s="147"/>
      <c r="AB562" s="147"/>
      <c r="AC562" s="147"/>
      <c r="AD562" s="147"/>
    </row>
    <row r="563">
      <c r="A563" s="147"/>
      <c r="B563" s="147"/>
      <c r="C563" s="147"/>
      <c r="D563" s="147"/>
      <c r="E563" s="147"/>
      <c r="F563" s="147"/>
      <c r="G563" s="147"/>
      <c r="H563" s="262"/>
      <c r="I563" s="147"/>
      <c r="J563" s="147"/>
      <c r="K563" s="147"/>
      <c r="L563" s="147"/>
      <c r="M563" s="147"/>
      <c r="N563" s="147"/>
      <c r="O563" s="147"/>
      <c r="P563" s="147"/>
      <c r="Q563" s="147"/>
      <c r="R563" s="147"/>
      <c r="S563" s="147"/>
      <c r="T563" s="147"/>
      <c r="U563" s="147"/>
      <c r="V563" s="147"/>
      <c r="W563" s="147"/>
      <c r="X563" s="147"/>
      <c r="Y563" s="147"/>
      <c r="Z563" s="147"/>
      <c r="AA563" s="147"/>
      <c r="AB563" s="147"/>
      <c r="AC563" s="147"/>
      <c r="AD563" s="147"/>
    </row>
    <row r="564">
      <c r="A564" s="147"/>
      <c r="B564" s="147"/>
      <c r="C564" s="147"/>
      <c r="D564" s="147"/>
      <c r="E564" s="147"/>
      <c r="F564" s="147"/>
      <c r="G564" s="147"/>
      <c r="H564" s="262"/>
      <c r="I564" s="147"/>
      <c r="J564" s="147"/>
      <c r="K564" s="147"/>
      <c r="L564" s="147"/>
      <c r="M564" s="147"/>
      <c r="N564" s="147"/>
      <c r="O564" s="147"/>
      <c r="P564" s="147"/>
      <c r="Q564" s="147"/>
      <c r="R564" s="147"/>
      <c r="S564" s="147"/>
      <c r="T564" s="147"/>
      <c r="U564" s="147"/>
      <c r="V564" s="147"/>
      <c r="W564" s="147"/>
      <c r="X564" s="147"/>
      <c r="Y564" s="147"/>
      <c r="Z564" s="147"/>
      <c r="AA564" s="147"/>
      <c r="AB564" s="147"/>
      <c r="AC564" s="147"/>
      <c r="AD564" s="147"/>
    </row>
    <row r="565">
      <c r="A565" s="147"/>
      <c r="B565" s="147"/>
      <c r="C565" s="147"/>
      <c r="D565" s="147"/>
      <c r="E565" s="147"/>
      <c r="F565" s="147"/>
      <c r="G565" s="147"/>
      <c r="H565" s="262"/>
      <c r="I565" s="147"/>
      <c r="J565" s="147"/>
      <c r="K565" s="147"/>
      <c r="L565" s="147"/>
      <c r="M565" s="147"/>
      <c r="N565" s="147"/>
      <c r="O565" s="147"/>
      <c r="P565" s="147"/>
      <c r="Q565" s="147"/>
      <c r="R565" s="147"/>
      <c r="S565" s="147"/>
      <c r="T565" s="147"/>
      <c r="U565" s="147"/>
      <c r="V565" s="147"/>
      <c r="W565" s="147"/>
      <c r="X565" s="147"/>
      <c r="Y565" s="147"/>
      <c r="Z565" s="147"/>
      <c r="AA565" s="147"/>
      <c r="AB565" s="147"/>
      <c r="AC565" s="147"/>
      <c r="AD565" s="147"/>
    </row>
    <row r="566">
      <c r="A566" s="147"/>
      <c r="B566" s="147"/>
      <c r="C566" s="147"/>
      <c r="D566" s="147"/>
      <c r="E566" s="147"/>
      <c r="F566" s="147"/>
      <c r="G566" s="147"/>
      <c r="H566" s="262"/>
      <c r="I566" s="147"/>
      <c r="J566" s="147"/>
      <c r="K566" s="147"/>
      <c r="L566" s="147"/>
      <c r="M566" s="147"/>
      <c r="N566" s="147"/>
      <c r="O566" s="147"/>
      <c r="P566" s="147"/>
      <c r="Q566" s="147"/>
      <c r="R566" s="147"/>
      <c r="S566" s="147"/>
      <c r="T566" s="147"/>
      <c r="U566" s="147"/>
      <c r="V566" s="147"/>
      <c r="W566" s="147"/>
      <c r="X566" s="147"/>
      <c r="Y566" s="147"/>
      <c r="Z566" s="147"/>
      <c r="AA566" s="147"/>
      <c r="AB566" s="147"/>
      <c r="AC566" s="147"/>
      <c r="AD566" s="147"/>
    </row>
    <row r="567">
      <c r="A567" s="147"/>
      <c r="B567" s="147"/>
      <c r="C567" s="147"/>
      <c r="D567" s="147"/>
      <c r="E567" s="147"/>
      <c r="F567" s="147"/>
      <c r="G567" s="147"/>
      <c r="H567" s="262"/>
      <c r="I567" s="147"/>
      <c r="J567" s="147"/>
      <c r="K567" s="147"/>
      <c r="L567" s="147"/>
      <c r="M567" s="147"/>
      <c r="N567" s="147"/>
      <c r="O567" s="147"/>
      <c r="P567" s="147"/>
      <c r="Q567" s="147"/>
      <c r="R567" s="147"/>
      <c r="S567" s="147"/>
      <c r="T567" s="147"/>
      <c r="U567" s="147"/>
      <c r="V567" s="147"/>
      <c r="W567" s="147"/>
      <c r="X567" s="147"/>
      <c r="Y567" s="147"/>
      <c r="Z567" s="147"/>
      <c r="AA567" s="147"/>
      <c r="AB567" s="147"/>
      <c r="AC567" s="147"/>
      <c r="AD567" s="147"/>
    </row>
    <row r="568">
      <c r="A568" s="147"/>
      <c r="B568" s="147"/>
      <c r="C568" s="147"/>
      <c r="D568" s="147"/>
      <c r="E568" s="147"/>
      <c r="F568" s="147"/>
      <c r="G568" s="147"/>
      <c r="H568" s="262"/>
      <c r="I568" s="147"/>
      <c r="J568" s="147"/>
      <c r="K568" s="147"/>
      <c r="L568" s="147"/>
      <c r="M568" s="147"/>
      <c r="N568" s="147"/>
      <c r="O568" s="147"/>
      <c r="P568" s="147"/>
      <c r="Q568" s="147"/>
      <c r="R568" s="147"/>
      <c r="S568" s="147"/>
      <c r="T568" s="147"/>
      <c r="U568" s="147"/>
      <c r="V568" s="147"/>
      <c r="W568" s="147"/>
      <c r="X568" s="147"/>
      <c r="Y568" s="147"/>
      <c r="Z568" s="147"/>
      <c r="AA568" s="147"/>
      <c r="AB568" s="147"/>
      <c r="AC568" s="147"/>
      <c r="AD568" s="147"/>
    </row>
    <row r="569">
      <c r="A569" s="147"/>
      <c r="B569" s="147"/>
      <c r="C569" s="147"/>
      <c r="D569" s="147"/>
      <c r="E569" s="147"/>
      <c r="F569" s="147"/>
      <c r="G569" s="147"/>
      <c r="H569" s="262"/>
      <c r="I569" s="147"/>
      <c r="J569" s="147"/>
      <c r="K569" s="147"/>
      <c r="L569" s="147"/>
      <c r="M569" s="147"/>
      <c r="N569" s="147"/>
      <c r="O569" s="147"/>
      <c r="P569" s="147"/>
      <c r="Q569" s="147"/>
      <c r="R569" s="147"/>
      <c r="S569" s="147"/>
      <c r="T569" s="147"/>
      <c r="U569" s="147"/>
      <c r="V569" s="147"/>
      <c r="W569" s="147"/>
      <c r="X569" s="147"/>
      <c r="Y569" s="147"/>
      <c r="Z569" s="147"/>
      <c r="AA569" s="147"/>
      <c r="AB569" s="147"/>
      <c r="AC569" s="147"/>
      <c r="AD569" s="147"/>
    </row>
    <row r="570">
      <c r="A570" s="147"/>
      <c r="B570" s="147"/>
      <c r="C570" s="147"/>
      <c r="D570" s="147"/>
      <c r="E570" s="147"/>
      <c r="F570" s="147"/>
      <c r="G570" s="147"/>
      <c r="H570" s="262"/>
      <c r="I570" s="147"/>
      <c r="J570" s="147"/>
      <c r="K570" s="147"/>
      <c r="L570" s="147"/>
      <c r="M570" s="147"/>
      <c r="N570" s="147"/>
      <c r="O570" s="147"/>
      <c r="P570" s="147"/>
      <c r="Q570" s="147"/>
      <c r="R570" s="147"/>
      <c r="S570" s="147"/>
      <c r="T570" s="147"/>
      <c r="U570" s="147"/>
      <c r="V570" s="147"/>
      <c r="W570" s="147"/>
      <c r="X570" s="147"/>
      <c r="Y570" s="147"/>
      <c r="Z570" s="147"/>
      <c r="AA570" s="147"/>
      <c r="AB570" s="147"/>
      <c r="AC570" s="147"/>
      <c r="AD570" s="147"/>
    </row>
    <row r="571">
      <c r="A571" s="147"/>
      <c r="B571" s="147"/>
      <c r="C571" s="147"/>
      <c r="D571" s="147"/>
      <c r="E571" s="147"/>
      <c r="F571" s="147"/>
      <c r="G571" s="147"/>
      <c r="H571" s="262"/>
      <c r="I571" s="147"/>
      <c r="J571" s="147"/>
      <c r="K571" s="147"/>
      <c r="L571" s="147"/>
      <c r="M571" s="147"/>
      <c r="N571" s="147"/>
      <c r="O571" s="147"/>
      <c r="P571" s="147"/>
      <c r="Q571" s="147"/>
      <c r="R571" s="147"/>
      <c r="S571" s="147"/>
      <c r="T571" s="147"/>
      <c r="U571" s="147"/>
      <c r="V571" s="147"/>
      <c r="W571" s="147"/>
      <c r="X571" s="147"/>
      <c r="Y571" s="147"/>
      <c r="Z571" s="147"/>
      <c r="AA571" s="147"/>
      <c r="AB571" s="147"/>
      <c r="AC571" s="147"/>
      <c r="AD571" s="147"/>
    </row>
    <row r="572">
      <c r="A572" s="147"/>
      <c r="B572" s="147"/>
      <c r="C572" s="147"/>
      <c r="D572" s="147"/>
      <c r="E572" s="147"/>
      <c r="F572" s="147"/>
      <c r="G572" s="147"/>
      <c r="H572" s="262"/>
      <c r="I572" s="147"/>
      <c r="J572" s="147"/>
      <c r="K572" s="147"/>
      <c r="L572" s="147"/>
      <c r="M572" s="147"/>
      <c r="N572" s="147"/>
      <c r="O572" s="147"/>
      <c r="P572" s="147"/>
      <c r="Q572" s="147"/>
      <c r="R572" s="147"/>
      <c r="S572" s="147"/>
      <c r="T572" s="147"/>
      <c r="U572" s="147"/>
      <c r="V572" s="147"/>
      <c r="W572" s="147"/>
      <c r="X572" s="147"/>
      <c r="Y572" s="147"/>
      <c r="Z572" s="147"/>
      <c r="AA572" s="147"/>
      <c r="AB572" s="147"/>
      <c r="AC572" s="147"/>
      <c r="AD572" s="147"/>
    </row>
    <row r="573">
      <c r="A573" s="147"/>
      <c r="B573" s="147"/>
      <c r="C573" s="147"/>
      <c r="D573" s="147"/>
      <c r="E573" s="147"/>
      <c r="F573" s="147"/>
      <c r="G573" s="147"/>
      <c r="H573" s="262"/>
      <c r="I573" s="147"/>
      <c r="J573" s="147"/>
      <c r="K573" s="147"/>
      <c r="L573" s="147"/>
      <c r="M573" s="147"/>
      <c r="N573" s="147"/>
      <c r="O573" s="147"/>
      <c r="P573" s="147"/>
      <c r="Q573" s="147"/>
      <c r="R573" s="147"/>
      <c r="S573" s="147"/>
      <c r="T573" s="147"/>
      <c r="U573" s="147"/>
      <c r="V573" s="147"/>
      <c r="W573" s="147"/>
      <c r="X573" s="147"/>
      <c r="Y573" s="147"/>
      <c r="Z573" s="147"/>
      <c r="AA573" s="147"/>
      <c r="AB573" s="147"/>
      <c r="AC573" s="147"/>
      <c r="AD573" s="147"/>
    </row>
    <row r="574">
      <c r="A574" s="147"/>
      <c r="B574" s="147"/>
      <c r="C574" s="147"/>
      <c r="D574" s="147"/>
      <c r="E574" s="147"/>
      <c r="F574" s="147"/>
      <c r="G574" s="147"/>
      <c r="H574" s="262"/>
      <c r="I574" s="147"/>
      <c r="J574" s="147"/>
      <c r="K574" s="147"/>
      <c r="L574" s="147"/>
      <c r="M574" s="147"/>
      <c r="N574" s="147"/>
      <c r="O574" s="147"/>
      <c r="P574" s="147"/>
      <c r="Q574" s="147"/>
      <c r="R574" s="147"/>
      <c r="S574" s="147"/>
      <c r="T574" s="147"/>
      <c r="U574" s="147"/>
      <c r="V574" s="147"/>
      <c r="W574" s="147"/>
      <c r="X574" s="147"/>
      <c r="Y574" s="147"/>
      <c r="Z574" s="147"/>
      <c r="AA574" s="147"/>
      <c r="AB574" s="147"/>
      <c r="AC574" s="147"/>
      <c r="AD574" s="147"/>
    </row>
    <row r="575">
      <c r="A575" s="147"/>
      <c r="B575" s="147"/>
      <c r="C575" s="147"/>
      <c r="D575" s="147"/>
      <c r="E575" s="147"/>
      <c r="F575" s="147"/>
      <c r="G575" s="147"/>
      <c r="H575" s="262"/>
      <c r="I575" s="147"/>
      <c r="J575" s="147"/>
      <c r="K575" s="147"/>
      <c r="L575" s="147"/>
      <c r="M575" s="147"/>
      <c r="N575" s="147"/>
      <c r="O575" s="147"/>
      <c r="P575" s="147"/>
      <c r="Q575" s="147"/>
      <c r="R575" s="147"/>
      <c r="S575" s="147"/>
      <c r="T575" s="147"/>
      <c r="U575" s="147"/>
      <c r="V575" s="147"/>
      <c r="W575" s="147"/>
      <c r="X575" s="147"/>
      <c r="Y575" s="147"/>
      <c r="Z575" s="147"/>
      <c r="AA575" s="147"/>
      <c r="AB575" s="147"/>
      <c r="AC575" s="147"/>
      <c r="AD575" s="147"/>
    </row>
    <row r="576">
      <c r="A576" s="147"/>
      <c r="B576" s="147"/>
      <c r="C576" s="147"/>
      <c r="D576" s="147"/>
      <c r="E576" s="147"/>
      <c r="F576" s="147"/>
      <c r="G576" s="147"/>
      <c r="H576" s="262"/>
      <c r="I576" s="147"/>
      <c r="J576" s="147"/>
      <c r="K576" s="147"/>
      <c r="L576" s="147"/>
      <c r="M576" s="147"/>
      <c r="N576" s="147"/>
      <c r="O576" s="147"/>
      <c r="P576" s="147"/>
      <c r="Q576" s="147"/>
      <c r="R576" s="147"/>
      <c r="S576" s="147"/>
      <c r="T576" s="147"/>
      <c r="U576" s="147"/>
      <c r="V576" s="147"/>
      <c r="W576" s="147"/>
      <c r="X576" s="147"/>
      <c r="Y576" s="147"/>
      <c r="Z576" s="147"/>
      <c r="AA576" s="147"/>
      <c r="AB576" s="147"/>
      <c r="AC576" s="147"/>
      <c r="AD576" s="147"/>
    </row>
    <row r="577">
      <c r="A577" s="147"/>
      <c r="B577" s="147"/>
      <c r="C577" s="147"/>
      <c r="D577" s="147"/>
      <c r="E577" s="147"/>
      <c r="F577" s="147"/>
      <c r="G577" s="147"/>
      <c r="H577" s="262"/>
      <c r="I577" s="147"/>
      <c r="J577" s="147"/>
      <c r="K577" s="147"/>
      <c r="L577" s="147"/>
      <c r="M577" s="147"/>
      <c r="N577" s="147"/>
      <c r="O577" s="147"/>
      <c r="P577" s="147"/>
      <c r="Q577" s="147"/>
      <c r="R577" s="147"/>
      <c r="S577" s="147"/>
      <c r="T577" s="147"/>
      <c r="U577" s="147"/>
      <c r="V577" s="147"/>
      <c r="W577" s="147"/>
      <c r="X577" s="147"/>
      <c r="Y577" s="147"/>
      <c r="Z577" s="147"/>
      <c r="AA577" s="147"/>
      <c r="AB577" s="147"/>
      <c r="AC577" s="147"/>
      <c r="AD577" s="147"/>
    </row>
    <row r="578">
      <c r="A578" s="147"/>
      <c r="B578" s="147"/>
      <c r="C578" s="147"/>
      <c r="D578" s="147"/>
      <c r="E578" s="147"/>
      <c r="F578" s="147"/>
      <c r="G578" s="147"/>
      <c r="H578" s="262"/>
      <c r="I578" s="147"/>
      <c r="J578" s="147"/>
      <c r="K578" s="147"/>
      <c r="L578" s="147"/>
      <c r="M578" s="147"/>
      <c r="N578" s="147"/>
      <c r="O578" s="147"/>
      <c r="P578" s="147"/>
      <c r="Q578" s="147"/>
      <c r="R578" s="147"/>
      <c r="S578" s="147"/>
      <c r="T578" s="147"/>
      <c r="U578" s="147"/>
      <c r="V578" s="147"/>
      <c r="W578" s="147"/>
      <c r="X578" s="147"/>
      <c r="Y578" s="147"/>
      <c r="Z578" s="147"/>
      <c r="AA578" s="147"/>
      <c r="AB578" s="147"/>
      <c r="AC578" s="147"/>
      <c r="AD578" s="147"/>
    </row>
    <row r="579">
      <c r="A579" s="147"/>
      <c r="B579" s="147"/>
      <c r="C579" s="147"/>
      <c r="D579" s="147"/>
      <c r="E579" s="147"/>
      <c r="F579" s="147"/>
      <c r="G579" s="147"/>
      <c r="H579" s="262"/>
      <c r="I579" s="147"/>
      <c r="J579" s="147"/>
      <c r="K579" s="147"/>
      <c r="L579" s="147"/>
      <c r="M579" s="147"/>
      <c r="N579" s="147"/>
      <c r="O579" s="147"/>
      <c r="P579" s="147"/>
      <c r="Q579" s="147"/>
      <c r="R579" s="147"/>
      <c r="S579" s="147"/>
      <c r="T579" s="147"/>
      <c r="U579" s="147"/>
      <c r="V579" s="147"/>
      <c r="W579" s="147"/>
      <c r="X579" s="147"/>
      <c r="Y579" s="147"/>
      <c r="Z579" s="147"/>
      <c r="AA579" s="147"/>
      <c r="AB579" s="147"/>
      <c r="AC579" s="147"/>
      <c r="AD579" s="147"/>
    </row>
    <row r="580">
      <c r="A580" s="147"/>
      <c r="B580" s="147"/>
      <c r="C580" s="147"/>
      <c r="D580" s="147"/>
      <c r="E580" s="147"/>
      <c r="F580" s="147"/>
      <c r="G580" s="147"/>
      <c r="H580" s="262"/>
      <c r="I580" s="147"/>
      <c r="J580" s="147"/>
      <c r="K580" s="147"/>
      <c r="L580" s="147"/>
      <c r="M580" s="147"/>
      <c r="N580" s="147"/>
      <c r="O580" s="147"/>
      <c r="P580" s="147"/>
      <c r="Q580" s="147"/>
      <c r="R580" s="147"/>
      <c r="S580" s="147"/>
      <c r="T580" s="147"/>
      <c r="U580" s="147"/>
      <c r="V580" s="147"/>
      <c r="W580" s="147"/>
      <c r="X580" s="147"/>
      <c r="Y580" s="147"/>
      <c r="Z580" s="147"/>
      <c r="AA580" s="147"/>
      <c r="AB580" s="147"/>
      <c r="AC580" s="147"/>
      <c r="AD580" s="147"/>
    </row>
    <row r="581">
      <c r="A581" s="147"/>
      <c r="B581" s="147"/>
      <c r="C581" s="147"/>
      <c r="D581" s="147"/>
      <c r="E581" s="147"/>
      <c r="F581" s="147"/>
      <c r="G581" s="147"/>
      <c r="H581" s="262"/>
      <c r="I581" s="147"/>
      <c r="J581" s="147"/>
      <c r="K581" s="147"/>
      <c r="L581" s="147"/>
      <c r="M581" s="147"/>
      <c r="N581" s="147"/>
      <c r="O581" s="147"/>
      <c r="P581" s="147"/>
      <c r="Q581" s="147"/>
      <c r="R581" s="147"/>
      <c r="S581" s="147"/>
      <c r="T581" s="147"/>
      <c r="U581" s="147"/>
      <c r="V581" s="147"/>
      <c r="W581" s="147"/>
      <c r="X581" s="147"/>
      <c r="Y581" s="147"/>
      <c r="Z581" s="147"/>
      <c r="AA581" s="147"/>
      <c r="AB581" s="147"/>
      <c r="AC581" s="147"/>
      <c r="AD581" s="147"/>
    </row>
    <row r="582">
      <c r="A582" s="147"/>
      <c r="B582" s="147"/>
      <c r="C582" s="147"/>
      <c r="D582" s="147"/>
      <c r="E582" s="147"/>
      <c r="F582" s="147"/>
      <c r="G582" s="147"/>
      <c r="H582" s="262"/>
      <c r="I582" s="147"/>
      <c r="J582" s="147"/>
      <c r="K582" s="147"/>
      <c r="L582" s="147"/>
      <c r="M582" s="147"/>
      <c r="N582" s="147"/>
      <c r="O582" s="147"/>
      <c r="P582" s="147"/>
      <c r="Q582" s="147"/>
      <c r="R582" s="147"/>
      <c r="S582" s="147"/>
      <c r="T582" s="147"/>
      <c r="U582" s="147"/>
      <c r="V582" s="147"/>
      <c r="W582" s="147"/>
      <c r="X582" s="147"/>
      <c r="Y582" s="147"/>
      <c r="Z582" s="147"/>
      <c r="AA582" s="147"/>
      <c r="AB582" s="147"/>
      <c r="AC582" s="147"/>
      <c r="AD582" s="147"/>
    </row>
    <row r="583">
      <c r="A583" s="147"/>
      <c r="B583" s="147"/>
      <c r="C583" s="147"/>
      <c r="D583" s="147"/>
      <c r="E583" s="147"/>
      <c r="F583" s="147"/>
      <c r="G583" s="147"/>
      <c r="H583" s="262"/>
      <c r="I583" s="147"/>
      <c r="J583" s="147"/>
      <c r="K583" s="147"/>
      <c r="L583" s="147"/>
      <c r="M583" s="147"/>
      <c r="N583" s="147"/>
      <c r="O583" s="147"/>
      <c r="P583" s="147"/>
      <c r="Q583" s="147"/>
      <c r="R583" s="147"/>
      <c r="S583" s="147"/>
      <c r="T583" s="147"/>
      <c r="U583" s="147"/>
      <c r="V583" s="147"/>
      <c r="W583" s="147"/>
      <c r="X583" s="147"/>
      <c r="Y583" s="147"/>
      <c r="Z583" s="147"/>
      <c r="AA583" s="147"/>
      <c r="AB583" s="147"/>
      <c r="AC583" s="147"/>
      <c r="AD583" s="147"/>
    </row>
    <row r="584">
      <c r="A584" s="147"/>
      <c r="B584" s="147"/>
      <c r="C584" s="147"/>
      <c r="D584" s="147"/>
      <c r="E584" s="147"/>
      <c r="F584" s="147"/>
      <c r="G584" s="147"/>
      <c r="H584" s="262"/>
      <c r="I584" s="147"/>
      <c r="J584" s="147"/>
      <c r="K584" s="147"/>
      <c r="L584" s="147"/>
      <c r="M584" s="147"/>
      <c r="N584" s="147"/>
      <c r="O584" s="147"/>
      <c r="P584" s="147"/>
      <c r="Q584" s="147"/>
      <c r="R584" s="147"/>
      <c r="S584" s="147"/>
      <c r="T584" s="147"/>
      <c r="U584" s="147"/>
      <c r="V584" s="147"/>
      <c r="W584" s="147"/>
      <c r="X584" s="147"/>
      <c r="Y584" s="147"/>
      <c r="Z584" s="147"/>
      <c r="AA584" s="147"/>
      <c r="AB584" s="147"/>
      <c r="AC584" s="147"/>
      <c r="AD584" s="147"/>
    </row>
    <row r="585">
      <c r="A585" s="147"/>
      <c r="B585" s="147"/>
      <c r="C585" s="147"/>
      <c r="D585" s="147"/>
      <c r="E585" s="147"/>
      <c r="F585" s="147"/>
      <c r="G585" s="147"/>
      <c r="H585" s="262"/>
      <c r="I585" s="147"/>
      <c r="J585" s="147"/>
      <c r="K585" s="147"/>
      <c r="L585" s="147"/>
      <c r="M585" s="147"/>
      <c r="N585" s="147"/>
      <c r="O585" s="147"/>
      <c r="P585" s="147"/>
      <c r="Q585" s="147"/>
      <c r="R585" s="147"/>
      <c r="S585" s="147"/>
      <c r="T585" s="147"/>
      <c r="U585" s="147"/>
      <c r="V585" s="147"/>
      <c r="W585" s="147"/>
      <c r="X585" s="147"/>
      <c r="Y585" s="147"/>
      <c r="Z585" s="147"/>
      <c r="AA585" s="147"/>
      <c r="AB585" s="147"/>
      <c r="AC585" s="147"/>
      <c r="AD585" s="147"/>
    </row>
    <row r="586">
      <c r="A586" s="147"/>
      <c r="B586" s="147"/>
      <c r="C586" s="147"/>
      <c r="D586" s="147"/>
      <c r="E586" s="147"/>
      <c r="F586" s="147"/>
      <c r="G586" s="147"/>
      <c r="H586" s="262"/>
      <c r="I586" s="147"/>
      <c r="J586" s="147"/>
      <c r="K586" s="147"/>
      <c r="L586" s="147"/>
      <c r="M586" s="147"/>
      <c r="N586" s="147"/>
      <c r="O586" s="147"/>
      <c r="P586" s="147"/>
      <c r="Q586" s="147"/>
      <c r="R586" s="147"/>
      <c r="S586" s="147"/>
      <c r="T586" s="147"/>
      <c r="U586" s="147"/>
      <c r="V586" s="147"/>
      <c r="W586" s="147"/>
      <c r="X586" s="147"/>
      <c r="Y586" s="147"/>
      <c r="Z586" s="147"/>
      <c r="AA586" s="147"/>
      <c r="AB586" s="147"/>
      <c r="AC586" s="147"/>
      <c r="AD586" s="147"/>
    </row>
    <row r="587">
      <c r="A587" s="147"/>
      <c r="B587" s="147"/>
      <c r="C587" s="147"/>
      <c r="D587" s="147"/>
      <c r="E587" s="147"/>
      <c r="F587" s="147"/>
      <c r="G587" s="147"/>
      <c r="H587" s="262"/>
      <c r="I587" s="147"/>
      <c r="J587" s="147"/>
      <c r="K587" s="147"/>
      <c r="L587" s="147"/>
      <c r="M587" s="147"/>
      <c r="N587" s="147"/>
      <c r="O587" s="147"/>
      <c r="P587" s="147"/>
      <c r="Q587" s="147"/>
      <c r="R587" s="147"/>
      <c r="S587" s="147"/>
      <c r="T587" s="147"/>
      <c r="U587" s="147"/>
      <c r="V587" s="147"/>
      <c r="W587" s="147"/>
      <c r="X587" s="147"/>
      <c r="Y587" s="147"/>
      <c r="Z587" s="147"/>
      <c r="AA587" s="147"/>
      <c r="AB587" s="147"/>
      <c r="AC587" s="147"/>
      <c r="AD587" s="147"/>
    </row>
    <row r="588">
      <c r="A588" s="147"/>
      <c r="B588" s="147"/>
      <c r="C588" s="147"/>
      <c r="D588" s="147"/>
      <c r="E588" s="147"/>
      <c r="F588" s="147"/>
      <c r="G588" s="147"/>
      <c r="H588" s="262"/>
      <c r="I588" s="147"/>
      <c r="J588" s="147"/>
      <c r="K588" s="147"/>
      <c r="L588" s="147"/>
      <c r="M588" s="147"/>
      <c r="N588" s="147"/>
      <c r="O588" s="147"/>
      <c r="P588" s="147"/>
      <c r="Q588" s="147"/>
      <c r="R588" s="147"/>
      <c r="S588" s="147"/>
      <c r="T588" s="147"/>
      <c r="U588" s="147"/>
      <c r="V588" s="147"/>
      <c r="W588" s="147"/>
      <c r="X588" s="147"/>
      <c r="Y588" s="147"/>
      <c r="Z588" s="147"/>
      <c r="AA588" s="147"/>
      <c r="AB588" s="147"/>
      <c r="AC588" s="147"/>
      <c r="AD588" s="147"/>
    </row>
    <row r="589">
      <c r="A589" s="147"/>
      <c r="B589" s="147"/>
      <c r="C589" s="147"/>
      <c r="D589" s="147"/>
      <c r="E589" s="147"/>
      <c r="F589" s="147"/>
      <c r="G589" s="147"/>
      <c r="H589" s="262"/>
      <c r="I589" s="147"/>
      <c r="J589" s="147"/>
      <c r="K589" s="147"/>
      <c r="L589" s="147"/>
      <c r="M589" s="147"/>
      <c r="N589" s="147"/>
      <c r="O589" s="147"/>
      <c r="P589" s="147"/>
      <c r="Q589" s="147"/>
      <c r="R589" s="147"/>
      <c r="S589" s="147"/>
      <c r="T589" s="147"/>
      <c r="U589" s="147"/>
      <c r="V589" s="147"/>
      <c r="W589" s="147"/>
      <c r="X589" s="147"/>
      <c r="Y589" s="147"/>
      <c r="Z589" s="147"/>
      <c r="AA589" s="147"/>
      <c r="AB589" s="147"/>
      <c r="AC589" s="147"/>
      <c r="AD589" s="147"/>
    </row>
    <row r="590">
      <c r="A590" s="147"/>
      <c r="B590" s="147"/>
      <c r="C590" s="147"/>
      <c r="D590" s="147"/>
      <c r="E590" s="147"/>
      <c r="F590" s="147"/>
      <c r="G590" s="147"/>
      <c r="H590" s="262"/>
      <c r="I590" s="147"/>
      <c r="J590" s="147"/>
      <c r="K590" s="147"/>
      <c r="L590" s="147"/>
      <c r="M590" s="147"/>
      <c r="N590" s="147"/>
      <c r="O590" s="147"/>
      <c r="P590" s="147"/>
      <c r="Q590" s="147"/>
      <c r="R590" s="147"/>
      <c r="S590" s="147"/>
      <c r="T590" s="147"/>
      <c r="U590" s="147"/>
      <c r="V590" s="147"/>
      <c r="W590" s="147"/>
      <c r="X590" s="147"/>
      <c r="Y590" s="147"/>
      <c r="Z590" s="147"/>
      <c r="AA590" s="147"/>
      <c r="AB590" s="147"/>
      <c r="AC590" s="147"/>
      <c r="AD590" s="147"/>
    </row>
    <row r="591">
      <c r="A591" s="147"/>
      <c r="B591" s="147"/>
      <c r="C591" s="147"/>
      <c r="D591" s="147"/>
      <c r="E591" s="147"/>
      <c r="F591" s="147"/>
      <c r="G591" s="147"/>
      <c r="H591" s="262"/>
      <c r="I591" s="147"/>
      <c r="J591" s="147"/>
      <c r="K591" s="147"/>
      <c r="L591" s="147"/>
      <c r="M591" s="147"/>
      <c r="N591" s="147"/>
      <c r="O591" s="147"/>
      <c r="P591" s="147"/>
      <c r="Q591" s="147"/>
      <c r="R591" s="147"/>
      <c r="S591" s="147"/>
      <c r="T591" s="147"/>
      <c r="U591" s="147"/>
      <c r="V591" s="147"/>
      <c r="W591" s="147"/>
      <c r="X591" s="147"/>
      <c r="Y591" s="147"/>
      <c r="Z591" s="147"/>
      <c r="AA591" s="147"/>
      <c r="AB591" s="147"/>
      <c r="AC591" s="147"/>
      <c r="AD591" s="147"/>
    </row>
    <row r="592">
      <c r="A592" s="147"/>
      <c r="B592" s="147"/>
      <c r="C592" s="147"/>
      <c r="D592" s="147"/>
      <c r="E592" s="147"/>
      <c r="F592" s="147"/>
      <c r="G592" s="147"/>
      <c r="H592" s="262"/>
      <c r="I592" s="147"/>
      <c r="J592" s="147"/>
      <c r="K592" s="147"/>
      <c r="L592" s="147"/>
      <c r="M592" s="147"/>
      <c r="N592" s="147"/>
      <c r="O592" s="147"/>
      <c r="P592" s="147"/>
      <c r="Q592" s="147"/>
      <c r="R592" s="147"/>
      <c r="S592" s="147"/>
      <c r="T592" s="147"/>
      <c r="U592" s="147"/>
      <c r="V592" s="147"/>
      <c r="W592" s="147"/>
      <c r="X592" s="147"/>
      <c r="Y592" s="147"/>
      <c r="Z592" s="147"/>
      <c r="AA592" s="147"/>
      <c r="AB592" s="147"/>
      <c r="AC592" s="147"/>
      <c r="AD592" s="147"/>
    </row>
    <row r="593">
      <c r="A593" s="147"/>
      <c r="B593" s="147"/>
      <c r="C593" s="147"/>
      <c r="D593" s="147"/>
      <c r="E593" s="147"/>
      <c r="F593" s="147"/>
      <c r="G593" s="147"/>
      <c r="H593" s="262"/>
      <c r="I593" s="147"/>
      <c r="J593" s="147"/>
      <c r="K593" s="147"/>
      <c r="L593" s="147"/>
      <c r="M593" s="147"/>
      <c r="N593" s="147"/>
      <c r="O593" s="147"/>
      <c r="P593" s="147"/>
      <c r="Q593" s="147"/>
      <c r="R593" s="147"/>
      <c r="S593" s="147"/>
      <c r="T593" s="147"/>
      <c r="U593" s="147"/>
      <c r="V593" s="147"/>
      <c r="W593" s="147"/>
      <c r="X593" s="147"/>
      <c r="Y593" s="147"/>
      <c r="Z593" s="147"/>
      <c r="AA593" s="147"/>
      <c r="AB593" s="147"/>
      <c r="AC593" s="147"/>
      <c r="AD593" s="147"/>
    </row>
    <row r="594">
      <c r="A594" s="147"/>
      <c r="B594" s="147"/>
      <c r="C594" s="147"/>
      <c r="D594" s="147"/>
      <c r="E594" s="147"/>
      <c r="F594" s="147"/>
      <c r="G594" s="147"/>
      <c r="H594" s="262"/>
      <c r="I594" s="147"/>
      <c r="J594" s="147"/>
      <c r="K594" s="147"/>
      <c r="L594" s="147"/>
      <c r="M594" s="147"/>
      <c r="N594" s="147"/>
      <c r="O594" s="147"/>
      <c r="P594" s="147"/>
      <c r="Q594" s="147"/>
      <c r="R594" s="147"/>
      <c r="S594" s="147"/>
      <c r="T594" s="147"/>
      <c r="U594" s="147"/>
      <c r="V594" s="147"/>
      <c r="W594" s="147"/>
      <c r="X594" s="147"/>
      <c r="Y594" s="147"/>
      <c r="Z594" s="147"/>
      <c r="AA594" s="147"/>
      <c r="AB594" s="147"/>
      <c r="AC594" s="147"/>
      <c r="AD594" s="147"/>
    </row>
    <row r="595">
      <c r="A595" s="147"/>
      <c r="B595" s="147"/>
      <c r="C595" s="147"/>
      <c r="D595" s="147"/>
      <c r="E595" s="147"/>
      <c r="F595" s="147"/>
      <c r="G595" s="147"/>
      <c r="H595" s="262"/>
      <c r="I595" s="147"/>
      <c r="J595" s="147"/>
      <c r="K595" s="147"/>
      <c r="L595" s="147"/>
      <c r="M595" s="147"/>
      <c r="N595" s="147"/>
      <c r="O595" s="147"/>
      <c r="P595" s="147"/>
      <c r="Q595" s="147"/>
      <c r="R595" s="147"/>
      <c r="S595" s="147"/>
      <c r="T595" s="147"/>
      <c r="U595" s="147"/>
      <c r="V595" s="147"/>
      <c r="W595" s="147"/>
      <c r="X595" s="147"/>
      <c r="Y595" s="147"/>
      <c r="Z595" s="147"/>
      <c r="AA595" s="147"/>
      <c r="AB595" s="147"/>
      <c r="AC595" s="147"/>
      <c r="AD595" s="147"/>
    </row>
    <row r="596">
      <c r="A596" s="147"/>
      <c r="B596" s="147"/>
      <c r="C596" s="147"/>
      <c r="D596" s="147"/>
      <c r="E596" s="147"/>
      <c r="F596" s="147"/>
      <c r="G596" s="147"/>
      <c r="H596" s="262"/>
      <c r="I596" s="147"/>
      <c r="J596" s="147"/>
      <c r="K596" s="147"/>
      <c r="L596" s="147"/>
      <c r="M596" s="147"/>
      <c r="N596" s="147"/>
      <c r="O596" s="147"/>
      <c r="P596" s="147"/>
      <c r="Q596" s="147"/>
      <c r="R596" s="147"/>
      <c r="S596" s="147"/>
      <c r="T596" s="147"/>
      <c r="U596" s="147"/>
      <c r="V596" s="147"/>
      <c r="W596" s="147"/>
      <c r="X596" s="147"/>
      <c r="Y596" s="147"/>
      <c r="Z596" s="147"/>
      <c r="AA596" s="147"/>
      <c r="AB596" s="147"/>
      <c r="AC596" s="147"/>
      <c r="AD596" s="147"/>
    </row>
    <row r="597">
      <c r="A597" s="147"/>
      <c r="B597" s="147"/>
      <c r="C597" s="147"/>
      <c r="D597" s="147"/>
      <c r="E597" s="147"/>
      <c r="F597" s="147"/>
      <c r="G597" s="147"/>
      <c r="H597" s="262"/>
      <c r="I597" s="147"/>
      <c r="J597" s="147"/>
      <c r="K597" s="147"/>
      <c r="L597" s="147"/>
      <c r="M597" s="147"/>
      <c r="N597" s="147"/>
      <c r="O597" s="147"/>
      <c r="P597" s="147"/>
      <c r="Q597" s="147"/>
      <c r="R597" s="147"/>
      <c r="S597" s="147"/>
      <c r="T597" s="147"/>
      <c r="U597" s="147"/>
      <c r="V597" s="147"/>
      <c r="W597" s="147"/>
      <c r="X597" s="147"/>
      <c r="Y597" s="147"/>
      <c r="Z597" s="147"/>
      <c r="AA597" s="147"/>
      <c r="AB597" s="147"/>
      <c r="AC597" s="147"/>
      <c r="AD597" s="147"/>
    </row>
    <row r="598">
      <c r="A598" s="147"/>
      <c r="B598" s="147"/>
      <c r="C598" s="147"/>
      <c r="D598" s="147"/>
      <c r="E598" s="147"/>
      <c r="F598" s="147"/>
      <c r="G598" s="147"/>
      <c r="H598" s="262"/>
      <c r="I598" s="147"/>
      <c r="J598" s="147"/>
      <c r="K598" s="147"/>
      <c r="L598" s="147"/>
      <c r="M598" s="147"/>
      <c r="N598" s="147"/>
      <c r="O598" s="147"/>
      <c r="P598" s="147"/>
      <c r="Q598" s="147"/>
      <c r="R598" s="147"/>
      <c r="S598" s="147"/>
      <c r="T598" s="147"/>
      <c r="U598" s="147"/>
      <c r="V598" s="147"/>
      <c r="W598" s="147"/>
      <c r="X598" s="147"/>
      <c r="Y598" s="147"/>
      <c r="Z598" s="147"/>
      <c r="AA598" s="147"/>
      <c r="AB598" s="147"/>
      <c r="AC598" s="147"/>
      <c r="AD598" s="147"/>
    </row>
    <row r="599">
      <c r="A599" s="147"/>
      <c r="B599" s="147"/>
      <c r="C599" s="147"/>
      <c r="D599" s="147"/>
      <c r="E599" s="147"/>
      <c r="F599" s="147"/>
      <c r="G599" s="147"/>
      <c r="H599" s="262"/>
      <c r="I599" s="147"/>
      <c r="J599" s="147"/>
      <c r="K599" s="147"/>
      <c r="L599" s="147"/>
      <c r="M599" s="147"/>
      <c r="N599" s="147"/>
      <c r="O599" s="147"/>
      <c r="P599" s="147"/>
      <c r="Q599" s="147"/>
      <c r="R599" s="147"/>
      <c r="S599" s="147"/>
      <c r="T599" s="147"/>
      <c r="U599" s="147"/>
      <c r="V599" s="147"/>
      <c r="W599" s="147"/>
      <c r="X599" s="147"/>
      <c r="Y599" s="147"/>
      <c r="Z599" s="147"/>
      <c r="AA599" s="147"/>
      <c r="AB599" s="147"/>
      <c r="AC599" s="147"/>
      <c r="AD599" s="147"/>
    </row>
    <row r="600">
      <c r="A600" s="147"/>
      <c r="B600" s="147"/>
      <c r="C600" s="147"/>
      <c r="D600" s="147"/>
      <c r="E600" s="147"/>
      <c r="F600" s="147"/>
      <c r="G600" s="147"/>
      <c r="H600" s="262"/>
      <c r="I600" s="147"/>
      <c r="J600" s="147"/>
      <c r="K600" s="147"/>
      <c r="L600" s="147"/>
      <c r="M600" s="147"/>
      <c r="N600" s="147"/>
      <c r="O600" s="147"/>
      <c r="P600" s="147"/>
      <c r="Q600" s="147"/>
      <c r="R600" s="147"/>
      <c r="S600" s="147"/>
      <c r="T600" s="147"/>
      <c r="U600" s="147"/>
      <c r="V600" s="147"/>
      <c r="W600" s="147"/>
      <c r="X600" s="147"/>
      <c r="Y600" s="147"/>
      <c r="Z600" s="147"/>
      <c r="AA600" s="147"/>
      <c r="AB600" s="147"/>
      <c r="AC600" s="147"/>
      <c r="AD600" s="147"/>
    </row>
    <row r="601">
      <c r="A601" s="147"/>
      <c r="B601" s="147"/>
      <c r="C601" s="147"/>
      <c r="D601" s="147"/>
      <c r="E601" s="147"/>
      <c r="F601" s="147"/>
      <c r="G601" s="147"/>
      <c r="H601" s="262"/>
      <c r="I601" s="147"/>
      <c r="J601" s="147"/>
      <c r="K601" s="147"/>
      <c r="L601" s="147"/>
      <c r="M601" s="147"/>
      <c r="N601" s="147"/>
      <c r="O601" s="147"/>
      <c r="P601" s="147"/>
      <c r="Q601" s="147"/>
      <c r="R601" s="147"/>
      <c r="S601" s="147"/>
      <c r="T601" s="147"/>
      <c r="U601" s="147"/>
      <c r="V601" s="147"/>
      <c r="W601" s="147"/>
      <c r="X601" s="147"/>
      <c r="Y601" s="147"/>
      <c r="Z601" s="147"/>
      <c r="AA601" s="147"/>
      <c r="AB601" s="147"/>
      <c r="AC601" s="147"/>
      <c r="AD601" s="147"/>
    </row>
    <row r="602">
      <c r="A602" s="147"/>
      <c r="B602" s="147"/>
      <c r="C602" s="147"/>
      <c r="D602" s="147"/>
      <c r="E602" s="147"/>
      <c r="F602" s="147"/>
      <c r="G602" s="147"/>
      <c r="H602" s="262"/>
      <c r="I602" s="147"/>
      <c r="J602" s="147"/>
      <c r="K602" s="147"/>
      <c r="L602" s="147"/>
      <c r="M602" s="147"/>
      <c r="N602" s="147"/>
      <c r="O602" s="147"/>
      <c r="P602" s="147"/>
      <c r="Q602" s="147"/>
      <c r="R602" s="147"/>
      <c r="S602" s="147"/>
      <c r="T602" s="147"/>
      <c r="U602" s="147"/>
      <c r="V602" s="147"/>
      <c r="W602" s="147"/>
      <c r="X602" s="147"/>
      <c r="Y602" s="147"/>
      <c r="Z602" s="147"/>
      <c r="AA602" s="147"/>
      <c r="AB602" s="147"/>
      <c r="AC602" s="147"/>
      <c r="AD602" s="147"/>
    </row>
    <row r="603">
      <c r="A603" s="147"/>
      <c r="B603" s="147"/>
      <c r="C603" s="147"/>
      <c r="D603" s="147"/>
      <c r="E603" s="147"/>
      <c r="F603" s="147"/>
      <c r="G603" s="147"/>
      <c r="H603" s="262"/>
      <c r="I603" s="147"/>
      <c r="J603" s="147"/>
      <c r="K603" s="147"/>
      <c r="L603" s="147"/>
      <c r="M603" s="147"/>
      <c r="N603" s="147"/>
      <c r="O603" s="147"/>
      <c r="P603" s="147"/>
      <c r="Q603" s="147"/>
      <c r="R603" s="147"/>
      <c r="S603" s="147"/>
      <c r="T603" s="147"/>
      <c r="U603" s="147"/>
      <c r="V603" s="147"/>
      <c r="W603" s="147"/>
      <c r="X603" s="147"/>
      <c r="Y603" s="147"/>
      <c r="Z603" s="147"/>
      <c r="AA603" s="147"/>
      <c r="AB603" s="147"/>
      <c r="AC603" s="147"/>
      <c r="AD603" s="147"/>
    </row>
    <row r="604">
      <c r="A604" s="147"/>
      <c r="B604" s="147"/>
      <c r="C604" s="147"/>
      <c r="D604" s="147"/>
      <c r="E604" s="147"/>
      <c r="F604" s="147"/>
      <c r="G604" s="147"/>
      <c r="H604" s="262"/>
      <c r="I604" s="147"/>
      <c r="J604" s="147"/>
      <c r="K604" s="147"/>
      <c r="L604" s="147"/>
      <c r="M604" s="147"/>
      <c r="N604" s="147"/>
      <c r="O604" s="147"/>
      <c r="P604" s="147"/>
      <c r="Q604" s="147"/>
      <c r="R604" s="147"/>
      <c r="S604" s="147"/>
      <c r="T604" s="147"/>
      <c r="U604" s="147"/>
      <c r="V604" s="147"/>
      <c r="W604" s="147"/>
      <c r="X604" s="147"/>
      <c r="Y604" s="147"/>
      <c r="Z604" s="147"/>
      <c r="AA604" s="147"/>
      <c r="AB604" s="147"/>
      <c r="AC604" s="147"/>
      <c r="AD604" s="147"/>
    </row>
    <row r="605">
      <c r="A605" s="147"/>
      <c r="B605" s="147"/>
      <c r="C605" s="147"/>
      <c r="D605" s="147"/>
      <c r="E605" s="147"/>
      <c r="F605" s="147"/>
      <c r="G605" s="147"/>
      <c r="H605" s="262"/>
      <c r="I605" s="147"/>
      <c r="J605" s="147"/>
      <c r="K605" s="147"/>
      <c r="L605" s="147"/>
      <c r="M605" s="147"/>
      <c r="N605" s="147"/>
      <c r="O605" s="147"/>
      <c r="P605" s="147"/>
      <c r="Q605" s="147"/>
      <c r="R605" s="147"/>
      <c r="S605" s="147"/>
      <c r="T605" s="147"/>
      <c r="U605" s="147"/>
      <c r="V605" s="147"/>
      <c r="W605" s="147"/>
      <c r="X605" s="147"/>
      <c r="Y605" s="147"/>
      <c r="Z605" s="147"/>
      <c r="AA605" s="147"/>
      <c r="AB605" s="147"/>
      <c r="AC605" s="147"/>
      <c r="AD605" s="147"/>
    </row>
    <row r="606">
      <c r="A606" s="147"/>
      <c r="B606" s="147"/>
      <c r="C606" s="147"/>
      <c r="D606" s="147"/>
      <c r="E606" s="147"/>
      <c r="F606" s="147"/>
      <c r="G606" s="147"/>
      <c r="H606" s="262"/>
      <c r="I606" s="147"/>
      <c r="J606" s="147"/>
      <c r="K606" s="147"/>
      <c r="L606" s="147"/>
      <c r="M606" s="147"/>
      <c r="N606" s="147"/>
      <c r="O606" s="147"/>
      <c r="P606" s="147"/>
      <c r="Q606" s="147"/>
      <c r="R606" s="147"/>
      <c r="S606" s="147"/>
      <c r="T606" s="147"/>
      <c r="U606" s="147"/>
      <c r="V606" s="147"/>
      <c r="W606" s="147"/>
      <c r="X606" s="147"/>
      <c r="Y606" s="147"/>
      <c r="Z606" s="147"/>
      <c r="AA606" s="147"/>
      <c r="AB606" s="147"/>
      <c r="AC606" s="147"/>
      <c r="AD606" s="147"/>
    </row>
    <row r="607">
      <c r="A607" s="147"/>
      <c r="B607" s="147"/>
      <c r="C607" s="147"/>
      <c r="D607" s="147"/>
      <c r="E607" s="147"/>
      <c r="F607" s="147"/>
      <c r="G607" s="147"/>
      <c r="H607" s="262"/>
      <c r="I607" s="147"/>
      <c r="J607" s="147"/>
      <c r="K607" s="147"/>
      <c r="L607" s="147"/>
      <c r="M607" s="147"/>
      <c r="N607" s="147"/>
      <c r="O607" s="147"/>
      <c r="P607" s="147"/>
      <c r="Q607" s="147"/>
      <c r="R607" s="147"/>
      <c r="S607" s="147"/>
      <c r="T607" s="147"/>
      <c r="U607" s="147"/>
      <c r="V607" s="147"/>
      <c r="W607" s="147"/>
      <c r="X607" s="147"/>
      <c r="Y607" s="147"/>
      <c r="Z607" s="147"/>
      <c r="AA607" s="147"/>
      <c r="AB607" s="147"/>
      <c r="AC607" s="147"/>
      <c r="AD607" s="147"/>
    </row>
    <row r="608">
      <c r="A608" s="147"/>
      <c r="B608" s="147"/>
      <c r="C608" s="147"/>
      <c r="D608" s="147"/>
      <c r="E608" s="147"/>
      <c r="F608" s="147"/>
      <c r="G608" s="147"/>
      <c r="H608" s="262"/>
      <c r="I608" s="147"/>
      <c r="J608" s="147"/>
      <c r="K608" s="147"/>
      <c r="L608" s="147"/>
      <c r="M608" s="147"/>
      <c r="N608" s="147"/>
      <c r="O608" s="147"/>
      <c r="P608" s="147"/>
      <c r="Q608" s="147"/>
      <c r="R608" s="147"/>
      <c r="S608" s="147"/>
      <c r="T608" s="147"/>
      <c r="U608" s="147"/>
      <c r="V608" s="147"/>
      <c r="W608" s="147"/>
      <c r="X608" s="147"/>
      <c r="Y608" s="147"/>
      <c r="Z608" s="147"/>
      <c r="AA608" s="147"/>
      <c r="AB608" s="147"/>
      <c r="AC608" s="147"/>
      <c r="AD608" s="147"/>
    </row>
    <row r="609">
      <c r="A609" s="147"/>
      <c r="B609" s="147"/>
      <c r="C609" s="147"/>
      <c r="D609" s="147"/>
      <c r="E609" s="147"/>
      <c r="F609" s="147"/>
      <c r="G609" s="147"/>
      <c r="H609" s="262"/>
      <c r="I609" s="147"/>
      <c r="J609" s="147"/>
      <c r="K609" s="147"/>
      <c r="L609" s="147"/>
      <c r="M609" s="147"/>
      <c r="N609" s="147"/>
      <c r="O609" s="147"/>
      <c r="P609" s="147"/>
      <c r="Q609" s="147"/>
      <c r="R609" s="147"/>
      <c r="S609" s="147"/>
      <c r="T609" s="147"/>
      <c r="U609" s="147"/>
      <c r="V609" s="147"/>
      <c r="W609" s="147"/>
      <c r="X609" s="147"/>
      <c r="Y609" s="147"/>
      <c r="Z609" s="147"/>
      <c r="AA609" s="147"/>
      <c r="AB609" s="147"/>
      <c r="AC609" s="147"/>
      <c r="AD609" s="147"/>
    </row>
    <row r="610">
      <c r="A610" s="147"/>
      <c r="B610" s="147"/>
      <c r="C610" s="147"/>
      <c r="D610" s="147"/>
      <c r="E610" s="147"/>
      <c r="F610" s="147"/>
      <c r="G610" s="147"/>
      <c r="H610" s="262"/>
      <c r="I610" s="147"/>
      <c r="J610" s="147"/>
      <c r="K610" s="147"/>
      <c r="L610" s="147"/>
      <c r="M610" s="147"/>
      <c r="N610" s="147"/>
      <c r="O610" s="147"/>
      <c r="P610" s="147"/>
      <c r="Q610" s="147"/>
      <c r="R610" s="147"/>
      <c r="S610" s="147"/>
      <c r="T610" s="147"/>
      <c r="U610" s="147"/>
      <c r="V610" s="147"/>
      <c r="W610" s="147"/>
      <c r="X610" s="147"/>
      <c r="Y610" s="147"/>
      <c r="Z610" s="147"/>
      <c r="AA610" s="147"/>
      <c r="AB610" s="147"/>
      <c r="AC610" s="147"/>
      <c r="AD610" s="147"/>
    </row>
    <row r="611">
      <c r="A611" s="147"/>
      <c r="B611" s="147"/>
      <c r="C611" s="147"/>
      <c r="D611" s="147"/>
      <c r="E611" s="147"/>
      <c r="F611" s="147"/>
      <c r="G611" s="147"/>
      <c r="H611" s="262"/>
      <c r="I611" s="147"/>
      <c r="J611" s="147"/>
      <c r="K611" s="147"/>
      <c r="L611" s="147"/>
      <c r="M611" s="147"/>
      <c r="N611" s="147"/>
      <c r="O611" s="147"/>
      <c r="P611" s="147"/>
      <c r="Q611" s="147"/>
      <c r="R611" s="147"/>
      <c r="S611" s="147"/>
      <c r="T611" s="147"/>
      <c r="U611" s="147"/>
      <c r="V611" s="147"/>
      <c r="W611" s="147"/>
      <c r="X611" s="147"/>
      <c r="Y611" s="147"/>
      <c r="Z611" s="147"/>
      <c r="AA611" s="147"/>
      <c r="AB611" s="147"/>
      <c r="AC611" s="147"/>
      <c r="AD611" s="147"/>
    </row>
    <row r="612">
      <c r="A612" s="147"/>
      <c r="B612" s="147"/>
      <c r="C612" s="147"/>
      <c r="D612" s="147"/>
      <c r="E612" s="147"/>
      <c r="F612" s="147"/>
      <c r="G612" s="147"/>
      <c r="H612" s="262"/>
      <c r="I612" s="147"/>
      <c r="J612" s="147"/>
      <c r="K612" s="147"/>
      <c r="L612" s="147"/>
      <c r="M612" s="147"/>
      <c r="N612" s="147"/>
      <c r="O612" s="147"/>
      <c r="P612" s="147"/>
      <c r="Q612" s="147"/>
      <c r="R612" s="147"/>
      <c r="S612" s="147"/>
      <c r="T612" s="147"/>
      <c r="U612" s="147"/>
      <c r="V612" s="147"/>
      <c r="W612" s="147"/>
      <c r="X612" s="147"/>
      <c r="Y612" s="147"/>
      <c r="Z612" s="147"/>
      <c r="AA612" s="147"/>
      <c r="AB612" s="147"/>
      <c r="AC612" s="147"/>
      <c r="AD612" s="147"/>
    </row>
    <row r="613">
      <c r="A613" s="147"/>
      <c r="B613" s="147"/>
      <c r="C613" s="147"/>
      <c r="D613" s="147"/>
      <c r="E613" s="147"/>
      <c r="F613" s="147"/>
      <c r="G613" s="147"/>
      <c r="H613" s="262"/>
      <c r="I613" s="147"/>
      <c r="J613" s="147"/>
      <c r="K613" s="147"/>
      <c r="L613" s="147"/>
      <c r="M613" s="147"/>
      <c r="N613" s="147"/>
      <c r="O613" s="147"/>
      <c r="P613" s="147"/>
      <c r="Q613" s="147"/>
      <c r="R613" s="147"/>
      <c r="S613" s="147"/>
      <c r="T613" s="147"/>
      <c r="U613" s="147"/>
      <c r="V613" s="147"/>
      <c r="W613" s="147"/>
      <c r="X613" s="147"/>
      <c r="Y613" s="147"/>
      <c r="Z613" s="147"/>
      <c r="AA613" s="147"/>
      <c r="AB613" s="147"/>
      <c r="AC613" s="147"/>
      <c r="AD613" s="147"/>
    </row>
    <row r="614">
      <c r="A614" s="147"/>
      <c r="B614" s="147"/>
      <c r="C614" s="147"/>
      <c r="D614" s="147"/>
      <c r="E614" s="147"/>
      <c r="F614" s="147"/>
      <c r="G614" s="147"/>
      <c r="H614" s="262"/>
      <c r="I614" s="147"/>
      <c r="J614" s="147"/>
      <c r="K614" s="147"/>
      <c r="L614" s="147"/>
      <c r="M614" s="147"/>
      <c r="N614" s="147"/>
      <c r="O614" s="147"/>
      <c r="P614" s="147"/>
      <c r="Q614" s="147"/>
      <c r="R614" s="147"/>
      <c r="S614" s="147"/>
      <c r="T614" s="147"/>
      <c r="U614" s="147"/>
      <c r="V614" s="147"/>
      <c r="W614" s="147"/>
      <c r="X614" s="147"/>
      <c r="Y614" s="147"/>
      <c r="Z614" s="147"/>
      <c r="AA614" s="147"/>
      <c r="AB614" s="147"/>
      <c r="AC614" s="147"/>
      <c r="AD614" s="147"/>
    </row>
    <row r="615">
      <c r="A615" s="147"/>
      <c r="B615" s="147"/>
      <c r="C615" s="147"/>
      <c r="D615" s="147"/>
      <c r="E615" s="147"/>
      <c r="F615" s="147"/>
      <c r="G615" s="147"/>
      <c r="H615" s="262"/>
      <c r="I615" s="147"/>
      <c r="J615" s="147"/>
      <c r="K615" s="147"/>
      <c r="L615" s="147"/>
      <c r="M615" s="147"/>
      <c r="N615" s="147"/>
      <c r="O615" s="147"/>
      <c r="P615" s="147"/>
      <c r="Q615" s="147"/>
      <c r="R615" s="147"/>
      <c r="S615" s="147"/>
      <c r="T615" s="147"/>
      <c r="U615" s="147"/>
      <c r="V615" s="147"/>
      <c r="W615" s="147"/>
      <c r="X615" s="147"/>
      <c r="Y615" s="147"/>
      <c r="Z615" s="147"/>
      <c r="AA615" s="147"/>
      <c r="AB615" s="147"/>
      <c r="AC615" s="147"/>
      <c r="AD615" s="147"/>
    </row>
    <row r="616">
      <c r="A616" s="147"/>
      <c r="B616" s="147"/>
      <c r="C616" s="147"/>
      <c r="D616" s="147"/>
      <c r="E616" s="147"/>
      <c r="F616" s="147"/>
      <c r="G616" s="147"/>
      <c r="H616" s="262"/>
      <c r="I616" s="147"/>
      <c r="J616" s="147"/>
      <c r="K616" s="147"/>
      <c r="L616" s="147"/>
      <c r="M616" s="147"/>
      <c r="N616" s="147"/>
      <c r="O616" s="147"/>
      <c r="P616" s="147"/>
      <c r="Q616" s="147"/>
      <c r="R616" s="147"/>
      <c r="S616" s="147"/>
      <c r="T616" s="147"/>
      <c r="U616" s="147"/>
      <c r="V616" s="147"/>
      <c r="W616" s="147"/>
      <c r="X616" s="147"/>
      <c r="Y616" s="147"/>
      <c r="Z616" s="147"/>
      <c r="AA616" s="147"/>
      <c r="AB616" s="147"/>
      <c r="AC616" s="147"/>
      <c r="AD616" s="147"/>
    </row>
    <row r="617">
      <c r="A617" s="147"/>
      <c r="B617" s="147"/>
      <c r="C617" s="147"/>
      <c r="D617" s="147"/>
      <c r="E617" s="147"/>
      <c r="F617" s="147"/>
      <c r="G617" s="147"/>
      <c r="H617" s="262"/>
      <c r="I617" s="147"/>
      <c r="J617" s="147"/>
      <c r="K617" s="147"/>
      <c r="L617" s="147"/>
      <c r="M617" s="147"/>
      <c r="N617" s="147"/>
      <c r="O617" s="147"/>
      <c r="P617" s="147"/>
      <c r="Q617" s="147"/>
      <c r="R617" s="147"/>
      <c r="S617" s="147"/>
      <c r="T617" s="147"/>
      <c r="U617" s="147"/>
      <c r="V617" s="147"/>
      <c r="W617" s="147"/>
      <c r="X617" s="147"/>
      <c r="Y617" s="147"/>
      <c r="Z617" s="147"/>
      <c r="AA617" s="147"/>
      <c r="AB617" s="147"/>
      <c r="AC617" s="147"/>
      <c r="AD617" s="147"/>
    </row>
    <row r="618">
      <c r="A618" s="147"/>
      <c r="B618" s="147"/>
      <c r="C618" s="147"/>
      <c r="D618" s="147"/>
      <c r="E618" s="147"/>
      <c r="F618" s="147"/>
      <c r="G618" s="147"/>
      <c r="H618" s="262"/>
      <c r="I618" s="147"/>
      <c r="J618" s="147"/>
      <c r="K618" s="147"/>
      <c r="L618" s="147"/>
      <c r="M618" s="147"/>
      <c r="N618" s="147"/>
      <c r="O618" s="147"/>
      <c r="P618" s="147"/>
      <c r="Q618" s="147"/>
      <c r="R618" s="147"/>
      <c r="S618" s="147"/>
      <c r="T618" s="147"/>
      <c r="U618" s="147"/>
      <c r="V618" s="147"/>
      <c r="W618" s="147"/>
      <c r="X618" s="147"/>
      <c r="Y618" s="147"/>
      <c r="Z618" s="147"/>
      <c r="AA618" s="147"/>
      <c r="AB618" s="147"/>
      <c r="AC618" s="147"/>
      <c r="AD618" s="147"/>
    </row>
    <row r="619">
      <c r="A619" s="147"/>
      <c r="B619" s="147"/>
      <c r="C619" s="147"/>
      <c r="D619" s="147"/>
      <c r="E619" s="147"/>
      <c r="F619" s="147"/>
      <c r="G619" s="147"/>
      <c r="H619" s="262"/>
      <c r="I619" s="147"/>
      <c r="J619" s="147"/>
      <c r="K619" s="147"/>
      <c r="L619" s="147"/>
      <c r="M619" s="147"/>
      <c r="N619" s="147"/>
      <c r="O619" s="147"/>
      <c r="P619" s="147"/>
      <c r="Q619" s="147"/>
      <c r="R619" s="147"/>
      <c r="S619" s="147"/>
      <c r="T619" s="147"/>
      <c r="U619" s="147"/>
      <c r="V619" s="147"/>
      <c r="W619" s="147"/>
      <c r="X619" s="147"/>
      <c r="Y619" s="147"/>
      <c r="Z619" s="147"/>
      <c r="AA619" s="147"/>
      <c r="AB619" s="147"/>
      <c r="AC619" s="147"/>
      <c r="AD619" s="147"/>
    </row>
    <row r="620">
      <c r="A620" s="147"/>
      <c r="B620" s="147"/>
      <c r="C620" s="147"/>
      <c r="D620" s="147"/>
      <c r="E620" s="147"/>
      <c r="F620" s="147"/>
      <c r="G620" s="147"/>
      <c r="H620" s="262"/>
      <c r="I620" s="147"/>
      <c r="J620" s="147"/>
      <c r="K620" s="147"/>
      <c r="L620" s="147"/>
      <c r="M620" s="147"/>
      <c r="N620" s="147"/>
      <c r="O620" s="147"/>
      <c r="P620" s="147"/>
      <c r="Q620" s="147"/>
      <c r="R620" s="147"/>
      <c r="S620" s="147"/>
      <c r="T620" s="147"/>
      <c r="U620" s="147"/>
      <c r="V620" s="147"/>
      <c r="W620" s="147"/>
      <c r="X620" s="147"/>
      <c r="Y620" s="147"/>
      <c r="Z620" s="147"/>
      <c r="AA620" s="147"/>
      <c r="AB620" s="147"/>
      <c r="AC620" s="147"/>
      <c r="AD620" s="147"/>
    </row>
    <row r="621">
      <c r="A621" s="147"/>
      <c r="B621" s="147"/>
      <c r="C621" s="147"/>
      <c r="D621" s="147"/>
      <c r="E621" s="147"/>
      <c r="F621" s="147"/>
      <c r="G621" s="147"/>
      <c r="H621" s="262"/>
      <c r="I621" s="147"/>
      <c r="J621" s="147"/>
      <c r="K621" s="147"/>
      <c r="L621" s="147"/>
      <c r="M621" s="147"/>
      <c r="N621" s="147"/>
      <c r="O621" s="147"/>
      <c r="P621" s="147"/>
      <c r="Q621" s="147"/>
      <c r="R621" s="147"/>
      <c r="S621" s="147"/>
      <c r="T621" s="147"/>
      <c r="U621" s="147"/>
      <c r="V621" s="147"/>
      <c r="W621" s="147"/>
      <c r="X621" s="147"/>
      <c r="Y621" s="147"/>
      <c r="Z621" s="147"/>
      <c r="AA621" s="147"/>
      <c r="AB621" s="147"/>
      <c r="AC621" s="147"/>
      <c r="AD621" s="147"/>
    </row>
    <row r="622">
      <c r="A622" s="147"/>
      <c r="B622" s="147"/>
      <c r="C622" s="147"/>
      <c r="D622" s="147"/>
      <c r="E622" s="147"/>
      <c r="F622" s="147"/>
      <c r="G622" s="147"/>
      <c r="H622" s="262"/>
      <c r="I622" s="147"/>
      <c r="J622" s="147"/>
      <c r="K622" s="147"/>
      <c r="L622" s="147"/>
      <c r="M622" s="147"/>
      <c r="N622" s="147"/>
      <c r="O622" s="147"/>
      <c r="P622" s="147"/>
      <c r="Q622" s="147"/>
      <c r="R622" s="147"/>
      <c r="S622" s="147"/>
      <c r="T622" s="147"/>
      <c r="U622" s="147"/>
      <c r="V622" s="147"/>
      <c r="W622" s="147"/>
      <c r="X622" s="147"/>
      <c r="Y622" s="147"/>
      <c r="Z622" s="147"/>
      <c r="AA622" s="147"/>
      <c r="AB622" s="147"/>
      <c r="AC622" s="147"/>
      <c r="AD622" s="147"/>
    </row>
    <row r="623">
      <c r="A623" s="147"/>
      <c r="B623" s="147"/>
      <c r="C623" s="147"/>
      <c r="D623" s="147"/>
      <c r="E623" s="147"/>
      <c r="F623" s="147"/>
      <c r="G623" s="147"/>
      <c r="H623" s="262"/>
      <c r="I623" s="147"/>
      <c r="J623" s="147"/>
      <c r="K623" s="147"/>
      <c r="L623" s="147"/>
      <c r="M623" s="147"/>
      <c r="N623" s="147"/>
      <c r="O623" s="147"/>
      <c r="P623" s="147"/>
      <c r="Q623" s="147"/>
      <c r="R623" s="147"/>
      <c r="S623" s="147"/>
      <c r="T623" s="147"/>
      <c r="U623" s="147"/>
      <c r="V623" s="147"/>
      <c r="W623" s="147"/>
      <c r="X623" s="147"/>
      <c r="Y623" s="147"/>
      <c r="Z623" s="147"/>
      <c r="AA623" s="147"/>
      <c r="AB623" s="147"/>
      <c r="AC623" s="147"/>
      <c r="AD623" s="147"/>
    </row>
    <row r="624">
      <c r="A624" s="147"/>
      <c r="B624" s="147"/>
      <c r="C624" s="147"/>
      <c r="D624" s="147"/>
      <c r="E624" s="147"/>
      <c r="F624" s="147"/>
      <c r="G624" s="147"/>
      <c r="H624" s="262"/>
      <c r="I624" s="147"/>
      <c r="J624" s="147"/>
      <c r="K624" s="147"/>
      <c r="L624" s="147"/>
      <c r="M624" s="147"/>
      <c r="N624" s="147"/>
      <c r="O624" s="147"/>
      <c r="P624" s="147"/>
      <c r="Q624" s="147"/>
      <c r="R624" s="147"/>
      <c r="S624" s="147"/>
      <c r="T624" s="147"/>
      <c r="U624" s="147"/>
      <c r="V624" s="147"/>
      <c r="W624" s="147"/>
      <c r="X624" s="147"/>
      <c r="Y624" s="147"/>
      <c r="Z624" s="147"/>
      <c r="AA624" s="147"/>
      <c r="AB624" s="147"/>
      <c r="AC624" s="147"/>
      <c r="AD624" s="147"/>
    </row>
    <row r="625">
      <c r="A625" s="147"/>
      <c r="B625" s="147"/>
      <c r="C625" s="147"/>
      <c r="D625" s="147"/>
      <c r="E625" s="147"/>
      <c r="F625" s="147"/>
      <c r="G625" s="147"/>
      <c r="H625" s="262"/>
      <c r="I625" s="147"/>
      <c r="J625" s="147"/>
      <c r="K625" s="147"/>
      <c r="L625" s="147"/>
      <c r="M625" s="147"/>
      <c r="N625" s="147"/>
      <c r="O625" s="147"/>
      <c r="P625" s="147"/>
      <c r="Q625" s="147"/>
      <c r="R625" s="147"/>
      <c r="S625" s="147"/>
      <c r="T625" s="147"/>
      <c r="U625" s="147"/>
      <c r="V625" s="147"/>
      <c r="W625" s="147"/>
      <c r="X625" s="147"/>
      <c r="Y625" s="147"/>
      <c r="Z625" s="147"/>
      <c r="AA625" s="147"/>
      <c r="AB625" s="147"/>
      <c r="AC625" s="147"/>
      <c r="AD625" s="147"/>
    </row>
    <row r="626">
      <c r="A626" s="147"/>
      <c r="B626" s="147"/>
      <c r="C626" s="147"/>
      <c r="D626" s="147"/>
      <c r="E626" s="147"/>
      <c r="F626" s="147"/>
      <c r="G626" s="147"/>
      <c r="H626" s="262"/>
      <c r="I626" s="147"/>
      <c r="J626" s="147"/>
      <c r="K626" s="147"/>
      <c r="L626" s="147"/>
      <c r="M626" s="147"/>
      <c r="N626" s="147"/>
      <c r="O626" s="147"/>
      <c r="P626" s="147"/>
      <c r="Q626" s="147"/>
      <c r="R626" s="147"/>
      <c r="S626" s="147"/>
      <c r="T626" s="147"/>
      <c r="U626" s="147"/>
      <c r="V626" s="147"/>
      <c r="W626" s="147"/>
      <c r="X626" s="147"/>
      <c r="Y626" s="147"/>
      <c r="Z626" s="147"/>
      <c r="AA626" s="147"/>
      <c r="AB626" s="147"/>
      <c r="AC626" s="147"/>
      <c r="AD626" s="147"/>
    </row>
    <row r="627">
      <c r="A627" s="147"/>
      <c r="B627" s="147"/>
      <c r="C627" s="147"/>
      <c r="D627" s="147"/>
      <c r="E627" s="147"/>
      <c r="F627" s="147"/>
      <c r="G627" s="147"/>
      <c r="H627" s="262"/>
      <c r="I627" s="147"/>
      <c r="J627" s="147"/>
      <c r="K627" s="147"/>
      <c r="L627" s="147"/>
      <c r="M627" s="147"/>
      <c r="N627" s="147"/>
      <c r="O627" s="147"/>
      <c r="P627" s="147"/>
      <c r="Q627" s="147"/>
      <c r="R627" s="147"/>
      <c r="S627" s="147"/>
      <c r="T627" s="147"/>
      <c r="U627" s="147"/>
      <c r="V627" s="147"/>
      <c r="W627" s="147"/>
      <c r="X627" s="147"/>
      <c r="Y627" s="147"/>
      <c r="Z627" s="147"/>
      <c r="AA627" s="147"/>
      <c r="AB627" s="147"/>
      <c r="AC627" s="147"/>
      <c r="AD627" s="147"/>
    </row>
    <row r="628">
      <c r="A628" s="147"/>
      <c r="B628" s="147"/>
      <c r="C628" s="147"/>
      <c r="D628" s="147"/>
      <c r="E628" s="147"/>
      <c r="F628" s="147"/>
      <c r="G628" s="147"/>
      <c r="H628" s="262"/>
      <c r="I628" s="147"/>
      <c r="J628" s="147"/>
      <c r="K628" s="147"/>
      <c r="L628" s="147"/>
      <c r="M628" s="147"/>
      <c r="N628" s="147"/>
      <c r="O628" s="147"/>
      <c r="P628" s="147"/>
      <c r="Q628" s="147"/>
      <c r="R628" s="147"/>
      <c r="S628" s="147"/>
      <c r="T628" s="147"/>
      <c r="U628" s="147"/>
      <c r="V628" s="147"/>
      <c r="W628" s="147"/>
      <c r="X628" s="147"/>
      <c r="Y628" s="147"/>
      <c r="Z628" s="147"/>
      <c r="AA628" s="147"/>
      <c r="AB628" s="147"/>
      <c r="AC628" s="147"/>
      <c r="AD628" s="147"/>
    </row>
    <row r="629">
      <c r="A629" s="147"/>
      <c r="B629" s="147"/>
      <c r="C629" s="147"/>
      <c r="D629" s="147"/>
      <c r="E629" s="147"/>
      <c r="F629" s="147"/>
      <c r="G629" s="147"/>
      <c r="H629" s="262"/>
      <c r="I629" s="147"/>
      <c r="J629" s="147"/>
      <c r="K629" s="147"/>
      <c r="L629" s="147"/>
      <c r="M629" s="147"/>
      <c r="N629" s="147"/>
      <c r="O629" s="147"/>
      <c r="P629" s="147"/>
      <c r="Q629" s="147"/>
      <c r="R629" s="147"/>
      <c r="S629" s="147"/>
      <c r="T629" s="147"/>
      <c r="U629" s="147"/>
      <c r="V629" s="147"/>
      <c r="W629" s="147"/>
      <c r="X629" s="147"/>
      <c r="Y629" s="147"/>
      <c r="Z629" s="147"/>
      <c r="AA629" s="147"/>
      <c r="AB629" s="147"/>
      <c r="AC629" s="147"/>
      <c r="AD629" s="147"/>
    </row>
    <row r="630">
      <c r="A630" s="147"/>
      <c r="B630" s="147"/>
      <c r="C630" s="147"/>
      <c r="D630" s="147"/>
      <c r="E630" s="147"/>
      <c r="F630" s="147"/>
      <c r="G630" s="147"/>
      <c r="H630" s="262"/>
      <c r="I630" s="147"/>
      <c r="J630" s="147"/>
      <c r="K630" s="147"/>
      <c r="L630" s="147"/>
      <c r="M630" s="147"/>
      <c r="N630" s="147"/>
      <c r="O630" s="147"/>
      <c r="P630" s="147"/>
      <c r="Q630" s="147"/>
      <c r="R630" s="147"/>
      <c r="S630" s="147"/>
      <c r="T630" s="147"/>
      <c r="U630" s="147"/>
      <c r="V630" s="147"/>
      <c r="W630" s="147"/>
      <c r="X630" s="147"/>
      <c r="Y630" s="147"/>
      <c r="Z630" s="147"/>
      <c r="AA630" s="147"/>
      <c r="AB630" s="147"/>
      <c r="AC630" s="147"/>
      <c r="AD630" s="147"/>
    </row>
    <row r="631">
      <c r="A631" s="147"/>
      <c r="B631" s="147"/>
      <c r="C631" s="147"/>
      <c r="D631" s="147"/>
      <c r="E631" s="147"/>
      <c r="F631" s="147"/>
      <c r="G631" s="147"/>
      <c r="H631" s="262"/>
      <c r="I631" s="147"/>
      <c r="J631" s="147"/>
      <c r="K631" s="147"/>
      <c r="L631" s="147"/>
      <c r="M631" s="147"/>
      <c r="N631" s="147"/>
      <c r="O631" s="147"/>
      <c r="P631" s="147"/>
      <c r="Q631" s="147"/>
      <c r="R631" s="147"/>
      <c r="S631" s="147"/>
      <c r="T631" s="147"/>
      <c r="U631" s="147"/>
      <c r="V631" s="147"/>
      <c r="W631" s="147"/>
      <c r="X631" s="147"/>
      <c r="Y631" s="147"/>
      <c r="Z631" s="147"/>
      <c r="AA631" s="147"/>
      <c r="AB631" s="147"/>
      <c r="AC631" s="147"/>
      <c r="AD631" s="147"/>
    </row>
    <row r="632">
      <c r="A632" s="147"/>
      <c r="B632" s="147"/>
      <c r="C632" s="147"/>
      <c r="D632" s="147"/>
      <c r="E632" s="147"/>
      <c r="F632" s="147"/>
      <c r="G632" s="147"/>
      <c r="H632" s="262"/>
      <c r="I632" s="147"/>
      <c r="J632" s="147"/>
      <c r="K632" s="147"/>
      <c r="L632" s="147"/>
      <c r="M632" s="147"/>
      <c r="N632" s="147"/>
      <c r="O632" s="147"/>
      <c r="P632" s="147"/>
      <c r="Q632" s="147"/>
      <c r="R632" s="147"/>
      <c r="S632" s="147"/>
      <c r="T632" s="147"/>
      <c r="U632" s="147"/>
      <c r="V632" s="147"/>
      <c r="W632" s="147"/>
      <c r="X632" s="147"/>
      <c r="Y632" s="147"/>
      <c r="Z632" s="147"/>
      <c r="AA632" s="147"/>
      <c r="AB632" s="147"/>
      <c r="AC632" s="147"/>
      <c r="AD632" s="147"/>
    </row>
    <row r="633">
      <c r="A633" s="147"/>
      <c r="B633" s="147"/>
      <c r="C633" s="147"/>
      <c r="D633" s="147"/>
      <c r="E633" s="147"/>
      <c r="F633" s="147"/>
      <c r="G633" s="147"/>
      <c r="H633" s="262"/>
      <c r="I633" s="147"/>
      <c r="J633" s="147"/>
      <c r="K633" s="147"/>
      <c r="L633" s="147"/>
      <c r="M633" s="147"/>
      <c r="N633" s="147"/>
      <c r="O633" s="147"/>
      <c r="P633" s="147"/>
      <c r="Q633" s="147"/>
      <c r="R633" s="147"/>
      <c r="S633" s="147"/>
      <c r="T633" s="147"/>
      <c r="U633" s="147"/>
      <c r="V633" s="147"/>
      <c r="W633" s="147"/>
      <c r="X633" s="147"/>
      <c r="Y633" s="147"/>
      <c r="Z633" s="147"/>
      <c r="AA633" s="147"/>
      <c r="AB633" s="147"/>
      <c r="AC633" s="147"/>
      <c r="AD633" s="147"/>
    </row>
    <row r="634">
      <c r="A634" s="147"/>
      <c r="B634" s="147"/>
      <c r="C634" s="147"/>
      <c r="D634" s="147"/>
      <c r="E634" s="147"/>
      <c r="F634" s="147"/>
      <c r="G634" s="147"/>
      <c r="H634" s="262"/>
      <c r="I634" s="147"/>
      <c r="J634" s="147"/>
      <c r="K634" s="147"/>
      <c r="L634" s="147"/>
      <c r="M634" s="147"/>
      <c r="N634" s="147"/>
      <c r="O634" s="147"/>
      <c r="P634" s="147"/>
      <c r="Q634" s="147"/>
      <c r="R634" s="147"/>
      <c r="S634" s="147"/>
      <c r="T634" s="147"/>
      <c r="U634" s="147"/>
      <c r="V634" s="147"/>
      <c r="W634" s="147"/>
      <c r="X634" s="147"/>
      <c r="Y634" s="147"/>
      <c r="Z634" s="147"/>
      <c r="AA634" s="147"/>
      <c r="AB634" s="147"/>
      <c r="AC634" s="147"/>
      <c r="AD634" s="147"/>
    </row>
    <row r="635">
      <c r="A635" s="147"/>
      <c r="B635" s="147"/>
      <c r="C635" s="147"/>
      <c r="D635" s="147"/>
      <c r="E635" s="147"/>
      <c r="F635" s="147"/>
      <c r="G635" s="147"/>
      <c r="H635" s="262"/>
      <c r="I635" s="147"/>
      <c r="J635" s="147"/>
      <c r="K635" s="147"/>
      <c r="L635" s="147"/>
      <c r="M635" s="147"/>
      <c r="N635" s="147"/>
      <c r="O635" s="147"/>
      <c r="P635" s="147"/>
      <c r="Q635" s="147"/>
      <c r="R635" s="147"/>
      <c r="S635" s="147"/>
      <c r="T635" s="147"/>
      <c r="U635" s="147"/>
      <c r="V635" s="147"/>
      <c r="W635" s="147"/>
      <c r="X635" s="147"/>
      <c r="Y635" s="147"/>
      <c r="Z635" s="147"/>
      <c r="AA635" s="147"/>
      <c r="AB635" s="147"/>
      <c r="AC635" s="147"/>
      <c r="AD635" s="147"/>
    </row>
    <row r="636">
      <c r="A636" s="147"/>
      <c r="B636" s="147"/>
      <c r="C636" s="147"/>
      <c r="D636" s="147"/>
      <c r="E636" s="147"/>
      <c r="F636" s="147"/>
      <c r="G636" s="147"/>
      <c r="H636" s="262"/>
      <c r="I636" s="147"/>
      <c r="J636" s="147"/>
      <c r="K636" s="147"/>
      <c r="L636" s="147"/>
      <c r="M636" s="147"/>
      <c r="N636" s="147"/>
      <c r="O636" s="147"/>
      <c r="P636" s="147"/>
      <c r="Q636" s="147"/>
      <c r="R636" s="147"/>
      <c r="S636" s="147"/>
      <c r="T636" s="147"/>
      <c r="U636" s="147"/>
      <c r="V636" s="147"/>
      <c r="W636" s="147"/>
      <c r="X636" s="147"/>
      <c r="Y636" s="147"/>
      <c r="Z636" s="147"/>
      <c r="AA636" s="147"/>
      <c r="AB636" s="147"/>
      <c r="AC636" s="147"/>
      <c r="AD636" s="147"/>
    </row>
    <row r="637">
      <c r="A637" s="147"/>
      <c r="B637" s="147"/>
      <c r="C637" s="147"/>
      <c r="D637" s="147"/>
      <c r="E637" s="147"/>
      <c r="F637" s="147"/>
      <c r="G637" s="147"/>
      <c r="H637" s="262"/>
      <c r="I637" s="147"/>
      <c r="J637" s="147"/>
      <c r="K637" s="147"/>
      <c r="L637" s="147"/>
      <c r="M637" s="147"/>
      <c r="N637" s="147"/>
      <c r="O637" s="147"/>
      <c r="P637" s="147"/>
      <c r="Q637" s="147"/>
      <c r="R637" s="147"/>
      <c r="S637" s="147"/>
      <c r="T637" s="147"/>
      <c r="U637" s="147"/>
      <c r="V637" s="147"/>
      <c r="W637" s="147"/>
      <c r="X637" s="147"/>
      <c r="Y637" s="147"/>
      <c r="Z637" s="147"/>
      <c r="AA637" s="147"/>
      <c r="AB637" s="147"/>
      <c r="AC637" s="147"/>
      <c r="AD637" s="147"/>
    </row>
    <row r="638">
      <c r="A638" s="147"/>
      <c r="B638" s="147"/>
      <c r="C638" s="147"/>
      <c r="D638" s="147"/>
      <c r="E638" s="147"/>
      <c r="F638" s="147"/>
      <c r="G638" s="147"/>
      <c r="H638" s="262"/>
      <c r="I638" s="147"/>
      <c r="J638" s="147"/>
      <c r="K638" s="147"/>
      <c r="L638" s="147"/>
      <c r="M638" s="147"/>
      <c r="N638" s="147"/>
      <c r="O638" s="147"/>
      <c r="P638" s="147"/>
      <c r="Q638" s="147"/>
      <c r="R638" s="147"/>
      <c r="S638" s="147"/>
      <c r="T638" s="147"/>
      <c r="U638" s="147"/>
      <c r="V638" s="147"/>
      <c r="W638" s="147"/>
      <c r="X638" s="147"/>
      <c r="Y638" s="147"/>
      <c r="Z638" s="147"/>
      <c r="AA638" s="147"/>
      <c r="AB638" s="147"/>
      <c r="AC638" s="147"/>
      <c r="AD638" s="147"/>
    </row>
    <row r="639">
      <c r="A639" s="147"/>
      <c r="B639" s="147"/>
      <c r="C639" s="147"/>
      <c r="D639" s="147"/>
      <c r="E639" s="147"/>
      <c r="F639" s="147"/>
      <c r="G639" s="147"/>
      <c r="H639" s="262"/>
      <c r="I639" s="147"/>
      <c r="J639" s="147"/>
      <c r="K639" s="147"/>
      <c r="L639" s="147"/>
      <c r="M639" s="147"/>
      <c r="N639" s="147"/>
      <c r="O639" s="147"/>
      <c r="P639" s="147"/>
      <c r="Q639" s="147"/>
      <c r="R639" s="147"/>
      <c r="S639" s="147"/>
      <c r="T639" s="147"/>
      <c r="U639" s="147"/>
      <c r="V639" s="147"/>
      <c r="W639" s="147"/>
      <c r="X639" s="147"/>
      <c r="Y639" s="147"/>
      <c r="Z639" s="147"/>
      <c r="AA639" s="147"/>
      <c r="AB639" s="147"/>
      <c r="AC639" s="147"/>
      <c r="AD639" s="147"/>
    </row>
    <row r="640">
      <c r="A640" s="147"/>
      <c r="B640" s="147"/>
      <c r="C640" s="147"/>
      <c r="D640" s="147"/>
      <c r="E640" s="147"/>
      <c r="F640" s="147"/>
      <c r="G640" s="147"/>
      <c r="H640" s="262"/>
      <c r="I640" s="147"/>
      <c r="J640" s="147"/>
      <c r="K640" s="147"/>
      <c r="L640" s="147"/>
      <c r="M640" s="147"/>
      <c r="N640" s="147"/>
      <c r="O640" s="147"/>
      <c r="P640" s="147"/>
      <c r="Q640" s="147"/>
      <c r="R640" s="147"/>
      <c r="S640" s="147"/>
      <c r="T640" s="147"/>
      <c r="U640" s="147"/>
      <c r="V640" s="147"/>
      <c r="W640" s="147"/>
      <c r="X640" s="147"/>
      <c r="Y640" s="147"/>
      <c r="Z640" s="147"/>
      <c r="AA640" s="147"/>
      <c r="AB640" s="147"/>
      <c r="AC640" s="147"/>
      <c r="AD640" s="147"/>
    </row>
    <row r="641">
      <c r="A641" s="147"/>
      <c r="B641" s="147"/>
      <c r="C641" s="147"/>
      <c r="D641" s="147"/>
      <c r="E641" s="147"/>
      <c r="F641" s="147"/>
      <c r="G641" s="147"/>
      <c r="H641" s="262"/>
      <c r="I641" s="147"/>
      <c r="J641" s="147"/>
      <c r="K641" s="147"/>
      <c r="L641" s="147"/>
      <c r="M641" s="147"/>
      <c r="N641" s="147"/>
      <c r="O641" s="147"/>
      <c r="P641" s="147"/>
      <c r="Q641" s="147"/>
      <c r="R641" s="147"/>
      <c r="S641" s="147"/>
      <c r="T641" s="147"/>
      <c r="U641" s="147"/>
      <c r="V641" s="147"/>
      <c r="W641" s="147"/>
      <c r="X641" s="147"/>
      <c r="Y641" s="147"/>
      <c r="Z641" s="147"/>
      <c r="AA641" s="147"/>
      <c r="AB641" s="147"/>
      <c r="AC641" s="147"/>
      <c r="AD641" s="147"/>
    </row>
    <row r="642">
      <c r="A642" s="147"/>
      <c r="B642" s="147"/>
      <c r="C642" s="147"/>
      <c r="D642" s="147"/>
      <c r="E642" s="147"/>
      <c r="F642" s="147"/>
      <c r="G642" s="147"/>
      <c r="H642" s="262"/>
      <c r="I642" s="147"/>
      <c r="J642" s="147"/>
      <c r="K642" s="147"/>
      <c r="L642" s="147"/>
      <c r="M642" s="147"/>
      <c r="N642" s="147"/>
      <c r="O642" s="147"/>
      <c r="P642" s="147"/>
      <c r="Q642" s="147"/>
      <c r="R642" s="147"/>
      <c r="S642" s="147"/>
      <c r="T642" s="147"/>
      <c r="U642" s="147"/>
      <c r="V642" s="147"/>
      <c r="W642" s="147"/>
      <c r="X642" s="147"/>
      <c r="Y642" s="147"/>
      <c r="Z642" s="147"/>
      <c r="AA642" s="147"/>
      <c r="AB642" s="147"/>
      <c r="AC642" s="147"/>
      <c r="AD642" s="147"/>
    </row>
    <row r="643">
      <c r="A643" s="147"/>
      <c r="B643" s="147"/>
      <c r="C643" s="147"/>
      <c r="D643" s="147"/>
      <c r="E643" s="147"/>
      <c r="F643" s="147"/>
      <c r="G643" s="147"/>
      <c r="H643" s="262"/>
      <c r="I643" s="147"/>
      <c r="J643" s="147"/>
      <c r="K643" s="147"/>
      <c r="L643" s="147"/>
      <c r="M643" s="147"/>
      <c r="N643" s="147"/>
      <c r="O643" s="147"/>
      <c r="P643" s="147"/>
      <c r="Q643" s="147"/>
      <c r="R643" s="147"/>
      <c r="S643" s="147"/>
      <c r="T643" s="147"/>
      <c r="U643" s="147"/>
      <c r="V643" s="147"/>
      <c r="W643" s="147"/>
      <c r="X643" s="147"/>
      <c r="Y643" s="147"/>
      <c r="Z643" s="147"/>
      <c r="AA643" s="147"/>
      <c r="AB643" s="147"/>
      <c r="AC643" s="147"/>
      <c r="AD643" s="147"/>
    </row>
    <row r="644">
      <c r="A644" s="147"/>
      <c r="B644" s="147"/>
      <c r="C644" s="147"/>
      <c r="D644" s="147"/>
      <c r="E644" s="147"/>
      <c r="F644" s="147"/>
      <c r="G644" s="147"/>
      <c r="H644" s="262"/>
      <c r="I644" s="147"/>
      <c r="J644" s="147"/>
      <c r="K644" s="147"/>
      <c r="L644" s="147"/>
      <c r="M644" s="147"/>
      <c r="N644" s="147"/>
      <c r="O644" s="147"/>
      <c r="P644" s="147"/>
      <c r="Q644" s="147"/>
      <c r="R644" s="147"/>
      <c r="S644" s="147"/>
      <c r="T644" s="147"/>
      <c r="U644" s="147"/>
      <c r="V644" s="147"/>
      <c r="W644" s="147"/>
      <c r="X644" s="147"/>
      <c r="Y644" s="147"/>
      <c r="Z644" s="147"/>
      <c r="AA644" s="147"/>
      <c r="AB644" s="147"/>
      <c r="AC644" s="147"/>
      <c r="AD644" s="147"/>
    </row>
    <row r="645">
      <c r="A645" s="147"/>
      <c r="B645" s="147"/>
      <c r="C645" s="147"/>
      <c r="D645" s="147"/>
      <c r="E645" s="147"/>
      <c r="F645" s="147"/>
      <c r="G645" s="147"/>
      <c r="H645" s="262"/>
      <c r="I645" s="147"/>
      <c r="J645" s="147"/>
      <c r="K645" s="147"/>
      <c r="L645" s="147"/>
      <c r="M645" s="147"/>
      <c r="N645" s="147"/>
      <c r="O645" s="147"/>
      <c r="P645" s="147"/>
      <c r="Q645" s="147"/>
      <c r="R645" s="147"/>
      <c r="S645" s="147"/>
      <c r="T645" s="147"/>
      <c r="U645" s="147"/>
      <c r="V645" s="147"/>
      <c r="W645" s="147"/>
      <c r="X645" s="147"/>
      <c r="Y645" s="147"/>
      <c r="Z645" s="147"/>
      <c r="AA645" s="147"/>
      <c r="AB645" s="147"/>
      <c r="AC645" s="147"/>
      <c r="AD645" s="147"/>
    </row>
    <row r="646">
      <c r="A646" s="147"/>
      <c r="B646" s="147"/>
      <c r="C646" s="147"/>
      <c r="D646" s="147"/>
      <c r="E646" s="147"/>
      <c r="F646" s="147"/>
      <c r="G646" s="147"/>
      <c r="H646" s="262"/>
      <c r="I646" s="147"/>
      <c r="J646" s="147"/>
      <c r="K646" s="147"/>
      <c r="L646" s="147"/>
      <c r="M646" s="147"/>
      <c r="N646" s="147"/>
      <c r="O646" s="147"/>
      <c r="P646" s="147"/>
      <c r="Q646" s="147"/>
      <c r="R646" s="147"/>
      <c r="S646" s="147"/>
      <c r="T646" s="147"/>
      <c r="U646" s="147"/>
      <c r="V646" s="147"/>
      <c r="W646" s="147"/>
      <c r="X646" s="147"/>
      <c r="Y646" s="147"/>
      <c r="Z646" s="147"/>
      <c r="AA646" s="147"/>
      <c r="AB646" s="147"/>
      <c r="AC646" s="147"/>
      <c r="AD646" s="147"/>
    </row>
    <row r="647">
      <c r="A647" s="147"/>
      <c r="B647" s="147"/>
      <c r="C647" s="147"/>
      <c r="D647" s="147"/>
      <c r="E647" s="147"/>
      <c r="F647" s="147"/>
      <c r="G647" s="147"/>
      <c r="H647" s="262"/>
      <c r="I647" s="147"/>
      <c r="J647" s="147"/>
      <c r="K647" s="147"/>
      <c r="L647" s="147"/>
      <c r="M647" s="147"/>
      <c r="N647" s="147"/>
      <c r="O647" s="147"/>
      <c r="P647" s="147"/>
      <c r="Q647" s="147"/>
      <c r="R647" s="147"/>
      <c r="S647" s="147"/>
      <c r="T647" s="147"/>
      <c r="U647" s="147"/>
      <c r="V647" s="147"/>
      <c r="W647" s="147"/>
      <c r="X647" s="147"/>
      <c r="Y647" s="147"/>
      <c r="Z647" s="147"/>
      <c r="AA647" s="147"/>
      <c r="AB647" s="147"/>
      <c r="AC647" s="147"/>
      <c r="AD647" s="147"/>
    </row>
    <row r="648">
      <c r="A648" s="147"/>
      <c r="B648" s="147"/>
      <c r="C648" s="147"/>
      <c r="D648" s="147"/>
      <c r="E648" s="147"/>
      <c r="F648" s="147"/>
      <c r="G648" s="147"/>
      <c r="H648" s="262"/>
      <c r="I648" s="147"/>
      <c r="J648" s="147"/>
      <c r="K648" s="147"/>
      <c r="L648" s="147"/>
      <c r="M648" s="147"/>
      <c r="N648" s="147"/>
      <c r="O648" s="147"/>
      <c r="P648" s="147"/>
      <c r="Q648" s="147"/>
      <c r="R648" s="147"/>
      <c r="S648" s="147"/>
      <c r="T648" s="147"/>
      <c r="U648" s="147"/>
      <c r="V648" s="147"/>
      <c r="W648" s="147"/>
      <c r="X648" s="147"/>
      <c r="Y648" s="147"/>
      <c r="Z648" s="147"/>
      <c r="AA648" s="147"/>
      <c r="AB648" s="147"/>
      <c r="AC648" s="147"/>
      <c r="AD648" s="147"/>
    </row>
    <row r="649">
      <c r="A649" s="147"/>
      <c r="B649" s="147"/>
      <c r="C649" s="147"/>
      <c r="D649" s="147"/>
      <c r="E649" s="147"/>
      <c r="F649" s="147"/>
      <c r="G649" s="147"/>
      <c r="H649" s="262"/>
      <c r="I649" s="147"/>
      <c r="J649" s="147"/>
      <c r="K649" s="147"/>
      <c r="L649" s="147"/>
      <c r="M649" s="147"/>
      <c r="N649" s="147"/>
      <c r="O649" s="147"/>
      <c r="P649" s="147"/>
      <c r="Q649" s="147"/>
      <c r="R649" s="147"/>
      <c r="S649" s="147"/>
      <c r="T649" s="147"/>
      <c r="U649" s="147"/>
      <c r="V649" s="147"/>
      <c r="W649" s="147"/>
      <c r="X649" s="147"/>
      <c r="Y649" s="147"/>
      <c r="Z649" s="147"/>
      <c r="AA649" s="147"/>
      <c r="AB649" s="147"/>
      <c r="AC649" s="147"/>
      <c r="AD649" s="147"/>
    </row>
    <row r="650">
      <c r="A650" s="147"/>
      <c r="B650" s="147"/>
      <c r="C650" s="147"/>
      <c r="D650" s="147"/>
      <c r="E650" s="147"/>
      <c r="F650" s="147"/>
      <c r="G650" s="147"/>
      <c r="H650" s="262"/>
      <c r="I650" s="147"/>
      <c r="J650" s="147"/>
      <c r="K650" s="147"/>
      <c r="L650" s="147"/>
      <c r="M650" s="147"/>
      <c r="N650" s="147"/>
      <c r="O650" s="147"/>
      <c r="P650" s="147"/>
      <c r="Q650" s="147"/>
      <c r="R650" s="147"/>
      <c r="S650" s="147"/>
      <c r="T650" s="147"/>
      <c r="U650" s="147"/>
      <c r="V650" s="147"/>
      <c r="W650" s="147"/>
      <c r="X650" s="147"/>
      <c r="Y650" s="147"/>
      <c r="Z650" s="147"/>
      <c r="AA650" s="147"/>
      <c r="AB650" s="147"/>
      <c r="AC650" s="147"/>
      <c r="AD650" s="147"/>
    </row>
    <row r="651">
      <c r="A651" s="147"/>
      <c r="B651" s="147"/>
      <c r="C651" s="147"/>
      <c r="D651" s="147"/>
      <c r="E651" s="147"/>
      <c r="F651" s="147"/>
      <c r="G651" s="147"/>
      <c r="H651" s="262"/>
      <c r="I651" s="147"/>
      <c r="J651" s="147"/>
      <c r="K651" s="147"/>
      <c r="L651" s="147"/>
      <c r="M651" s="147"/>
      <c r="N651" s="147"/>
      <c r="O651" s="147"/>
      <c r="P651" s="147"/>
      <c r="Q651" s="147"/>
      <c r="R651" s="147"/>
      <c r="S651" s="147"/>
      <c r="T651" s="147"/>
      <c r="U651" s="147"/>
      <c r="V651" s="147"/>
      <c r="W651" s="147"/>
      <c r="X651" s="147"/>
      <c r="Y651" s="147"/>
      <c r="Z651" s="147"/>
      <c r="AA651" s="147"/>
      <c r="AB651" s="147"/>
      <c r="AC651" s="147"/>
      <c r="AD651" s="147"/>
    </row>
    <row r="652">
      <c r="A652" s="147"/>
      <c r="B652" s="147"/>
      <c r="C652" s="147"/>
      <c r="D652" s="147"/>
      <c r="E652" s="147"/>
      <c r="F652" s="147"/>
      <c r="G652" s="147"/>
      <c r="H652" s="262"/>
      <c r="I652" s="147"/>
      <c r="J652" s="147"/>
      <c r="K652" s="147"/>
      <c r="L652" s="147"/>
      <c r="M652" s="147"/>
      <c r="N652" s="147"/>
      <c r="O652" s="147"/>
      <c r="P652" s="147"/>
      <c r="Q652" s="147"/>
      <c r="R652" s="147"/>
      <c r="S652" s="147"/>
      <c r="T652" s="147"/>
      <c r="U652" s="147"/>
      <c r="V652" s="147"/>
      <c r="W652" s="147"/>
      <c r="X652" s="147"/>
      <c r="Y652" s="147"/>
      <c r="Z652" s="147"/>
      <c r="AA652" s="147"/>
      <c r="AB652" s="147"/>
      <c r="AC652" s="147"/>
      <c r="AD652" s="147"/>
    </row>
    <row r="653">
      <c r="A653" s="147"/>
      <c r="B653" s="147"/>
      <c r="C653" s="147"/>
      <c r="D653" s="147"/>
      <c r="E653" s="147"/>
      <c r="F653" s="147"/>
      <c r="G653" s="147"/>
      <c r="H653" s="262"/>
      <c r="I653" s="147"/>
      <c r="J653" s="147"/>
      <c r="K653" s="147"/>
      <c r="L653" s="147"/>
      <c r="M653" s="147"/>
      <c r="N653" s="147"/>
      <c r="O653" s="147"/>
      <c r="P653" s="147"/>
      <c r="Q653" s="147"/>
      <c r="R653" s="147"/>
      <c r="S653" s="147"/>
      <c r="T653" s="147"/>
      <c r="U653" s="147"/>
      <c r="V653" s="147"/>
      <c r="W653" s="147"/>
      <c r="X653" s="147"/>
      <c r="Y653" s="147"/>
      <c r="Z653" s="147"/>
      <c r="AA653" s="147"/>
      <c r="AB653" s="147"/>
      <c r="AC653" s="147"/>
      <c r="AD653" s="147"/>
    </row>
    <row r="654">
      <c r="A654" s="147"/>
      <c r="B654" s="147"/>
      <c r="C654" s="147"/>
      <c r="D654" s="147"/>
      <c r="E654" s="147"/>
      <c r="F654" s="147"/>
      <c r="G654" s="147"/>
      <c r="H654" s="262"/>
      <c r="I654" s="147"/>
      <c r="J654" s="147"/>
      <c r="K654" s="147"/>
      <c r="L654" s="147"/>
      <c r="M654" s="147"/>
      <c r="N654" s="147"/>
      <c r="O654" s="147"/>
      <c r="P654" s="147"/>
      <c r="Q654" s="147"/>
      <c r="R654" s="147"/>
      <c r="S654" s="147"/>
      <c r="T654" s="147"/>
      <c r="U654" s="147"/>
      <c r="V654" s="147"/>
      <c r="W654" s="147"/>
      <c r="X654" s="147"/>
      <c r="Y654" s="147"/>
      <c r="Z654" s="147"/>
      <c r="AA654" s="147"/>
      <c r="AB654" s="147"/>
      <c r="AC654" s="147"/>
      <c r="AD654" s="147"/>
    </row>
    <row r="655">
      <c r="A655" s="147"/>
      <c r="B655" s="147"/>
      <c r="C655" s="147"/>
      <c r="D655" s="147"/>
      <c r="E655" s="147"/>
      <c r="F655" s="147"/>
      <c r="G655" s="147"/>
      <c r="H655" s="262"/>
      <c r="I655" s="147"/>
      <c r="J655" s="147"/>
      <c r="K655" s="147"/>
      <c r="L655" s="147"/>
      <c r="M655" s="147"/>
      <c r="N655" s="147"/>
      <c r="O655" s="147"/>
      <c r="P655" s="147"/>
      <c r="Q655" s="147"/>
      <c r="R655" s="147"/>
      <c r="S655" s="147"/>
      <c r="T655" s="147"/>
      <c r="U655" s="147"/>
      <c r="V655" s="147"/>
      <c r="W655" s="147"/>
      <c r="X655" s="147"/>
      <c r="Y655" s="147"/>
      <c r="Z655" s="147"/>
      <c r="AA655" s="147"/>
      <c r="AB655" s="147"/>
      <c r="AC655" s="147"/>
      <c r="AD655" s="147"/>
    </row>
    <row r="656">
      <c r="A656" s="147"/>
      <c r="B656" s="147"/>
      <c r="C656" s="147"/>
      <c r="D656" s="147"/>
      <c r="E656" s="147"/>
      <c r="F656" s="147"/>
      <c r="G656" s="147"/>
      <c r="H656" s="262"/>
      <c r="I656" s="147"/>
      <c r="J656" s="147"/>
      <c r="K656" s="147"/>
      <c r="L656" s="147"/>
      <c r="M656" s="147"/>
      <c r="N656" s="147"/>
      <c r="O656" s="147"/>
      <c r="P656" s="147"/>
      <c r="Q656" s="147"/>
      <c r="R656" s="147"/>
      <c r="S656" s="147"/>
      <c r="T656" s="147"/>
      <c r="U656" s="147"/>
      <c r="V656" s="147"/>
      <c r="W656" s="147"/>
      <c r="X656" s="147"/>
      <c r="Y656" s="147"/>
      <c r="Z656" s="147"/>
      <c r="AA656" s="147"/>
      <c r="AB656" s="147"/>
      <c r="AC656" s="147"/>
      <c r="AD656" s="147"/>
    </row>
    <row r="657">
      <c r="A657" s="147"/>
      <c r="B657" s="147"/>
      <c r="C657" s="147"/>
      <c r="D657" s="147"/>
      <c r="E657" s="147"/>
      <c r="F657" s="147"/>
      <c r="G657" s="147"/>
      <c r="H657" s="262"/>
      <c r="I657" s="147"/>
      <c r="J657" s="147"/>
      <c r="K657" s="147"/>
      <c r="L657" s="147"/>
      <c r="M657" s="147"/>
      <c r="N657" s="147"/>
      <c r="O657" s="147"/>
      <c r="P657" s="147"/>
      <c r="Q657" s="147"/>
      <c r="R657" s="147"/>
      <c r="S657" s="147"/>
      <c r="T657" s="147"/>
      <c r="U657" s="147"/>
      <c r="V657" s="147"/>
      <c r="W657" s="147"/>
      <c r="X657" s="147"/>
      <c r="Y657" s="147"/>
      <c r="Z657" s="147"/>
      <c r="AA657" s="147"/>
      <c r="AB657" s="147"/>
      <c r="AC657" s="147"/>
      <c r="AD657" s="147"/>
    </row>
    <row r="658">
      <c r="A658" s="147"/>
      <c r="B658" s="147"/>
      <c r="C658" s="147"/>
      <c r="D658" s="147"/>
      <c r="E658" s="147"/>
      <c r="F658" s="147"/>
      <c r="G658" s="147"/>
      <c r="H658" s="262"/>
      <c r="I658" s="147"/>
      <c r="J658" s="147"/>
      <c r="K658" s="147"/>
      <c r="L658" s="147"/>
      <c r="M658" s="147"/>
      <c r="N658" s="147"/>
      <c r="O658" s="147"/>
      <c r="P658" s="147"/>
      <c r="Q658" s="147"/>
      <c r="R658" s="147"/>
      <c r="S658" s="147"/>
      <c r="T658" s="147"/>
      <c r="U658" s="147"/>
      <c r="V658" s="147"/>
      <c r="W658" s="147"/>
      <c r="X658" s="147"/>
      <c r="Y658" s="147"/>
      <c r="Z658" s="147"/>
      <c r="AA658" s="147"/>
      <c r="AB658" s="147"/>
      <c r="AC658" s="147"/>
      <c r="AD658" s="147"/>
    </row>
    <row r="659">
      <c r="A659" s="147"/>
      <c r="B659" s="147"/>
      <c r="C659" s="147"/>
      <c r="D659" s="147"/>
      <c r="E659" s="147"/>
      <c r="F659" s="147"/>
      <c r="G659" s="147"/>
      <c r="H659" s="262"/>
      <c r="I659" s="147"/>
      <c r="J659" s="147"/>
      <c r="K659" s="147"/>
      <c r="L659" s="147"/>
      <c r="M659" s="147"/>
      <c r="N659" s="147"/>
      <c r="O659" s="147"/>
      <c r="P659" s="147"/>
      <c r="Q659" s="147"/>
      <c r="R659" s="147"/>
      <c r="S659" s="147"/>
      <c r="T659" s="147"/>
      <c r="U659" s="147"/>
      <c r="V659" s="147"/>
      <c r="W659" s="147"/>
      <c r="X659" s="147"/>
      <c r="Y659" s="147"/>
      <c r="Z659" s="147"/>
      <c r="AA659" s="147"/>
      <c r="AB659" s="147"/>
      <c r="AC659" s="147"/>
      <c r="AD659" s="147"/>
    </row>
    <row r="660">
      <c r="A660" s="147"/>
      <c r="B660" s="147"/>
      <c r="C660" s="147"/>
      <c r="D660" s="147"/>
      <c r="E660" s="147"/>
      <c r="F660" s="147"/>
      <c r="G660" s="147"/>
      <c r="H660" s="262"/>
      <c r="I660" s="147"/>
      <c r="J660" s="147"/>
      <c r="K660" s="147"/>
      <c r="L660" s="147"/>
      <c r="M660" s="147"/>
      <c r="N660" s="147"/>
      <c r="O660" s="147"/>
      <c r="P660" s="147"/>
      <c r="Q660" s="147"/>
      <c r="R660" s="147"/>
      <c r="S660" s="147"/>
      <c r="T660" s="147"/>
      <c r="U660" s="147"/>
      <c r="V660" s="147"/>
      <c r="W660" s="147"/>
      <c r="X660" s="147"/>
      <c r="Y660" s="147"/>
      <c r="Z660" s="147"/>
      <c r="AA660" s="147"/>
      <c r="AB660" s="147"/>
      <c r="AC660" s="147"/>
      <c r="AD660" s="147"/>
    </row>
    <row r="661">
      <c r="A661" s="147"/>
      <c r="B661" s="147"/>
      <c r="C661" s="147"/>
      <c r="D661" s="147"/>
      <c r="E661" s="147"/>
      <c r="F661" s="147"/>
      <c r="G661" s="147"/>
      <c r="H661" s="262"/>
      <c r="I661" s="147"/>
      <c r="J661" s="147"/>
      <c r="K661" s="147"/>
      <c r="L661" s="147"/>
      <c r="M661" s="147"/>
      <c r="N661" s="147"/>
      <c r="O661" s="147"/>
      <c r="P661" s="147"/>
      <c r="Q661" s="147"/>
      <c r="R661" s="147"/>
      <c r="S661" s="147"/>
      <c r="T661" s="147"/>
      <c r="U661" s="147"/>
      <c r="V661" s="147"/>
      <c r="W661" s="147"/>
      <c r="X661" s="147"/>
      <c r="Y661" s="147"/>
      <c r="Z661" s="147"/>
      <c r="AA661" s="147"/>
      <c r="AB661" s="147"/>
      <c r="AC661" s="147"/>
      <c r="AD661" s="147"/>
    </row>
    <row r="662">
      <c r="A662" s="147"/>
      <c r="B662" s="147"/>
      <c r="C662" s="147"/>
      <c r="D662" s="147"/>
      <c r="E662" s="147"/>
      <c r="F662" s="147"/>
      <c r="G662" s="147"/>
      <c r="H662" s="262"/>
      <c r="I662" s="147"/>
      <c r="J662" s="147"/>
      <c r="K662" s="147"/>
      <c r="L662" s="147"/>
      <c r="M662" s="147"/>
      <c r="N662" s="147"/>
      <c r="O662" s="147"/>
      <c r="P662" s="147"/>
      <c r="Q662" s="147"/>
      <c r="R662" s="147"/>
      <c r="S662" s="147"/>
      <c r="T662" s="147"/>
      <c r="U662" s="147"/>
      <c r="V662" s="147"/>
      <c r="W662" s="147"/>
      <c r="X662" s="147"/>
      <c r="Y662" s="147"/>
      <c r="Z662" s="147"/>
      <c r="AA662" s="147"/>
      <c r="AB662" s="147"/>
      <c r="AC662" s="147"/>
      <c r="AD662" s="147"/>
    </row>
    <row r="663">
      <c r="A663" s="147"/>
      <c r="B663" s="147"/>
      <c r="C663" s="147"/>
      <c r="D663" s="147"/>
      <c r="E663" s="147"/>
      <c r="F663" s="147"/>
      <c r="G663" s="147"/>
      <c r="H663" s="262"/>
      <c r="I663" s="147"/>
      <c r="J663" s="147"/>
      <c r="K663" s="147"/>
      <c r="L663" s="147"/>
      <c r="M663" s="147"/>
      <c r="N663" s="147"/>
      <c r="O663" s="147"/>
      <c r="P663" s="147"/>
      <c r="Q663" s="147"/>
      <c r="R663" s="147"/>
      <c r="S663" s="147"/>
      <c r="T663" s="147"/>
      <c r="U663" s="147"/>
      <c r="V663" s="147"/>
      <c r="W663" s="147"/>
      <c r="X663" s="147"/>
      <c r="Y663" s="147"/>
      <c r="Z663" s="147"/>
      <c r="AA663" s="147"/>
      <c r="AB663" s="147"/>
      <c r="AC663" s="147"/>
      <c r="AD663" s="147"/>
    </row>
    <row r="664">
      <c r="A664" s="147"/>
      <c r="B664" s="147"/>
      <c r="C664" s="147"/>
      <c r="D664" s="147"/>
      <c r="E664" s="147"/>
      <c r="F664" s="147"/>
      <c r="G664" s="147"/>
      <c r="H664" s="262"/>
      <c r="I664" s="147"/>
      <c r="J664" s="147"/>
      <c r="K664" s="147"/>
      <c r="L664" s="147"/>
      <c r="M664" s="147"/>
      <c r="N664" s="147"/>
      <c r="O664" s="147"/>
      <c r="P664" s="147"/>
      <c r="Q664" s="147"/>
      <c r="R664" s="147"/>
      <c r="S664" s="147"/>
      <c r="T664" s="147"/>
      <c r="U664" s="147"/>
      <c r="V664" s="147"/>
      <c r="W664" s="147"/>
      <c r="X664" s="147"/>
      <c r="Y664" s="147"/>
      <c r="Z664" s="147"/>
      <c r="AA664" s="147"/>
      <c r="AB664" s="147"/>
      <c r="AC664" s="147"/>
      <c r="AD664" s="147"/>
    </row>
    <row r="665">
      <c r="A665" s="147"/>
      <c r="B665" s="147"/>
      <c r="C665" s="147"/>
      <c r="D665" s="147"/>
      <c r="E665" s="147"/>
      <c r="F665" s="147"/>
      <c r="G665" s="147"/>
      <c r="H665" s="262"/>
      <c r="I665" s="147"/>
      <c r="J665" s="147"/>
      <c r="K665" s="147"/>
      <c r="L665" s="147"/>
      <c r="M665" s="147"/>
      <c r="N665" s="147"/>
      <c r="O665" s="147"/>
      <c r="P665" s="147"/>
      <c r="Q665" s="147"/>
      <c r="R665" s="147"/>
      <c r="S665" s="147"/>
      <c r="T665" s="147"/>
      <c r="U665" s="147"/>
      <c r="V665" s="147"/>
      <c r="W665" s="147"/>
      <c r="X665" s="147"/>
      <c r="Y665" s="147"/>
      <c r="Z665" s="147"/>
      <c r="AA665" s="147"/>
      <c r="AB665" s="147"/>
      <c r="AC665" s="147"/>
      <c r="AD665" s="147"/>
    </row>
    <row r="666">
      <c r="A666" s="147"/>
      <c r="B666" s="147"/>
      <c r="C666" s="147"/>
      <c r="D666" s="147"/>
      <c r="E666" s="147"/>
      <c r="F666" s="147"/>
      <c r="G666" s="147"/>
      <c r="H666" s="262"/>
      <c r="I666" s="147"/>
      <c r="J666" s="147"/>
      <c r="K666" s="147"/>
      <c r="L666" s="147"/>
      <c r="M666" s="147"/>
      <c r="N666" s="147"/>
      <c r="O666" s="147"/>
      <c r="P666" s="147"/>
      <c r="Q666" s="147"/>
      <c r="R666" s="147"/>
      <c r="S666" s="147"/>
      <c r="T666" s="147"/>
      <c r="U666" s="147"/>
      <c r="V666" s="147"/>
      <c r="W666" s="147"/>
      <c r="X666" s="147"/>
      <c r="Y666" s="147"/>
      <c r="Z666" s="147"/>
      <c r="AA666" s="147"/>
      <c r="AB666" s="147"/>
      <c r="AC666" s="147"/>
      <c r="AD666" s="147"/>
    </row>
    <row r="667">
      <c r="A667" s="147"/>
      <c r="B667" s="147"/>
      <c r="C667" s="147"/>
      <c r="D667" s="147"/>
      <c r="E667" s="147"/>
      <c r="F667" s="147"/>
      <c r="G667" s="147"/>
      <c r="H667" s="262"/>
      <c r="I667" s="147"/>
      <c r="J667" s="147"/>
      <c r="K667" s="147"/>
      <c r="L667" s="147"/>
      <c r="M667" s="147"/>
      <c r="N667" s="147"/>
      <c r="O667" s="147"/>
      <c r="P667" s="147"/>
      <c r="Q667" s="147"/>
      <c r="R667" s="147"/>
      <c r="S667" s="147"/>
      <c r="T667" s="147"/>
      <c r="U667" s="147"/>
      <c r="V667" s="147"/>
      <c r="W667" s="147"/>
      <c r="X667" s="147"/>
      <c r="Y667" s="147"/>
      <c r="Z667" s="147"/>
      <c r="AA667" s="147"/>
      <c r="AB667" s="147"/>
      <c r="AC667" s="147"/>
      <c r="AD667" s="147"/>
    </row>
    <row r="668">
      <c r="A668" s="147"/>
      <c r="B668" s="147"/>
      <c r="C668" s="147"/>
      <c r="D668" s="147"/>
      <c r="E668" s="147"/>
      <c r="F668" s="147"/>
      <c r="G668" s="147"/>
      <c r="H668" s="262"/>
      <c r="I668" s="147"/>
      <c r="J668" s="147"/>
      <c r="K668" s="147"/>
      <c r="L668" s="147"/>
      <c r="M668" s="147"/>
      <c r="N668" s="147"/>
      <c r="O668" s="147"/>
      <c r="P668" s="147"/>
      <c r="Q668" s="147"/>
      <c r="R668" s="147"/>
      <c r="S668" s="147"/>
      <c r="T668" s="147"/>
      <c r="U668" s="147"/>
      <c r="V668" s="147"/>
      <c r="W668" s="147"/>
      <c r="X668" s="147"/>
      <c r="Y668" s="147"/>
      <c r="Z668" s="147"/>
      <c r="AA668" s="147"/>
      <c r="AB668" s="147"/>
      <c r="AC668" s="147"/>
      <c r="AD668" s="147"/>
    </row>
    <row r="669">
      <c r="A669" s="147"/>
      <c r="B669" s="147"/>
      <c r="C669" s="147"/>
      <c r="D669" s="147"/>
      <c r="E669" s="147"/>
      <c r="F669" s="147"/>
      <c r="G669" s="147"/>
      <c r="H669" s="262"/>
      <c r="I669" s="147"/>
      <c r="J669" s="147"/>
      <c r="K669" s="147"/>
      <c r="L669" s="147"/>
      <c r="M669" s="147"/>
      <c r="N669" s="147"/>
      <c r="O669" s="147"/>
      <c r="P669" s="147"/>
      <c r="Q669" s="147"/>
      <c r="R669" s="147"/>
      <c r="S669" s="147"/>
      <c r="T669" s="147"/>
      <c r="U669" s="147"/>
      <c r="V669" s="147"/>
      <c r="W669" s="147"/>
      <c r="X669" s="147"/>
      <c r="Y669" s="147"/>
      <c r="Z669" s="147"/>
      <c r="AA669" s="147"/>
      <c r="AB669" s="147"/>
      <c r="AC669" s="147"/>
      <c r="AD669" s="147"/>
    </row>
    <row r="670">
      <c r="A670" s="147"/>
      <c r="B670" s="147"/>
      <c r="C670" s="147"/>
      <c r="D670" s="147"/>
      <c r="E670" s="147"/>
      <c r="F670" s="147"/>
      <c r="G670" s="147"/>
      <c r="H670" s="262"/>
      <c r="I670" s="147"/>
      <c r="J670" s="147"/>
      <c r="K670" s="147"/>
      <c r="L670" s="147"/>
      <c r="M670" s="147"/>
      <c r="N670" s="147"/>
      <c r="O670" s="147"/>
      <c r="P670" s="147"/>
      <c r="Q670" s="147"/>
      <c r="R670" s="147"/>
      <c r="S670" s="147"/>
      <c r="T670" s="147"/>
      <c r="U670" s="147"/>
      <c r="V670" s="147"/>
      <c r="W670" s="147"/>
      <c r="X670" s="147"/>
      <c r="Y670" s="147"/>
      <c r="Z670" s="147"/>
      <c r="AA670" s="147"/>
      <c r="AB670" s="147"/>
      <c r="AC670" s="147"/>
      <c r="AD670" s="147"/>
    </row>
    <row r="671">
      <c r="A671" s="147"/>
      <c r="B671" s="147"/>
      <c r="C671" s="147"/>
      <c r="D671" s="147"/>
      <c r="E671" s="147"/>
      <c r="F671" s="147"/>
      <c r="G671" s="147"/>
      <c r="H671" s="262"/>
      <c r="I671" s="147"/>
      <c r="J671" s="147"/>
      <c r="K671" s="147"/>
      <c r="L671" s="147"/>
      <c r="M671" s="147"/>
      <c r="N671" s="147"/>
      <c r="O671" s="147"/>
      <c r="P671" s="147"/>
      <c r="Q671" s="147"/>
      <c r="R671" s="147"/>
      <c r="S671" s="147"/>
      <c r="T671" s="147"/>
      <c r="U671" s="147"/>
      <c r="V671" s="147"/>
      <c r="W671" s="147"/>
      <c r="X671" s="147"/>
      <c r="Y671" s="147"/>
      <c r="Z671" s="147"/>
      <c r="AA671" s="147"/>
      <c r="AB671" s="147"/>
      <c r="AC671" s="147"/>
      <c r="AD671" s="147"/>
    </row>
    <row r="672">
      <c r="A672" s="147"/>
      <c r="B672" s="147"/>
      <c r="C672" s="147"/>
      <c r="D672" s="147"/>
      <c r="E672" s="147"/>
      <c r="F672" s="147"/>
      <c r="G672" s="147"/>
      <c r="H672" s="262"/>
      <c r="I672" s="147"/>
      <c r="J672" s="147"/>
      <c r="K672" s="147"/>
      <c r="L672" s="147"/>
      <c r="M672" s="147"/>
      <c r="N672" s="147"/>
      <c r="O672" s="147"/>
      <c r="P672" s="147"/>
      <c r="Q672" s="147"/>
      <c r="R672" s="147"/>
      <c r="S672" s="147"/>
      <c r="T672" s="147"/>
      <c r="U672" s="147"/>
      <c r="V672" s="147"/>
      <c r="W672" s="147"/>
      <c r="X672" s="147"/>
      <c r="Y672" s="147"/>
      <c r="Z672" s="147"/>
      <c r="AA672" s="147"/>
      <c r="AB672" s="147"/>
      <c r="AC672" s="147"/>
      <c r="AD672" s="147"/>
    </row>
    <row r="673">
      <c r="A673" s="147"/>
      <c r="B673" s="147"/>
      <c r="C673" s="147"/>
      <c r="D673" s="147"/>
      <c r="E673" s="147"/>
      <c r="F673" s="147"/>
      <c r="G673" s="147"/>
      <c r="H673" s="262"/>
      <c r="I673" s="147"/>
      <c r="J673" s="147"/>
      <c r="K673" s="147"/>
      <c r="L673" s="147"/>
      <c r="M673" s="147"/>
      <c r="N673" s="147"/>
      <c r="O673" s="147"/>
      <c r="P673" s="147"/>
      <c r="Q673" s="147"/>
      <c r="R673" s="147"/>
      <c r="S673" s="147"/>
      <c r="T673" s="147"/>
      <c r="U673" s="147"/>
      <c r="V673" s="147"/>
      <c r="W673" s="147"/>
      <c r="X673" s="147"/>
      <c r="Y673" s="147"/>
      <c r="Z673" s="147"/>
      <c r="AA673" s="147"/>
      <c r="AB673" s="147"/>
      <c r="AC673" s="147"/>
      <c r="AD673" s="147"/>
    </row>
    <row r="674">
      <c r="A674" s="147"/>
      <c r="B674" s="147"/>
      <c r="C674" s="147"/>
      <c r="D674" s="147"/>
      <c r="E674" s="147"/>
      <c r="F674" s="147"/>
      <c r="G674" s="147"/>
      <c r="H674" s="262"/>
      <c r="I674" s="147"/>
      <c r="J674" s="147"/>
      <c r="K674" s="147"/>
      <c r="L674" s="147"/>
      <c r="M674" s="147"/>
      <c r="N674" s="147"/>
      <c r="O674" s="147"/>
      <c r="P674" s="147"/>
      <c r="Q674" s="147"/>
      <c r="R674" s="147"/>
      <c r="S674" s="147"/>
      <c r="T674" s="147"/>
      <c r="U674" s="147"/>
      <c r="V674" s="147"/>
      <c r="W674" s="147"/>
      <c r="X674" s="147"/>
      <c r="Y674" s="147"/>
      <c r="Z674" s="147"/>
      <c r="AA674" s="147"/>
      <c r="AB674" s="147"/>
      <c r="AC674" s="147"/>
      <c r="AD674" s="147"/>
    </row>
    <row r="675">
      <c r="A675" s="147"/>
      <c r="B675" s="147"/>
      <c r="C675" s="147"/>
      <c r="D675" s="147"/>
      <c r="E675" s="147"/>
      <c r="F675" s="147"/>
      <c r="G675" s="147"/>
      <c r="H675" s="262"/>
      <c r="I675" s="147"/>
      <c r="J675" s="147"/>
      <c r="K675" s="147"/>
      <c r="L675" s="147"/>
      <c r="M675" s="147"/>
      <c r="N675" s="147"/>
      <c r="O675" s="147"/>
      <c r="P675" s="147"/>
      <c r="Q675" s="147"/>
      <c r="R675" s="147"/>
      <c r="S675" s="147"/>
      <c r="T675" s="147"/>
      <c r="U675" s="147"/>
      <c r="V675" s="147"/>
      <c r="W675" s="147"/>
      <c r="X675" s="147"/>
      <c r="Y675" s="147"/>
      <c r="Z675" s="147"/>
      <c r="AA675" s="147"/>
      <c r="AB675" s="147"/>
      <c r="AC675" s="147"/>
      <c r="AD675" s="147"/>
    </row>
    <row r="676">
      <c r="A676" s="147"/>
      <c r="B676" s="147"/>
      <c r="C676" s="147"/>
      <c r="D676" s="147"/>
      <c r="E676" s="147"/>
      <c r="F676" s="147"/>
      <c r="G676" s="147"/>
      <c r="H676" s="262"/>
      <c r="I676" s="147"/>
      <c r="J676" s="147"/>
      <c r="K676" s="147"/>
      <c r="L676" s="147"/>
      <c r="M676" s="147"/>
      <c r="N676" s="147"/>
      <c r="O676" s="147"/>
      <c r="P676" s="147"/>
      <c r="Q676" s="147"/>
      <c r="R676" s="147"/>
      <c r="S676" s="147"/>
      <c r="T676" s="147"/>
      <c r="U676" s="147"/>
      <c r="V676" s="147"/>
      <c r="W676" s="147"/>
      <c r="X676" s="147"/>
      <c r="Y676" s="147"/>
      <c r="Z676" s="147"/>
      <c r="AA676" s="147"/>
      <c r="AB676" s="147"/>
      <c r="AC676" s="147"/>
      <c r="AD676" s="147"/>
    </row>
    <row r="677">
      <c r="A677" s="147"/>
      <c r="B677" s="147"/>
      <c r="C677" s="147"/>
      <c r="D677" s="147"/>
      <c r="E677" s="147"/>
      <c r="F677" s="147"/>
      <c r="G677" s="147"/>
      <c r="H677" s="262"/>
      <c r="I677" s="147"/>
      <c r="J677" s="147"/>
      <c r="K677" s="147"/>
      <c r="L677" s="147"/>
      <c r="M677" s="147"/>
      <c r="N677" s="147"/>
      <c r="O677" s="147"/>
      <c r="P677" s="147"/>
      <c r="Q677" s="147"/>
      <c r="R677" s="147"/>
      <c r="S677" s="147"/>
      <c r="T677" s="147"/>
      <c r="U677" s="147"/>
      <c r="V677" s="147"/>
      <c r="W677" s="147"/>
      <c r="X677" s="147"/>
      <c r="Y677" s="147"/>
      <c r="Z677" s="147"/>
      <c r="AA677" s="147"/>
      <c r="AB677" s="147"/>
      <c r="AC677" s="147"/>
      <c r="AD677" s="147"/>
    </row>
    <row r="678">
      <c r="A678" s="147"/>
      <c r="B678" s="147"/>
      <c r="C678" s="147"/>
      <c r="D678" s="147"/>
      <c r="E678" s="147"/>
      <c r="F678" s="147"/>
      <c r="G678" s="147"/>
      <c r="H678" s="262"/>
      <c r="I678" s="147"/>
      <c r="J678" s="147"/>
      <c r="K678" s="147"/>
      <c r="L678" s="147"/>
      <c r="M678" s="147"/>
      <c r="N678" s="147"/>
      <c r="O678" s="147"/>
      <c r="P678" s="147"/>
      <c r="Q678" s="147"/>
      <c r="R678" s="147"/>
      <c r="S678" s="147"/>
      <c r="T678" s="147"/>
      <c r="U678" s="147"/>
      <c r="V678" s="147"/>
      <c r="W678" s="147"/>
      <c r="X678" s="147"/>
      <c r="Y678" s="147"/>
      <c r="Z678" s="147"/>
      <c r="AA678" s="147"/>
      <c r="AB678" s="147"/>
      <c r="AC678" s="147"/>
      <c r="AD678" s="147"/>
    </row>
    <row r="679">
      <c r="A679" s="147"/>
      <c r="B679" s="147"/>
      <c r="C679" s="147"/>
      <c r="D679" s="147"/>
      <c r="E679" s="147"/>
      <c r="F679" s="147"/>
      <c r="G679" s="147"/>
      <c r="H679" s="262"/>
      <c r="I679" s="147"/>
      <c r="J679" s="147"/>
      <c r="K679" s="147"/>
      <c r="L679" s="147"/>
      <c r="M679" s="147"/>
      <c r="N679" s="147"/>
      <c r="O679" s="147"/>
      <c r="P679" s="147"/>
      <c r="Q679" s="147"/>
      <c r="R679" s="147"/>
      <c r="S679" s="147"/>
      <c r="T679" s="147"/>
      <c r="U679" s="147"/>
      <c r="V679" s="147"/>
      <c r="W679" s="147"/>
      <c r="X679" s="147"/>
      <c r="Y679" s="147"/>
      <c r="Z679" s="147"/>
      <c r="AA679" s="147"/>
      <c r="AB679" s="147"/>
      <c r="AC679" s="147"/>
      <c r="AD679" s="147"/>
    </row>
    <row r="680">
      <c r="A680" s="147"/>
      <c r="B680" s="147"/>
      <c r="C680" s="147"/>
      <c r="D680" s="147"/>
      <c r="E680" s="147"/>
      <c r="F680" s="147"/>
      <c r="G680" s="147"/>
      <c r="H680" s="262"/>
      <c r="I680" s="147"/>
      <c r="J680" s="147"/>
      <c r="K680" s="147"/>
      <c r="L680" s="147"/>
      <c r="M680" s="147"/>
      <c r="N680" s="147"/>
      <c r="O680" s="147"/>
      <c r="P680" s="147"/>
      <c r="Q680" s="147"/>
      <c r="R680" s="147"/>
      <c r="S680" s="147"/>
      <c r="T680" s="147"/>
      <c r="U680" s="147"/>
      <c r="V680" s="147"/>
      <c r="W680" s="147"/>
      <c r="X680" s="147"/>
      <c r="Y680" s="147"/>
      <c r="Z680" s="147"/>
      <c r="AA680" s="147"/>
      <c r="AB680" s="147"/>
      <c r="AC680" s="147"/>
      <c r="AD680" s="147"/>
    </row>
    <row r="681">
      <c r="A681" s="147"/>
      <c r="B681" s="147"/>
      <c r="C681" s="147"/>
      <c r="D681" s="147"/>
      <c r="E681" s="147"/>
      <c r="F681" s="147"/>
      <c r="G681" s="147"/>
      <c r="H681" s="262"/>
      <c r="I681" s="147"/>
      <c r="J681" s="147"/>
      <c r="K681" s="147"/>
      <c r="L681" s="147"/>
      <c r="M681" s="147"/>
      <c r="N681" s="147"/>
      <c r="O681" s="147"/>
      <c r="P681" s="147"/>
      <c r="Q681" s="147"/>
      <c r="R681" s="147"/>
      <c r="S681" s="147"/>
      <c r="T681" s="147"/>
      <c r="U681" s="147"/>
      <c r="V681" s="147"/>
      <c r="W681" s="147"/>
      <c r="X681" s="147"/>
      <c r="Y681" s="147"/>
      <c r="Z681" s="147"/>
      <c r="AA681" s="147"/>
      <c r="AB681" s="147"/>
      <c r="AC681" s="147"/>
      <c r="AD681" s="147"/>
    </row>
    <row r="682">
      <c r="A682" s="147"/>
      <c r="B682" s="147"/>
      <c r="C682" s="147"/>
      <c r="D682" s="147"/>
      <c r="E682" s="147"/>
      <c r="F682" s="147"/>
      <c r="G682" s="147"/>
      <c r="H682" s="262"/>
      <c r="I682" s="147"/>
      <c r="J682" s="147"/>
      <c r="K682" s="147"/>
      <c r="L682" s="147"/>
      <c r="M682" s="147"/>
      <c r="N682" s="147"/>
      <c r="O682" s="147"/>
      <c r="P682" s="147"/>
      <c r="Q682" s="147"/>
      <c r="R682" s="147"/>
      <c r="S682" s="147"/>
      <c r="T682" s="147"/>
      <c r="U682" s="147"/>
      <c r="V682" s="147"/>
      <c r="W682" s="147"/>
      <c r="X682" s="147"/>
      <c r="Y682" s="147"/>
      <c r="Z682" s="147"/>
      <c r="AA682" s="147"/>
      <c r="AB682" s="147"/>
      <c r="AC682" s="147"/>
      <c r="AD682" s="147"/>
    </row>
    <row r="683">
      <c r="A683" s="147"/>
      <c r="B683" s="147"/>
      <c r="C683" s="147"/>
      <c r="D683" s="147"/>
      <c r="E683" s="147"/>
      <c r="F683" s="147"/>
      <c r="G683" s="147"/>
      <c r="H683" s="262"/>
      <c r="I683" s="147"/>
      <c r="J683" s="147"/>
      <c r="K683" s="147"/>
      <c r="L683" s="147"/>
      <c r="M683" s="147"/>
      <c r="N683" s="147"/>
      <c r="O683" s="147"/>
      <c r="P683" s="147"/>
      <c r="Q683" s="147"/>
      <c r="R683" s="147"/>
      <c r="S683" s="147"/>
      <c r="T683" s="147"/>
      <c r="U683" s="147"/>
      <c r="V683" s="147"/>
      <c r="W683" s="147"/>
      <c r="X683" s="147"/>
      <c r="Y683" s="147"/>
      <c r="Z683" s="147"/>
      <c r="AA683" s="147"/>
      <c r="AB683" s="147"/>
      <c r="AC683" s="147"/>
      <c r="AD683" s="147"/>
    </row>
    <row r="684">
      <c r="A684" s="147"/>
      <c r="B684" s="147"/>
      <c r="C684" s="147"/>
      <c r="D684" s="147"/>
      <c r="E684" s="147"/>
      <c r="F684" s="147"/>
      <c r="G684" s="147"/>
      <c r="H684" s="262"/>
      <c r="I684" s="147"/>
      <c r="J684" s="147"/>
      <c r="K684" s="147"/>
      <c r="L684" s="147"/>
      <c r="M684" s="147"/>
      <c r="N684" s="147"/>
      <c r="O684" s="147"/>
      <c r="P684" s="147"/>
      <c r="Q684" s="147"/>
      <c r="R684" s="147"/>
      <c r="S684" s="147"/>
      <c r="T684" s="147"/>
      <c r="U684" s="147"/>
      <c r="V684" s="147"/>
      <c r="W684" s="147"/>
      <c r="X684" s="147"/>
      <c r="Y684" s="147"/>
      <c r="Z684" s="147"/>
      <c r="AA684" s="147"/>
      <c r="AB684" s="147"/>
      <c r="AC684" s="147"/>
      <c r="AD684" s="147"/>
    </row>
    <row r="685">
      <c r="A685" s="147"/>
      <c r="B685" s="147"/>
      <c r="C685" s="147"/>
      <c r="D685" s="147"/>
      <c r="E685" s="147"/>
      <c r="F685" s="147"/>
      <c r="G685" s="147"/>
      <c r="H685" s="262"/>
      <c r="I685" s="147"/>
      <c r="J685" s="147"/>
      <c r="K685" s="147"/>
      <c r="L685" s="147"/>
      <c r="M685" s="147"/>
      <c r="N685" s="147"/>
      <c r="O685" s="147"/>
      <c r="P685" s="147"/>
      <c r="Q685" s="147"/>
      <c r="R685" s="147"/>
      <c r="S685" s="147"/>
      <c r="T685" s="147"/>
      <c r="U685" s="147"/>
      <c r="V685" s="147"/>
      <c r="W685" s="147"/>
      <c r="X685" s="147"/>
      <c r="Y685" s="147"/>
      <c r="Z685" s="147"/>
      <c r="AA685" s="147"/>
      <c r="AB685" s="147"/>
      <c r="AC685" s="147"/>
      <c r="AD685" s="147"/>
    </row>
    <row r="686">
      <c r="A686" s="147"/>
      <c r="B686" s="147"/>
      <c r="C686" s="147"/>
      <c r="D686" s="147"/>
      <c r="E686" s="147"/>
      <c r="F686" s="147"/>
      <c r="G686" s="147"/>
      <c r="H686" s="262"/>
      <c r="I686" s="147"/>
      <c r="J686" s="147"/>
      <c r="K686" s="147"/>
      <c r="L686" s="147"/>
      <c r="M686" s="147"/>
      <c r="N686" s="147"/>
      <c r="O686" s="147"/>
      <c r="P686" s="147"/>
      <c r="Q686" s="147"/>
      <c r="R686" s="147"/>
      <c r="S686" s="147"/>
      <c r="T686" s="147"/>
      <c r="U686" s="147"/>
      <c r="V686" s="147"/>
      <c r="W686" s="147"/>
      <c r="X686" s="147"/>
      <c r="Y686" s="147"/>
      <c r="Z686" s="147"/>
      <c r="AA686" s="147"/>
      <c r="AB686" s="147"/>
      <c r="AC686" s="147"/>
      <c r="AD686" s="147"/>
    </row>
    <row r="687">
      <c r="A687" s="147"/>
      <c r="B687" s="147"/>
      <c r="C687" s="147"/>
      <c r="D687" s="147"/>
      <c r="E687" s="147"/>
      <c r="F687" s="147"/>
      <c r="G687" s="147"/>
      <c r="H687" s="262"/>
      <c r="I687" s="147"/>
      <c r="J687" s="147"/>
      <c r="K687" s="147"/>
      <c r="L687" s="147"/>
      <c r="M687" s="147"/>
      <c r="N687" s="147"/>
      <c r="O687" s="147"/>
      <c r="P687" s="147"/>
      <c r="Q687" s="147"/>
      <c r="R687" s="147"/>
      <c r="S687" s="147"/>
      <c r="T687" s="147"/>
      <c r="U687" s="147"/>
      <c r="V687" s="147"/>
      <c r="W687" s="147"/>
      <c r="X687" s="147"/>
      <c r="Y687" s="147"/>
      <c r="Z687" s="147"/>
      <c r="AA687" s="147"/>
      <c r="AB687" s="147"/>
      <c r="AC687" s="147"/>
      <c r="AD687" s="147"/>
    </row>
    <row r="688">
      <c r="A688" s="147"/>
      <c r="B688" s="147"/>
      <c r="C688" s="147"/>
      <c r="D688" s="147"/>
      <c r="E688" s="147"/>
      <c r="F688" s="147"/>
      <c r="G688" s="147"/>
      <c r="H688" s="262"/>
      <c r="I688" s="147"/>
      <c r="J688" s="147"/>
      <c r="K688" s="147"/>
      <c r="L688" s="147"/>
      <c r="M688" s="147"/>
      <c r="N688" s="147"/>
      <c r="O688" s="147"/>
      <c r="P688" s="147"/>
      <c r="Q688" s="147"/>
      <c r="R688" s="147"/>
      <c r="S688" s="147"/>
      <c r="T688" s="147"/>
      <c r="U688" s="147"/>
      <c r="V688" s="147"/>
      <c r="W688" s="147"/>
      <c r="X688" s="147"/>
      <c r="Y688" s="147"/>
      <c r="Z688" s="147"/>
      <c r="AA688" s="147"/>
      <c r="AB688" s="147"/>
      <c r="AC688" s="147"/>
      <c r="AD688" s="147"/>
    </row>
    <row r="689">
      <c r="A689" s="147"/>
      <c r="B689" s="147"/>
      <c r="C689" s="147"/>
      <c r="D689" s="147"/>
      <c r="E689" s="147"/>
      <c r="F689" s="147"/>
      <c r="G689" s="147"/>
      <c r="H689" s="262"/>
      <c r="I689" s="147"/>
      <c r="J689" s="147"/>
      <c r="K689" s="147"/>
      <c r="L689" s="147"/>
      <c r="M689" s="147"/>
      <c r="N689" s="147"/>
      <c r="O689" s="147"/>
      <c r="P689" s="147"/>
      <c r="Q689" s="147"/>
      <c r="R689" s="147"/>
      <c r="S689" s="147"/>
      <c r="T689" s="147"/>
      <c r="U689" s="147"/>
      <c r="V689" s="147"/>
      <c r="W689" s="147"/>
      <c r="X689" s="147"/>
      <c r="Y689" s="147"/>
      <c r="Z689" s="147"/>
      <c r="AA689" s="147"/>
      <c r="AB689" s="147"/>
      <c r="AC689" s="147"/>
      <c r="AD689" s="147"/>
    </row>
    <row r="690">
      <c r="A690" s="147"/>
      <c r="B690" s="147"/>
      <c r="C690" s="147"/>
      <c r="D690" s="147"/>
      <c r="E690" s="147"/>
      <c r="F690" s="147"/>
      <c r="G690" s="147"/>
      <c r="H690" s="262"/>
      <c r="I690" s="147"/>
      <c r="J690" s="147"/>
      <c r="K690" s="147"/>
      <c r="L690" s="147"/>
      <c r="M690" s="147"/>
      <c r="N690" s="147"/>
      <c r="O690" s="147"/>
      <c r="P690" s="147"/>
      <c r="Q690" s="147"/>
      <c r="R690" s="147"/>
      <c r="S690" s="147"/>
      <c r="T690" s="147"/>
      <c r="U690" s="147"/>
      <c r="V690" s="147"/>
      <c r="W690" s="147"/>
      <c r="X690" s="147"/>
      <c r="Y690" s="147"/>
      <c r="Z690" s="147"/>
      <c r="AA690" s="147"/>
      <c r="AB690" s="147"/>
      <c r="AC690" s="147"/>
      <c r="AD690" s="147"/>
    </row>
    <row r="691">
      <c r="A691" s="147"/>
      <c r="B691" s="147"/>
      <c r="C691" s="147"/>
      <c r="D691" s="147"/>
      <c r="E691" s="147"/>
      <c r="F691" s="147"/>
      <c r="G691" s="147"/>
      <c r="H691" s="262"/>
      <c r="I691" s="147"/>
      <c r="J691" s="147"/>
      <c r="K691" s="147"/>
      <c r="L691" s="147"/>
      <c r="M691" s="147"/>
      <c r="N691" s="147"/>
      <c r="O691" s="147"/>
      <c r="P691" s="147"/>
      <c r="Q691" s="147"/>
      <c r="R691" s="147"/>
      <c r="S691" s="147"/>
      <c r="T691" s="147"/>
      <c r="U691" s="147"/>
      <c r="V691" s="147"/>
      <c r="W691" s="147"/>
      <c r="X691" s="147"/>
      <c r="Y691" s="147"/>
      <c r="Z691" s="147"/>
      <c r="AA691" s="147"/>
      <c r="AB691" s="147"/>
      <c r="AC691" s="147"/>
      <c r="AD691" s="147"/>
    </row>
    <row r="692">
      <c r="A692" s="147"/>
      <c r="B692" s="147"/>
      <c r="C692" s="147"/>
      <c r="D692" s="147"/>
      <c r="E692" s="147"/>
      <c r="F692" s="147"/>
      <c r="G692" s="147"/>
      <c r="H692" s="262"/>
      <c r="I692" s="147"/>
      <c r="J692" s="147"/>
      <c r="K692" s="147"/>
      <c r="L692" s="147"/>
      <c r="M692" s="147"/>
      <c r="N692" s="147"/>
      <c r="O692" s="147"/>
      <c r="P692" s="147"/>
      <c r="Q692" s="147"/>
      <c r="R692" s="147"/>
      <c r="S692" s="147"/>
      <c r="T692" s="147"/>
      <c r="U692" s="147"/>
      <c r="V692" s="147"/>
      <c r="W692" s="147"/>
      <c r="X692" s="147"/>
      <c r="Y692" s="147"/>
      <c r="Z692" s="147"/>
      <c r="AA692" s="147"/>
      <c r="AB692" s="147"/>
      <c r="AC692" s="147"/>
      <c r="AD692" s="147"/>
    </row>
    <row r="693">
      <c r="A693" s="147"/>
      <c r="B693" s="147"/>
      <c r="C693" s="147"/>
      <c r="D693" s="147"/>
      <c r="E693" s="147"/>
      <c r="F693" s="147"/>
      <c r="G693" s="147"/>
      <c r="H693" s="262"/>
      <c r="I693" s="147"/>
      <c r="J693" s="147"/>
      <c r="K693" s="147"/>
      <c r="L693" s="147"/>
      <c r="M693" s="147"/>
      <c r="N693" s="147"/>
      <c r="O693" s="147"/>
      <c r="P693" s="147"/>
      <c r="Q693" s="147"/>
      <c r="R693" s="147"/>
      <c r="S693" s="147"/>
      <c r="T693" s="147"/>
      <c r="U693" s="147"/>
      <c r="V693" s="147"/>
      <c r="W693" s="147"/>
      <c r="X693" s="147"/>
      <c r="Y693" s="147"/>
      <c r="Z693" s="147"/>
      <c r="AA693" s="147"/>
      <c r="AB693" s="147"/>
      <c r="AC693" s="147"/>
      <c r="AD693" s="147"/>
    </row>
    <row r="694">
      <c r="A694" s="147"/>
      <c r="B694" s="147"/>
      <c r="C694" s="147"/>
      <c r="D694" s="147"/>
      <c r="E694" s="147"/>
      <c r="F694" s="147"/>
      <c r="G694" s="147"/>
      <c r="H694" s="262"/>
      <c r="I694" s="147"/>
      <c r="J694" s="147"/>
      <c r="K694" s="147"/>
      <c r="L694" s="147"/>
      <c r="M694" s="147"/>
      <c r="N694" s="147"/>
      <c r="O694" s="147"/>
      <c r="P694" s="147"/>
      <c r="Q694" s="147"/>
      <c r="R694" s="147"/>
      <c r="S694" s="147"/>
      <c r="T694" s="147"/>
      <c r="U694" s="147"/>
      <c r="V694" s="147"/>
      <c r="W694" s="147"/>
      <c r="X694" s="147"/>
      <c r="Y694" s="147"/>
      <c r="Z694" s="147"/>
      <c r="AA694" s="147"/>
      <c r="AB694" s="147"/>
      <c r="AC694" s="147"/>
      <c r="AD694" s="147"/>
    </row>
    <row r="695">
      <c r="A695" s="147"/>
      <c r="B695" s="147"/>
      <c r="C695" s="147"/>
      <c r="D695" s="147"/>
      <c r="E695" s="147"/>
      <c r="F695" s="147"/>
      <c r="G695" s="147"/>
      <c r="H695" s="262"/>
      <c r="I695" s="147"/>
      <c r="J695" s="147"/>
      <c r="K695" s="147"/>
      <c r="L695" s="147"/>
      <c r="M695" s="147"/>
      <c r="N695" s="147"/>
      <c r="O695" s="147"/>
      <c r="P695" s="147"/>
      <c r="Q695" s="147"/>
      <c r="R695" s="147"/>
      <c r="S695" s="147"/>
      <c r="T695" s="147"/>
      <c r="U695" s="147"/>
      <c r="V695" s="147"/>
      <c r="W695" s="147"/>
      <c r="X695" s="147"/>
      <c r="Y695" s="147"/>
      <c r="Z695" s="147"/>
      <c r="AA695" s="147"/>
      <c r="AB695" s="147"/>
      <c r="AC695" s="147"/>
      <c r="AD695" s="147"/>
    </row>
    <row r="696">
      <c r="A696" s="147"/>
      <c r="B696" s="147"/>
      <c r="C696" s="147"/>
      <c r="D696" s="147"/>
      <c r="E696" s="147"/>
      <c r="F696" s="147"/>
      <c r="G696" s="147"/>
      <c r="H696" s="262"/>
      <c r="I696" s="147"/>
      <c r="J696" s="147"/>
      <c r="K696" s="147"/>
      <c r="L696" s="147"/>
      <c r="M696" s="147"/>
      <c r="N696" s="147"/>
      <c r="O696" s="147"/>
      <c r="P696" s="147"/>
      <c r="Q696" s="147"/>
      <c r="R696" s="147"/>
      <c r="S696" s="147"/>
      <c r="T696" s="147"/>
      <c r="U696" s="147"/>
      <c r="V696" s="147"/>
      <c r="W696" s="147"/>
      <c r="X696" s="147"/>
      <c r="Y696" s="147"/>
      <c r="Z696" s="147"/>
      <c r="AA696" s="147"/>
      <c r="AB696" s="147"/>
      <c r="AC696" s="147"/>
      <c r="AD696" s="147"/>
    </row>
    <row r="697">
      <c r="A697" s="147"/>
      <c r="B697" s="147"/>
      <c r="C697" s="147"/>
      <c r="D697" s="147"/>
      <c r="E697" s="147"/>
      <c r="F697" s="147"/>
      <c r="G697" s="147"/>
      <c r="H697" s="262"/>
      <c r="I697" s="147"/>
      <c r="J697" s="147"/>
      <c r="K697" s="147"/>
      <c r="L697" s="147"/>
      <c r="M697" s="147"/>
      <c r="N697" s="147"/>
      <c r="O697" s="147"/>
      <c r="P697" s="147"/>
      <c r="Q697" s="147"/>
      <c r="R697" s="147"/>
      <c r="S697" s="147"/>
      <c r="T697" s="147"/>
      <c r="U697" s="147"/>
      <c r="V697" s="147"/>
      <c r="W697" s="147"/>
      <c r="X697" s="147"/>
      <c r="Y697" s="147"/>
      <c r="Z697" s="147"/>
      <c r="AA697" s="147"/>
      <c r="AB697" s="147"/>
      <c r="AC697" s="147"/>
      <c r="AD697" s="147"/>
    </row>
    <row r="698">
      <c r="A698" s="147"/>
      <c r="B698" s="147"/>
      <c r="C698" s="147"/>
      <c r="D698" s="147"/>
      <c r="E698" s="147"/>
      <c r="F698" s="147"/>
      <c r="G698" s="147"/>
      <c r="H698" s="262"/>
      <c r="I698" s="147"/>
      <c r="J698" s="147"/>
      <c r="K698" s="147"/>
      <c r="L698" s="147"/>
      <c r="M698" s="147"/>
      <c r="N698" s="147"/>
      <c r="O698" s="147"/>
      <c r="P698" s="147"/>
      <c r="Q698" s="147"/>
      <c r="R698" s="147"/>
      <c r="S698" s="147"/>
      <c r="T698" s="147"/>
      <c r="U698" s="147"/>
      <c r="V698" s="147"/>
      <c r="W698" s="147"/>
      <c r="X698" s="147"/>
      <c r="Y698" s="147"/>
      <c r="Z698" s="147"/>
      <c r="AA698" s="147"/>
      <c r="AB698" s="147"/>
      <c r="AC698" s="147"/>
      <c r="AD698" s="147"/>
    </row>
    <row r="699">
      <c r="A699" s="147"/>
      <c r="B699" s="147"/>
      <c r="C699" s="147"/>
      <c r="D699" s="147"/>
      <c r="E699" s="147"/>
      <c r="F699" s="147"/>
      <c r="G699" s="147"/>
      <c r="H699" s="262"/>
      <c r="I699" s="147"/>
      <c r="J699" s="147"/>
      <c r="K699" s="147"/>
      <c r="L699" s="147"/>
      <c r="M699" s="147"/>
      <c r="N699" s="147"/>
      <c r="O699" s="147"/>
      <c r="P699" s="147"/>
      <c r="Q699" s="147"/>
      <c r="R699" s="147"/>
      <c r="S699" s="147"/>
      <c r="T699" s="147"/>
      <c r="U699" s="147"/>
      <c r="V699" s="147"/>
      <c r="W699" s="147"/>
      <c r="X699" s="147"/>
      <c r="Y699" s="147"/>
      <c r="Z699" s="147"/>
      <c r="AA699" s="147"/>
      <c r="AB699" s="147"/>
      <c r="AC699" s="147"/>
      <c r="AD699" s="147"/>
    </row>
    <row r="700">
      <c r="A700" s="147"/>
      <c r="B700" s="147"/>
      <c r="C700" s="147"/>
      <c r="D700" s="147"/>
      <c r="E700" s="147"/>
      <c r="F700" s="147"/>
      <c r="G700" s="147"/>
      <c r="H700" s="262"/>
      <c r="I700" s="147"/>
      <c r="J700" s="147"/>
      <c r="K700" s="147"/>
      <c r="L700" s="147"/>
      <c r="M700" s="147"/>
      <c r="N700" s="147"/>
      <c r="O700" s="147"/>
      <c r="P700" s="147"/>
      <c r="Q700" s="147"/>
      <c r="R700" s="147"/>
      <c r="S700" s="147"/>
      <c r="T700" s="147"/>
      <c r="U700" s="147"/>
      <c r="V700" s="147"/>
      <c r="W700" s="147"/>
      <c r="X700" s="147"/>
      <c r="Y700" s="147"/>
      <c r="Z700" s="147"/>
      <c r="AA700" s="147"/>
      <c r="AB700" s="147"/>
      <c r="AC700" s="147"/>
      <c r="AD700" s="147"/>
    </row>
    <row r="701">
      <c r="A701" s="147"/>
      <c r="B701" s="147"/>
      <c r="C701" s="147"/>
      <c r="D701" s="147"/>
      <c r="E701" s="147"/>
      <c r="F701" s="147"/>
      <c r="G701" s="147"/>
      <c r="H701" s="262"/>
      <c r="I701" s="147"/>
      <c r="J701" s="147"/>
      <c r="K701" s="147"/>
      <c r="L701" s="147"/>
      <c r="M701" s="147"/>
      <c r="N701" s="147"/>
      <c r="O701" s="147"/>
      <c r="P701" s="147"/>
      <c r="Q701" s="147"/>
      <c r="R701" s="147"/>
      <c r="S701" s="147"/>
      <c r="T701" s="147"/>
      <c r="U701" s="147"/>
      <c r="V701" s="147"/>
      <c r="W701" s="147"/>
      <c r="X701" s="147"/>
      <c r="Y701" s="147"/>
      <c r="Z701" s="147"/>
      <c r="AA701" s="147"/>
      <c r="AB701" s="147"/>
      <c r="AC701" s="147"/>
      <c r="AD701" s="147"/>
    </row>
    <row r="702">
      <c r="A702" s="147"/>
      <c r="B702" s="147"/>
      <c r="C702" s="147"/>
      <c r="D702" s="147"/>
      <c r="E702" s="147"/>
      <c r="F702" s="147"/>
      <c r="G702" s="147"/>
      <c r="H702" s="262"/>
      <c r="I702" s="147"/>
      <c r="J702" s="147"/>
      <c r="K702" s="147"/>
      <c r="L702" s="147"/>
      <c r="M702" s="147"/>
      <c r="N702" s="147"/>
      <c r="O702" s="147"/>
      <c r="P702" s="147"/>
      <c r="Q702" s="147"/>
      <c r="R702" s="147"/>
      <c r="S702" s="147"/>
      <c r="T702" s="147"/>
      <c r="U702" s="147"/>
      <c r="V702" s="147"/>
      <c r="W702" s="147"/>
      <c r="X702" s="147"/>
      <c r="Y702" s="147"/>
      <c r="Z702" s="147"/>
      <c r="AA702" s="147"/>
      <c r="AB702" s="147"/>
      <c r="AC702" s="147"/>
      <c r="AD702" s="147"/>
    </row>
    <row r="703">
      <c r="A703" s="147"/>
      <c r="B703" s="147"/>
      <c r="C703" s="147"/>
      <c r="D703" s="147"/>
      <c r="E703" s="147"/>
      <c r="F703" s="147"/>
      <c r="G703" s="147"/>
      <c r="H703" s="262"/>
      <c r="I703" s="147"/>
      <c r="J703" s="147"/>
      <c r="K703" s="147"/>
      <c r="L703" s="147"/>
      <c r="M703" s="147"/>
      <c r="N703" s="147"/>
      <c r="O703" s="147"/>
      <c r="P703" s="147"/>
      <c r="Q703" s="147"/>
      <c r="R703" s="147"/>
      <c r="S703" s="147"/>
      <c r="T703" s="147"/>
      <c r="U703" s="147"/>
      <c r="V703" s="147"/>
      <c r="W703" s="147"/>
      <c r="X703" s="147"/>
      <c r="Y703" s="147"/>
      <c r="Z703" s="147"/>
      <c r="AA703" s="147"/>
      <c r="AB703" s="147"/>
      <c r="AC703" s="147"/>
      <c r="AD703" s="147"/>
    </row>
    <row r="704">
      <c r="A704" s="147"/>
      <c r="B704" s="147"/>
      <c r="C704" s="147"/>
      <c r="D704" s="147"/>
      <c r="E704" s="147"/>
      <c r="F704" s="147"/>
      <c r="G704" s="147"/>
      <c r="H704" s="262"/>
      <c r="I704" s="147"/>
      <c r="J704" s="147"/>
      <c r="K704" s="147"/>
      <c r="L704" s="147"/>
      <c r="M704" s="147"/>
      <c r="N704" s="147"/>
      <c r="O704" s="147"/>
      <c r="P704" s="147"/>
      <c r="Q704" s="147"/>
      <c r="R704" s="147"/>
      <c r="S704" s="147"/>
      <c r="T704" s="147"/>
      <c r="U704" s="147"/>
      <c r="V704" s="147"/>
      <c r="W704" s="147"/>
      <c r="X704" s="147"/>
      <c r="Y704" s="147"/>
      <c r="Z704" s="147"/>
      <c r="AA704" s="147"/>
      <c r="AB704" s="147"/>
      <c r="AC704" s="147"/>
      <c r="AD704" s="147"/>
    </row>
    <row r="705">
      <c r="A705" s="147"/>
      <c r="B705" s="147"/>
      <c r="C705" s="147"/>
      <c r="D705" s="147"/>
      <c r="E705" s="147"/>
      <c r="F705" s="147"/>
      <c r="G705" s="147"/>
      <c r="H705" s="262"/>
      <c r="I705" s="147"/>
      <c r="J705" s="147"/>
      <c r="K705" s="147"/>
      <c r="L705" s="147"/>
      <c r="M705" s="147"/>
      <c r="N705" s="147"/>
      <c r="O705" s="147"/>
      <c r="P705" s="147"/>
      <c r="Q705" s="147"/>
      <c r="R705" s="147"/>
      <c r="S705" s="147"/>
      <c r="T705" s="147"/>
      <c r="U705" s="147"/>
      <c r="V705" s="147"/>
      <c r="W705" s="147"/>
      <c r="X705" s="147"/>
      <c r="Y705" s="147"/>
      <c r="Z705" s="147"/>
      <c r="AA705" s="147"/>
      <c r="AB705" s="147"/>
      <c r="AC705" s="147"/>
      <c r="AD705" s="147"/>
    </row>
    <row r="706">
      <c r="A706" s="147"/>
      <c r="B706" s="147"/>
      <c r="C706" s="147"/>
      <c r="D706" s="147"/>
      <c r="E706" s="147"/>
      <c r="F706" s="147"/>
      <c r="G706" s="147"/>
      <c r="H706" s="262"/>
      <c r="I706" s="147"/>
      <c r="J706" s="147"/>
      <c r="K706" s="147"/>
      <c r="L706" s="147"/>
      <c r="M706" s="147"/>
      <c r="N706" s="147"/>
      <c r="O706" s="147"/>
      <c r="P706" s="147"/>
      <c r="Q706" s="147"/>
      <c r="R706" s="147"/>
      <c r="S706" s="147"/>
      <c r="T706" s="147"/>
      <c r="U706" s="147"/>
      <c r="V706" s="147"/>
      <c r="W706" s="147"/>
      <c r="X706" s="147"/>
      <c r="Y706" s="147"/>
      <c r="Z706" s="147"/>
      <c r="AA706" s="147"/>
      <c r="AB706" s="147"/>
      <c r="AC706" s="147"/>
      <c r="AD706" s="147"/>
    </row>
    <row r="707">
      <c r="A707" s="147"/>
      <c r="B707" s="147"/>
      <c r="C707" s="147"/>
      <c r="D707" s="147"/>
      <c r="E707" s="147"/>
      <c r="F707" s="147"/>
      <c r="G707" s="147"/>
      <c r="H707" s="262"/>
      <c r="I707" s="147"/>
      <c r="J707" s="147"/>
      <c r="K707" s="147"/>
      <c r="L707" s="147"/>
      <c r="M707" s="147"/>
      <c r="N707" s="147"/>
      <c r="O707" s="147"/>
      <c r="P707" s="147"/>
      <c r="Q707" s="147"/>
      <c r="R707" s="147"/>
      <c r="S707" s="147"/>
      <c r="T707" s="147"/>
      <c r="U707" s="147"/>
      <c r="V707" s="147"/>
      <c r="W707" s="147"/>
      <c r="X707" s="147"/>
      <c r="Y707" s="147"/>
      <c r="Z707" s="147"/>
      <c r="AA707" s="147"/>
      <c r="AB707" s="147"/>
      <c r="AC707" s="147"/>
      <c r="AD707" s="147"/>
    </row>
    <row r="708">
      <c r="A708" s="147"/>
      <c r="B708" s="147"/>
      <c r="C708" s="147"/>
      <c r="D708" s="147"/>
      <c r="E708" s="147"/>
      <c r="F708" s="147"/>
      <c r="G708" s="147"/>
      <c r="H708" s="262"/>
      <c r="I708" s="147"/>
      <c r="J708" s="147"/>
      <c r="K708" s="147"/>
      <c r="L708" s="147"/>
      <c r="M708" s="147"/>
      <c r="N708" s="147"/>
      <c r="O708" s="147"/>
      <c r="P708" s="147"/>
      <c r="Q708" s="147"/>
      <c r="R708" s="147"/>
      <c r="S708" s="147"/>
      <c r="T708" s="147"/>
      <c r="U708" s="147"/>
      <c r="V708" s="147"/>
      <c r="W708" s="147"/>
      <c r="X708" s="147"/>
      <c r="Y708" s="147"/>
      <c r="Z708" s="147"/>
      <c r="AA708" s="147"/>
      <c r="AB708" s="147"/>
      <c r="AC708" s="147"/>
      <c r="AD708" s="147"/>
    </row>
    <row r="709">
      <c r="A709" s="147"/>
      <c r="B709" s="147"/>
      <c r="C709" s="147"/>
      <c r="D709" s="147"/>
      <c r="E709" s="147"/>
      <c r="F709" s="147"/>
      <c r="G709" s="147"/>
      <c r="H709" s="262"/>
      <c r="I709" s="147"/>
      <c r="J709" s="147"/>
      <c r="K709" s="147"/>
      <c r="L709" s="147"/>
      <c r="M709" s="147"/>
      <c r="N709" s="147"/>
      <c r="O709" s="147"/>
      <c r="P709" s="147"/>
      <c r="Q709" s="147"/>
      <c r="R709" s="147"/>
      <c r="S709" s="147"/>
      <c r="T709" s="147"/>
      <c r="U709" s="147"/>
      <c r="V709" s="147"/>
      <c r="W709" s="147"/>
      <c r="X709" s="147"/>
      <c r="Y709" s="147"/>
      <c r="Z709" s="147"/>
      <c r="AA709" s="147"/>
      <c r="AB709" s="147"/>
      <c r="AC709" s="147"/>
      <c r="AD709" s="147"/>
    </row>
    <row r="710">
      <c r="A710" s="147"/>
      <c r="B710" s="147"/>
      <c r="C710" s="147"/>
      <c r="D710" s="147"/>
      <c r="E710" s="147"/>
      <c r="F710" s="147"/>
      <c r="G710" s="147"/>
      <c r="H710" s="262"/>
      <c r="I710" s="147"/>
      <c r="J710" s="147"/>
      <c r="K710" s="147"/>
      <c r="L710" s="147"/>
      <c r="M710" s="147"/>
      <c r="N710" s="147"/>
      <c r="O710" s="147"/>
      <c r="P710" s="147"/>
      <c r="Q710" s="147"/>
      <c r="R710" s="147"/>
      <c r="S710" s="147"/>
      <c r="T710" s="147"/>
      <c r="U710" s="147"/>
      <c r="V710" s="147"/>
      <c r="W710" s="147"/>
      <c r="X710" s="147"/>
      <c r="Y710" s="147"/>
      <c r="Z710" s="147"/>
      <c r="AA710" s="147"/>
      <c r="AB710" s="147"/>
      <c r="AC710" s="147"/>
      <c r="AD710" s="147"/>
    </row>
    <row r="711">
      <c r="A711" s="147"/>
      <c r="B711" s="147"/>
      <c r="C711" s="147"/>
      <c r="D711" s="147"/>
      <c r="E711" s="147"/>
      <c r="F711" s="147"/>
      <c r="G711" s="147"/>
      <c r="H711" s="262"/>
      <c r="I711" s="147"/>
      <c r="J711" s="147"/>
      <c r="K711" s="147"/>
      <c r="L711" s="147"/>
      <c r="M711" s="147"/>
      <c r="N711" s="147"/>
      <c r="O711" s="147"/>
      <c r="P711" s="147"/>
      <c r="Q711" s="147"/>
      <c r="R711" s="147"/>
      <c r="S711" s="147"/>
      <c r="T711" s="147"/>
      <c r="U711" s="147"/>
      <c r="V711" s="147"/>
      <c r="W711" s="147"/>
      <c r="X711" s="147"/>
      <c r="Y711" s="147"/>
      <c r="Z711" s="147"/>
      <c r="AA711" s="147"/>
      <c r="AB711" s="147"/>
      <c r="AC711" s="147"/>
      <c r="AD711" s="147"/>
    </row>
    <row r="712">
      <c r="A712" s="147"/>
      <c r="B712" s="147"/>
      <c r="C712" s="147"/>
      <c r="D712" s="147"/>
      <c r="E712" s="147"/>
      <c r="F712" s="147"/>
      <c r="G712" s="147"/>
      <c r="H712" s="262"/>
      <c r="I712" s="147"/>
      <c r="J712" s="147"/>
      <c r="K712" s="147"/>
      <c r="L712" s="147"/>
      <c r="M712" s="147"/>
      <c r="N712" s="147"/>
      <c r="O712" s="147"/>
      <c r="P712" s="147"/>
      <c r="Q712" s="147"/>
      <c r="R712" s="147"/>
      <c r="S712" s="147"/>
      <c r="T712" s="147"/>
      <c r="U712" s="147"/>
      <c r="V712" s="147"/>
      <c r="W712" s="147"/>
      <c r="X712" s="147"/>
      <c r="Y712" s="147"/>
      <c r="Z712" s="147"/>
      <c r="AA712" s="147"/>
      <c r="AB712" s="147"/>
      <c r="AC712" s="147"/>
      <c r="AD712" s="147"/>
    </row>
    <row r="713">
      <c r="A713" s="147"/>
      <c r="B713" s="147"/>
      <c r="C713" s="147"/>
      <c r="D713" s="147"/>
      <c r="E713" s="147"/>
      <c r="F713" s="147"/>
      <c r="G713" s="147"/>
      <c r="H713" s="262"/>
      <c r="I713" s="147"/>
      <c r="J713" s="147"/>
      <c r="K713" s="147"/>
      <c r="L713" s="147"/>
      <c r="M713" s="147"/>
      <c r="N713" s="147"/>
      <c r="O713" s="147"/>
      <c r="P713" s="147"/>
      <c r="Q713" s="147"/>
      <c r="R713" s="147"/>
      <c r="S713" s="147"/>
      <c r="T713" s="147"/>
      <c r="U713" s="147"/>
      <c r="V713" s="147"/>
      <c r="W713" s="147"/>
      <c r="X713" s="147"/>
      <c r="Y713" s="147"/>
      <c r="Z713" s="147"/>
      <c r="AA713" s="147"/>
      <c r="AB713" s="147"/>
      <c r="AC713" s="147"/>
      <c r="AD713" s="147"/>
    </row>
    <row r="714">
      <c r="A714" s="147"/>
      <c r="B714" s="147"/>
      <c r="C714" s="147"/>
      <c r="D714" s="147"/>
      <c r="E714" s="147"/>
      <c r="F714" s="147"/>
      <c r="G714" s="147"/>
      <c r="H714" s="262"/>
      <c r="I714" s="147"/>
      <c r="J714" s="147"/>
      <c r="K714" s="147"/>
      <c r="L714" s="147"/>
      <c r="M714" s="147"/>
      <c r="N714" s="147"/>
      <c r="O714" s="147"/>
      <c r="P714" s="147"/>
      <c r="Q714" s="147"/>
      <c r="R714" s="147"/>
      <c r="S714" s="147"/>
      <c r="T714" s="147"/>
      <c r="U714" s="147"/>
      <c r="V714" s="147"/>
      <c r="W714" s="147"/>
      <c r="X714" s="147"/>
      <c r="Y714" s="147"/>
      <c r="Z714" s="147"/>
      <c r="AA714" s="147"/>
      <c r="AB714" s="147"/>
      <c r="AC714" s="147"/>
      <c r="AD714" s="147"/>
    </row>
    <row r="715">
      <c r="A715" s="147"/>
      <c r="B715" s="147"/>
      <c r="C715" s="147"/>
      <c r="D715" s="147"/>
      <c r="E715" s="147"/>
      <c r="F715" s="147"/>
      <c r="G715" s="147"/>
      <c r="H715" s="262"/>
      <c r="I715" s="147"/>
      <c r="J715" s="147"/>
      <c r="K715" s="147"/>
      <c r="L715" s="147"/>
      <c r="M715" s="147"/>
      <c r="N715" s="147"/>
      <c r="O715" s="147"/>
      <c r="P715" s="147"/>
      <c r="Q715" s="147"/>
      <c r="R715" s="147"/>
      <c r="S715" s="147"/>
      <c r="T715" s="147"/>
      <c r="U715" s="147"/>
      <c r="V715" s="147"/>
      <c r="W715" s="147"/>
      <c r="X715" s="147"/>
      <c r="Y715" s="147"/>
      <c r="Z715" s="147"/>
      <c r="AA715" s="147"/>
      <c r="AB715" s="147"/>
      <c r="AC715" s="147"/>
      <c r="AD715" s="147"/>
    </row>
    <row r="716">
      <c r="A716" s="147"/>
      <c r="B716" s="147"/>
      <c r="C716" s="147"/>
      <c r="D716" s="147"/>
      <c r="E716" s="147"/>
      <c r="F716" s="147"/>
      <c r="G716" s="147"/>
      <c r="H716" s="262"/>
      <c r="I716" s="147"/>
      <c r="J716" s="147"/>
      <c r="K716" s="147"/>
      <c r="L716" s="147"/>
      <c r="M716" s="147"/>
      <c r="N716" s="147"/>
      <c r="O716" s="147"/>
      <c r="P716" s="147"/>
      <c r="Q716" s="147"/>
      <c r="R716" s="147"/>
      <c r="S716" s="147"/>
      <c r="T716" s="147"/>
      <c r="U716" s="147"/>
      <c r="V716" s="147"/>
      <c r="W716" s="147"/>
      <c r="X716" s="147"/>
      <c r="Y716" s="147"/>
      <c r="Z716" s="147"/>
      <c r="AA716" s="147"/>
      <c r="AB716" s="147"/>
      <c r="AC716" s="147"/>
      <c r="AD716" s="147"/>
    </row>
    <row r="717">
      <c r="A717" s="147"/>
      <c r="B717" s="147"/>
      <c r="C717" s="147"/>
      <c r="D717" s="147"/>
      <c r="E717" s="147"/>
      <c r="F717" s="147"/>
      <c r="G717" s="147"/>
      <c r="H717" s="262"/>
      <c r="I717" s="147"/>
      <c r="J717" s="147"/>
      <c r="K717" s="147"/>
      <c r="L717" s="147"/>
      <c r="M717" s="147"/>
      <c r="N717" s="147"/>
      <c r="O717" s="147"/>
      <c r="P717" s="147"/>
      <c r="Q717" s="147"/>
      <c r="R717" s="147"/>
      <c r="S717" s="147"/>
      <c r="T717" s="147"/>
      <c r="U717" s="147"/>
      <c r="V717" s="147"/>
      <c r="W717" s="147"/>
      <c r="X717" s="147"/>
      <c r="Y717" s="147"/>
      <c r="Z717" s="147"/>
      <c r="AA717" s="147"/>
      <c r="AB717" s="147"/>
      <c r="AC717" s="147"/>
      <c r="AD717" s="147"/>
    </row>
    <row r="718">
      <c r="A718" s="147"/>
      <c r="B718" s="147"/>
      <c r="C718" s="147"/>
      <c r="D718" s="147"/>
      <c r="E718" s="147"/>
      <c r="F718" s="147"/>
      <c r="G718" s="147"/>
      <c r="H718" s="262"/>
      <c r="I718" s="147"/>
      <c r="J718" s="147"/>
      <c r="K718" s="147"/>
      <c r="L718" s="147"/>
      <c r="M718" s="147"/>
      <c r="N718" s="147"/>
      <c r="O718" s="147"/>
      <c r="P718" s="147"/>
      <c r="Q718" s="147"/>
      <c r="R718" s="147"/>
      <c r="S718" s="147"/>
      <c r="T718" s="147"/>
      <c r="U718" s="147"/>
      <c r="V718" s="147"/>
      <c r="W718" s="147"/>
      <c r="X718" s="147"/>
      <c r="Y718" s="147"/>
      <c r="Z718" s="147"/>
      <c r="AA718" s="147"/>
      <c r="AB718" s="147"/>
      <c r="AC718" s="147"/>
      <c r="AD718" s="147"/>
    </row>
    <row r="719">
      <c r="A719" s="147"/>
      <c r="B719" s="147"/>
      <c r="C719" s="147"/>
      <c r="D719" s="147"/>
      <c r="E719" s="147"/>
      <c r="F719" s="147"/>
      <c r="G719" s="147"/>
      <c r="H719" s="262"/>
      <c r="I719" s="147"/>
      <c r="J719" s="147"/>
      <c r="K719" s="147"/>
      <c r="L719" s="147"/>
      <c r="M719" s="147"/>
      <c r="N719" s="147"/>
      <c r="O719" s="147"/>
      <c r="P719" s="147"/>
      <c r="Q719" s="147"/>
      <c r="R719" s="147"/>
      <c r="S719" s="147"/>
      <c r="T719" s="147"/>
      <c r="U719" s="147"/>
      <c r="V719" s="147"/>
      <c r="W719" s="147"/>
      <c r="X719" s="147"/>
      <c r="Y719" s="147"/>
      <c r="Z719" s="147"/>
      <c r="AA719" s="147"/>
      <c r="AB719" s="147"/>
      <c r="AC719" s="147"/>
      <c r="AD719" s="147"/>
    </row>
    <row r="720">
      <c r="A720" s="147"/>
      <c r="B720" s="147"/>
      <c r="C720" s="147"/>
      <c r="D720" s="147"/>
      <c r="E720" s="147"/>
      <c r="F720" s="147"/>
      <c r="G720" s="147"/>
      <c r="H720" s="262"/>
      <c r="I720" s="147"/>
      <c r="J720" s="147"/>
      <c r="K720" s="147"/>
      <c r="L720" s="147"/>
      <c r="M720" s="147"/>
      <c r="N720" s="147"/>
      <c r="O720" s="147"/>
      <c r="P720" s="147"/>
      <c r="Q720" s="147"/>
      <c r="R720" s="147"/>
      <c r="S720" s="147"/>
      <c r="T720" s="147"/>
      <c r="U720" s="147"/>
      <c r="V720" s="147"/>
      <c r="W720" s="147"/>
      <c r="X720" s="147"/>
      <c r="Y720" s="147"/>
      <c r="Z720" s="147"/>
      <c r="AA720" s="147"/>
      <c r="AB720" s="147"/>
      <c r="AC720" s="147"/>
      <c r="AD720" s="147"/>
    </row>
    <row r="721">
      <c r="A721" s="147"/>
      <c r="B721" s="147"/>
      <c r="C721" s="147"/>
      <c r="D721" s="147"/>
      <c r="E721" s="147"/>
      <c r="F721" s="147"/>
      <c r="G721" s="147"/>
      <c r="H721" s="262"/>
      <c r="I721" s="147"/>
      <c r="J721" s="147"/>
      <c r="K721" s="147"/>
      <c r="L721" s="147"/>
      <c r="M721" s="147"/>
      <c r="N721" s="147"/>
      <c r="O721" s="147"/>
      <c r="P721" s="147"/>
      <c r="Q721" s="147"/>
      <c r="R721" s="147"/>
      <c r="S721" s="147"/>
      <c r="T721" s="147"/>
      <c r="U721" s="147"/>
      <c r="V721" s="147"/>
      <c r="W721" s="147"/>
      <c r="X721" s="147"/>
      <c r="Y721" s="147"/>
      <c r="Z721" s="147"/>
      <c r="AA721" s="147"/>
      <c r="AB721" s="147"/>
      <c r="AC721" s="147"/>
      <c r="AD721" s="147"/>
    </row>
    <row r="722">
      <c r="A722" s="147"/>
      <c r="B722" s="147"/>
      <c r="C722" s="147"/>
      <c r="D722" s="147"/>
      <c r="E722" s="147"/>
      <c r="F722" s="147"/>
      <c r="G722" s="147"/>
      <c r="H722" s="262"/>
      <c r="I722" s="147"/>
      <c r="J722" s="147"/>
      <c r="K722" s="147"/>
      <c r="L722" s="147"/>
      <c r="M722" s="147"/>
      <c r="N722" s="147"/>
      <c r="O722" s="147"/>
      <c r="P722" s="147"/>
      <c r="Q722" s="147"/>
      <c r="R722" s="147"/>
      <c r="S722" s="147"/>
      <c r="T722" s="147"/>
      <c r="U722" s="147"/>
      <c r="V722" s="147"/>
      <c r="W722" s="147"/>
      <c r="X722" s="147"/>
      <c r="Y722" s="147"/>
      <c r="Z722" s="147"/>
      <c r="AA722" s="147"/>
      <c r="AB722" s="147"/>
      <c r="AC722" s="147"/>
      <c r="AD722" s="147"/>
    </row>
    <row r="723">
      <c r="A723" s="147"/>
      <c r="B723" s="147"/>
      <c r="C723" s="147"/>
      <c r="D723" s="147"/>
      <c r="E723" s="147"/>
      <c r="F723" s="147"/>
      <c r="G723" s="147"/>
      <c r="H723" s="262"/>
      <c r="I723" s="147"/>
      <c r="J723" s="147"/>
      <c r="K723" s="147"/>
      <c r="L723" s="147"/>
      <c r="M723" s="147"/>
      <c r="N723" s="147"/>
      <c r="O723" s="147"/>
      <c r="P723" s="147"/>
      <c r="Q723" s="147"/>
      <c r="R723" s="147"/>
      <c r="S723" s="147"/>
      <c r="T723" s="147"/>
      <c r="U723" s="147"/>
      <c r="V723" s="147"/>
      <c r="W723" s="147"/>
      <c r="X723" s="147"/>
      <c r="Y723" s="147"/>
      <c r="Z723" s="147"/>
      <c r="AA723" s="147"/>
      <c r="AB723" s="147"/>
      <c r="AC723" s="147"/>
      <c r="AD723" s="147"/>
    </row>
    <row r="724">
      <c r="A724" s="147"/>
      <c r="B724" s="147"/>
      <c r="C724" s="147"/>
      <c r="D724" s="147"/>
      <c r="E724" s="147"/>
      <c r="F724" s="147"/>
      <c r="G724" s="147"/>
      <c r="H724" s="262"/>
      <c r="I724" s="147"/>
      <c r="J724" s="147"/>
      <c r="K724" s="147"/>
      <c r="L724" s="147"/>
      <c r="M724" s="147"/>
      <c r="N724" s="147"/>
      <c r="O724" s="147"/>
      <c r="P724" s="147"/>
      <c r="Q724" s="147"/>
      <c r="R724" s="147"/>
      <c r="S724" s="147"/>
      <c r="T724" s="147"/>
      <c r="U724" s="147"/>
      <c r="V724" s="147"/>
      <c r="W724" s="147"/>
      <c r="X724" s="147"/>
      <c r="Y724" s="147"/>
      <c r="Z724" s="147"/>
      <c r="AA724" s="147"/>
      <c r="AB724" s="147"/>
      <c r="AC724" s="147"/>
      <c r="AD724" s="147"/>
    </row>
    <row r="725">
      <c r="A725" s="147"/>
      <c r="B725" s="147"/>
      <c r="C725" s="147"/>
      <c r="D725" s="147"/>
      <c r="E725" s="147"/>
      <c r="F725" s="147"/>
      <c r="G725" s="147"/>
      <c r="H725" s="262"/>
      <c r="I725" s="147"/>
      <c r="J725" s="147"/>
      <c r="K725" s="147"/>
      <c r="L725" s="147"/>
      <c r="M725" s="147"/>
      <c r="N725" s="147"/>
      <c r="O725" s="147"/>
      <c r="P725" s="147"/>
      <c r="Q725" s="147"/>
      <c r="R725" s="147"/>
      <c r="S725" s="147"/>
      <c r="T725" s="147"/>
      <c r="U725" s="147"/>
      <c r="V725" s="147"/>
      <c r="W725" s="147"/>
      <c r="X725" s="147"/>
      <c r="Y725" s="147"/>
      <c r="Z725" s="147"/>
      <c r="AA725" s="147"/>
      <c r="AB725" s="147"/>
      <c r="AC725" s="147"/>
      <c r="AD725" s="147"/>
    </row>
    <row r="726">
      <c r="A726" s="147"/>
      <c r="B726" s="147"/>
      <c r="C726" s="147"/>
      <c r="D726" s="147"/>
      <c r="E726" s="147"/>
      <c r="F726" s="147"/>
      <c r="G726" s="147"/>
      <c r="H726" s="262"/>
      <c r="I726" s="147"/>
      <c r="J726" s="147"/>
      <c r="K726" s="147"/>
      <c r="L726" s="147"/>
      <c r="M726" s="147"/>
      <c r="N726" s="147"/>
      <c r="O726" s="147"/>
      <c r="P726" s="147"/>
      <c r="Q726" s="147"/>
      <c r="R726" s="147"/>
      <c r="S726" s="147"/>
      <c r="T726" s="147"/>
      <c r="U726" s="147"/>
      <c r="V726" s="147"/>
      <c r="W726" s="147"/>
      <c r="X726" s="147"/>
      <c r="Y726" s="147"/>
      <c r="Z726" s="147"/>
      <c r="AA726" s="147"/>
      <c r="AB726" s="147"/>
      <c r="AC726" s="147"/>
      <c r="AD726" s="147"/>
    </row>
    <row r="727">
      <c r="A727" s="147"/>
      <c r="B727" s="147"/>
      <c r="C727" s="147"/>
      <c r="D727" s="147"/>
      <c r="E727" s="147"/>
      <c r="F727" s="147"/>
      <c r="G727" s="147"/>
      <c r="H727" s="262"/>
      <c r="I727" s="147"/>
      <c r="J727" s="147"/>
      <c r="K727" s="147"/>
      <c r="L727" s="147"/>
      <c r="M727" s="147"/>
      <c r="N727" s="147"/>
      <c r="O727" s="147"/>
      <c r="P727" s="147"/>
      <c r="Q727" s="147"/>
      <c r="R727" s="147"/>
      <c r="S727" s="147"/>
      <c r="T727" s="147"/>
      <c r="U727" s="147"/>
      <c r="V727" s="147"/>
      <c r="W727" s="147"/>
      <c r="X727" s="147"/>
      <c r="Y727" s="147"/>
      <c r="Z727" s="147"/>
      <c r="AA727" s="147"/>
      <c r="AB727" s="147"/>
      <c r="AC727" s="147"/>
      <c r="AD727" s="147"/>
    </row>
    <row r="728">
      <c r="A728" s="147"/>
      <c r="B728" s="147"/>
      <c r="C728" s="147"/>
      <c r="D728" s="147"/>
      <c r="E728" s="147"/>
      <c r="F728" s="147"/>
      <c r="G728" s="147"/>
      <c r="H728" s="262"/>
      <c r="I728" s="147"/>
      <c r="J728" s="147"/>
      <c r="K728" s="147"/>
      <c r="L728" s="147"/>
      <c r="M728" s="147"/>
      <c r="N728" s="147"/>
      <c r="O728" s="147"/>
      <c r="P728" s="147"/>
      <c r="Q728" s="147"/>
      <c r="R728" s="147"/>
      <c r="S728" s="147"/>
      <c r="T728" s="147"/>
      <c r="U728" s="147"/>
      <c r="V728" s="147"/>
      <c r="W728" s="147"/>
      <c r="X728" s="147"/>
      <c r="Y728" s="147"/>
      <c r="Z728" s="147"/>
      <c r="AA728" s="147"/>
      <c r="AB728" s="147"/>
      <c r="AC728" s="147"/>
      <c r="AD728" s="147"/>
    </row>
    <row r="729">
      <c r="A729" s="147"/>
      <c r="B729" s="147"/>
      <c r="C729" s="147"/>
      <c r="D729" s="147"/>
      <c r="E729" s="147"/>
      <c r="F729" s="147"/>
      <c r="G729" s="147"/>
      <c r="H729" s="262"/>
      <c r="I729" s="147"/>
      <c r="J729" s="147"/>
      <c r="K729" s="147"/>
      <c r="L729" s="147"/>
      <c r="M729" s="147"/>
      <c r="N729" s="147"/>
      <c r="O729" s="147"/>
      <c r="P729" s="147"/>
      <c r="Q729" s="147"/>
      <c r="R729" s="147"/>
      <c r="S729" s="147"/>
      <c r="T729" s="147"/>
      <c r="U729" s="147"/>
      <c r="V729" s="147"/>
      <c r="W729" s="147"/>
      <c r="X729" s="147"/>
      <c r="Y729" s="147"/>
      <c r="Z729" s="147"/>
      <c r="AA729" s="147"/>
      <c r="AB729" s="147"/>
      <c r="AC729" s="147"/>
      <c r="AD729" s="147"/>
    </row>
    <row r="730">
      <c r="A730" s="147"/>
      <c r="B730" s="147"/>
      <c r="C730" s="147"/>
      <c r="D730" s="147"/>
      <c r="E730" s="147"/>
      <c r="F730" s="147"/>
      <c r="G730" s="147"/>
      <c r="H730" s="262"/>
      <c r="I730" s="147"/>
      <c r="J730" s="147"/>
      <c r="K730" s="147"/>
      <c r="L730" s="147"/>
      <c r="M730" s="147"/>
      <c r="N730" s="147"/>
      <c r="O730" s="147"/>
      <c r="P730" s="147"/>
      <c r="Q730" s="147"/>
      <c r="R730" s="147"/>
      <c r="S730" s="147"/>
      <c r="T730" s="147"/>
      <c r="U730" s="147"/>
      <c r="V730" s="147"/>
      <c r="W730" s="147"/>
      <c r="X730" s="147"/>
      <c r="Y730" s="147"/>
      <c r="Z730" s="147"/>
      <c r="AA730" s="147"/>
      <c r="AB730" s="147"/>
      <c r="AC730" s="147"/>
      <c r="AD730" s="147"/>
    </row>
    <row r="731">
      <c r="A731" s="147"/>
      <c r="B731" s="147"/>
      <c r="C731" s="147"/>
      <c r="D731" s="147"/>
      <c r="E731" s="147"/>
      <c r="F731" s="147"/>
      <c r="G731" s="147"/>
      <c r="H731" s="262"/>
      <c r="I731" s="147"/>
      <c r="J731" s="147"/>
      <c r="K731" s="147"/>
      <c r="L731" s="147"/>
      <c r="M731" s="147"/>
      <c r="N731" s="147"/>
      <c r="O731" s="147"/>
      <c r="P731" s="147"/>
      <c r="Q731" s="147"/>
      <c r="R731" s="147"/>
      <c r="S731" s="147"/>
      <c r="T731" s="147"/>
      <c r="U731" s="147"/>
      <c r="V731" s="147"/>
      <c r="W731" s="147"/>
      <c r="X731" s="147"/>
      <c r="Y731" s="147"/>
      <c r="Z731" s="147"/>
      <c r="AA731" s="147"/>
      <c r="AB731" s="147"/>
      <c r="AC731" s="147"/>
      <c r="AD731" s="147"/>
    </row>
    <row r="732">
      <c r="A732" s="147"/>
      <c r="B732" s="147"/>
      <c r="C732" s="147"/>
      <c r="D732" s="147"/>
      <c r="E732" s="147"/>
      <c r="F732" s="147"/>
      <c r="G732" s="147"/>
      <c r="H732" s="262"/>
      <c r="I732" s="147"/>
      <c r="J732" s="147"/>
      <c r="K732" s="147"/>
      <c r="L732" s="147"/>
      <c r="M732" s="147"/>
      <c r="N732" s="147"/>
      <c r="O732" s="147"/>
      <c r="P732" s="147"/>
      <c r="Q732" s="147"/>
      <c r="R732" s="147"/>
      <c r="S732" s="147"/>
      <c r="T732" s="147"/>
      <c r="U732" s="147"/>
      <c r="V732" s="147"/>
      <c r="W732" s="147"/>
      <c r="X732" s="147"/>
      <c r="Y732" s="147"/>
      <c r="Z732" s="147"/>
      <c r="AA732" s="147"/>
      <c r="AB732" s="147"/>
      <c r="AC732" s="147"/>
      <c r="AD732" s="147"/>
    </row>
    <row r="733">
      <c r="A733" s="147"/>
      <c r="B733" s="147"/>
      <c r="C733" s="147"/>
      <c r="D733" s="147"/>
      <c r="E733" s="147"/>
      <c r="F733" s="147"/>
      <c r="G733" s="147"/>
      <c r="H733" s="262"/>
      <c r="I733" s="147"/>
      <c r="J733" s="147"/>
      <c r="K733" s="147"/>
      <c r="L733" s="147"/>
      <c r="M733" s="147"/>
      <c r="N733" s="147"/>
      <c r="O733" s="147"/>
      <c r="P733" s="147"/>
      <c r="Q733" s="147"/>
      <c r="R733" s="147"/>
      <c r="S733" s="147"/>
      <c r="T733" s="147"/>
      <c r="U733" s="147"/>
      <c r="V733" s="147"/>
      <c r="W733" s="147"/>
      <c r="X733" s="147"/>
      <c r="Y733" s="147"/>
      <c r="Z733" s="147"/>
      <c r="AA733" s="147"/>
      <c r="AB733" s="147"/>
      <c r="AC733" s="147"/>
      <c r="AD733" s="147"/>
    </row>
    <row r="734">
      <c r="A734" s="147"/>
      <c r="B734" s="147"/>
      <c r="C734" s="147"/>
      <c r="D734" s="147"/>
      <c r="E734" s="147"/>
      <c r="F734" s="147"/>
      <c r="G734" s="147"/>
      <c r="H734" s="262"/>
      <c r="I734" s="147"/>
      <c r="J734" s="147"/>
      <c r="K734" s="147"/>
      <c r="L734" s="147"/>
      <c r="M734" s="147"/>
      <c r="N734" s="147"/>
      <c r="O734" s="147"/>
      <c r="P734" s="147"/>
      <c r="Q734" s="147"/>
      <c r="R734" s="147"/>
      <c r="S734" s="147"/>
      <c r="T734" s="147"/>
      <c r="U734" s="147"/>
      <c r="V734" s="147"/>
      <c r="W734" s="147"/>
      <c r="X734" s="147"/>
      <c r="Y734" s="147"/>
      <c r="Z734" s="147"/>
      <c r="AA734" s="147"/>
      <c r="AB734" s="147"/>
      <c r="AC734" s="147"/>
      <c r="AD734" s="147"/>
    </row>
    <row r="735">
      <c r="A735" s="147"/>
      <c r="B735" s="147"/>
      <c r="C735" s="147"/>
      <c r="D735" s="147"/>
      <c r="E735" s="147"/>
      <c r="F735" s="147"/>
      <c r="G735" s="147"/>
      <c r="H735" s="262"/>
      <c r="I735" s="147"/>
      <c r="J735" s="147"/>
      <c r="K735" s="147"/>
      <c r="L735" s="147"/>
      <c r="M735" s="147"/>
      <c r="N735" s="147"/>
      <c r="O735" s="147"/>
      <c r="P735" s="147"/>
      <c r="Q735" s="147"/>
      <c r="R735" s="147"/>
      <c r="S735" s="147"/>
      <c r="T735" s="147"/>
      <c r="U735" s="147"/>
      <c r="V735" s="147"/>
      <c r="W735" s="147"/>
      <c r="X735" s="147"/>
      <c r="Y735" s="147"/>
      <c r="Z735" s="147"/>
      <c r="AA735" s="147"/>
      <c r="AB735" s="147"/>
      <c r="AC735" s="147"/>
      <c r="AD735" s="147"/>
    </row>
    <row r="736">
      <c r="A736" s="147"/>
      <c r="B736" s="147"/>
      <c r="C736" s="147"/>
      <c r="D736" s="147"/>
      <c r="E736" s="147"/>
      <c r="F736" s="147"/>
      <c r="G736" s="147"/>
      <c r="H736" s="262"/>
      <c r="I736" s="147"/>
      <c r="J736" s="147"/>
      <c r="K736" s="147"/>
      <c r="L736" s="147"/>
      <c r="M736" s="147"/>
      <c r="N736" s="147"/>
      <c r="O736" s="147"/>
      <c r="P736" s="147"/>
      <c r="Q736" s="147"/>
      <c r="R736" s="147"/>
      <c r="S736" s="147"/>
      <c r="T736" s="147"/>
      <c r="U736" s="147"/>
      <c r="V736" s="147"/>
      <c r="W736" s="147"/>
      <c r="X736" s="147"/>
      <c r="Y736" s="147"/>
      <c r="Z736" s="147"/>
      <c r="AA736" s="147"/>
      <c r="AB736" s="147"/>
      <c r="AC736" s="147"/>
      <c r="AD736" s="147"/>
    </row>
    <row r="737">
      <c r="A737" s="147"/>
      <c r="B737" s="147"/>
      <c r="C737" s="147"/>
      <c r="D737" s="147"/>
      <c r="E737" s="147"/>
      <c r="F737" s="147"/>
      <c r="G737" s="147"/>
      <c r="H737" s="262"/>
      <c r="I737" s="147"/>
      <c r="J737" s="147"/>
      <c r="K737" s="147"/>
      <c r="L737" s="147"/>
      <c r="M737" s="147"/>
      <c r="N737" s="147"/>
      <c r="O737" s="147"/>
      <c r="P737" s="147"/>
      <c r="Q737" s="147"/>
      <c r="R737" s="147"/>
      <c r="S737" s="147"/>
      <c r="T737" s="147"/>
      <c r="U737" s="147"/>
      <c r="V737" s="147"/>
      <c r="W737" s="147"/>
      <c r="X737" s="147"/>
      <c r="Y737" s="147"/>
      <c r="Z737" s="147"/>
      <c r="AA737" s="147"/>
      <c r="AB737" s="147"/>
      <c r="AC737" s="147"/>
      <c r="AD737" s="147"/>
    </row>
    <row r="738">
      <c r="A738" s="147"/>
      <c r="B738" s="147"/>
      <c r="C738" s="147"/>
      <c r="D738" s="147"/>
      <c r="E738" s="147"/>
      <c r="F738" s="147"/>
      <c r="G738" s="147"/>
      <c r="H738" s="262"/>
      <c r="I738" s="147"/>
      <c r="J738" s="147"/>
      <c r="K738" s="147"/>
      <c r="L738" s="147"/>
      <c r="M738" s="147"/>
      <c r="N738" s="147"/>
      <c r="O738" s="147"/>
      <c r="P738" s="147"/>
      <c r="Q738" s="147"/>
      <c r="R738" s="147"/>
      <c r="S738" s="147"/>
      <c r="T738" s="147"/>
      <c r="U738" s="147"/>
      <c r="V738" s="147"/>
      <c r="W738" s="147"/>
      <c r="X738" s="147"/>
      <c r="Y738" s="147"/>
      <c r="Z738" s="147"/>
      <c r="AA738" s="147"/>
      <c r="AB738" s="147"/>
      <c r="AC738" s="147"/>
      <c r="AD738" s="147"/>
    </row>
    <row r="739">
      <c r="A739" s="147"/>
      <c r="B739" s="147"/>
      <c r="C739" s="147"/>
      <c r="D739" s="147"/>
      <c r="E739" s="147"/>
      <c r="F739" s="147"/>
      <c r="G739" s="147"/>
      <c r="H739" s="262"/>
      <c r="I739" s="147"/>
      <c r="J739" s="147"/>
      <c r="K739" s="147"/>
      <c r="L739" s="147"/>
      <c r="M739" s="147"/>
      <c r="N739" s="147"/>
      <c r="O739" s="147"/>
      <c r="P739" s="147"/>
      <c r="Q739" s="147"/>
      <c r="R739" s="147"/>
      <c r="S739" s="147"/>
      <c r="T739" s="147"/>
      <c r="U739" s="147"/>
      <c r="V739" s="147"/>
      <c r="W739" s="147"/>
      <c r="X739" s="147"/>
      <c r="Y739" s="147"/>
      <c r="Z739" s="147"/>
      <c r="AA739" s="147"/>
      <c r="AB739" s="147"/>
      <c r="AC739" s="147"/>
      <c r="AD739" s="147"/>
    </row>
    <row r="740">
      <c r="A740" s="147"/>
      <c r="B740" s="147"/>
      <c r="C740" s="147"/>
      <c r="D740" s="147"/>
      <c r="E740" s="147"/>
      <c r="F740" s="147"/>
      <c r="G740" s="147"/>
      <c r="H740" s="262"/>
      <c r="I740" s="147"/>
      <c r="J740" s="147"/>
      <c r="K740" s="147"/>
      <c r="L740" s="147"/>
      <c r="M740" s="147"/>
      <c r="N740" s="147"/>
      <c r="O740" s="147"/>
      <c r="P740" s="147"/>
      <c r="Q740" s="147"/>
      <c r="R740" s="147"/>
      <c r="S740" s="147"/>
      <c r="T740" s="147"/>
      <c r="U740" s="147"/>
      <c r="V740" s="147"/>
      <c r="W740" s="147"/>
      <c r="X740" s="147"/>
      <c r="Y740" s="147"/>
      <c r="Z740" s="147"/>
      <c r="AA740" s="147"/>
      <c r="AB740" s="147"/>
      <c r="AC740" s="147"/>
      <c r="AD740" s="147"/>
    </row>
    <row r="741">
      <c r="A741" s="147"/>
      <c r="B741" s="147"/>
      <c r="C741" s="147"/>
      <c r="D741" s="147"/>
      <c r="E741" s="147"/>
      <c r="F741" s="147"/>
      <c r="G741" s="147"/>
      <c r="H741" s="262"/>
      <c r="I741" s="147"/>
      <c r="J741" s="147"/>
      <c r="K741" s="147"/>
      <c r="L741" s="147"/>
      <c r="M741" s="147"/>
      <c r="N741" s="147"/>
      <c r="O741" s="147"/>
      <c r="P741" s="147"/>
      <c r="Q741" s="147"/>
      <c r="R741" s="147"/>
      <c r="S741" s="147"/>
      <c r="T741" s="147"/>
      <c r="U741" s="147"/>
      <c r="V741" s="147"/>
      <c r="W741" s="147"/>
      <c r="X741" s="147"/>
      <c r="Y741" s="147"/>
      <c r="Z741" s="147"/>
      <c r="AA741" s="147"/>
      <c r="AB741" s="147"/>
      <c r="AC741" s="147"/>
      <c r="AD741" s="147"/>
    </row>
    <row r="742">
      <c r="A742" s="147"/>
      <c r="B742" s="147"/>
      <c r="C742" s="147"/>
      <c r="D742" s="147"/>
      <c r="E742" s="147"/>
      <c r="F742" s="147"/>
      <c r="G742" s="147"/>
      <c r="H742" s="262"/>
      <c r="I742" s="147"/>
      <c r="J742" s="147"/>
      <c r="K742" s="147"/>
      <c r="L742" s="147"/>
      <c r="M742" s="147"/>
      <c r="N742" s="147"/>
      <c r="O742" s="147"/>
      <c r="P742" s="147"/>
      <c r="Q742" s="147"/>
      <c r="R742" s="147"/>
      <c r="S742" s="147"/>
      <c r="T742" s="147"/>
      <c r="U742" s="147"/>
      <c r="V742" s="147"/>
      <c r="W742" s="147"/>
      <c r="X742" s="147"/>
      <c r="Y742" s="147"/>
      <c r="Z742" s="147"/>
      <c r="AA742" s="147"/>
      <c r="AB742" s="147"/>
      <c r="AC742" s="147"/>
      <c r="AD742" s="147"/>
    </row>
    <row r="743">
      <c r="A743" s="147"/>
      <c r="B743" s="147"/>
      <c r="C743" s="147"/>
      <c r="D743" s="147"/>
      <c r="E743" s="147"/>
      <c r="F743" s="147"/>
      <c r="G743" s="147"/>
      <c r="H743" s="262"/>
      <c r="I743" s="147"/>
      <c r="J743" s="147"/>
      <c r="K743" s="147"/>
      <c r="L743" s="147"/>
      <c r="M743" s="147"/>
      <c r="N743" s="147"/>
      <c r="O743" s="147"/>
      <c r="P743" s="147"/>
      <c r="Q743" s="147"/>
      <c r="R743" s="147"/>
      <c r="S743" s="147"/>
      <c r="T743" s="147"/>
      <c r="U743" s="147"/>
      <c r="V743" s="147"/>
      <c r="W743" s="147"/>
      <c r="X743" s="147"/>
      <c r="Y743" s="147"/>
      <c r="Z743" s="147"/>
      <c r="AA743" s="147"/>
      <c r="AB743" s="147"/>
      <c r="AC743" s="147"/>
      <c r="AD743" s="147"/>
    </row>
    <row r="744">
      <c r="A744" s="147"/>
      <c r="B744" s="147"/>
      <c r="C744" s="147"/>
      <c r="D744" s="147"/>
      <c r="E744" s="147"/>
      <c r="F744" s="147"/>
      <c r="G744" s="147"/>
      <c r="H744" s="262"/>
      <c r="I744" s="147"/>
      <c r="J744" s="147"/>
      <c r="K744" s="147"/>
      <c r="L744" s="147"/>
      <c r="M744" s="147"/>
      <c r="N744" s="147"/>
      <c r="O744" s="147"/>
      <c r="P744" s="147"/>
      <c r="Q744" s="147"/>
      <c r="R744" s="147"/>
      <c r="S744" s="147"/>
      <c r="T744" s="147"/>
      <c r="U744" s="147"/>
      <c r="V744" s="147"/>
      <c r="W744" s="147"/>
      <c r="X744" s="147"/>
      <c r="Y744" s="147"/>
      <c r="Z744" s="147"/>
      <c r="AA744" s="147"/>
      <c r="AB744" s="147"/>
      <c r="AC744" s="147"/>
      <c r="AD744" s="147"/>
    </row>
    <row r="745">
      <c r="A745" s="147"/>
      <c r="B745" s="147"/>
      <c r="C745" s="147"/>
      <c r="D745" s="147"/>
      <c r="E745" s="147"/>
      <c r="F745" s="147"/>
      <c r="G745" s="147"/>
      <c r="H745" s="262"/>
      <c r="I745" s="147"/>
      <c r="J745" s="147"/>
      <c r="K745" s="147"/>
      <c r="L745" s="147"/>
      <c r="M745" s="147"/>
      <c r="N745" s="147"/>
      <c r="O745" s="147"/>
      <c r="P745" s="147"/>
      <c r="Q745" s="147"/>
      <c r="R745" s="147"/>
      <c r="S745" s="147"/>
      <c r="T745" s="147"/>
      <c r="U745" s="147"/>
      <c r="V745" s="147"/>
      <c r="W745" s="147"/>
      <c r="X745" s="147"/>
      <c r="Y745" s="147"/>
      <c r="Z745" s="147"/>
      <c r="AA745" s="147"/>
      <c r="AB745" s="147"/>
      <c r="AC745" s="147"/>
      <c r="AD745" s="147"/>
    </row>
    <row r="746">
      <c r="A746" s="147"/>
      <c r="B746" s="147"/>
      <c r="C746" s="147"/>
      <c r="D746" s="147"/>
      <c r="E746" s="147"/>
      <c r="F746" s="147"/>
      <c r="G746" s="147"/>
      <c r="H746" s="262"/>
      <c r="I746" s="147"/>
      <c r="J746" s="147"/>
      <c r="K746" s="147"/>
      <c r="L746" s="147"/>
      <c r="M746" s="147"/>
      <c r="N746" s="147"/>
      <c r="O746" s="147"/>
      <c r="P746" s="147"/>
      <c r="Q746" s="147"/>
      <c r="R746" s="147"/>
      <c r="S746" s="147"/>
      <c r="T746" s="147"/>
      <c r="U746" s="147"/>
      <c r="V746" s="147"/>
      <c r="W746" s="147"/>
      <c r="X746" s="147"/>
      <c r="Y746" s="147"/>
      <c r="Z746" s="147"/>
      <c r="AA746" s="147"/>
      <c r="AB746" s="147"/>
      <c r="AC746" s="147"/>
      <c r="AD746" s="147"/>
    </row>
    <row r="747">
      <c r="A747" s="147"/>
      <c r="B747" s="147"/>
      <c r="C747" s="147"/>
      <c r="D747" s="147"/>
      <c r="E747" s="147"/>
      <c r="F747" s="147"/>
      <c r="G747" s="147"/>
      <c r="H747" s="262"/>
      <c r="I747" s="147"/>
      <c r="J747" s="147"/>
      <c r="K747" s="147"/>
      <c r="L747" s="147"/>
      <c r="M747" s="147"/>
      <c r="N747" s="147"/>
      <c r="O747" s="147"/>
      <c r="P747" s="147"/>
      <c r="Q747" s="147"/>
      <c r="R747" s="147"/>
      <c r="S747" s="147"/>
      <c r="T747" s="147"/>
      <c r="U747" s="147"/>
      <c r="V747" s="147"/>
      <c r="W747" s="147"/>
      <c r="X747" s="147"/>
      <c r="Y747" s="147"/>
      <c r="Z747" s="147"/>
      <c r="AA747" s="147"/>
      <c r="AB747" s="147"/>
      <c r="AC747" s="147"/>
      <c r="AD747" s="147"/>
    </row>
    <row r="748">
      <c r="A748" s="147"/>
      <c r="B748" s="147"/>
      <c r="C748" s="147"/>
      <c r="D748" s="147"/>
      <c r="E748" s="147"/>
      <c r="F748" s="147"/>
      <c r="G748" s="147"/>
      <c r="H748" s="262"/>
      <c r="I748" s="147"/>
      <c r="J748" s="147"/>
      <c r="K748" s="147"/>
      <c r="L748" s="147"/>
      <c r="M748" s="147"/>
      <c r="N748" s="147"/>
      <c r="O748" s="147"/>
      <c r="P748" s="147"/>
      <c r="Q748" s="147"/>
      <c r="R748" s="147"/>
      <c r="S748" s="147"/>
      <c r="T748" s="147"/>
      <c r="U748" s="147"/>
      <c r="V748" s="147"/>
      <c r="W748" s="147"/>
      <c r="X748" s="147"/>
      <c r="Y748" s="147"/>
      <c r="Z748" s="147"/>
      <c r="AA748" s="147"/>
      <c r="AB748" s="147"/>
      <c r="AC748" s="147"/>
      <c r="AD748" s="147"/>
    </row>
    <row r="749">
      <c r="A749" s="147"/>
      <c r="B749" s="147"/>
      <c r="C749" s="147"/>
      <c r="D749" s="147"/>
      <c r="E749" s="147"/>
      <c r="F749" s="147"/>
      <c r="G749" s="147"/>
      <c r="H749" s="262"/>
      <c r="I749" s="147"/>
      <c r="J749" s="147"/>
      <c r="K749" s="147"/>
      <c r="L749" s="147"/>
      <c r="M749" s="147"/>
      <c r="N749" s="147"/>
      <c r="O749" s="147"/>
      <c r="P749" s="147"/>
      <c r="Q749" s="147"/>
      <c r="R749" s="147"/>
      <c r="S749" s="147"/>
      <c r="T749" s="147"/>
      <c r="U749" s="147"/>
      <c r="V749" s="147"/>
      <c r="W749" s="147"/>
      <c r="X749" s="147"/>
      <c r="Y749" s="147"/>
      <c r="Z749" s="147"/>
      <c r="AA749" s="147"/>
      <c r="AB749" s="147"/>
      <c r="AC749" s="147"/>
      <c r="AD749" s="147"/>
    </row>
    <row r="750">
      <c r="A750" s="147"/>
      <c r="B750" s="147"/>
      <c r="C750" s="147"/>
      <c r="D750" s="147"/>
      <c r="E750" s="147"/>
      <c r="F750" s="147"/>
      <c r="G750" s="147"/>
      <c r="H750" s="262"/>
      <c r="I750" s="147"/>
      <c r="J750" s="147"/>
      <c r="K750" s="147"/>
      <c r="L750" s="147"/>
      <c r="M750" s="147"/>
      <c r="N750" s="147"/>
      <c r="O750" s="147"/>
      <c r="P750" s="147"/>
      <c r="Q750" s="147"/>
      <c r="R750" s="147"/>
      <c r="S750" s="147"/>
      <c r="T750" s="147"/>
      <c r="U750" s="147"/>
      <c r="V750" s="147"/>
      <c r="W750" s="147"/>
      <c r="X750" s="147"/>
      <c r="Y750" s="147"/>
      <c r="Z750" s="147"/>
      <c r="AA750" s="147"/>
      <c r="AB750" s="147"/>
      <c r="AC750" s="147"/>
      <c r="AD750" s="147"/>
    </row>
    <row r="751">
      <c r="A751" s="147"/>
      <c r="B751" s="147"/>
      <c r="C751" s="147"/>
      <c r="D751" s="147"/>
      <c r="E751" s="147"/>
      <c r="F751" s="147"/>
      <c r="G751" s="147"/>
      <c r="H751" s="262"/>
      <c r="I751" s="147"/>
      <c r="J751" s="147"/>
      <c r="K751" s="147"/>
      <c r="L751" s="147"/>
      <c r="M751" s="147"/>
      <c r="N751" s="147"/>
      <c r="O751" s="147"/>
      <c r="P751" s="147"/>
      <c r="Q751" s="147"/>
      <c r="R751" s="147"/>
      <c r="S751" s="147"/>
      <c r="T751" s="147"/>
      <c r="U751" s="147"/>
      <c r="V751" s="147"/>
      <c r="W751" s="147"/>
      <c r="X751" s="147"/>
      <c r="Y751" s="147"/>
      <c r="Z751" s="147"/>
      <c r="AA751" s="147"/>
      <c r="AB751" s="147"/>
      <c r="AC751" s="147"/>
      <c r="AD751" s="147"/>
    </row>
    <row r="752">
      <c r="A752" s="147"/>
      <c r="B752" s="147"/>
      <c r="C752" s="147"/>
      <c r="D752" s="147"/>
      <c r="E752" s="147"/>
      <c r="F752" s="147"/>
      <c r="G752" s="147"/>
      <c r="H752" s="262"/>
      <c r="I752" s="147"/>
      <c r="J752" s="147"/>
      <c r="K752" s="147"/>
      <c r="L752" s="147"/>
      <c r="M752" s="147"/>
      <c r="N752" s="147"/>
      <c r="O752" s="147"/>
      <c r="P752" s="147"/>
      <c r="Q752" s="147"/>
      <c r="R752" s="147"/>
      <c r="S752" s="147"/>
      <c r="T752" s="147"/>
      <c r="U752" s="147"/>
      <c r="V752" s="147"/>
      <c r="W752" s="147"/>
      <c r="X752" s="147"/>
      <c r="Y752" s="147"/>
      <c r="Z752" s="147"/>
      <c r="AA752" s="147"/>
      <c r="AB752" s="147"/>
      <c r="AC752" s="147"/>
      <c r="AD752" s="147"/>
    </row>
    <row r="753">
      <c r="A753" s="147"/>
      <c r="B753" s="147"/>
      <c r="C753" s="147"/>
      <c r="D753" s="147"/>
      <c r="E753" s="147"/>
      <c r="F753" s="147"/>
      <c r="G753" s="147"/>
      <c r="H753" s="262"/>
      <c r="I753" s="147"/>
      <c r="J753" s="147"/>
      <c r="K753" s="147"/>
      <c r="L753" s="147"/>
      <c r="M753" s="147"/>
      <c r="N753" s="147"/>
      <c r="O753" s="147"/>
      <c r="P753" s="147"/>
      <c r="Q753" s="147"/>
      <c r="R753" s="147"/>
      <c r="S753" s="147"/>
      <c r="T753" s="147"/>
      <c r="U753" s="147"/>
      <c r="V753" s="147"/>
      <c r="W753" s="147"/>
      <c r="X753" s="147"/>
      <c r="Y753" s="147"/>
      <c r="Z753" s="147"/>
      <c r="AA753" s="147"/>
      <c r="AB753" s="147"/>
      <c r="AC753" s="147"/>
      <c r="AD753" s="147"/>
    </row>
    <row r="754">
      <c r="A754" s="147"/>
      <c r="B754" s="147"/>
      <c r="C754" s="147"/>
      <c r="D754" s="147"/>
      <c r="E754" s="147"/>
      <c r="F754" s="147"/>
      <c r="G754" s="147"/>
      <c r="H754" s="262"/>
      <c r="I754" s="147"/>
      <c r="J754" s="147"/>
      <c r="K754" s="147"/>
      <c r="L754" s="147"/>
      <c r="M754" s="147"/>
      <c r="N754" s="147"/>
      <c r="O754" s="147"/>
      <c r="P754" s="147"/>
      <c r="Q754" s="147"/>
      <c r="R754" s="147"/>
      <c r="S754" s="147"/>
      <c r="T754" s="147"/>
      <c r="U754" s="147"/>
      <c r="V754" s="147"/>
      <c r="W754" s="147"/>
      <c r="X754" s="147"/>
      <c r="Y754" s="147"/>
      <c r="Z754" s="147"/>
      <c r="AA754" s="147"/>
      <c r="AB754" s="147"/>
      <c r="AC754" s="147"/>
      <c r="AD754" s="147"/>
    </row>
    <row r="755">
      <c r="A755" s="147"/>
      <c r="B755" s="147"/>
      <c r="C755" s="147"/>
      <c r="D755" s="147"/>
      <c r="E755" s="147"/>
      <c r="F755" s="147"/>
      <c r="G755" s="147"/>
      <c r="H755" s="262"/>
      <c r="I755" s="147"/>
      <c r="J755" s="147"/>
      <c r="K755" s="147"/>
      <c r="L755" s="147"/>
      <c r="M755" s="147"/>
      <c r="N755" s="147"/>
      <c r="O755" s="147"/>
      <c r="P755" s="147"/>
      <c r="Q755" s="147"/>
      <c r="R755" s="147"/>
      <c r="S755" s="147"/>
      <c r="T755" s="147"/>
      <c r="U755" s="147"/>
      <c r="V755" s="147"/>
      <c r="W755" s="147"/>
      <c r="X755" s="147"/>
      <c r="Y755" s="147"/>
      <c r="Z755" s="147"/>
      <c r="AA755" s="147"/>
      <c r="AB755" s="147"/>
      <c r="AC755" s="147"/>
      <c r="AD755" s="147"/>
    </row>
    <row r="756">
      <c r="A756" s="147"/>
      <c r="B756" s="147"/>
      <c r="C756" s="147"/>
      <c r="D756" s="147"/>
      <c r="E756" s="147"/>
      <c r="F756" s="147"/>
      <c r="G756" s="147"/>
      <c r="H756" s="262"/>
      <c r="I756" s="147"/>
      <c r="J756" s="147"/>
      <c r="K756" s="147"/>
      <c r="L756" s="147"/>
      <c r="M756" s="147"/>
      <c r="N756" s="147"/>
      <c r="O756" s="147"/>
      <c r="P756" s="147"/>
      <c r="Q756" s="147"/>
      <c r="R756" s="147"/>
      <c r="S756" s="147"/>
      <c r="T756" s="147"/>
      <c r="U756" s="147"/>
      <c r="V756" s="147"/>
      <c r="W756" s="147"/>
      <c r="X756" s="147"/>
      <c r="Y756" s="147"/>
      <c r="Z756" s="147"/>
      <c r="AA756" s="147"/>
      <c r="AB756" s="147"/>
      <c r="AC756" s="147"/>
      <c r="AD756" s="147"/>
    </row>
    <row r="757">
      <c r="A757" s="147"/>
      <c r="B757" s="147"/>
      <c r="C757" s="147"/>
      <c r="D757" s="147"/>
      <c r="E757" s="147"/>
      <c r="F757" s="147"/>
      <c r="G757" s="147"/>
      <c r="H757" s="262"/>
      <c r="I757" s="147"/>
      <c r="J757" s="147"/>
      <c r="K757" s="147"/>
      <c r="L757" s="147"/>
      <c r="M757" s="147"/>
      <c r="N757" s="147"/>
      <c r="O757" s="147"/>
      <c r="P757" s="147"/>
      <c r="Q757" s="147"/>
      <c r="R757" s="147"/>
      <c r="S757" s="147"/>
      <c r="T757" s="147"/>
      <c r="U757" s="147"/>
      <c r="V757" s="147"/>
      <c r="W757" s="147"/>
      <c r="X757" s="147"/>
      <c r="Y757" s="147"/>
      <c r="Z757" s="147"/>
      <c r="AA757" s="147"/>
      <c r="AB757" s="147"/>
      <c r="AC757" s="147"/>
      <c r="AD757" s="147"/>
    </row>
    <row r="758">
      <c r="A758" s="147"/>
      <c r="B758" s="147"/>
      <c r="C758" s="147"/>
      <c r="D758" s="147"/>
      <c r="E758" s="147"/>
      <c r="F758" s="147"/>
      <c r="G758" s="147"/>
      <c r="H758" s="262"/>
      <c r="I758" s="147"/>
      <c r="J758" s="147"/>
      <c r="K758" s="147"/>
      <c r="L758" s="147"/>
      <c r="M758" s="147"/>
      <c r="N758" s="147"/>
      <c r="O758" s="147"/>
      <c r="P758" s="147"/>
      <c r="Q758" s="147"/>
      <c r="R758" s="147"/>
      <c r="S758" s="147"/>
      <c r="T758" s="147"/>
      <c r="U758" s="147"/>
      <c r="V758" s="147"/>
      <c r="W758" s="147"/>
      <c r="X758" s="147"/>
      <c r="Y758" s="147"/>
      <c r="Z758" s="147"/>
      <c r="AA758" s="147"/>
      <c r="AB758" s="147"/>
      <c r="AC758" s="147"/>
      <c r="AD758" s="147"/>
    </row>
    <row r="759">
      <c r="A759" s="147"/>
      <c r="B759" s="147"/>
      <c r="C759" s="147"/>
      <c r="D759" s="147"/>
      <c r="E759" s="147"/>
      <c r="F759" s="147"/>
      <c r="G759" s="147"/>
      <c r="H759" s="262"/>
      <c r="I759" s="147"/>
      <c r="J759" s="147"/>
      <c r="K759" s="147"/>
      <c r="L759" s="147"/>
      <c r="M759" s="147"/>
      <c r="N759" s="147"/>
      <c r="O759" s="147"/>
      <c r="P759" s="147"/>
      <c r="Q759" s="147"/>
      <c r="R759" s="147"/>
      <c r="S759" s="147"/>
      <c r="T759" s="147"/>
      <c r="U759" s="147"/>
      <c r="V759" s="147"/>
      <c r="W759" s="147"/>
      <c r="X759" s="147"/>
      <c r="Y759" s="147"/>
      <c r="Z759" s="147"/>
      <c r="AA759" s="147"/>
      <c r="AB759" s="147"/>
      <c r="AC759" s="147"/>
      <c r="AD759" s="147"/>
    </row>
    <row r="760">
      <c r="A760" s="147"/>
      <c r="B760" s="147"/>
      <c r="C760" s="147"/>
      <c r="D760" s="147"/>
      <c r="E760" s="147"/>
      <c r="F760" s="147"/>
      <c r="G760" s="147"/>
      <c r="H760" s="262"/>
      <c r="I760" s="147"/>
      <c r="J760" s="147"/>
      <c r="K760" s="147"/>
      <c r="L760" s="147"/>
      <c r="M760" s="147"/>
      <c r="N760" s="147"/>
      <c r="O760" s="147"/>
      <c r="P760" s="147"/>
      <c r="Q760" s="147"/>
      <c r="R760" s="147"/>
      <c r="S760" s="147"/>
      <c r="T760" s="147"/>
      <c r="U760" s="147"/>
      <c r="V760" s="147"/>
      <c r="W760" s="147"/>
      <c r="X760" s="147"/>
      <c r="Y760" s="147"/>
      <c r="Z760" s="147"/>
      <c r="AA760" s="147"/>
      <c r="AB760" s="147"/>
      <c r="AC760" s="147"/>
      <c r="AD760" s="147"/>
    </row>
    <row r="761">
      <c r="A761" s="147"/>
      <c r="B761" s="147"/>
      <c r="C761" s="147"/>
      <c r="D761" s="147"/>
      <c r="E761" s="147"/>
      <c r="F761" s="147"/>
      <c r="G761" s="147"/>
      <c r="H761" s="262"/>
      <c r="I761" s="147"/>
      <c r="J761" s="147"/>
      <c r="K761" s="147"/>
      <c r="L761" s="147"/>
      <c r="M761" s="147"/>
      <c r="N761" s="147"/>
      <c r="O761" s="147"/>
      <c r="P761" s="147"/>
      <c r="Q761" s="147"/>
      <c r="R761" s="147"/>
      <c r="S761" s="147"/>
      <c r="T761" s="147"/>
      <c r="U761" s="147"/>
      <c r="V761" s="147"/>
      <c r="W761" s="147"/>
      <c r="X761" s="147"/>
      <c r="Y761" s="147"/>
      <c r="Z761" s="147"/>
      <c r="AA761" s="147"/>
      <c r="AB761" s="147"/>
      <c r="AC761" s="147"/>
      <c r="AD761" s="147"/>
    </row>
    <row r="762">
      <c r="A762" s="147"/>
      <c r="B762" s="147"/>
      <c r="C762" s="147"/>
      <c r="D762" s="147"/>
      <c r="E762" s="147"/>
      <c r="F762" s="147"/>
      <c r="G762" s="147"/>
      <c r="H762" s="262"/>
      <c r="I762" s="147"/>
      <c r="J762" s="147"/>
      <c r="K762" s="147"/>
      <c r="L762" s="147"/>
      <c r="M762" s="147"/>
      <c r="N762" s="147"/>
      <c r="O762" s="147"/>
      <c r="P762" s="147"/>
      <c r="Q762" s="147"/>
      <c r="R762" s="147"/>
      <c r="S762" s="147"/>
      <c r="T762" s="147"/>
      <c r="U762" s="147"/>
      <c r="V762" s="147"/>
      <c r="W762" s="147"/>
      <c r="X762" s="147"/>
      <c r="Y762" s="147"/>
      <c r="Z762" s="147"/>
      <c r="AA762" s="147"/>
      <c r="AB762" s="147"/>
      <c r="AC762" s="147"/>
      <c r="AD762" s="147"/>
    </row>
    <row r="763">
      <c r="A763" s="147"/>
      <c r="B763" s="147"/>
      <c r="C763" s="147"/>
      <c r="D763" s="147"/>
      <c r="E763" s="147"/>
      <c r="F763" s="147"/>
      <c r="G763" s="147"/>
      <c r="H763" s="262"/>
      <c r="I763" s="147"/>
      <c r="J763" s="147"/>
      <c r="K763" s="147"/>
      <c r="L763" s="147"/>
      <c r="M763" s="147"/>
      <c r="N763" s="147"/>
      <c r="O763" s="147"/>
      <c r="P763" s="147"/>
      <c r="Q763" s="147"/>
      <c r="R763" s="147"/>
      <c r="S763" s="147"/>
      <c r="T763" s="147"/>
      <c r="U763" s="147"/>
      <c r="V763" s="147"/>
      <c r="W763" s="147"/>
      <c r="X763" s="147"/>
      <c r="Y763" s="147"/>
      <c r="Z763" s="147"/>
      <c r="AA763" s="147"/>
      <c r="AB763" s="147"/>
      <c r="AC763" s="147"/>
      <c r="AD763" s="147"/>
    </row>
    <row r="764">
      <c r="A764" s="147"/>
      <c r="B764" s="147"/>
      <c r="C764" s="147"/>
      <c r="D764" s="147"/>
      <c r="E764" s="147"/>
      <c r="F764" s="147"/>
      <c r="G764" s="147"/>
      <c r="H764" s="262"/>
      <c r="I764" s="147"/>
      <c r="J764" s="147"/>
      <c r="K764" s="147"/>
      <c r="L764" s="147"/>
      <c r="M764" s="147"/>
      <c r="N764" s="147"/>
      <c r="O764" s="147"/>
      <c r="P764" s="147"/>
      <c r="Q764" s="147"/>
      <c r="R764" s="147"/>
      <c r="S764" s="147"/>
      <c r="T764" s="147"/>
      <c r="U764" s="147"/>
      <c r="V764" s="147"/>
      <c r="W764" s="147"/>
      <c r="X764" s="147"/>
      <c r="Y764" s="147"/>
      <c r="Z764" s="147"/>
      <c r="AA764" s="147"/>
      <c r="AB764" s="147"/>
      <c r="AC764" s="147"/>
      <c r="AD764" s="147"/>
    </row>
    <row r="765">
      <c r="A765" s="147"/>
      <c r="B765" s="147"/>
      <c r="C765" s="147"/>
      <c r="D765" s="147"/>
      <c r="E765" s="147"/>
      <c r="F765" s="147"/>
      <c r="G765" s="147"/>
      <c r="H765" s="262"/>
      <c r="I765" s="147"/>
      <c r="J765" s="147"/>
      <c r="K765" s="147"/>
      <c r="L765" s="147"/>
      <c r="M765" s="147"/>
      <c r="N765" s="147"/>
      <c r="O765" s="147"/>
      <c r="P765" s="147"/>
      <c r="Q765" s="147"/>
      <c r="R765" s="147"/>
      <c r="S765" s="147"/>
      <c r="T765" s="147"/>
      <c r="U765" s="147"/>
      <c r="V765" s="147"/>
      <c r="W765" s="147"/>
      <c r="X765" s="147"/>
      <c r="Y765" s="147"/>
      <c r="Z765" s="147"/>
      <c r="AA765" s="147"/>
      <c r="AB765" s="147"/>
      <c r="AC765" s="147"/>
      <c r="AD765" s="147"/>
    </row>
    <row r="766">
      <c r="A766" s="147"/>
      <c r="B766" s="147"/>
      <c r="C766" s="147"/>
      <c r="D766" s="147"/>
      <c r="E766" s="147"/>
      <c r="F766" s="147"/>
      <c r="G766" s="147"/>
      <c r="H766" s="262"/>
      <c r="I766" s="147"/>
      <c r="J766" s="147"/>
      <c r="K766" s="147"/>
      <c r="L766" s="147"/>
      <c r="M766" s="147"/>
      <c r="N766" s="147"/>
      <c r="O766" s="147"/>
      <c r="P766" s="147"/>
      <c r="Q766" s="147"/>
      <c r="R766" s="147"/>
      <c r="S766" s="147"/>
      <c r="T766" s="147"/>
      <c r="U766" s="147"/>
      <c r="V766" s="147"/>
      <c r="W766" s="147"/>
      <c r="X766" s="147"/>
      <c r="Y766" s="147"/>
      <c r="Z766" s="147"/>
      <c r="AA766" s="147"/>
      <c r="AB766" s="147"/>
      <c r="AC766" s="147"/>
      <c r="AD766" s="147"/>
    </row>
    <row r="767">
      <c r="A767" s="147"/>
      <c r="B767" s="147"/>
      <c r="C767" s="147"/>
      <c r="D767" s="147"/>
      <c r="E767" s="147"/>
      <c r="F767" s="147"/>
      <c r="G767" s="147"/>
      <c r="H767" s="262"/>
      <c r="I767" s="147"/>
      <c r="J767" s="147"/>
      <c r="K767" s="147"/>
      <c r="L767" s="147"/>
      <c r="M767" s="147"/>
      <c r="N767" s="147"/>
      <c r="O767" s="147"/>
      <c r="P767" s="147"/>
      <c r="Q767" s="147"/>
      <c r="R767" s="147"/>
      <c r="S767" s="147"/>
      <c r="T767" s="147"/>
      <c r="U767" s="147"/>
      <c r="V767" s="147"/>
      <c r="W767" s="147"/>
      <c r="X767" s="147"/>
      <c r="Y767" s="147"/>
      <c r="Z767" s="147"/>
      <c r="AA767" s="147"/>
      <c r="AB767" s="147"/>
      <c r="AC767" s="147"/>
      <c r="AD767" s="147"/>
    </row>
    <row r="768">
      <c r="A768" s="147"/>
      <c r="B768" s="147"/>
      <c r="C768" s="147"/>
      <c r="D768" s="147"/>
      <c r="E768" s="147"/>
      <c r="F768" s="147"/>
      <c r="G768" s="147"/>
      <c r="H768" s="262"/>
      <c r="I768" s="147"/>
      <c r="J768" s="147"/>
      <c r="K768" s="147"/>
      <c r="L768" s="147"/>
      <c r="M768" s="147"/>
      <c r="N768" s="147"/>
      <c r="O768" s="147"/>
      <c r="P768" s="147"/>
      <c r="Q768" s="147"/>
      <c r="R768" s="147"/>
      <c r="S768" s="147"/>
      <c r="T768" s="147"/>
      <c r="U768" s="147"/>
      <c r="V768" s="147"/>
      <c r="W768" s="147"/>
      <c r="X768" s="147"/>
      <c r="Y768" s="147"/>
      <c r="Z768" s="147"/>
      <c r="AA768" s="147"/>
      <c r="AB768" s="147"/>
      <c r="AC768" s="147"/>
      <c r="AD768" s="147"/>
    </row>
    <row r="769">
      <c r="A769" s="147"/>
      <c r="B769" s="147"/>
      <c r="C769" s="147"/>
      <c r="D769" s="147"/>
      <c r="E769" s="147"/>
      <c r="F769" s="147"/>
      <c r="G769" s="147"/>
      <c r="H769" s="262"/>
      <c r="I769" s="147"/>
      <c r="J769" s="147"/>
      <c r="K769" s="147"/>
      <c r="L769" s="147"/>
      <c r="M769" s="147"/>
      <c r="N769" s="147"/>
      <c r="O769" s="147"/>
      <c r="P769" s="147"/>
      <c r="Q769" s="147"/>
      <c r="R769" s="147"/>
      <c r="S769" s="147"/>
      <c r="T769" s="147"/>
      <c r="U769" s="147"/>
      <c r="V769" s="147"/>
      <c r="W769" s="147"/>
      <c r="X769" s="147"/>
      <c r="Y769" s="147"/>
      <c r="Z769" s="147"/>
      <c r="AA769" s="147"/>
      <c r="AB769" s="147"/>
      <c r="AC769" s="147"/>
      <c r="AD769" s="147"/>
    </row>
    <row r="770">
      <c r="A770" s="147"/>
      <c r="B770" s="147"/>
      <c r="C770" s="147"/>
      <c r="D770" s="147"/>
      <c r="E770" s="147"/>
      <c r="F770" s="147"/>
      <c r="G770" s="147"/>
      <c r="H770" s="262"/>
      <c r="I770" s="147"/>
      <c r="J770" s="147"/>
      <c r="K770" s="147"/>
      <c r="L770" s="147"/>
      <c r="M770" s="147"/>
      <c r="N770" s="147"/>
      <c r="O770" s="147"/>
      <c r="P770" s="147"/>
      <c r="Q770" s="147"/>
      <c r="R770" s="147"/>
      <c r="S770" s="147"/>
      <c r="T770" s="147"/>
      <c r="U770" s="147"/>
      <c r="V770" s="147"/>
      <c r="W770" s="147"/>
      <c r="X770" s="147"/>
      <c r="Y770" s="147"/>
      <c r="Z770" s="147"/>
      <c r="AA770" s="147"/>
      <c r="AB770" s="147"/>
      <c r="AC770" s="147"/>
      <c r="AD770" s="147"/>
    </row>
    <row r="771">
      <c r="A771" s="147"/>
      <c r="B771" s="147"/>
      <c r="C771" s="147"/>
      <c r="D771" s="147"/>
      <c r="E771" s="147"/>
      <c r="F771" s="147"/>
      <c r="G771" s="147"/>
      <c r="H771" s="262"/>
      <c r="I771" s="147"/>
      <c r="J771" s="147"/>
      <c r="K771" s="147"/>
      <c r="L771" s="147"/>
      <c r="M771" s="147"/>
      <c r="N771" s="147"/>
      <c r="O771" s="147"/>
      <c r="P771" s="147"/>
      <c r="Q771" s="147"/>
      <c r="R771" s="147"/>
      <c r="S771" s="147"/>
      <c r="T771" s="147"/>
      <c r="U771" s="147"/>
      <c r="V771" s="147"/>
      <c r="W771" s="147"/>
      <c r="X771" s="147"/>
      <c r="Y771" s="147"/>
      <c r="Z771" s="147"/>
      <c r="AA771" s="147"/>
      <c r="AB771" s="147"/>
      <c r="AC771" s="147"/>
      <c r="AD771" s="147"/>
    </row>
    <row r="772">
      <c r="A772" s="147"/>
      <c r="B772" s="147"/>
      <c r="C772" s="147"/>
      <c r="D772" s="147"/>
      <c r="E772" s="147"/>
      <c r="F772" s="147"/>
      <c r="G772" s="147"/>
      <c r="H772" s="262"/>
      <c r="I772" s="147"/>
      <c r="J772" s="147"/>
      <c r="K772" s="147"/>
      <c r="L772" s="147"/>
      <c r="M772" s="147"/>
      <c r="N772" s="147"/>
      <c r="O772" s="147"/>
      <c r="P772" s="147"/>
      <c r="Q772" s="147"/>
      <c r="R772" s="147"/>
      <c r="S772" s="147"/>
      <c r="T772" s="147"/>
      <c r="U772" s="147"/>
      <c r="V772" s="147"/>
      <c r="W772" s="147"/>
      <c r="X772" s="147"/>
      <c r="Y772" s="147"/>
      <c r="Z772" s="147"/>
      <c r="AA772" s="147"/>
      <c r="AB772" s="147"/>
      <c r="AC772" s="147"/>
      <c r="AD772" s="147"/>
    </row>
    <row r="773">
      <c r="A773" s="147"/>
      <c r="B773" s="147"/>
      <c r="C773" s="147"/>
      <c r="D773" s="147"/>
      <c r="E773" s="147"/>
      <c r="F773" s="147"/>
      <c r="G773" s="147"/>
      <c r="H773" s="262"/>
      <c r="I773" s="147"/>
      <c r="J773" s="147"/>
      <c r="K773" s="147"/>
      <c r="L773" s="147"/>
      <c r="M773" s="147"/>
      <c r="N773" s="147"/>
      <c r="O773" s="147"/>
      <c r="P773" s="147"/>
      <c r="Q773" s="147"/>
      <c r="R773" s="147"/>
      <c r="S773" s="147"/>
      <c r="T773" s="147"/>
      <c r="U773" s="147"/>
      <c r="V773" s="147"/>
      <c r="W773" s="147"/>
      <c r="X773" s="147"/>
      <c r="Y773" s="147"/>
      <c r="Z773" s="147"/>
      <c r="AA773" s="147"/>
      <c r="AB773" s="147"/>
      <c r="AC773" s="147"/>
      <c r="AD773" s="147"/>
    </row>
    <row r="774">
      <c r="A774" s="147"/>
      <c r="B774" s="147"/>
      <c r="C774" s="147"/>
      <c r="D774" s="147"/>
      <c r="E774" s="147"/>
      <c r="F774" s="147"/>
      <c r="G774" s="147"/>
      <c r="H774" s="262"/>
      <c r="I774" s="147"/>
      <c r="J774" s="147"/>
      <c r="K774" s="147"/>
      <c r="L774" s="147"/>
      <c r="M774" s="147"/>
      <c r="N774" s="147"/>
      <c r="O774" s="147"/>
      <c r="P774" s="147"/>
      <c r="Q774" s="147"/>
      <c r="R774" s="147"/>
      <c r="S774" s="147"/>
      <c r="T774" s="147"/>
      <c r="U774" s="147"/>
      <c r="V774" s="147"/>
      <c r="W774" s="147"/>
      <c r="X774" s="147"/>
      <c r="Y774" s="147"/>
      <c r="Z774" s="147"/>
      <c r="AA774" s="147"/>
      <c r="AB774" s="147"/>
      <c r="AC774" s="147"/>
      <c r="AD774" s="147"/>
    </row>
    <row r="775">
      <c r="A775" s="147"/>
      <c r="B775" s="147"/>
      <c r="C775" s="147"/>
      <c r="D775" s="147"/>
      <c r="E775" s="147"/>
      <c r="F775" s="147"/>
      <c r="G775" s="147"/>
      <c r="H775" s="262"/>
      <c r="I775" s="147"/>
      <c r="J775" s="147"/>
      <c r="K775" s="147"/>
      <c r="L775" s="147"/>
      <c r="M775" s="147"/>
      <c r="N775" s="147"/>
      <c r="O775" s="147"/>
      <c r="P775" s="147"/>
      <c r="Q775" s="147"/>
      <c r="R775" s="147"/>
      <c r="S775" s="147"/>
      <c r="T775" s="147"/>
      <c r="U775" s="147"/>
      <c r="V775" s="147"/>
      <c r="W775" s="147"/>
      <c r="X775" s="147"/>
      <c r="Y775" s="147"/>
      <c r="Z775" s="147"/>
      <c r="AA775" s="147"/>
      <c r="AB775" s="147"/>
      <c r="AC775" s="147"/>
      <c r="AD775" s="147"/>
    </row>
    <row r="776">
      <c r="A776" s="147"/>
      <c r="B776" s="147"/>
      <c r="C776" s="147"/>
      <c r="D776" s="147"/>
      <c r="E776" s="147"/>
      <c r="F776" s="147"/>
      <c r="G776" s="147"/>
      <c r="H776" s="262"/>
      <c r="I776" s="147"/>
      <c r="J776" s="147"/>
      <c r="K776" s="147"/>
      <c r="L776" s="147"/>
      <c r="M776" s="147"/>
      <c r="N776" s="147"/>
      <c r="O776" s="147"/>
      <c r="P776" s="147"/>
      <c r="Q776" s="147"/>
      <c r="R776" s="147"/>
      <c r="S776" s="147"/>
      <c r="T776" s="147"/>
      <c r="U776" s="147"/>
      <c r="V776" s="147"/>
      <c r="W776" s="147"/>
      <c r="X776" s="147"/>
      <c r="Y776" s="147"/>
      <c r="Z776" s="147"/>
      <c r="AA776" s="147"/>
      <c r="AB776" s="147"/>
      <c r="AC776" s="147"/>
      <c r="AD776" s="147"/>
    </row>
    <row r="777">
      <c r="A777" s="147"/>
      <c r="B777" s="147"/>
      <c r="C777" s="147"/>
      <c r="D777" s="147"/>
      <c r="E777" s="147"/>
      <c r="F777" s="147"/>
      <c r="G777" s="147"/>
      <c r="H777" s="262"/>
      <c r="I777" s="147"/>
      <c r="J777" s="147"/>
      <c r="K777" s="147"/>
      <c r="L777" s="147"/>
      <c r="M777" s="147"/>
      <c r="N777" s="147"/>
      <c r="O777" s="147"/>
      <c r="P777" s="147"/>
      <c r="Q777" s="147"/>
      <c r="R777" s="147"/>
      <c r="S777" s="147"/>
      <c r="T777" s="147"/>
      <c r="U777" s="147"/>
      <c r="V777" s="147"/>
      <c r="W777" s="147"/>
      <c r="X777" s="147"/>
      <c r="Y777" s="147"/>
      <c r="Z777" s="147"/>
      <c r="AA777" s="147"/>
      <c r="AB777" s="147"/>
      <c r="AC777" s="147"/>
      <c r="AD777" s="147"/>
    </row>
    <row r="778">
      <c r="A778" s="147"/>
      <c r="B778" s="147"/>
      <c r="C778" s="147"/>
      <c r="D778" s="147"/>
      <c r="E778" s="147"/>
      <c r="F778" s="147"/>
      <c r="G778" s="147"/>
      <c r="H778" s="262"/>
      <c r="I778" s="147"/>
      <c r="J778" s="147"/>
      <c r="K778" s="147"/>
      <c r="L778" s="147"/>
      <c r="M778" s="147"/>
      <c r="N778" s="147"/>
      <c r="O778" s="147"/>
      <c r="P778" s="147"/>
      <c r="Q778" s="147"/>
      <c r="R778" s="147"/>
      <c r="S778" s="147"/>
      <c r="T778" s="147"/>
      <c r="U778" s="147"/>
      <c r="V778" s="147"/>
      <c r="W778" s="147"/>
      <c r="X778" s="147"/>
      <c r="Y778" s="147"/>
      <c r="Z778" s="147"/>
      <c r="AA778" s="147"/>
      <c r="AB778" s="147"/>
      <c r="AC778" s="147"/>
      <c r="AD778" s="147"/>
    </row>
    <row r="779">
      <c r="A779" s="147"/>
      <c r="B779" s="147"/>
      <c r="C779" s="147"/>
      <c r="D779" s="147"/>
      <c r="E779" s="147"/>
      <c r="F779" s="147"/>
      <c r="G779" s="147"/>
      <c r="H779" s="262"/>
      <c r="I779" s="147"/>
      <c r="J779" s="147"/>
      <c r="K779" s="147"/>
      <c r="L779" s="147"/>
      <c r="M779" s="147"/>
      <c r="N779" s="147"/>
      <c r="O779" s="147"/>
      <c r="P779" s="147"/>
      <c r="Q779" s="147"/>
      <c r="R779" s="147"/>
      <c r="S779" s="147"/>
      <c r="T779" s="147"/>
      <c r="U779" s="147"/>
      <c r="V779" s="147"/>
      <c r="W779" s="147"/>
      <c r="X779" s="147"/>
      <c r="Y779" s="147"/>
      <c r="Z779" s="147"/>
      <c r="AA779" s="147"/>
      <c r="AB779" s="147"/>
      <c r="AC779" s="147"/>
      <c r="AD779" s="147"/>
    </row>
    <row r="780">
      <c r="A780" s="147"/>
      <c r="B780" s="147"/>
      <c r="C780" s="147"/>
      <c r="D780" s="147"/>
      <c r="E780" s="147"/>
      <c r="F780" s="147"/>
      <c r="G780" s="147"/>
      <c r="H780" s="262"/>
      <c r="I780" s="147"/>
      <c r="J780" s="147"/>
      <c r="K780" s="147"/>
      <c r="L780" s="147"/>
      <c r="M780" s="147"/>
      <c r="N780" s="147"/>
      <c r="O780" s="147"/>
      <c r="P780" s="147"/>
      <c r="Q780" s="147"/>
      <c r="R780" s="147"/>
      <c r="S780" s="147"/>
      <c r="T780" s="147"/>
      <c r="U780" s="147"/>
      <c r="V780" s="147"/>
      <c r="W780" s="147"/>
      <c r="X780" s="147"/>
      <c r="Y780" s="147"/>
      <c r="Z780" s="147"/>
      <c r="AA780" s="147"/>
      <c r="AB780" s="147"/>
      <c r="AC780" s="147"/>
      <c r="AD780" s="147"/>
    </row>
    <row r="781">
      <c r="A781" s="147"/>
      <c r="B781" s="147"/>
      <c r="C781" s="147"/>
      <c r="D781" s="147"/>
      <c r="E781" s="147"/>
      <c r="F781" s="147"/>
      <c r="G781" s="147"/>
      <c r="H781" s="262"/>
      <c r="I781" s="147"/>
      <c r="J781" s="147"/>
      <c r="K781" s="147"/>
      <c r="L781" s="147"/>
      <c r="M781" s="147"/>
      <c r="N781" s="147"/>
      <c r="O781" s="147"/>
      <c r="P781" s="147"/>
      <c r="Q781" s="147"/>
      <c r="R781" s="147"/>
      <c r="S781" s="147"/>
      <c r="T781" s="147"/>
      <c r="U781" s="147"/>
      <c r="V781" s="147"/>
      <c r="W781" s="147"/>
      <c r="X781" s="147"/>
      <c r="Y781" s="147"/>
      <c r="Z781" s="147"/>
      <c r="AA781" s="147"/>
      <c r="AB781" s="147"/>
      <c r="AC781" s="147"/>
      <c r="AD781" s="147"/>
    </row>
    <row r="782">
      <c r="A782" s="147"/>
      <c r="B782" s="147"/>
      <c r="C782" s="147"/>
      <c r="D782" s="147"/>
      <c r="E782" s="147"/>
      <c r="F782" s="147"/>
      <c r="G782" s="147"/>
      <c r="H782" s="262"/>
      <c r="I782" s="147"/>
      <c r="J782" s="147"/>
      <c r="K782" s="147"/>
      <c r="L782" s="147"/>
      <c r="M782" s="147"/>
      <c r="N782" s="147"/>
      <c r="O782" s="147"/>
      <c r="P782" s="147"/>
      <c r="Q782" s="147"/>
      <c r="R782" s="147"/>
      <c r="S782" s="147"/>
      <c r="T782" s="147"/>
      <c r="U782" s="147"/>
      <c r="V782" s="147"/>
      <c r="W782" s="147"/>
      <c r="X782" s="147"/>
      <c r="Y782" s="147"/>
      <c r="Z782" s="147"/>
      <c r="AA782" s="147"/>
      <c r="AB782" s="147"/>
      <c r="AC782" s="147"/>
      <c r="AD782" s="147"/>
    </row>
    <row r="783">
      <c r="A783" s="147"/>
      <c r="B783" s="147"/>
      <c r="C783" s="147"/>
      <c r="D783" s="147"/>
      <c r="E783" s="147"/>
      <c r="F783" s="147"/>
      <c r="G783" s="147"/>
      <c r="H783" s="262"/>
      <c r="I783" s="147"/>
      <c r="J783" s="147"/>
      <c r="K783" s="147"/>
      <c r="L783" s="147"/>
      <c r="M783" s="147"/>
      <c r="N783" s="147"/>
      <c r="O783" s="147"/>
      <c r="P783" s="147"/>
      <c r="Q783" s="147"/>
      <c r="R783" s="147"/>
      <c r="S783" s="147"/>
      <c r="T783" s="147"/>
      <c r="U783" s="147"/>
      <c r="V783" s="147"/>
      <c r="W783" s="147"/>
      <c r="X783" s="147"/>
      <c r="Y783" s="147"/>
      <c r="Z783" s="147"/>
      <c r="AA783" s="147"/>
      <c r="AB783" s="147"/>
      <c r="AC783" s="147"/>
      <c r="AD783" s="147"/>
    </row>
    <row r="784">
      <c r="A784" s="147"/>
      <c r="B784" s="147"/>
      <c r="C784" s="147"/>
      <c r="D784" s="147"/>
      <c r="E784" s="147"/>
      <c r="F784" s="147"/>
      <c r="G784" s="147"/>
      <c r="H784" s="262"/>
      <c r="I784" s="147"/>
      <c r="J784" s="147"/>
      <c r="K784" s="147"/>
      <c r="L784" s="147"/>
      <c r="M784" s="147"/>
      <c r="N784" s="147"/>
      <c r="O784" s="147"/>
      <c r="P784" s="147"/>
      <c r="Q784" s="147"/>
      <c r="R784" s="147"/>
      <c r="S784" s="147"/>
      <c r="T784" s="147"/>
      <c r="U784" s="147"/>
      <c r="V784" s="147"/>
      <c r="W784" s="147"/>
      <c r="X784" s="147"/>
      <c r="Y784" s="147"/>
      <c r="Z784" s="147"/>
      <c r="AA784" s="147"/>
      <c r="AB784" s="147"/>
      <c r="AC784" s="147"/>
      <c r="AD784" s="147"/>
    </row>
    <row r="785">
      <c r="A785" s="147"/>
      <c r="B785" s="147"/>
      <c r="C785" s="147"/>
      <c r="D785" s="147"/>
      <c r="E785" s="147"/>
      <c r="F785" s="147"/>
      <c r="G785" s="147"/>
      <c r="H785" s="262"/>
      <c r="I785" s="147"/>
      <c r="J785" s="147"/>
      <c r="K785" s="147"/>
      <c r="L785" s="147"/>
      <c r="M785" s="147"/>
      <c r="N785" s="147"/>
      <c r="O785" s="147"/>
      <c r="P785" s="147"/>
      <c r="Q785" s="147"/>
      <c r="R785" s="147"/>
      <c r="S785" s="147"/>
      <c r="T785" s="147"/>
      <c r="U785" s="147"/>
      <c r="V785" s="147"/>
      <c r="W785" s="147"/>
      <c r="X785" s="147"/>
      <c r="Y785" s="147"/>
      <c r="Z785" s="147"/>
      <c r="AA785" s="147"/>
      <c r="AB785" s="147"/>
      <c r="AC785" s="147"/>
      <c r="AD785" s="147"/>
    </row>
    <row r="786">
      <c r="A786" s="147"/>
      <c r="B786" s="147"/>
      <c r="C786" s="147"/>
      <c r="D786" s="147"/>
      <c r="E786" s="147"/>
      <c r="F786" s="147"/>
      <c r="G786" s="147"/>
      <c r="H786" s="262"/>
      <c r="I786" s="147"/>
      <c r="J786" s="147"/>
      <c r="K786" s="147"/>
      <c r="L786" s="147"/>
      <c r="M786" s="147"/>
      <c r="N786" s="147"/>
      <c r="O786" s="147"/>
      <c r="P786" s="147"/>
      <c r="Q786" s="147"/>
      <c r="R786" s="147"/>
      <c r="S786" s="147"/>
      <c r="T786" s="147"/>
      <c r="U786" s="147"/>
      <c r="V786" s="147"/>
      <c r="W786" s="147"/>
      <c r="X786" s="147"/>
      <c r="Y786" s="147"/>
      <c r="Z786" s="147"/>
      <c r="AA786" s="147"/>
      <c r="AB786" s="147"/>
      <c r="AC786" s="147"/>
      <c r="AD786" s="147"/>
    </row>
    <row r="787">
      <c r="A787" s="147"/>
      <c r="B787" s="147"/>
      <c r="C787" s="147"/>
      <c r="D787" s="147"/>
      <c r="E787" s="147"/>
      <c r="F787" s="147"/>
      <c r="G787" s="147"/>
      <c r="H787" s="262"/>
      <c r="I787" s="147"/>
      <c r="J787" s="147"/>
      <c r="K787" s="147"/>
      <c r="L787" s="147"/>
      <c r="M787" s="147"/>
      <c r="N787" s="147"/>
      <c r="O787" s="147"/>
      <c r="P787" s="147"/>
      <c r="Q787" s="147"/>
      <c r="R787" s="147"/>
      <c r="S787" s="147"/>
      <c r="T787" s="147"/>
      <c r="U787" s="147"/>
      <c r="V787" s="147"/>
      <c r="W787" s="147"/>
      <c r="X787" s="147"/>
      <c r="Y787" s="147"/>
      <c r="Z787" s="147"/>
      <c r="AA787" s="147"/>
      <c r="AB787" s="147"/>
      <c r="AC787" s="147"/>
      <c r="AD787" s="147"/>
    </row>
    <row r="788">
      <c r="A788" s="147"/>
      <c r="B788" s="147"/>
      <c r="C788" s="147"/>
      <c r="D788" s="147"/>
      <c r="E788" s="147"/>
      <c r="F788" s="147"/>
      <c r="G788" s="147"/>
      <c r="H788" s="262"/>
      <c r="I788" s="147"/>
      <c r="J788" s="147"/>
      <c r="K788" s="147"/>
      <c r="L788" s="147"/>
      <c r="M788" s="147"/>
      <c r="N788" s="147"/>
      <c r="O788" s="147"/>
      <c r="P788" s="147"/>
      <c r="Q788" s="147"/>
      <c r="R788" s="147"/>
      <c r="S788" s="147"/>
      <c r="T788" s="147"/>
      <c r="U788" s="147"/>
      <c r="V788" s="147"/>
      <c r="W788" s="147"/>
      <c r="X788" s="147"/>
      <c r="Y788" s="147"/>
      <c r="Z788" s="147"/>
      <c r="AA788" s="147"/>
      <c r="AB788" s="147"/>
      <c r="AC788" s="147"/>
      <c r="AD788" s="147"/>
    </row>
    <row r="789">
      <c r="A789" s="147"/>
      <c r="B789" s="147"/>
      <c r="C789" s="147"/>
      <c r="D789" s="147"/>
      <c r="E789" s="147"/>
      <c r="F789" s="147"/>
      <c r="G789" s="147"/>
      <c r="H789" s="262"/>
      <c r="I789" s="147"/>
      <c r="J789" s="147"/>
      <c r="K789" s="147"/>
      <c r="L789" s="147"/>
      <c r="M789" s="147"/>
      <c r="N789" s="147"/>
      <c r="O789" s="147"/>
      <c r="P789" s="147"/>
      <c r="Q789" s="147"/>
      <c r="R789" s="147"/>
      <c r="S789" s="147"/>
      <c r="T789" s="147"/>
      <c r="U789" s="147"/>
      <c r="V789" s="147"/>
      <c r="W789" s="147"/>
      <c r="X789" s="147"/>
      <c r="Y789" s="147"/>
      <c r="Z789" s="147"/>
      <c r="AA789" s="147"/>
      <c r="AB789" s="147"/>
      <c r="AC789" s="147"/>
      <c r="AD789" s="147"/>
    </row>
    <row r="790">
      <c r="A790" s="147"/>
      <c r="B790" s="147"/>
      <c r="C790" s="147"/>
      <c r="D790" s="147"/>
      <c r="E790" s="147"/>
      <c r="F790" s="147"/>
      <c r="G790" s="147"/>
      <c r="H790" s="262"/>
      <c r="I790" s="147"/>
      <c r="J790" s="147"/>
      <c r="K790" s="147"/>
      <c r="L790" s="147"/>
      <c r="M790" s="147"/>
      <c r="N790" s="147"/>
      <c r="O790" s="147"/>
      <c r="P790" s="147"/>
      <c r="Q790" s="147"/>
      <c r="R790" s="147"/>
      <c r="S790" s="147"/>
      <c r="T790" s="147"/>
      <c r="U790" s="147"/>
      <c r="V790" s="147"/>
      <c r="W790" s="147"/>
      <c r="X790" s="147"/>
      <c r="Y790" s="147"/>
      <c r="Z790" s="147"/>
      <c r="AA790" s="147"/>
      <c r="AB790" s="147"/>
      <c r="AC790" s="147"/>
      <c r="AD790" s="147"/>
    </row>
    <row r="791">
      <c r="A791" s="147"/>
      <c r="B791" s="147"/>
      <c r="C791" s="147"/>
      <c r="D791" s="147"/>
      <c r="E791" s="147"/>
      <c r="F791" s="147"/>
      <c r="G791" s="147"/>
      <c r="H791" s="262"/>
      <c r="I791" s="147"/>
      <c r="J791" s="147"/>
      <c r="K791" s="147"/>
      <c r="L791" s="147"/>
      <c r="M791" s="147"/>
      <c r="N791" s="147"/>
      <c r="O791" s="147"/>
      <c r="P791" s="147"/>
      <c r="Q791" s="147"/>
      <c r="R791" s="147"/>
      <c r="S791" s="147"/>
      <c r="T791" s="147"/>
      <c r="U791" s="147"/>
      <c r="V791" s="147"/>
      <c r="W791" s="147"/>
      <c r="X791" s="147"/>
      <c r="Y791" s="147"/>
      <c r="Z791" s="147"/>
      <c r="AA791" s="147"/>
      <c r="AB791" s="147"/>
      <c r="AC791" s="147"/>
      <c r="AD791" s="147"/>
    </row>
    <row r="792">
      <c r="A792" s="147"/>
      <c r="B792" s="147"/>
      <c r="C792" s="147"/>
      <c r="D792" s="147"/>
      <c r="E792" s="147"/>
      <c r="F792" s="147"/>
      <c r="G792" s="147"/>
      <c r="H792" s="262"/>
      <c r="I792" s="147"/>
      <c r="J792" s="147"/>
      <c r="K792" s="147"/>
      <c r="L792" s="147"/>
      <c r="M792" s="147"/>
      <c r="N792" s="147"/>
      <c r="O792" s="147"/>
      <c r="P792" s="147"/>
      <c r="Q792" s="147"/>
      <c r="R792" s="147"/>
      <c r="S792" s="147"/>
      <c r="T792" s="147"/>
      <c r="U792" s="147"/>
      <c r="V792" s="147"/>
      <c r="W792" s="147"/>
      <c r="X792" s="147"/>
      <c r="Y792" s="147"/>
      <c r="Z792" s="147"/>
      <c r="AA792" s="147"/>
      <c r="AB792" s="147"/>
      <c r="AC792" s="147"/>
      <c r="AD792" s="147"/>
    </row>
    <row r="793">
      <c r="A793" s="147"/>
      <c r="B793" s="147"/>
      <c r="C793" s="147"/>
      <c r="D793" s="147"/>
      <c r="E793" s="147"/>
      <c r="F793" s="147"/>
      <c r="G793" s="147"/>
      <c r="H793" s="262"/>
      <c r="I793" s="147"/>
      <c r="J793" s="147"/>
      <c r="K793" s="147"/>
      <c r="L793" s="147"/>
      <c r="M793" s="147"/>
      <c r="N793" s="147"/>
      <c r="O793" s="147"/>
      <c r="P793" s="147"/>
      <c r="Q793" s="147"/>
      <c r="R793" s="147"/>
      <c r="S793" s="147"/>
      <c r="T793" s="147"/>
      <c r="U793" s="147"/>
      <c r="V793" s="147"/>
      <c r="W793" s="147"/>
      <c r="X793" s="147"/>
      <c r="Y793" s="147"/>
      <c r="Z793" s="147"/>
      <c r="AA793" s="147"/>
      <c r="AB793" s="147"/>
      <c r="AC793" s="147"/>
      <c r="AD793" s="147"/>
    </row>
    <row r="794">
      <c r="A794" s="147"/>
      <c r="B794" s="147"/>
      <c r="C794" s="147"/>
      <c r="D794" s="147"/>
      <c r="E794" s="147"/>
      <c r="F794" s="147"/>
      <c r="G794" s="147"/>
      <c r="H794" s="262"/>
      <c r="I794" s="147"/>
      <c r="J794" s="147"/>
      <c r="K794" s="147"/>
      <c r="L794" s="147"/>
      <c r="M794" s="147"/>
      <c r="N794" s="147"/>
      <c r="O794" s="147"/>
      <c r="P794" s="147"/>
      <c r="Q794" s="147"/>
      <c r="R794" s="147"/>
      <c r="S794" s="147"/>
      <c r="T794" s="147"/>
      <c r="U794" s="147"/>
      <c r="V794" s="147"/>
      <c r="W794" s="147"/>
      <c r="X794" s="147"/>
      <c r="Y794" s="147"/>
      <c r="Z794" s="147"/>
      <c r="AA794" s="147"/>
      <c r="AB794" s="147"/>
      <c r="AC794" s="147"/>
      <c r="AD794" s="147"/>
    </row>
    <row r="795">
      <c r="A795" s="147"/>
      <c r="B795" s="147"/>
      <c r="C795" s="147"/>
      <c r="D795" s="147"/>
      <c r="E795" s="147"/>
      <c r="F795" s="147"/>
      <c r="G795" s="147"/>
      <c r="H795" s="262"/>
      <c r="I795" s="147"/>
      <c r="J795" s="147"/>
      <c r="K795" s="147"/>
      <c r="L795" s="147"/>
      <c r="M795" s="147"/>
      <c r="N795" s="147"/>
      <c r="O795" s="147"/>
      <c r="P795" s="147"/>
      <c r="Q795" s="147"/>
      <c r="R795" s="147"/>
      <c r="S795" s="147"/>
      <c r="T795" s="147"/>
      <c r="U795" s="147"/>
      <c r="V795" s="147"/>
      <c r="W795" s="147"/>
      <c r="X795" s="147"/>
      <c r="Y795" s="147"/>
      <c r="Z795" s="147"/>
      <c r="AA795" s="147"/>
      <c r="AB795" s="147"/>
      <c r="AC795" s="147"/>
      <c r="AD795" s="147"/>
    </row>
    <row r="796">
      <c r="A796" s="147"/>
      <c r="B796" s="147"/>
      <c r="C796" s="147"/>
      <c r="D796" s="147"/>
      <c r="E796" s="147"/>
      <c r="F796" s="147"/>
      <c r="G796" s="147"/>
      <c r="H796" s="262"/>
      <c r="I796" s="147"/>
      <c r="J796" s="147"/>
      <c r="K796" s="147"/>
      <c r="L796" s="147"/>
      <c r="M796" s="147"/>
      <c r="N796" s="147"/>
      <c r="O796" s="147"/>
      <c r="P796" s="147"/>
      <c r="Q796" s="147"/>
      <c r="R796" s="147"/>
      <c r="S796" s="147"/>
      <c r="T796" s="147"/>
      <c r="U796" s="147"/>
      <c r="V796" s="147"/>
      <c r="W796" s="147"/>
      <c r="X796" s="147"/>
      <c r="Y796" s="147"/>
      <c r="Z796" s="147"/>
      <c r="AA796" s="147"/>
      <c r="AB796" s="147"/>
      <c r="AC796" s="147"/>
      <c r="AD796" s="147"/>
    </row>
    <row r="797">
      <c r="A797" s="147"/>
      <c r="B797" s="147"/>
      <c r="C797" s="147"/>
      <c r="D797" s="147"/>
      <c r="E797" s="147"/>
      <c r="F797" s="147"/>
      <c r="G797" s="147"/>
      <c r="H797" s="262"/>
      <c r="I797" s="147"/>
      <c r="J797" s="147"/>
      <c r="K797" s="147"/>
      <c r="L797" s="147"/>
      <c r="M797" s="147"/>
      <c r="N797" s="147"/>
      <c r="O797" s="147"/>
      <c r="P797" s="147"/>
      <c r="Q797" s="147"/>
      <c r="R797" s="147"/>
      <c r="S797" s="147"/>
      <c r="T797" s="147"/>
      <c r="U797" s="147"/>
      <c r="V797" s="147"/>
      <c r="W797" s="147"/>
      <c r="X797" s="147"/>
      <c r="Y797" s="147"/>
      <c r="Z797" s="147"/>
      <c r="AA797" s="147"/>
      <c r="AB797" s="147"/>
      <c r="AC797" s="147"/>
      <c r="AD797" s="147"/>
    </row>
    <row r="798">
      <c r="A798" s="147"/>
      <c r="B798" s="147"/>
      <c r="C798" s="147"/>
      <c r="D798" s="147"/>
      <c r="E798" s="147"/>
      <c r="F798" s="147"/>
      <c r="G798" s="147"/>
      <c r="H798" s="262"/>
      <c r="I798" s="147"/>
      <c r="J798" s="147"/>
      <c r="K798" s="147"/>
      <c r="L798" s="147"/>
      <c r="M798" s="147"/>
      <c r="N798" s="147"/>
      <c r="O798" s="147"/>
      <c r="P798" s="147"/>
      <c r="Q798" s="147"/>
      <c r="R798" s="147"/>
      <c r="S798" s="147"/>
      <c r="T798" s="147"/>
      <c r="U798" s="147"/>
      <c r="V798" s="147"/>
      <c r="W798" s="147"/>
      <c r="X798" s="147"/>
      <c r="Y798" s="147"/>
      <c r="Z798" s="147"/>
      <c r="AA798" s="147"/>
      <c r="AB798" s="147"/>
      <c r="AC798" s="147"/>
      <c r="AD798" s="147"/>
    </row>
    <row r="799">
      <c r="A799" s="147"/>
      <c r="B799" s="147"/>
      <c r="C799" s="147"/>
      <c r="D799" s="147"/>
      <c r="E799" s="147"/>
      <c r="F799" s="147"/>
      <c r="G799" s="147"/>
      <c r="H799" s="262"/>
      <c r="I799" s="147"/>
      <c r="J799" s="147"/>
      <c r="K799" s="147"/>
      <c r="L799" s="147"/>
      <c r="M799" s="147"/>
      <c r="N799" s="147"/>
      <c r="O799" s="147"/>
      <c r="P799" s="147"/>
      <c r="Q799" s="147"/>
      <c r="R799" s="147"/>
      <c r="S799" s="147"/>
      <c r="T799" s="147"/>
      <c r="U799" s="147"/>
      <c r="V799" s="147"/>
      <c r="W799" s="147"/>
      <c r="X799" s="147"/>
      <c r="Y799" s="147"/>
      <c r="Z799" s="147"/>
      <c r="AA799" s="147"/>
      <c r="AB799" s="147"/>
      <c r="AC799" s="147"/>
      <c r="AD799" s="147"/>
    </row>
    <row r="800">
      <c r="A800" s="147"/>
      <c r="B800" s="147"/>
      <c r="C800" s="147"/>
      <c r="D800" s="147"/>
      <c r="E800" s="147"/>
      <c r="F800" s="147"/>
      <c r="G800" s="147"/>
      <c r="H800" s="262"/>
      <c r="I800" s="147"/>
      <c r="J800" s="147"/>
      <c r="K800" s="147"/>
      <c r="L800" s="147"/>
      <c r="M800" s="147"/>
      <c r="N800" s="147"/>
      <c r="O800" s="147"/>
      <c r="P800" s="147"/>
      <c r="Q800" s="147"/>
      <c r="R800" s="147"/>
      <c r="S800" s="147"/>
      <c r="T800" s="147"/>
      <c r="U800" s="147"/>
      <c r="V800" s="147"/>
      <c r="W800" s="147"/>
      <c r="X800" s="147"/>
      <c r="Y800" s="147"/>
      <c r="Z800" s="147"/>
      <c r="AA800" s="147"/>
      <c r="AB800" s="147"/>
      <c r="AC800" s="147"/>
      <c r="AD800" s="147"/>
    </row>
    <row r="801">
      <c r="A801" s="147"/>
      <c r="B801" s="147"/>
      <c r="C801" s="147"/>
      <c r="D801" s="147"/>
      <c r="E801" s="147"/>
      <c r="F801" s="147"/>
      <c r="G801" s="147"/>
      <c r="H801" s="262"/>
      <c r="I801" s="147"/>
      <c r="J801" s="147"/>
      <c r="K801" s="147"/>
      <c r="L801" s="147"/>
      <c r="M801" s="147"/>
      <c r="N801" s="147"/>
      <c r="O801" s="147"/>
      <c r="P801" s="147"/>
      <c r="Q801" s="147"/>
      <c r="R801" s="147"/>
      <c r="S801" s="147"/>
      <c r="T801" s="147"/>
      <c r="U801" s="147"/>
      <c r="V801" s="147"/>
      <c r="W801" s="147"/>
      <c r="X801" s="147"/>
      <c r="Y801" s="147"/>
      <c r="Z801" s="147"/>
      <c r="AA801" s="147"/>
      <c r="AB801" s="147"/>
      <c r="AC801" s="147"/>
      <c r="AD801" s="147"/>
    </row>
    <row r="802">
      <c r="A802" s="147"/>
      <c r="B802" s="147"/>
      <c r="C802" s="147"/>
      <c r="D802" s="147"/>
      <c r="E802" s="147"/>
      <c r="F802" s="147"/>
      <c r="G802" s="147"/>
      <c r="H802" s="262"/>
      <c r="I802" s="147"/>
      <c r="J802" s="147"/>
      <c r="K802" s="147"/>
      <c r="L802" s="147"/>
      <c r="M802" s="147"/>
      <c r="N802" s="147"/>
      <c r="O802" s="147"/>
      <c r="P802" s="147"/>
      <c r="Q802" s="147"/>
      <c r="R802" s="147"/>
      <c r="S802" s="147"/>
      <c r="T802" s="147"/>
      <c r="U802" s="147"/>
      <c r="V802" s="147"/>
      <c r="W802" s="147"/>
      <c r="X802" s="147"/>
      <c r="Y802" s="147"/>
      <c r="Z802" s="147"/>
      <c r="AA802" s="147"/>
      <c r="AB802" s="147"/>
      <c r="AC802" s="147"/>
      <c r="AD802" s="147"/>
    </row>
    <row r="803">
      <c r="A803" s="147"/>
      <c r="B803" s="147"/>
      <c r="C803" s="147"/>
      <c r="D803" s="147"/>
      <c r="E803" s="147"/>
      <c r="F803" s="147"/>
      <c r="G803" s="147"/>
      <c r="H803" s="262"/>
      <c r="I803" s="147"/>
      <c r="J803" s="147"/>
      <c r="K803" s="147"/>
      <c r="L803" s="147"/>
      <c r="M803" s="147"/>
      <c r="N803" s="147"/>
      <c r="O803" s="147"/>
      <c r="P803" s="147"/>
      <c r="Q803" s="147"/>
      <c r="R803" s="147"/>
      <c r="S803" s="147"/>
      <c r="T803" s="147"/>
      <c r="U803" s="147"/>
      <c r="V803" s="147"/>
      <c r="W803" s="147"/>
      <c r="X803" s="147"/>
      <c r="Y803" s="147"/>
      <c r="Z803" s="147"/>
      <c r="AA803" s="147"/>
      <c r="AB803" s="147"/>
      <c r="AC803" s="147"/>
      <c r="AD803" s="147"/>
    </row>
    <row r="804">
      <c r="A804" s="147"/>
      <c r="B804" s="147"/>
      <c r="C804" s="147"/>
      <c r="D804" s="147"/>
      <c r="E804" s="147"/>
      <c r="F804" s="147"/>
      <c r="G804" s="147"/>
      <c r="H804" s="262"/>
      <c r="I804" s="147"/>
      <c r="J804" s="147"/>
      <c r="K804" s="147"/>
      <c r="L804" s="147"/>
      <c r="M804" s="147"/>
      <c r="N804" s="147"/>
      <c r="O804" s="147"/>
      <c r="P804" s="147"/>
      <c r="Q804" s="147"/>
      <c r="R804" s="147"/>
      <c r="S804" s="147"/>
      <c r="T804" s="147"/>
      <c r="U804" s="147"/>
      <c r="V804" s="147"/>
      <c r="W804" s="147"/>
      <c r="X804" s="147"/>
      <c r="Y804" s="147"/>
      <c r="Z804" s="147"/>
      <c r="AA804" s="147"/>
      <c r="AB804" s="147"/>
      <c r="AC804" s="147"/>
      <c r="AD804" s="147"/>
    </row>
    <row r="805">
      <c r="A805" s="147"/>
      <c r="B805" s="147"/>
      <c r="C805" s="147"/>
      <c r="D805" s="147"/>
      <c r="E805" s="147"/>
      <c r="F805" s="147"/>
      <c r="G805" s="147"/>
      <c r="H805" s="262"/>
      <c r="I805" s="147"/>
      <c r="J805" s="147"/>
      <c r="K805" s="147"/>
      <c r="L805" s="147"/>
      <c r="M805" s="147"/>
      <c r="N805" s="147"/>
      <c r="O805" s="147"/>
      <c r="P805" s="147"/>
      <c r="Q805" s="147"/>
      <c r="R805" s="147"/>
      <c r="S805" s="147"/>
      <c r="T805" s="147"/>
      <c r="U805" s="147"/>
      <c r="V805" s="147"/>
      <c r="W805" s="147"/>
      <c r="X805" s="147"/>
      <c r="Y805" s="147"/>
      <c r="Z805" s="147"/>
      <c r="AA805" s="147"/>
      <c r="AB805" s="147"/>
      <c r="AC805" s="147"/>
      <c r="AD805" s="147"/>
    </row>
    <row r="806">
      <c r="A806" s="147"/>
      <c r="B806" s="147"/>
      <c r="C806" s="147"/>
      <c r="D806" s="147"/>
      <c r="E806" s="147"/>
      <c r="F806" s="147"/>
      <c r="G806" s="147"/>
      <c r="H806" s="262"/>
      <c r="I806" s="147"/>
      <c r="J806" s="147"/>
      <c r="K806" s="147"/>
      <c r="L806" s="147"/>
      <c r="M806" s="147"/>
      <c r="N806" s="147"/>
      <c r="O806" s="147"/>
      <c r="P806" s="147"/>
      <c r="Q806" s="147"/>
      <c r="R806" s="147"/>
      <c r="S806" s="147"/>
      <c r="T806" s="147"/>
      <c r="U806" s="147"/>
      <c r="V806" s="147"/>
      <c r="W806" s="147"/>
      <c r="X806" s="147"/>
      <c r="Y806" s="147"/>
      <c r="Z806" s="147"/>
      <c r="AA806" s="147"/>
      <c r="AB806" s="147"/>
      <c r="AC806" s="147"/>
      <c r="AD806" s="147"/>
    </row>
    <row r="807">
      <c r="A807" s="147"/>
      <c r="B807" s="147"/>
      <c r="C807" s="147"/>
      <c r="D807" s="147"/>
      <c r="E807" s="147"/>
      <c r="F807" s="147"/>
      <c r="G807" s="147"/>
      <c r="H807" s="262"/>
      <c r="I807" s="147"/>
      <c r="J807" s="147"/>
      <c r="K807" s="147"/>
      <c r="L807" s="147"/>
      <c r="M807" s="147"/>
      <c r="N807" s="147"/>
      <c r="O807" s="147"/>
      <c r="P807" s="147"/>
      <c r="Q807" s="147"/>
      <c r="R807" s="147"/>
      <c r="S807" s="147"/>
      <c r="T807" s="147"/>
      <c r="U807" s="147"/>
      <c r="V807" s="147"/>
      <c r="W807" s="147"/>
      <c r="X807" s="147"/>
      <c r="Y807" s="147"/>
      <c r="Z807" s="147"/>
      <c r="AA807" s="147"/>
      <c r="AB807" s="147"/>
      <c r="AC807" s="147"/>
      <c r="AD807" s="147"/>
    </row>
    <row r="808">
      <c r="A808" s="147"/>
      <c r="B808" s="147"/>
      <c r="C808" s="147"/>
      <c r="D808" s="147"/>
      <c r="E808" s="147"/>
      <c r="F808" s="147"/>
      <c r="G808" s="147"/>
      <c r="H808" s="262"/>
      <c r="I808" s="147"/>
      <c r="J808" s="147"/>
      <c r="K808" s="147"/>
      <c r="L808" s="147"/>
      <c r="M808" s="147"/>
      <c r="N808" s="147"/>
      <c r="O808" s="147"/>
      <c r="P808" s="147"/>
      <c r="Q808" s="147"/>
      <c r="R808" s="147"/>
      <c r="S808" s="147"/>
      <c r="T808" s="147"/>
      <c r="U808" s="147"/>
      <c r="V808" s="147"/>
      <c r="W808" s="147"/>
      <c r="X808" s="147"/>
      <c r="Y808" s="147"/>
      <c r="Z808" s="147"/>
      <c r="AA808" s="147"/>
      <c r="AB808" s="147"/>
      <c r="AC808" s="147"/>
      <c r="AD808" s="147"/>
    </row>
    <row r="809">
      <c r="A809" s="147"/>
      <c r="B809" s="147"/>
      <c r="C809" s="147"/>
      <c r="D809" s="147"/>
      <c r="E809" s="147"/>
      <c r="F809" s="147"/>
      <c r="G809" s="147"/>
      <c r="H809" s="262"/>
      <c r="I809" s="147"/>
      <c r="J809" s="147"/>
      <c r="K809" s="147"/>
      <c r="L809" s="147"/>
      <c r="M809" s="147"/>
      <c r="N809" s="147"/>
      <c r="O809" s="147"/>
      <c r="P809" s="147"/>
      <c r="Q809" s="147"/>
      <c r="R809" s="147"/>
      <c r="S809" s="147"/>
      <c r="T809" s="147"/>
      <c r="U809" s="147"/>
      <c r="V809" s="147"/>
      <c r="W809" s="147"/>
      <c r="X809" s="147"/>
      <c r="Y809" s="147"/>
      <c r="Z809" s="147"/>
      <c r="AA809" s="147"/>
      <c r="AB809" s="147"/>
      <c r="AC809" s="147"/>
      <c r="AD809" s="147"/>
    </row>
    <row r="810">
      <c r="A810" s="147"/>
      <c r="B810" s="147"/>
      <c r="C810" s="147"/>
      <c r="D810" s="147"/>
      <c r="E810" s="147"/>
      <c r="F810" s="147"/>
      <c r="G810" s="147"/>
      <c r="H810" s="262"/>
      <c r="I810" s="147"/>
      <c r="J810" s="147"/>
      <c r="K810" s="147"/>
      <c r="L810" s="147"/>
      <c r="M810" s="147"/>
      <c r="N810" s="147"/>
      <c r="O810" s="147"/>
      <c r="P810" s="147"/>
      <c r="Q810" s="147"/>
      <c r="R810" s="147"/>
      <c r="S810" s="147"/>
      <c r="T810" s="147"/>
      <c r="U810" s="147"/>
      <c r="V810" s="147"/>
      <c r="W810" s="147"/>
      <c r="X810" s="147"/>
      <c r="Y810" s="147"/>
      <c r="Z810" s="147"/>
      <c r="AA810" s="147"/>
      <c r="AB810" s="147"/>
      <c r="AC810" s="147"/>
      <c r="AD810" s="147"/>
    </row>
    <row r="811">
      <c r="A811" s="147"/>
      <c r="B811" s="147"/>
      <c r="C811" s="147"/>
      <c r="D811" s="147"/>
      <c r="E811" s="147"/>
      <c r="F811" s="147"/>
      <c r="G811" s="147"/>
      <c r="H811" s="262"/>
      <c r="I811" s="147"/>
      <c r="J811" s="147"/>
      <c r="K811" s="147"/>
      <c r="L811" s="147"/>
      <c r="M811" s="147"/>
      <c r="N811" s="147"/>
      <c r="O811" s="147"/>
      <c r="P811" s="147"/>
      <c r="Q811" s="147"/>
      <c r="R811" s="147"/>
      <c r="S811" s="147"/>
      <c r="T811" s="147"/>
      <c r="U811" s="147"/>
      <c r="V811" s="147"/>
      <c r="W811" s="147"/>
      <c r="X811" s="147"/>
      <c r="Y811" s="147"/>
      <c r="Z811" s="147"/>
      <c r="AA811" s="147"/>
      <c r="AB811" s="147"/>
      <c r="AC811" s="147"/>
      <c r="AD811" s="147"/>
    </row>
    <row r="812">
      <c r="A812" s="147"/>
      <c r="B812" s="147"/>
      <c r="C812" s="147"/>
      <c r="D812" s="147"/>
      <c r="E812" s="147"/>
      <c r="F812" s="147"/>
      <c r="G812" s="147"/>
      <c r="H812" s="262"/>
      <c r="I812" s="147"/>
      <c r="J812" s="147"/>
      <c r="K812" s="147"/>
      <c r="L812" s="147"/>
      <c r="M812" s="147"/>
      <c r="N812" s="147"/>
      <c r="O812" s="147"/>
      <c r="P812" s="147"/>
      <c r="Q812" s="147"/>
      <c r="R812" s="147"/>
      <c r="S812" s="147"/>
      <c r="T812" s="147"/>
      <c r="U812" s="147"/>
      <c r="V812" s="147"/>
      <c r="W812" s="147"/>
      <c r="X812" s="147"/>
      <c r="Y812" s="147"/>
      <c r="Z812" s="147"/>
      <c r="AA812" s="147"/>
      <c r="AB812" s="147"/>
      <c r="AC812" s="147"/>
      <c r="AD812" s="147"/>
    </row>
    <row r="813">
      <c r="A813" s="147"/>
      <c r="B813" s="147"/>
      <c r="C813" s="147"/>
      <c r="D813" s="147"/>
      <c r="E813" s="147"/>
      <c r="F813" s="147"/>
      <c r="G813" s="147"/>
      <c r="H813" s="262"/>
      <c r="I813" s="147"/>
      <c r="J813" s="147"/>
      <c r="K813" s="147"/>
      <c r="L813" s="147"/>
      <c r="M813" s="147"/>
      <c r="N813" s="147"/>
      <c r="O813" s="147"/>
      <c r="P813" s="147"/>
      <c r="Q813" s="147"/>
      <c r="R813" s="147"/>
      <c r="S813" s="147"/>
      <c r="T813" s="147"/>
      <c r="U813" s="147"/>
      <c r="V813" s="147"/>
      <c r="W813" s="147"/>
      <c r="X813" s="147"/>
      <c r="Y813" s="147"/>
      <c r="Z813" s="147"/>
      <c r="AA813" s="147"/>
      <c r="AB813" s="147"/>
      <c r="AC813" s="147"/>
      <c r="AD813" s="147"/>
    </row>
    <row r="814">
      <c r="A814" s="147"/>
      <c r="B814" s="147"/>
      <c r="C814" s="147"/>
      <c r="D814" s="147"/>
      <c r="E814" s="147"/>
      <c r="F814" s="147"/>
      <c r="G814" s="147"/>
      <c r="H814" s="262"/>
      <c r="I814" s="147"/>
      <c r="J814" s="147"/>
      <c r="K814" s="147"/>
      <c r="L814" s="147"/>
      <c r="M814" s="147"/>
      <c r="N814" s="147"/>
      <c r="O814" s="147"/>
      <c r="P814" s="147"/>
      <c r="Q814" s="147"/>
      <c r="R814" s="147"/>
      <c r="S814" s="147"/>
      <c r="T814" s="147"/>
      <c r="U814" s="147"/>
      <c r="V814" s="147"/>
      <c r="W814" s="147"/>
      <c r="X814" s="147"/>
      <c r="Y814" s="147"/>
      <c r="Z814" s="147"/>
      <c r="AA814" s="147"/>
      <c r="AB814" s="147"/>
      <c r="AC814" s="147"/>
      <c r="AD814" s="147"/>
    </row>
    <row r="815">
      <c r="A815" s="147"/>
      <c r="B815" s="147"/>
      <c r="C815" s="147"/>
      <c r="D815" s="147"/>
      <c r="E815" s="147"/>
      <c r="F815" s="147"/>
      <c r="G815" s="147"/>
      <c r="H815" s="262"/>
      <c r="I815" s="147"/>
      <c r="J815" s="147"/>
      <c r="K815" s="147"/>
      <c r="L815" s="147"/>
      <c r="M815" s="147"/>
      <c r="N815" s="147"/>
      <c r="O815" s="147"/>
      <c r="P815" s="147"/>
      <c r="Q815" s="147"/>
      <c r="R815" s="147"/>
      <c r="S815" s="147"/>
      <c r="T815" s="147"/>
      <c r="U815" s="147"/>
      <c r="V815" s="147"/>
      <c r="W815" s="147"/>
      <c r="X815" s="147"/>
      <c r="Y815" s="147"/>
      <c r="Z815" s="147"/>
      <c r="AA815" s="147"/>
      <c r="AB815" s="147"/>
      <c r="AC815" s="147"/>
      <c r="AD815" s="147"/>
    </row>
    <row r="816">
      <c r="A816" s="147"/>
      <c r="B816" s="147"/>
      <c r="C816" s="147"/>
      <c r="D816" s="147"/>
      <c r="E816" s="147"/>
      <c r="F816" s="147"/>
      <c r="G816" s="147"/>
      <c r="H816" s="262"/>
      <c r="I816" s="147"/>
      <c r="J816" s="147"/>
      <c r="K816" s="147"/>
      <c r="L816" s="147"/>
      <c r="M816" s="147"/>
      <c r="N816" s="147"/>
      <c r="O816" s="147"/>
      <c r="P816" s="147"/>
      <c r="Q816" s="147"/>
      <c r="R816" s="147"/>
      <c r="S816" s="147"/>
      <c r="T816" s="147"/>
      <c r="U816" s="147"/>
      <c r="V816" s="147"/>
      <c r="W816" s="147"/>
      <c r="X816" s="147"/>
      <c r="Y816" s="147"/>
      <c r="Z816" s="147"/>
      <c r="AA816" s="147"/>
      <c r="AB816" s="147"/>
      <c r="AC816" s="147"/>
      <c r="AD816" s="147"/>
    </row>
    <row r="817">
      <c r="A817" s="147"/>
      <c r="B817" s="147"/>
      <c r="C817" s="147"/>
      <c r="D817" s="147"/>
      <c r="E817" s="147"/>
      <c r="F817" s="147"/>
      <c r="G817" s="147"/>
      <c r="H817" s="262"/>
      <c r="I817" s="147"/>
      <c r="J817" s="147"/>
      <c r="K817" s="147"/>
      <c r="L817" s="147"/>
      <c r="M817" s="147"/>
      <c r="N817" s="147"/>
      <c r="O817" s="147"/>
      <c r="P817" s="147"/>
      <c r="Q817" s="147"/>
      <c r="R817" s="147"/>
      <c r="S817" s="147"/>
      <c r="T817" s="147"/>
      <c r="U817" s="147"/>
      <c r="V817" s="147"/>
      <c r="W817" s="147"/>
      <c r="X817" s="147"/>
      <c r="Y817" s="147"/>
      <c r="Z817" s="147"/>
      <c r="AA817" s="147"/>
      <c r="AB817" s="147"/>
      <c r="AC817" s="147"/>
      <c r="AD817" s="147"/>
    </row>
    <row r="818">
      <c r="A818" s="147"/>
      <c r="B818" s="147"/>
      <c r="C818" s="147"/>
      <c r="D818" s="147"/>
      <c r="E818" s="147"/>
      <c r="F818" s="147"/>
      <c r="G818" s="147"/>
      <c r="H818" s="262"/>
      <c r="I818" s="147"/>
      <c r="J818" s="147"/>
      <c r="K818" s="147"/>
      <c r="L818" s="147"/>
      <c r="M818" s="147"/>
      <c r="N818" s="147"/>
      <c r="O818" s="147"/>
      <c r="P818" s="147"/>
      <c r="Q818" s="147"/>
      <c r="R818" s="147"/>
      <c r="S818" s="147"/>
      <c r="T818" s="147"/>
      <c r="U818" s="147"/>
      <c r="V818" s="147"/>
      <c r="W818" s="147"/>
      <c r="X818" s="147"/>
      <c r="Y818" s="147"/>
      <c r="Z818" s="147"/>
      <c r="AA818" s="147"/>
      <c r="AB818" s="147"/>
      <c r="AC818" s="147"/>
      <c r="AD818" s="147"/>
    </row>
    <row r="819">
      <c r="A819" s="147"/>
      <c r="B819" s="147"/>
      <c r="C819" s="147"/>
      <c r="D819" s="147"/>
      <c r="E819" s="147"/>
      <c r="F819" s="147"/>
      <c r="G819" s="147"/>
      <c r="H819" s="262"/>
      <c r="I819" s="147"/>
      <c r="J819" s="147"/>
      <c r="K819" s="147"/>
      <c r="L819" s="147"/>
      <c r="M819" s="147"/>
      <c r="N819" s="147"/>
      <c r="O819" s="147"/>
      <c r="P819" s="147"/>
      <c r="Q819" s="147"/>
      <c r="R819" s="147"/>
      <c r="S819" s="147"/>
      <c r="T819" s="147"/>
      <c r="U819" s="147"/>
      <c r="V819" s="147"/>
      <c r="W819" s="147"/>
      <c r="X819" s="147"/>
      <c r="Y819" s="147"/>
      <c r="Z819" s="147"/>
      <c r="AA819" s="147"/>
      <c r="AB819" s="147"/>
      <c r="AC819" s="147"/>
      <c r="AD819" s="147"/>
    </row>
    <row r="820">
      <c r="A820" s="147"/>
      <c r="B820" s="147"/>
      <c r="C820" s="147"/>
      <c r="D820" s="147"/>
      <c r="E820" s="147"/>
      <c r="F820" s="147"/>
      <c r="G820" s="147"/>
      <c r="H820" s="262"/>
      <c r="I820" s="147"/>
      <c r="J820" s="147"/>
      <c r="K820" s="147"/>
      <c r="L820" s="147"/>
      <c r="M820" s="147"/>
      <c r="N820" s="147"/>
      <c r="O820" s="147"/>
      <c r="P820" s="147"/>
      <c r="Q820" s="147"/>
      <c r="R820" s="147"/>
      <c r="S820" s="147"/>
      <c r="T820" s="147"/>
      <c r="U820" s="147"/>
      <c r="V820" s="147"/>
      <c r="W820" s="147"/>
      <c r="X820" s="147"/>
      <c r="Y820" s="147"/>
      <c r="Z820" s="147"/>
      <c r="AA820" s="147"/>
      <c r="AB820" s="147"/>
      <c r="AC820" s="147"/>
      <c r="AD820" s="147"/>
    </row>
    <row r="821">
      <c r="A821" s="147"/>
      <c r="B821" s="147"/>
      <c r="C821" s="147"/>
      <c r="D821" s="147"/>
      <c r="E821" s="147"/>
      <c r="F821" s="147"/>
      <c r="G821" s="147"/>
      <c r="H821" s="262"/>
      <c r="I821" s="147"/>
      <c r="J821" s="147"/>
      <c r="K821" s="147"/>
      <c r="L821" s="147"/>
      <c r="M821" s="147"/>
      <c r="N821" s="147"/>
      <c r="O821" s="147"/>
      <c r="P821" s="147"/>
      <c r="Q821" s="147"/>
      <c r="R821" s="147"/>
      <c r="S821" s="147"/>
      <c r="T821" s="147"/>
      <c r="U821" s="147"/>
      <c r="V821" s="147"/>
      <c r="W821" s="147"/>
      <c r="X821" s="147"/>
      <c r="Y821" s="147"/>
      <c r="Z821" s="147"/>
      <c r="AA821" s="147"/>
      <c r="AB821" s="147"/>
      <c r="AC821" s="147"/>
      <c r="AD821" s="147"/>
    </row>
    <row r="822">
      <c r="A822" s="147"/>
      <c r="B822" s="147"/>
      <c r="C822" s="147"/>
      <c r="D822" s="147"/>
      <c r="E822" s="147"/>
      <c r="F822" s="147"/>
      <c r="G822" s="147"/>
      <c r="H822" s="262"/>
      <c r="I822" s="147"/>
      <c r="J822" s="147"/>
      <c r="K822" s="147"/>
      <c r="L822" s="147"/>
      <c r="M822" s="147"/>
      <c r="N822" s="147"/>
      <c r="O822" s="147"/>
      <c r="P822" s="147"/>
      <c r="Q822" s="147"/>
      <c r="R822" s="147"/>
      <c r="S822" s="147"/>
      <c r="T822" s="147"/>
      <c r="U822" s="147"/>
      <c r="V822" s="147"/>
      <c r="W822" s="147"/>
      <c r="X822" s="147"/>
      <c r="Y822" s="147"/>
      <c r="Z822" s="147"/>
      <c r="AA822" s="147"/>
      <c r="AB822" s="147"/>
      <c r="AC822" s="147"/>
      <c r="AD822" s="147"/>
    </row>
    <row r="823">
      <c r="A823" s="147"/>
      <c r="B823" s="147"/>
      <c r="C823" s="147"/>
      <c r="D823" s="147"/>
      <c r="E823" s="147"/>
      <c r="F823" s="147"/>
      <c r="G823" s="147"/>
      <c r="H823" s="262"/>
      <c r="I823" s="147"/>
      <c r="J823" s="147"/>
      <c r="K823" s="147"/>
      <c r="L823" s="147"/>
      <c r="M823" s="147"/>
      <c r="N823" s="147"/>
      <c r="O823" s="147"/>
      <c r="P823" s="147"/>
      <c r="Q823" s="147"/>
      <c r="R823" s="147"/>
      <c r="S823" s="147"/>
      <c r="T823" s="147"/>
      <c r="U823" s="147"/>
      <c r="V823" s="147"/>
      <c r="W823" s="147"/>
      <c r="X823" s="147"/>
      <c r="Y823" s="147"/>
      <c r="Z823" s="147"/>
      <c r="AA823" s="147"/>
      <c r="AB823" s="147"/>
      <c r="AC823" s="147"/>
      <c r="AD823" s="147"/>
    </row>
    <row r="824">
      <c r="A824" s="147"/>
      <c r="B824" s="147"/>
      <c r="C824" s="147"/>
      <c r="D824" s="147"/>
      <c r="E824" s="147"/>
      <c r="F824" s="147"/>
      <c r="G824" s="147"/>
      <c r="H824" s="262"/>
      <c r="I824" s="147"/>
      <c r="J824" s="147"/>
      <c r="K824" s="147"/>
      <c r="L824" s="147"/>
      <c r="M824" s="147"/>
      <c r="N824" s="147"/>
      <c r="O824" s="147"/>
      <c r="P824" s="147"/>
      <c r="Q824" s="147"/>
      <c r="R824" s="147"/>
      <c r="S824" s="147"/>
      <c r="T824" s="147"/>
      <c r="U824" s="147"/>
      <c r="V824" s="147"/>
      <c r="W824" s="147"/>
      <c r="X824" s="147"/>
      <c r="Y824" s="147"/>
      <c r="Z824" s="147"/>
      <c r="AA824" s="147"/>
      <c r="AB824" s="147"/>
      <c r="AC824" s="147"/>
      <c r="AD824" s="147"/>
    </row>
    <row r="825">
      <c r="A825" s="147"/>
      <c r="B825" s="147"/>
      <c r="C825" s="147"/>
      <c r="D825" s="147"/>
      <c r="E825" s="147"/>
      <c r="F825" s="147"/>
      <c r="G825" s="147"/>
      <c r="H825" s="262"/>
      <c r="I825" s="147"/>
      <c r="J825" s="147"/>
      <c r="K825" s="147"/>
      <c r="L825" s="147"/>
      <c r="M825" s="147"/>
      <c r="N825" s="147"/>
      <c r="O825" s="147"/>
      <c r="P825" s="147"/>
      <c r="Q825" s="147"/>
      <c r="R825" s="147"/>
      <c r="S825" s="147"/>
      <c r="T825" s="147"/>
      <c r="U825" s="147"/>
      <c r="V825" s="147"/>
      <c r="W825" s="147"/>
      <c r="X825" s="147"/>
      <c r="Y825" s="147"/>
      <c r="Z825" s="147"/>
      <c r="AA825" s="147"/>
      <c r="AB825" s="147"/>
      <c r="AC825" s="147"/>
      <c r="AD825" s="147"/>
    </row>
    <row r="826">
      <c r="A826" s="147"/>
      <c r="B826" s="147"/>
      <c r="C826" s="147"/>
      <c r="D826" s="147"/>
      <c r="E826" s="147"/>
      <c r="F826" s="147"/>
      <c r="G826" s="147"/>
      <c r="H826" s="262"/>
      <c r="I826" s="147"/>
      <c r="J826" s="147"/>
      <c r="K826" s="147"/>
      <c r="L826" s="147"/>
      <c r="M826" s="147"/>
      <c r="N826" s="147"/>
      <c r="O826" s="147"/>
      <c r="P826" s="147"/>
      <c r="Q826" s="147"/>
      <c r="R826" s="147"/>
      <c r="S826" s="147"/>
      <c r="T826" s="147"/>
      <c r="U826" s="147"/>
      <c r="V826" s="147"/>
      <c r="W826" s="147"/>
      <c r="X826" s="147"/>
      <c r="Y826" s="147"/>
      <c r="Z826" s="147"/>
      <c r="AA826" s="147"/>
      <c r="AB826" s="147"/>
      <c r="AC826" s="147"/>
      <c r="AD826" s="147"/>
    </row>
    <row r="827">
      <c r="A827" s="147"/>
      <c r="B827" s="147"/>
      <c r="C827" s="147"/>
      <c r="D827" s="147"/>
      <c r="E827" s="147"/>
      <c r="F827" s="147"/>
      <c r="G827" s="147"/>
      <c r="H827" s="262"/>
      <c r="I827" s="147"/>
      <c r="J827" s="147"/>
      <c r="K827" s="147"/>
      <c r="L827" s="147"/>
      <c r="M827" s="147"/>
      <c r="N827" s="147"/>
      <c r="O827" s="147"/>
      <c r="P827" s="147"/>
      <c r="Q827" s="147"/>
      <c r="R827" s="147"/>
      <c r="S827" s="147"/>
      <c r="T827" s="147"/>
      <c r="U827" s="147"/>
      <c r="V827" s="147"/>
      <c r="W827" s="147"/>
      <c r="X827" s="147"/>
      <c r="Y827" s="147"/>
      <c r="Z827" s="147"/>
      <c r="AA827" s="147"/>
      <c r="AB827" s="147"/>
      <c r="AC827" s="147"/>
      <c r="AD827" s="147"/>
    </row>
    <row r="828">
      <c r="A828" s="147"/>
      <c r="B828" s="147"/>
      <c r="C828" s="147"/>
      <c r="D828" s="147"/>
      <c r="E828" s="147"/>
      <c r="F828" s="147"/>
      <c r="G828" s="147"/>
      <c r="H828" s="262"/>
      <c r="I828" s="147"/>
      <c r="J828" s="147"/>
      <c r="K828" s="147"/>
      <c r="L828" s="147"/>
      <c r="M828" s="147"/>
      <c r="N828" s="147"/>
      <c r="O828" s="147"/>
      <c r="P828" s="147"/>
      <c r="Q828" s="147"/>
      <c r="R828" s="147"/>
      <c r="S828" s="147"/>
      <c r="T828" s="147"/>
      <c r="U828" s="147"/>
      <c r="V828" s="147"/>
      <c r="W828" s="147"/>
      <c r="X828" s="147"/>
      <c r="Y828" s="147"/>
      <c r="Z828" s="147"/>
      <c r="AA828" s="147"/>
      <c r="AB828" s="147"/>
      <c r="AC828" s="147"/>
      <c r="AD828" s="147"/>
    </row>
    <row r="829">
      <c r="A829" s="147"/>
      <c r="B829" s="147"/>
      <c r="C829" s="147"/>
      <c r="D829" s="147"/>
      <c r="E829" s="147"/>
      <c r="F829" s="147"/>
      <c r="G829" s="147"/>
      <c r="H829" s="262"/>
      <c r="I829" s="147"/>
      <c r="J829" s="147"/>
      <c r="K829" s="147"/>
      <c r="L829" s="147"/>
      <c r="M829" s="147"/>
      <c r="N829" s="147"/>
      <c r="O829" s="147"/>
      <c r="P829" s="147"/>
      <c r="Q829" s="147"/>
      <c r="R829" s="147"/>
      <c r="S829" s="147"/>
      <c r="T829" s="147"/>
      <c r="U829" s="147"/>
      <c r="V829" s="147"/>
      <c r="W829" s="147"/>
      <c r="X829" s="147"/>
      <c r="Y829" s="147"/>
      <c r="Z829" s="147"/>
      <c r="AA829" s="147"/>
      <c r="AB829" s="147"/>
      <c r="AC829" s="147"/>
      <c r="AD829" s="147"/>
    </row>
    <row r="830">
      <c r="A830" s="147"/>
      <c r="B830" s="147"/>
      <c r="C830" s="147"/>
      <c r="D830" s="147"/>
      <c r="E830" s="147"/>
      <c r="F830" s="147"/>
      <c r="G830" s="147"/>
      <c r="H830" s="262"/>
      <c r="I830" s="147"/>
      <c r="J830" s="147"/>
      <c r="K830" s="147"/>
      <c r="L830" s="147"/>
      <c r="M830" s="147"/>
      <c r="N830" s="147"/>
      <c r="O830" s="147"/>
      <c r="P830" s="147"/>
      <c r="Q830" s="147"/>
      <c r="R830" s="147"/>
      <c r="S830" s="147"/>
      <c r="T830" s="147"/>
      <c r="U830" s="147"/>
      <c r="V830" s="147"/>
      <c r="W830" s="147"/>
      <c r="X830" s="147"/>
      <c r="Y830" s="147"/>
      <c r="Z830" s="147"/>
      <c r="AA830" s="147"/>
      <c r="AB830" s="147"/>
      <c r="AC830" s="147"/>
      <c r="AD830" s="147"/>
    </row>
    <row r="831">
      <c r="A831" s="147"/>
      <c r="B831" s="147"/>
      <c r="C831" s="147"/>
      <c r="D831" s="147"/>
      <c r="E831" s="147"/>
      <c r="F831" s="147"/>
      <c r="G831" s="147"/>
      <c r="H831" s="262"/>
      <c r="I831" s="147"/>
      <c r="J831" s="147"/>
      <c r="K831" s="147"/>
      <c r="L831" s="147"/>
      <c r="M831" s="147"/>
      <c r="N831" s="147"/>
      <c r="O831" s="147"/>
      <c r="P831" s="147"/>
      <c r="Q831" s="147"/>
      <c r="R831" s="147"/>
      <c r="S831" s="147"/>
      <c r="T831" s="147"/>
      <c r="U831" s="147"/>
      <c r="V831" s="147"/>
      <c r="W831" s="147"/>
      <c r="X831" s="147"/>
      <c r="Y831" s="147"/>
      <c r="Z831" s="147"/>
      <c r="AA831" s="147"/>
      <c r="AB831" s="147"/>
      <c r="AC831" s="147"/>
      <c r="AD831" s="147"/>
    </row>
    <row r="832">
      <c r="A832" s="147"/>
      <c r="B832" s="147"/>
      <c r="C832" s="147"/>
      <c r="D832" s="147"/>
      <c r="E832" s="147"/>
      <c r="F832" s="147"/>
      <c r="G832" s="147"/>
      <c r="H832" s="262"/>
      <c r="I832" s="147"/>
      <c r="J832" s="147"/>
      <c r="K832" s="147"/>
      <c r="L832" s="147"/>
      <c r="M832" s="147"/>
      <c r="N832" s="147"/>
      <c r="O832" s="147"/>
      <c r="P832" s="147"/>
      <c r="Q832" s="147"/>
      <c r="R832" s="147"/>
      <c r="S832" s="147"/>
      <c r="T832" s="147"/>
      <c r="U832" s="147"/>
      <c r="V832" s="147"/>
      <c r="W832" s="147"/>
      <c r="X832" s="147"/>
      <c r="Y832" s="147"/>
      <c r="Z832" s="147"/>
      <c r="AA832" s="147"/>
      <c r="AB832" s="147"/>
      <c r="AC832" s="147"/>
      <c r="AD832" s="147"/>
    </row>
    <row r="833">
      <c r="A833" s="147"/>
      <c r="B833" s="147"/>
      <c r="C833" s="147"/>
      <c r="D833" s="147"/>
      <c r="E833" s="147"/>
      <c r="F833" s="147"/>
      <c r="G833" s="147"/>
      <c r="H833" s="262"/>
      <c r="I833" s="147"/>
      <c r="J833" s="147"/>
      <c r="K833" s="147"/>
      <c r="L833" s="147"/>
      <c r="M833" s="147"/>
      <c r="N833" s="147"/>
      <c r="O833" s="147"/>
      <c r="P833" s="147"/>
      <c r="Q833" s="147"/>
      <c r="R833" s="147"/>
      <c r="S833" s="147"/>
      <c r="T833" s="147"/>
      <c r="U833" s="147"/>
      <c r="V833" s="147"/>
      <c r="W833" s="147"/>
      <c r="X833" s="147"/>
      <c r="Y833" s="147"/>
      <c r="Z833" s="147"/>
      <c r="AA833" s="147"/>
      <c r="AB833" s="147"/>
      <c r="AC833" s="147"/>
      <c r="AD833" s="147"/>
    </row>
    <row r="834">
      <c r="A834" s="147"/>
      <c r="B834" s="147"/>
      <c r="C834" s="147"/>
      <c r="D834" s="147"/>
      <c r="E834" s="147"/>
      <c r="F834" s="147"/>
      <c r="G834" s="147"/>
      <c r="H834" s="262"/>
      <c r="I834" s="147"/>
      <c r="J834" s="147"/>
      <c r="K834" s="147"/>
      <c r="L834" s="147"/>
      <c r="M834" s="147"/>
      <c r="N834" s="147"/>
      <c r="O834" s="147"/>
      <c r="P834" s="147"/>
      <c r="Q834" s="147"/>
      <c r="R834" s="147"/>
      <c r="S834" s="147"/>
      <c r="T834" s="147"/>
      <c r="U834" s="147"/>
      <c r="V834" s="147"/>
      <c r="W834" s="147"/>
      <c r="X834" s="147"/>
      <c r="Y834" s="147"/>
      <c r="Z834" s="147"/>
      <c r="AA834" s="147"/>
      <c r="AB834" s="147"/>
      <c r="AC834" s="147"/>
      <c r="AD834" s="147"/>
    </row>
    <row r="835">
      <c r="A835" s="147"/>
      <c r="B835" s="147"/>
      <c r="C835" s="147"/>
      <c r="D835" s="147"/>
      <c r="E835" s="147"/>
      <c r="F835" s="147"/>
      <c r="G835" s="147"/>
      <c r="H835" s="262"/>
      <c r="I835" s="147"/>
      <c r="J835" s="147"/>
      <c r="K835" s="147"/>
      <c r="L835" s="147"/>
      <c r="M835" s="147"/>
      <c r="N835" s="147"/>
      <c r="O835" s="147"/>
      <c r="P835" s="147"/>
      <c r="Q835" s="147"/>
      <c r="R835" s="147"/>
      <c r="S835" s="147"/>
      <c r="T835" s="147"/>
      <c r="U835" s="147"/>
      <c r="V835" s="147"/>
      <c r="W835" s="147"/>
      <c r="X835" s="147"/>
      <c r="Y835" s="147"/>
      <c r="Z835" s="147"/>
      <c r="AA835" s="147"/>
      <c r="AB835" s="147"/>
      <c r="AC835" s="147"/>
      <c r="AD835" s="147"/>
    </row>
    <row r="836">
      <c r="A836" s="147"/>
      <c r="B836" s="147"/>
      <c r="C836" s="147"/>
      <c r="D836" s="147"/>
      <c r="E836" s="147"/>
      <c r="F836" s="147"/>
      <c r="G836" s="147"/>
      <c r="H836" s="262"/>
      <c r="I836" s="147"/>
      <c r="J836" s="147"/>
      <c r="K836" s="147"/>
      <c r="L836" s="147"/>
      <c r="M836" s="147"/>
      <c r="N836" s="147"/>
      <c r="O836" s="147"/>
      <c r="P836" s="147"/>
      <c r="Q836" s="147"/>
      <c r="R836" s="147"/>
      <c r="S836" s="147"/>
      <c r="T836" s="147"/>
      <c r="U836" s="147"/>
      <c r="V836" s="147"/>
      <c r="W836" s="147"/>
      <c r="X836" s="147"/>
      <c r="Y836" s="147"/>
      <c r="Z836" s="147"/>
      <c r="AA836" s="147"/>
      <c r="AB836" s="147"/>
      <c r="AC836" s="147"/>
      <c r="AD836" s="147"/>
    </row>
    <row r="837">
      <c r="A837" s="147"/>
      <c r="B837" s="147"/>
      <c r="C837" s="147"/>
      <c r="D837" s="147"/>
      <c r="E837" s="147"/>
      <c r="F837" s="147"/>
      <c r="G837" s="147"/>
      <c r="H837" s="262"/>
      <c r="I837" s="147"/>
      <c r="J837" s="147"/>
      <c r="K837" s="147"/>
      <c r="L837" s="147"/>
      <c r="M837" s="147"/>
      <c r="N837" s="147"/>
      <c r="O837" s="147"/>
      <c r="P837" s="147"/>
      <c r="Q837" s="147"/>
      <c r="R837" s="147"/>
      <c r="S837" s="147"/>
      <c r="T837" s="147"/>
      <c r="U837" s="147"/>
      <c r="V837" s="147"/>
      <c r="W837" s="147"/>
      <c r="X837" s="147"/>
      <c r="Y837" s="147"/>
      <c r="Z837" s="147"/>
      <c r="AA837" s="147"/>
      <c r="AB837" s="147"/>
      <c r="AC837" s="147"/>
      <c r="AD837" s="147"/>
    </row>
    <row r="838">
      <c r="A838" s="147"/>
      <c r="B838" s="147"/>
      <c r="C838" s="147"/>
      <c r="D838" s="147"/>
      <c r="E838" s="147"/>
      <c r="F838" s="147"/>
      <c r="G838" s="147"/>
      <c r="H838" s="262"/>
      <c r="I838" s="147"/>
      <c r="J838" s="147"/>
      <c r="K838" s="147"/>
      <c r="L838" s="147"/>
      <c r="M838" s="147"/>
      <c r="N838" s="147"/>
      <c r="O838" s="147"/>
      <c r="P838" s="147"/>
      <c r="Q838" s="147"/>
      <c r="R838" s="147"/>
      <c r="S838" s="147"/>
      <c r="T838" s="147"/>
      <c r="U838" s="147"/>
      <c r="V838" s="147"/>
      <c r="W838" s="147"/>
      <c r="X838" s="147"/>
      <c r="Y838" s="147"/>
      <c r="Z838" s="147"/>
      <c r="AA838" s="147"/>
      <c r="AB838" s="147"/>
      <c r="AC838" s="147"/>
      <c r="AD838" s="147"/>
    </row>
    <row r="839">
      <c r="A839" s="147"/>
      <c r="B839" s="147"/>
      <c r="C839" s="147"/>
      <c r="D839" s="147"/>
      <c r="E839" s="147"/>
      <c r="F839" s="147"/>
      <c r="G839" s="147"/>
      <c r="H839" s="262"/>
      <c r="I839" s="147"/>
      <c r="J839" s="147"/>
      <c r="K839" s="147"/>
      <c r="L839" s="147"/>
      <c r="M839" s="147"/>
      <c r="N839" s="147"/>
      <c r="O839" s="147"/>
      <c r="P839" s="147"/>
      <c r="Q839" s="147"/>
      <c r="R839" s="147"/>
      <c r="S839" s="147"/>
      <c r="T839" s="147"/>
      <c r="U839" s="147"/>
      <c r="V839" s="147"/>
      <c r="W839" s="147"/>
      <c r="X839" s="147"/>
      <c r="Y839" s="147"/>
      <c r="Z839" s="147"/>
      <c r="AA839" s="147"/>
      <c r="AB839" s="147"/>
      <c r="AC839" s="147"/>
      <c r="AD839" s="147"/>
    </row>
    <row r="840">
      <c r="A840" s="147"/>
      <c r="B840" s="147"/>
      <c r="C840" s="147"/>
      <c r="D840" s="147"/>
      <c r="E840" s="147"/>
      <c r="F840" s="147"/>
      <c r="G840" s="147"/>
      <c r="H840" s="262"/>
      <c r="I840" s="147"/>
      <c r="J840" s="147"/>
      <c r="K840" s="147"/>
      <c r="L840" s="147"/>
      <c r="M840" s="147"/>
      <c r="N840" s="147"/>
      <c r="O840" s="147"/>
      <c r="P840" s="147"/>
      <c r="Q840" s="147"/>
      <c r="R840" s="147"/>
      <c r="S840" s="147"/>
      <c r="T840" s="147"/>
      <c r="U840" s="147"/>
      <c r="V840" s="147"/>
      <c r="W840" s="147"/>
      <c r="X840" s="147"/>
      <c r="Y840" s="147"/>
      <c r="Z840" s="147"/>
      <c r="AA840" s="147"/>
      <c r="AB840" s="147"/>
      <c r="AC840" s="147"/>
      <c r="AD840" s="147"/>
    </row>
    <row r="841">
      <c r="A841" s="147"/>
      <c r="B841" s="147"/>
      <c r="C841" s="147"/>
      <c r="D841" s="147"/>
      <c r="E841" s="147"/>
      <c r="F841" s="147"/>
      <c r="G841" s="147"/>
      <c r="H841" s="262"/>
      <c r="I841" s="147"/>
      <c r="J841" s="147"/>
      <c r="K841" s="147"/>
      <c r="L841" s="147"/>
      <c r="M841" s="147"/>
      <c r="N841" s="147"/>
      <c r="O841" s="147"/>
      <c r="P841" s="147"/>
      <c r="Q841" s="147"/>
      <c r="R841" s="147"/>
      <c r="S841" s="147"/>
      <c r="T841" s="147"/>
      <c r="U841" s="147"/>
      <c r="V841" s="147"/>
      <c r="W841" s="147"/>
      <c r="X841" s="147"/>
      <c r="Y841" s="147"/>
      <c r="Z841" s="147"/>
      <c r="AA841" s="147"/>
      <c r="AB841" s="147"/>
      <c r="AC841" s="147"/>
      <c r="AD841" s="147"/>
    </row>
    <row r="842">
      <c r="A842" s="147"/>
      <c r="B842" s="147"/>
      <c r="C842" s="147"/>
      <c r="D842" s="147"/>
      <c r="E842" s="147"/>
      <c r="F842" s="147"/>
      <c r="G842" s="147"/>
      <c r="H842" s="262"/>
      <c r="I842" s="147"/>
      <c r="J842" s="147"/>
      <c r="K842" s="147"/>
      <c r="L842" s="147"/>
      <c r="M842" s="147"/>
      <c r="N842" s="147"/>
      <c r="O842" s="147"/>
      <c r="P842" s="147"/>
      <c r="Q842" s="147"/>
      <c r="R842" s="147"/>
      <c r="S842" s="147"/>
      <c r="T842" s="147"/>
      <c r="U842" s="147"/>
      <c r="V842" s="147"/>
      <c r="W842" s="147"/>
      <c r="X842" s="147"/>
      <c r="Y842" s="147"/>
      <c r="Z842" s="147"/>
      <c r="AA842" s="147"/>
      <c r="AB842" s="147"/>
      <c r="AC842" s="147"/>
      <c r="AD842" s="147"/>
    </row>
    <row r="843">
      <c r="A843" s="147"/>
      <c r="B843" s="147"/>
      <c r="C843" s="147"/>
      <c r="D843" s="147"/>
      <c r="E843" s="147"/>
      <c r="F843" s="147"/>
      <c r="G843" s="147"/>
      <c r="H843" s="262"/>
      <c r="I843" s="147"/>
      <c r="J843" s="147"/>
      <c r="K843" s="147"/>
      <c r="L843" s="147"/>
      <c r="M843" s="147"/>
      <c r="N843" s="147"/>
      <c r="O843" s="147"/>
      <c r="P843" s="147"/>
      <c r="Q843" s="147"/>
      <c r="R843" s="147"/>
      <c r="S843" s="147"/>
      <c r="T843" s="147"/>
      <c r="U843" s="147"/>
      <c r="V843" s="147"/>
      <c r="W843" s="147"/>
      <c r="X843" s="147"/>
      <c r="Y843" s="147"/>
      <c r="Z843" s="147"/>
      <c r="AA843" s="147"/>
      <c r="AB843" s="147"/>
      <c r="AC843" s="147"/>
      <c r="AD843" s="147"/>
    </row>
    <row r="844">
      <c r="A844" s="147"/>
      <c r="B844" s="147"/>
      <c r="C844" s="147"/>
      <c r="D844" s="147"/>
      <c r="E844" s="147"/>
      <c r="F844" s="147"/>
      <c r="G844" s="147"/>
      <c r="H844" s="262"/>
      <c r="I844" s="147"/>
      <c r="J844" s="147"/>
      <c r="K844" s="147"/>
      <c r="L844" s="147"/>
      <c r="M844" s="147"/>
      <c r="N844" s="147"/>
      <c r="O844" s="147"/>
      <c r="P844" s="147"/>
      <c r="Q844" s="147"/>
      <c r="R844" s="147"/>
      <c r="S844" s="147"/>
      <c r="T844" s="147"/>
      <c r="U844" s="147"/>
      <c r="V844" s="147"/>
      <c r="W844" s="147"/>
      <c r="X844" s="147"/>
      <c r="Y844" s="147"/>
      <c r="Z844" s="147"/>
      <c r="AA844" s="147"/>
      <c r="AB844" s="147"/>
      <c r="AC844" s="147"/>
      <c r="AD844" s="147"/>
    </row>
    <row r="845">
      <c r="A845" s="147"/>
      <c r="B845" s="147"/>
      <c r="C845" s="147"/>
      <c r="D845" s="147"/>
      <c r="E845" s="147"/>
      <c r="F845" s="147"/>
      <c r="G845" s="147"/>
      <c r="H845" s="262"/>
      <c r="I845" s="147"/>
      <c r="J845" s="147"/>
      <c r="K845" s="147"/>
      <c r="L845" s="147"/>
      <c r="M845" s="147"/>
      <c r="N845" s="147"/>
      <c r="O845" s="147"/>
      <c r="P845" s="147"/>
      <c r="Q845" s="147"/>
      <c r="R845" s="147"/>
      <c r="S845" s="147"/>
      <c r="T845" s="147"/>
      <c r="U845" s="147"/>
      <c r="V845" s="147"/>
      <c r="W845" s="147"/>
      <c r="X845" s="147"/>
      <c r="Y845" s="147"/>
      <c r="Z845" s="147"/>
      <c r="AA845" s="147"/>
      <c r="AB845" s="147"/>
      <c r="AC845" s="147"/>
      <c r="AD845" s="147"/>
    </row>
    <row r="846">
      <c r="A846" s="147"/>
      <c r="B846" s="147"/>
      <c r="C846" s="147"/>
      <c r="D846" s="147"/>
      <c r="E846" s="147"/>
      <c r="F846" s="147"/>
      <c r="G846" s="147"/>
      <c r="H846" s="262"/>
      <c r="I846" s="147"/>
      <c r="J846" s="147"/>
      <c r="K846" s="147"/>
      <c r="L846" s="147"/>
      <c r="M846" s="147"/>
      <c r="N846" s="147"/>
      <c r="O846" s="147"/>
      <c r="P846" s="147"/>
      <c r="Q846" s="147"/>
      <c r="R846" s="147"/>
      <c r="S846" s="147"/>
      <c r="T846" s="147"/>
      <c r="U846" s="147"/>
      <c r="V846" s="147"/>
      <c r="W846" s="147"/>
      <c r="X846" s="147"/>
      <c r="Y846" s="147"/>
      <c r="Z846" s="147"/>
      <c r="AA846" s="147"/>
      <c r="AB846" s="147"/>
      <c r="AC846" s="147"/>
      <c r="AD846" s="147"/>
    </row>
    <row r="847">
      <c r="A847" s="147"/>
      <c r="B847" s="147"/>
      <c r="C847" s="147"/>
      <c r="D847" s="147"/>
      <c r="E847" s="147"/>
      <c r="F847" s="147"/>
      <c r="G847" s="147"/>
      <c r="H847" s="262"/>
      <c r="I847" s="147"/>
      <c r="J847" s="147"/>
      <c r="K847" s="147"/>
      <c r="L847" s="147"/>
      <c r="M847" s="147"/>
      <c r="N847" s="147"/>
      <c r="O847" s="147"/>
      <c r="P847" s="147"/>
      <c r="Q847" s="147"/>
      <c r="R847" s="147"/>
      <c r="S847" s="147"/>
      <c r="T847" s="147"/>
      <c r="U847" s="147"/>
      <c r="V847" s="147"/>
      <c r="W847" s="147"/>
      <c r="X847" s="147"/>
      <c r="Y847" s="147"/>
      <c r="Z847" s="147"/>
      <c r="AA847" s="147"/>
      <c r="AB847" s="147"/>
      <c r="AC847" s="147"/>
      <c r="AD847" s="147"/>
    </row>
    <row r="848">
      <c r="A848" s="147"/>
      <c r="B848" s="147"/>
      <c r="C848" s="147"/>
      <c r="D848" s="147"/>
      <c r="E848" s="147"/>
      <c r="F848" s="147"/>
      <c r="G848" s="147"/>
      <c r="H848" s="262"/>
      <c r="I848" s="147"/>
      <c r="J848" s="147"/>
      <c r="K848" s="147"/>
      <c r="L848" s="147"/>
      <c r="M848" s="147"/>
      <c r="N848" s="147"/>
      <c r="O848" s="147"/>
      <c r="P848" s="147"/>
      <c r="Q848" s="147"/>
      <c r="R848" s="147"/>
      <c r="S848" s="147"/>
      <c r="T848" s="147"/>
      <c r="U848" s="147"/>
      <c r="V848" s="147"/>
      <c r="W848" s="147"/>
      <c r="X848" s="147"/>
      <c r="Y848" s="147"/>
      <c r="Z848" s="147"/>
      <c r="AA848" s="147"/>
      <c r="AB848" s="147"/>
      <c r="AC848" s="147"/>
      <c r="AD848" s="147"/>
    </row>
    <row r="849">
      <c r="A849" s="147"/>
      <c r="B849" s="147"/>
      <c r="C849" s="147"/>
      <c r="D849" s="147"/>
      <c r="E849" s="147"/>
      <c r="F849" s="147"/>
      <c r="G849" s="147"/>
      <c r="H849" s="262"/>
      <c r="I849" s="147"/>
      <c r="J849" s="147"/>
      <c r="K849" s="147"/>
      <c r="L849" s="147"/>
      <c r="M849" s="147"/>
      <c r="N849" s="147"/>
      <c r="O849" s="147"/>
      <c r="P849" s="147"/>
      <c r="Q849" s="147"/>
      <c r="R849" s="147"/>
      <c r="S849" s="147"/>
      <c r="T849" s="147"/>
      <c r="U849" s="147"/>
      <c r="V849" s="147"/>
      <c r="W849" s="147"/>
      <c r="X849" s="147"/>
      <c r="Y849" s="147"/>
      <c r="Z849" s="147"/>
      <c r="AA849" s="147"/>
      <c r="AB849" s="147"/>
      <c r="AC849" s="147"/>
      <c r="AD849" s="147"/>
    </row>
    <row r="850">
      <c r="A850" s="147"/>
      <c r="B850" s="147"/>
      <c r="C850" s="147"/>
      <c r="D850" s="147"/>
      <c r="E850" s="147"/>
      <c r="F850" s="147"/>
      <c r="G850" s="147"/>
      <c r="H850" s="262"/>
      <c r="I850" s="147"/>
      <c r="J850" s="147"/>
      <c r="K850" s="147"/>
      <c r="L850" s="147"/>
      <c r="M850" s="147"/>
      <c r="N850" s="147"/>
      <c r="O850" s="147"/>
      <c r="P850" s="147"/>
      <c r="Q850" s="147"/>
      <c r="R850" s="147"/>
      <c r="S850" s="147"/>
      <c r="T850" s="147"/>
      <c r="U850" s="147"/>
      <c r="V850" s="147"/>
      <c r="W850" s="147"/>
      <c r="X850" s="147"/>
      <c r="Y850" s="147"/>
      <c r="Z850" s="147"/>
      <c r="AA850" s="147"/>
      <c r="AB850" s="147"/>
      <c r="AC850" s="147"/>
      <c r="AD850" s="147"/>
    </row>
    <row r="851">
      <c r="A851" s="147"/>
      <c r="B851" s="147"/>
      <c r="C851" s="147"/>
      <c r="D851" s="147"/>
      <c r="E851" s="147"/>
      <c r="F851" s="147"/>
      <c r="G851" s="147"/>
      <c r="H851" s="262"/>
      <c r="I851" s="147"/>
      <c r="J851" s="147"/>
      <c r="K851" s="147"/>
      <c r="L851" s="147"/>
      <c r="M851" s="147"/>
      <c r="N851" s="147"/>
      <c r="O851" s="147"/>
      <c r="P851" s="147"/>
      <c r="Q851" s="147"/>
      <c r="R851" s="147"/>
      <c r="S851" s="147"/>
      <c r="T851" s="147"/>
      <c r="U851" s="147"/>
      <c r="V851" s="147"/>
      <c r="W851" s="147"/>
      <c r="X851" s="147"/>
      <c r="Y851" s="147"/>
      <c r="Z851" s="147"/>
      <c r="AA851" s="147"/>
      <c r="AB851" s="147"/>
      <c r="AC851" s="147"/>
      <c r="AD851" s="147"/>
    </row>
    <row r="852">
      <c r="A852" s="147"/>
      <c r="B852" s="147"/>
      <c r="C852" s="147"/>
      <c r="D852" s="147"/>
      <c r="E852" s="147"/>
      <c r="F852" s="147"/>
      <c r="G852" s="147"/>
      <c r="H852" s="262"/>
      <c r="I852" s="147"/>
      <c r="J852" s="147"/>
      <c r="K852" s="147"/>
      <c r="L852" s="147"/>
      <c r="M852" s="147"/>
      <c r="N852" s="147"/>
      <c r="O852" s="147"/>
      <c r="P852" s="147"/>
      <c r="Q852" s="147"/>
      <c r="R852" s="147"/>
      <c r="S852" s="147"/>
      <c r="T852" s="147"/>
      <c r="U852" s="147"/>
      <c r="V852" s="147"/>
      <c r="W852" s="147"/>
      <c r="X852" s="147"/>
      <c r="Y852" s="147"/>
      <c r="Z852" s="147"/>
      <c r="AA852" s="147"/>
      <c r="AB852" s="147"/>
      <c r="AC852" s="147"/>
      <c r="AD852" s="147"/>
    </row>
    <row r="853">
      <c r="A853" s="147"/>
      <c r="B853" s="147"/>
      <c r="C853" s="147"/>
      <c r="D853" s="147"/>
      <c r="E853" s="147"/>
      <c r="F853" s="147"/>
      <c r="G853" s="147"/>
      <c r="H853" s="262"/>
      <c r="I853" s="147"/>
      <c r="J853" s="147"/>
      <c r="K853" s="147"/>
      <c r="L853" s="147"/>
      <c r="M853" s="147"/>
      <c r="N853" s="147"/>
      <c r="O853" s="147"/>
      <c r="P853" s="147"/>
      <c r="Q853" s="147"/>
      <c r="R853" s="147"/>
      <c r="S853" s="147"/>
      <c r="T853" s="147"/>
      <c r="U853" s="147"/>
      <c r="V853" s="147"/>
      <c r="W853" s="147"/>
      <c r="X853" s="147"/>
      <c r="Y853" s="147"/>
      <c r="Z853" s="147"/>
      <c r="AA853" s="147"/>
      <c r="AB853" s="147"/>
      <c r="AC853" s="147"/>
      <c r="AD853" s="147"/>
    </row>
    <row r="854">
      <c r="A854" s="147"/>
      <c r="B854" s="147"/>
      <c r="C854" s="147"/>
      <c r="D854" s="147"/>
      <c r="E854" s="147"/>
      <c r="F854" s="147"/>
      <c r="G854" s="147"/>
      <c r="H854" s="262"/>
      <c r="I854" s="147"/>
      <c r="J854" s="147"/>
      <c r="K854" s="147"/>
      <c r="L854" s="147"/>
      <c r="M854" s="147"/>
      <c r="N854" s="147"/>
      <c r="O854" s="147"/>
      <c r="P854" s="147"/>
      <c r="Q854" s="147"/>
      <c r="R854" s="147"/>
      <c r="S854" s="147"/>
      <c r="T854" s="147"/>
      <c r="U854" s="147"/>
      <c r="V854" s="147"/>
      <c r="W854" s="147"/>
      <c r="X854" s="147"/>
      <c r="Y854" s="147"/>
      <c r="Z854" s="147"/>
      <c r="AA854" s="147"/>
      <c r="AB854" s="147"/>
      <c r="AC854" s="147"/>
      <c r="AD854" s="147"/>
    </row>
    <row r="855">
      <c r="A855" s="147"/>
      <c r="B855" s="147"/>
      <c r="C855" s="147"/>
      <c r="D855" s="147"/>
      <c r="E855" s="147"/>
      <c r="F855" s="147"/>
      <c r="G855" s="147"/>
      <c r="H855" s="262"/>
      <c r="I855" s="147"/>
      <c r="J855" s="147"/>
      <c r="K855" s="147"/>
      <c r="L855" s="147"/>
      <c r="M855" s="147"/>
      <c r="N855" s="147"/>
      <c r="O855" s="147"/>
      <c r="P855" s="147"/>
      <c r="Q855" s="147"/>
      <c r="R855" s="147"/>
      <c r="S855" s="147"/>
      <c r="T855" s="147"/>
      <c r="U855" s="147"/>
      <c r="V855" s="147"/>
      <c r="W855" s="147"/>
      <c r="X855" s="147"/>
      <c r="Y855" s="147"/>
      <c r="Z855" s="147"/>
      <c r="AA855" s="147"/>
      <c r="AB855" s="147"/>
      <c r="AC855" s="147"/>
      <c r="AD855" s="147"/>
    </row>
    <row r="856">
      <c r="A856" s="147"/>
      <c r="B856" s="147"/>
      <c r="C856" s="147"/>
      <c r="D856" s="147"/>
      <c r="E856" s="147"/>
      <c r="F856" s="147"/>
      <c r="G856" s="147"/>
      <c r="H856" s="262"/>
      <c r="I856" s="147"/>
      <c r="J856" s="147"/>
      <c r="K856" s="147"/>
      <c r="L856" s="147"/>
      <c r="M856" s="147"/>
      <c r="N856" s="147"/>
      <c r="O856" s="147"/>
      <c r="P856" s="147"/>
      <c r="Q856" s="147"/>
      <c r="R856" s="147"/>
      <c r="S856" s="147"/>
      <c r="T856" s="147"/>
      <c r="U856" s="147"/>
      <c r="V856" s="147"/>
      <c r="W856" s="147"/>
      <c r="X856" s="147"/>
      <c r="Y856" s="147"/>
      <c r="Z856" s="147"/>
      <c r="AA856" s="147"/>
      <c r="AB856" s="147"/>
      <c r="AC856" s="147"/>
      <c r="AD856" s="147"/>
    </row>
    <row r="857">
      <c r="A857" s="147"/>
      <c r="B857" s="147"/>
      <c r="C857" s="147"/>
      <c r="D857" s="147"/>
      <c r="E857" s="147"/>
      <c r="F857" s="147"/>
      <c r="G857" s="147"/>
      <c r="H857" s="262"/>
      <c r="I857" s="147"/>
      <c r="J857" s="147"/>
      <c r="K857" s="147"/>
      <c r="L857" s="147"/>
      <c r="M857" s="147"/>
      <c r="N857" s="147"/>
      <c r="O857" s="147"/>
      <c r="P857" s="147"/>
      <c r="Q857" s="147"/>
      <c r="R857" s="147"/>
      <c r="S857" s="147"/>
      <c r="T857" s="147"/>
      <c r="U857" s="147"/>
      <c r="V857" s="147"/>
      <c r="W857" s="147"/>
      <c r="X857" s="147"/>
      <c r="Y857" s="147"/>
      <c r="Z857" s="147"/>
      <c r="AA857" s="147"/>
      <c r="AB857" s="147"/>
      <c r="AC857" s="147"/>
      <c r="AD857" s="147"/>
    </row>
    <row r="858">
      <c r="A858" s="147"/>
      <c r="B858" s="147"/>
      <c r="C858" s="147"/>
      <c r="D858" s="147"/>
      <c r="E858" s="147"/>
      <c r="F858" s="147"/>
      <c r="G858" s="147"/>
      <c r="H858" s="262"/>
      <c r="I858" s="147"/>
      <c r="J858" s="147"/>
      <c r="K858" s="147"/>
      <c r="L858" s="147"/>
      <c r="M858" s="147"/>
      <c r="N858" s="147"/>
      <c r="O858" s="147"/>
      <c r="P858" s="147"/>
      <c r="Q858" s="147"/>
      <c r="R858" s="147"/>
      <c r="S858" s="147"/>
      <c r="T858" s="147"/>
      <c r="U858" s="147"/>
      <c r="V858" s="147"/>
      <c r="W858" s="147"/>
      <c r="X858" s="147"/>
      <c r="Y858" s="147"/>
      <c r="Z858" s="147"/>
      <c r="AA858" s="147"/>
      <c r="AB858" s="147"/>
      <c r="AC858" s="147"/>
      <c r="AD858" s="147"/>
    </row>
    <row r="859">
      <c r="A859" s="147"/>
      <c r="B859" s="147"/>
      <c r="C859" s="147"/>
      <c r="D859" s="147"/>
      <c r="E859" s="147"/>
      <c r="F859" s="147"/>
      <c r="G859" s="147"/>
      <c r="H859" s="262"/>
      <c r="I859" s="147"/>
      <c r="J859" s="147"/>
      <c r="K859" s="147"/>
      <c r="L859" s="147"/>
      <c r="M859" s="147"/>
      <c r="N859" s="147"/>
      <c r="O859" s="147"/>
      <c r="P859" s="147"/>
      <c r="Q859" s="147"/>
      <c r="R859" s="147"/>
      <c r="S859" s="147"/>
      <c r="T859" s="147"/>
      <c r="U859" s="147"/>
      <c r="V859" s="147"/>
      <c r="W859" s="147"/>
      <c r="X859" s="147"/>
      <c r="Y859" s="147"/>
      <c r="Z859" s="147"/>
      <c r="AA859" s="147"/>
      <c r="AB859" s="147"/>
      <c r="AC859" s="147"/>
      <c r="AD859" s="147"/>
    </row>
    <row r="860">
      <c r="A860" s="147"/>
      <c r="B860" s="147"/>
      <c r="C860" s="147"/>
      <c r="D860" s="147"/>
      <c r="E860" s="147"/>
      <c r="F860" s="147"/>
      <c r="G860" s="147"/>
      <c r="H860" s="262"/>
      <c r="I860" s="147"/>
      <c r="J860" s="147"/>
      <c r="K860" s="147"/>
      <c r="L860" s="147"/>
      <c r="M860" s="147"/>
      <c r="N860" s="147"/>
      <c r="O860" s="147"/>
      <c r="P860" s="147"/>
      <c r="Q860" s="147"/>
      <c r="R860" s="147"/>
      <c r="S860" s="147"/>
      <c r="T860" s="147"/>
      <c r="U860" s="147"/>
      <c r="V860" s="147"/>
      <c r="W860" s="147"/>
      <c r="X860" s="147"/>
      <c r="Y860" s="147"/>
      <c r="Z860" s="147"/>
      <c r="AA860" s="147"/>
      <c r="AB860" s="147"/>
      <c r="AC860" s="147"/>
      <c r="AD860" s="147"/>
    </row>
    <row r="861">
      <c r="A861" s="147"/>
      <c r="B861" s="147"/>
      <c r="C861" s="147"/>
      <c r="D861" s="147"/>
      <c r="E861" s="147"/>
      <c r="F861" s="147"/>
      <c r="G861" s="147"/>
      <c r="H861" s="262"/>
      <c r="I861" s="147"/>
      <c r="J861" s="147"/>
      <c r="K861" s="147"/>
      <c r="L861" s="147"/>
      <c r="M861" s="147"/>
      <c r="N861" s="147"/>
      <c r="O861" s="147"/>
      <c r="P861" s="147"/>
      <c r="Q861" s="147"/>
      <c r="R861" s="147"/>
      <c r="S861" s="147"/>
      <c r="T861" s="147"/>
      <c r="U861" s="147"/>
      <c r="V861" s="147"/>
      <c r="W861" s="147"/>
      <c r="X861" s="147"/>
      <c r="Y861" s="147"/>
      <c r="Z861" s="147"/>
      <c r="AA861" s="147"/>
      <c r="AB861" s="147"/>
      <c r="AC861" s="147"/>
      <c r="AD861" s="147"/>
    </row>
    <row r="862">
      <c r="A862" s="147"/>
      <c r="B862" s="147"/>
      <c r="C862" s="147"/>
      <c r="D862" s="147"/>
      <c r="E862" s="147"/>
      <c r="F862" s="147"/>
      <c r="G862" s="147"/>
      <c r="H862" s="262"/>
      <c r="I862" s="147"/>
      <c r="J862" s="147"/>
      <c r="K862" s="147"/>
      <c r="L862" s="147"/>
      <c r="M862" s="147"/>
      <c r="N862" s="147"/>
      <c r="O862" s="147"/>
      <c r="P862" s="147"/>
      <c r="Q862" s="147"/>
      <c r="R862" s="147"/>
      <c r="S862" s="147"/>
      <c r="T862" s="147"/>
      <c r="U862" s="147"/>
      <c r="V862" s="147"/>
      <c r="W862" s="147"/>
      <c r="X862" s="147"/>
      <c r="Y862" s="147"/>
      <c r="Z862" s="147"/>
      <c r="AA862" s="147"/>
      <c r="AB862" s="147"/>
      <c r="AC862" s="147"/>
      <c r="AD862" s="147"/>
    </row>
    <row r="863">
      <c r="A863" s="147"/>
      <c r="B863" s="147"/>
      <c r="C863" s="147"/>
      <c r="D863" s="147"/>
      <c r="E863" s="147"/>
      <c r="F863" s="147"/>
      <c r="G863" s="147"/>
      <c r="H863" s="262"/>
      <c r="I863" s="147"/>
      <c r="J863" s="147"/>
      <c r="K863" s="147"/>
      <c r="L863" s="147"/>
      <c r="M863" s="147"/>
      <c r="N863" s="147"/>
      <c r="O863" s="147"/>
      <c r="P863" s="147"/>
      <c r="Q863" s="147"/>
      <c r="R863" s="147"/>
      <c r="S863" s="147"/>
      <c r="T863" s="147"/>
      <c r="U863" s="147"/>
      <c r="V863" s="147"/>
      <c r="W863" s="147"/>
      <c r="X863" s="147"/>
      <c r="Y863" s="147"/>
      <c r="Z863" s="147"/>
      <c r="AA863" s="147"/>
      <c r="AB863" s="147"/>
      <c r="AC863" s="147"/>
      <c r="AD863" s="147"/>
    </row>
    <row r="864">
      <c r="A864" s="147"/>
      <c r="B864" s="147"/>
      <c r="C864" s="147"/>
      <c r="D864" s="147"/>
      <c r="E864" s="147"/>
      <c r="F864" s="147"/>
      <c r="G864" s="147"/>
      <c r="H864" s="262"/>
      <c r="I864" s="147"/>
      <c r="J864" s="147"/>
      <c r="K864" s="147"/>
      <c r="L864" s="147"/>
      <c r="M864" s="147"/>
      <c r="N864" s="147"/>
      <c r="O864" s="147"/>
      <c r="P864" s="147"/>
      <c r="Q864" s="147"/>
      <c r="R864" s="147"/>
      <c r="S864" s="147"/>
      <c r="T864" s="147"/>
      <c r="U864" s="147"/>
      <c r="V864" s="147"/>
      <c r="W864" s="147"/>
      <c r="X864" s="147"/>
      <c r="Y864" s="147"/>
      <c r="Z864" s="147"/>
      <c r="AA864" s="147"/>
      <c r="AB864" s="147"/>
      <c r="AC864" s="147"/>
      <c r="AD864" s="147"/>
    </row>
    <row r="865">
      <c r="A865" s="147"/>
      <c r="B865" s="147"/>
      <c r="C865" s="147"/>
      <c r="D865" s="147"/>
      <c r="E865" s="147"/>
      <c r="F865" s="147"/>
      <c r="G865" s="147"/>
      <c r="H865" s="262"/>
      <c r="I865" s="147"/>
      <c r="J865" s="147"/>
      <c r="K865" s="147"/>
      <c r="L865" s="147"/>
      <c r="M865" s="147"/>
      <c r="N865" s="147"/>
      <c r="O865" s="147"/>
      <c r="P865" s="147"/>
      <c r="Q865" s="147"/>
      <c r="R865" s="147"/>
      <c r="S865" s="147"/>
      <c r="T865" s="147"/>
      <c r="U865" s="147"/>
      <c r="V865" s="147"/>
      <c r="W865" s="147"/>
      <c r="X865" s="147"/>
      <c r="Y865" s="147"/>
      <c r="Z865" s="147"/>
      <c r="AA865" s="147"/>
      <c r="AB865" s="147"/>
      <c r="AC865" s="147"/>
      <c r="AD865" s="147"/>
    </row>
    <row r="866">
      <c r="A866" s="147"/>
      <c r="B866" s="147"/>
      <c r="C866" s="147"/>
      <c r="D866" s="147"/>
      <c r="E866" s="147"/>
      <c r="F866" s="147"/>
      <c r="G866" s="147"/>
      <c r="H866" s="262"/>
      <c r="I866" s="147"/>
      <c r="J866" s="147"/>
      <c r="K866" s="147"/>
      <c r="L866" s="147"/>
      <c r="M866" s="147"/>
      <c r="N866" s="147"/>
      <c r="O866" s="147"/>
      <c r="P866" s="147"/>
      <c r="Q866" s="147"/>
      <c r="R866" s="147"/>
      <c r="S866" s="147"/>
      <c r="T866" s="147"/>
      <c r="U866" s="147"/>
      <c r="V866" s="147"/>
      <c r="W866" s="147"/>
      <c r="X866" s="147"/>
      <c r="Y866" s="147"/>
      <c r="Z866" s="147"/>
      <c r="AA866" s="147"/>
      <c r="AB866" s="147"/>
      <c r="AC866" s="147"/>
      <c r="AD866" s="147"/>
    </row>
    <row r="867">
      <c r="A867" s="147"/>
      <c r="B867" s="147"/>
      <c r="C867" s="147"/>
      <c r="D867" s="147"/>
      <c r="E867" s="147"/>
      <c r="F867" s="147"/>
      <c r="G867" s="147"/>
      <c r="H867" s="262"/>
      <c r="I867" s="147"/>
      <c r="J867" s="147"/>
      <c r="K867" s="147"/>
      <c r="L867" s="147"/>
      <c r="M867" s="147"/>
      <c r="N867" s="147"/>
      <c r="O867" s="147"/>
      <c r="P867" s="147"/>
      <c r="Q867" s="147"/>
      <c r="R867" s="147"/>
      <c r="S867" s="147"/>
      <c r="T867" s="147"/>
      <c r="U867" s="147"/>
      <c r="V867" s="147"/>
      <c r="W867" s="147"/>
      <c r="X867" s="147"/>
      <c r="Y867" s="147"/>
      <c r="Z867" s="147"/>
      <c r="AA867" s="147"/>
      <c r="AB867" s="147"/>
      <c r="AC867" s="147"/>
      <c r="AD867" s="147"/>
    </row>
    <row r="868">
      <c r="A868" s="147"/>
      <c r="B868" s="147"/>
      <c r="C868" s="147"/>
      <c r="D868" s="147"/>
      <c r="E868" s="147"/>
      <c r="F868" s="147"/>
      <c r="G868" s="147"/>
      <c r="H868" s="262"/>
      <c r="I868" s="147"/>
      <c r="J868" s="147"/>
      <c r="K868" s="147"/>
      <c r="L868" s="147"/>
      <c r="M868" s="147"/>
      <c r="N868" s="147"/>
      <c r="O868" s="147"/>
      <c r="P868" s="147"/>
      <c r="Q868" s="147"/>
      <c r="R868" s="147"/>
      <c r="S868" s="147"/>
      <c r="T868" s="147"/>
      <c r="U868" s="147"/>
      <c r="V868" s="147"/>
      <c r="W868" s="147"/>
      <c r="X868" s="147"/>
      <c r="Y868" s="147"/>
      <c r="Z868" s="147"/>
      <c r="AA868" s="147"/>
      <c r="AB868" s="147"/>
      <c r="AC868" s="147"/>
      <c r="AD868" s="147"/>
    </row>
    <row r="869">
      <c r="A869" s="147"/>
      <c r="B869" s="147"/>
      <c r="C869" s="147"/>
      <c r="D869" s="147"/>
      <c r="E869" s="147"/>
      <c r="F869" s="147"/>
      <c r="G869" s="147"/>
      <c r="H869" s="262"/>
      <c r="I869" s="147"/>
      <c r="J869" s="147"/>
      <c r="K869" s="147"/>
      <c r="L869" s="147"/>
      <c r="M869" s="147"/>
      <c r="N869" s="147"/>
      <c r="O869" s="147"/>
      <c r="P869" s="147"/>
      <c r="Q869" s="147"/>
      <c r="R869" s="147"/>
      <c r="S869" s="147"/>
      <c r="T869" s="147"/>
      <c r="U869" s="147"/>
      <c r="V869" s="147"/>
      <c r="W869" s="147"/>
      <c r="X869" s="147"/>
      <c r="Y869" s="147"/>
      <c r="Z869" s="147"/>
      <c r="AA869" s="147"/>
      <c r="AB869" s="147"/>
      <c r="AC869" s="147"/>
      <c r="AD869" s="147"/>
    </row>
    <row r="870">
      <c r="A870" s="147"/>
      <c r="B870" s="147"/>
      <c r="C870" s="147"/>
      <c r="D870" s="147"/>
      <c r="E870" s="147"/>
      <c r="F870" s="147"/>
      <c r="G870" s="147"/>
      <c r="H870" s="262"/>
      <c r="I870" s="147"/>
      <c r="J870" s="147"/>
      <c r="K870" s="147"/>
      <c r="L870" s="147"/>
      <c r="M870" s="147"/>
      <c r="N870" s="147"/>
      <c r="O870" s="147"/>
      <c r="P870" s="147"/>
      <c r="Q870" s="147"/>
      <c r="R870" s="147"/>
      <c r="S870" s="147"/>
      <c r="T870" s="147"/>
      <c r="U870" s="147"/>
      <c r="V870" s="147"/>
      <c r="W870" s="147"/>
      <c r="X870" s="147"/>
      <c r="Y870" s="147"/>
      <c r="Z870" s="147"/>
      <c r="AA870" s="147"/>
      <c r="AB870" s="147"/>
      <c r="AC870" s="147"/>
      <c r="AD870" s="147"/>
    </row>
    <row r="871">
      <c r="A871" s="147"/>
      <c r="B871" s="147"/>
      <c r="C871" s="147"/>
      <c r="D871" s="147"/>
      <c r="E871" s="147"/>
      <c r="F871" s="147"/>
      <c r="G871" s="147"/>
      <c r="H871" s="262"/>
      <c r="I871" s="147"/>
      <c r="J871" s="147"/>
      <c r="K871" s="147"/>
      <c r="L871" s="147"/>
      <c r="M871" s="147"/>
      <c r="N871" s="147"/>
      <c r="O871" s="147"/>
      <c r="P871" s="147"/>
      <c r="Q871" s="147"/>
      <c r="R871" s="147"/>
      <c r="S871" s="147"/>
      <c r="T871" s="147"/>
      <c r="U871" s="147"/>
      <c r="V871" s="147"/>
      <c r="W871" s="147"/>
      <c r="X871" s="147"/>
      <c r="Y871" s="147"/>
      <c r="Z871" s="147"/>
      <c r="AA871" s="147"/>
      <c r="AB871" s="147"/>
      <c r="AC871" s="147"/>
      <c r="AD871" s="147"/>
    </row>
    <row r="872">
      <c r="A872" s="147"/>
      <c r="B872" s="147"/>
      <c r="C872" s="147"/>
      <c r="D872" s="147"/>
      <c r="E872" s="147"/>
      <c r="F872" s="147"/>
      <c r="G872" s="147"/>
      <c r="H872" s="262"/>
      <c r="I872" s="147"/>
      <c r="J872" s="147"/>
      <c r="K872" s="147"/>
      <c r="L872" s="147"/>
      <c r="M872" s="147"/>
      <c r="N872" s="147"/>
      <c r="O872" s="147"/>
      <c r="P872" s="147"/>
      <c r="Q872" s="147"/>
      <c r="R872" s="147"/>
      <c r="S872" s="147"/>
      <c r="T872" s="147"/>
      <c r="U872" s="147"/>
      <c r="V872" s="147"/>
      <c r="W872" s="147"/>
      <c r="X872" s="147"/>
      <c r="Y872" s="147"/>
      <c r="Z872" s="147"/>
      <c r="AA872" s="147"/>
      <c r="AB872" s="147"/>
      <c r="AC872" s="147"/>
      <c r="AD872" s="147"/>
    </row>
    <row r="873">
      <c r="A873" s="147"/>
      <c r="B873" s="147"/>
      <c r="C873" s="147"/>
      <c r="D873" s="147"/>
      <c r="E873" s="147"/>
      <c r="F873" s="147"/>
      <c r="G873" s="147"/>
      <c r="H873" s="262"/>
      <c r="I873" s="147"/>
      <c r="J873" s="147"/>
      <c r="K873" s="147"/>
      <c r="L873" s="147"/>
      <c r="M873" s="147"/>
      <c r="N873" s="147"/>
      <c r="O873" s="147"/>
      <c r="P873" s="147"/>
      <c r="Q873" s="147"/>
      <c r="R873" s="147"/>
      <c r="S873" s="147"/>
      <c r="T873" s="147"/>
      <c r="U873" s="147"/>
      <c r="V873" s="147"/>
      <c r="W873" s="147"/>
      <c r="X873" s="147"/>
      <c r="Y873" s="147"/>
      <c r="Z873" s="147"/>
      <c r="AA873" s="147"/>
      <c r="AB873" s="147"/>
      <c r="AC873" s="147"/>
      <c r="AD873" s="147"/>
    </row>
    <row r="874">
      <c r="A874" s="147"/>
      <c r="B874" s="147"/>
      <c r="C874" s="147"/>
      <c r="D874" s="147"/>
      <c r="E874" s="147"/>
      <c r="F874" s="147"/>
      <c r="G874" s="147"/>
      <c r="H874" s="262"/>
      <c r="I874" s="147"/>
      <c r="J874" s="147"/>
      <c r="K874" s="147"/>
      <c r="L874" s="147"/>
      <c r="M874" s="147"/>
      <c r="N874" s="147"/>
      <c r="O874" s="147"/>
      <c r="P874" s="147"/>
      <c r="Q874" s="147"/>
      <c r="R874" s="147"/>
      <c r="S874" s="147"/>
      <c r="T874" s="147"/>
      <c r="U874" s="147"/>
      <c r="V874" s="147"/>
      <c r="W874" s="147"/>
      <c r="X874" s="147"/>
      <c r="Y874" s="147"/>
      <c r="Z874" s="147"/>
      <c r="AA874" s="147"/>
      <c r="AB874" s="147"/>
      <c r="AC874" s="147"/>
      <c r="AD874" s="147"/>
    </row>
    <row r="875">
      <c r="A875" s="147"/>
      <c r="B875" s="147"/>
      <c r="C875" s="147"/>
      <c r="D875" s="147"/>
      <c r="E875" s="147"/>
      <c r="F875" s="147"/>
      <c r="G875" s="147"/>
      <c r="H875" s="262"/>
      <c r="I875" s="147"/>
      <c r="J875" s="147"/>
      <c r="K875" s="147"/>
      <c r="L875" s="147"/>
      <c r="M875" s="147"/>
      <c r="N875" s="147"/>
      <c r="O875" s="147"/>
      <c r="P875" s="147"/>
      <c r="Q875" s="147"/>
      <c r="R875" s="147"/>
      <c r="S875" s="147"/>
      <c r="T875" s="147"/>
      <c r="U875" s="147"/>
      <c r="V875" s="147"/>
      <c r="W875" s="147"/>
      <c r="X875" s="147"/>
      <c r="Y875" s="147"/>
      <c r="Z875" s="147"/>
      <c r="AA875" s="147"/>
      <c r="AB875" s="147"/>
      <c r="AC875" s="147"/>
      <c r="AD875" s="147"/>
    </row>
    <row r="876">
      <c r="A876" s="147"/>
      <c r="B876" s="147"/>
      <c r="C876" s="147"/>
      <c r="D876" s="147"/>
      <c r="E876" s="147"/>
      <c r="F876" s="147"/>
      <c r="G876" s="147"/>
      <c r="H876" s="262"/>
      <c r="I876" s="147"/>
      <c r="J876" s="147"/>
      <c r="K876" s="147"/>
      <c r="L876" s="147"/>
      <c r="M876" s="147"/>
      <c r="N876" s="147"/>
      <c r="O876" s="147"/>
      <c r="P876" s="147"/>
      <c r="Q876" s="147"/>
      <c r="R876" s="147"/>
      <c r="S876" s="147"/>
      <c r="T876" s="147"/>
      <c r="U876" s="147"/>
      <c r="V876" s="147"/>
      <c r="W876" s="147"/>
      <c r="X876" s="147"/>
      <c r="Y876" s="147"/>
      <c r="Z876" s="147"/>
      <c r="AA876" s="147"/>
      <c r="AB876" s="147"/>
      <c r="AC876" s="147"/>
      <c r="AD876" s="147"/>
    </row>
    <row r="877">
      <c r="A877" s="147"/>
      <c r="B877" s="147"/>
      <c r="C877" s="147"/>
      <c r="D877" s="147"/>
      <c r="E877" s="147"/>
      <c r="F877" s="147"/>
      <c r="G877" s="147"/>
      <c r="H877" s="262"/>
      <c r="I877" s="147"/>
      <c r="J877" s="147"/>
      <c r="K877" s="147"/>
      <c r="L877" s="147"/>
      <c r="M877" s="147"/>
      <c r="N877" s="147"/>
      <c r="O877" s="147"/>
      <c r="P877" s="147"/>
      <c r="Q877" s="147"/>
      <c r="R877" s="147"/>
      <c r="S877" s="147"/>
      <c r="T877" s="147"/>
      <c r="U877" s="147"/>
      <c r="V877" s="147"/>
      <c r="W877" s="147"/>
      <c r="X877" s="147"/>
      <c r="Y877" s="147"/>
      <c r="Z877" s="147"/>
      <c r="AA877" s="147"/>
      <c r="AB877" s="147"/>
      <c r="AC877" s="147"/>
      <c r="AD877" s="147"/>
    </row>
    <row r="878">
      <c r="A878" s="147"/>
      <c r="B878" s="147"/>
      <c r="C878" s="147"/>
      <c r="D878" s="147"/>
      <c r="E878" s="147"/>
      <c r="F878" s="147"/>
      <c r="G878" s="147"/>
      <c r="H878" s="262"/>
      <c r="I878" s="147"/>
      <c r="J878" s="147"/>
      <c r="K878" s="147"/>
      <c r="L878" s="147"/>
      <c r="M878" s="147"/>
      <c r="N878" s="147"/>
      <c r="O878" s="147"/>
      <c r="P878" s="147"/>
      <c r="Q878" s="147"/>
      <c r="R878" s="147"/>
      <c r="S878" s="147"/>
      <c r="T878" s="147"/>
      <c r="U878" s="147"/>
      <c r="V878" s="147"/>
      <c r="W878" s="147"/>
      <c r="X878" s="147"/>
      <c r="Y878" s="147"/>
      <c r="Z878" s="147"/>
      <c r="AA878" s="147"/>
      <c r="AB878" s="147"/>
      <c r="AC878" s="147"/>
      <c r="AD878" s="147"/>
    </row>
    <row r="879">
      <c r="A879" s="147"/>
      <c r="B879" s="147"/>
      <c r="C879" s="147"/>
      <c r="D879" s="147"/>
      <c r="E879" s="147"/>
      <c r="F879" s="147"/>
      <c r="G879" s="147"/>
      <c r="H879" s="262"/>
      <c r="I879" s="147"/>
      <c r="J879" s="147"/>
      <c r="K879" s="147"/>
      <c r="L879" s="147"/>
      <c r="M879" s="147"/>
      <c r="N879" s="147"/>
      <c r="O879" s="147"/>
      <c r="P879" s="147"/>
      <c r="Q879" s="147"/>
      <c r="R879" s="147"/>
      <c r="S879" s="147"/>
      <c r="T879" s="147"/>
      <c r="U879" s="147"/>
      <c r="V879" s="147"/>
      <c r="W879" s="147"/>
      <c r="X879" s="147"/>
      <c r="Y879" s="147"/>
      <c r="Z879" s="147"/>
      <c r="AA879" s="147"/>
      <c r="AB879" s="147"/>
      <c r="AC879" s="147"/>
      <c r="AD879" s="147"/>
    </row>
    <row r="880">
      <c r="A880" s="147"/>
      <c r="B880" s="147"/>
      <c r="C880" s="147"/>
      <c r="D880" s="147"/>
      <c r="E880" s="147"/>
      <c r="F880" s="147"/>
      <c r="G880" s="147"/>
      <c r="H880" s="262"/>
      <c r="I880" s="147"/>
      <c r="J880" s="147"/>
      <c r="K880" s="147"/>
      <c r="L880" s="147"/>
      <c r="M880" s="147"/>
      <c r="N880" s="147"/>
      <c r="O880" s="147"/>
      <c r="P880" s="147"/>
      <c r="Q880" s="147"/>
      <c r="R880" s="147"/>
      <c r="S880" s="147"/>
      <c r="T880" s="147"/>
      <c r="U880" s="147"/>
      <c r="V880" s="147"/>
      <c r="W880" s="147"/>
      <c r="X880" s="147"/>
      <c r="Y880" s="147"/>
      <c r="Z880" s="147"/>
      <c r="AA880" s="147"/>
      <c r="AB880" s="147"/>
      <c r="AC880" s="147"/>
      <c r="AD880" s="147"/>
    </row>
    <row r="881">
      <c r="A881" s="147"/>
      <c r="B881" s="147"/>
      <c r="C881" s="147"/>
      <c r="D881" s="147"/>
      <c r="E881" s="147"/>
      <c r="F881" s="147"/>
      <c r="G881" s="147"/>
      <c r="H881" s="262"/>
      <c r="I881" s="147"/>
      <c r="J881" s="147"/>
      <c r="K881" s="147"/>
      <c r="L881" s="147"/>
      <c r="M881" s="147"/>
      <c r="N881" s="147"/>
      <c r="O881" s="147"/>
      <c r="P881" s="147"/>
      <c r="Q881" s="147"/>
      <c r="R881" s="147"/>
      <c r="S881" s="147"/>
      <c r="T881" s="147"/>
      <c r="U881" s="147"/>
      <c r="V881" s="147"/>
      <c r="W881" s="147"/>
      <c r="X881" s="147"/>
      <c r="Y881" s="147"/>
      <c r="Z881" s="147"/>
      <c r="AA881" s="147"/>
      <c r="AB881" s="147"/>
      <c r="AC881" s="147"/>
      <c r="AD881" s="147"/>
    </row>
    <row r="882">
      <c r="A882" s="147"/>
      <c r="B882" s="147"/>
      <c r="C882" s="147"/>
      <c r="D882" s="147"/>
      <c r="E882" s="147"/>
      <c r="F882" s="147"/>
      <c r="G882" s="147"/>
      <c r="H882" s="262"/>
      <c r="I882" s="147"/>
      <c r="J882" s="147"/>
      <c r="K882" s="147"/>
      <c r="L882" s="147"/>
      <c r="M882" s="147"/>
      <c r="N882" s="147"/>
      <c r="O882" s="147"/>
      <c r="P882" s="147"/>
      <c r="Q882" s="147"/>
      <c r="R882" s="147"/>
      <c r="S882" s="147"/>
      <c r="T882" s="147"/>
      <c r="U882" s="147"/>
      <c r="V882" s="147"/>
      <c r="W882" s="147"/>
      <c r="X882" s="147"/>
      <c r="Y882" s="147"/>
      <c r="Z882" s="147"/>
      <c r="AA882" s="147"/>
      <c r="AB882" s="147"/>
      <c r="AC882" s="147"/>
      <c r="AD882" s="147"/>
    </row>
    <row r="883">
      <c r="A883" s="147"/>
      <c r="B883" s="147"/>
      <c r="C883" s="147"/>
      <c r="D883" s="147"/>
      <c r="E883" s="147"/>
      <c r="F883" s="147"/>
      <c r="G883" s="147"/>
      <c r="H883" s="262"/>
      <c r="I883" s="147"/>
      <c r="J883" s="147"/>
      <c r="K883" s="147"/>
      <c r="L883" s="147"/>
      <c r="M883" s="147"/>
      <c r="N883" s="147"/>
      <c r="O883" s="147"/>
      <c r="P883" s="147"/>
      <c r="Q883" s="147"/>
      <c r="R883" s="147"/>
      <c r="S883" s="147"/>
      <c r="T883" s="147"/>
      <c r="U883" s="147"/>
      <c r="V883" s="147"/>
      <c r="W883" s="147"/>
      <c r="X883" s="147"/>
      <c r="Y883" s="147"/>
      <c r="Z883" s="147"/>
      <c r="AA883" s="147"/>
      <c r="AB883" s="147"/>
      <c r="AC883" s="147"/>
      <c r="AD883" s="147"/>
    </row>
    <row r="884">
      <c r="A884" s="147"/>
      <c r="B884" s="147"/>
      <c r="C884" s="147"/>
      <c r="D884" s="147"/>
      <c r="E884" s="147"/>
      <c r="F884" s="147"/>
      <c r="G884" s="147"/>
      <c r="H884" s="262"/>
      <c r="I884" s="147"/>
      <c r="J884" s="147"/>
      <c r="K884" s="147"/>
      <c r="L884" s="147"/>
      <c r="M884" s="147"/>
      <c r="N884" s="147"/>
      <c r="O884" s="147"/>
      <c r="P884" s="147"/>
      <c r="Q884" s="147"/>
      <c r="R884" s="147"/>
      <c r="S884" s="147"/>
      <c r="T884" s="147"/>
      <c r="U884" s="147"/>
      <c r="V884" s="147"/>
      <c r="W884" s="147"/>
      <c r="X884" s="147"/>
      <c r="Y884" s="147"/>
      <c r="Z884" s="147"/>
      <c r="AA884" s="147"/>
      <c r="AB884" s="147"/>
      <c r="AC884" s="147"/>
      <c r="AD884" s="147"/>
    </row>
    <row r="885">
      <c r="A885" s="147"/>
      <c r="B885" s="147"/>
      <c r="C885" s="147"/>
      <c r="D885" s="147"/>
      <c r="E885" s="147"/>
      <c r="F885" s="147"/>
      <c r="G885" s="147"/>
      <c r="H885" s="262"/>
      <c r="I885" s="147"/>
      <c r="J885" s="147"/>
      <c r="K885" s="147"/>
      <c r="L885" s="147"/>
      <c r="M885" s="147"/>
      <c r="N885" s="147"/>
      <c r="O885" s="147"/>
      <c r="P885" s="147"/>
      <c r="Q885" s="147"/>
      <c r="R885" s="147"/>
      <c r="S885" s="147"/>
      <c r="T885" s="147"/>
      <c r="U885" s="147"/>
      <c r="V885" s="147"/>
      <c r="W885" s="147"/>
      <c r="X885" s="147"/>
      <c r="Y885" s="147"/>
      <c r="Z885" s="147"/>
      <c r="AA885" s="147"/>
      <c r="AB885" s="147"/>
      <c r="AC885" s="147"/>
      <c r="AD885" s="147"/>
    </row>
    <row r="886">
      <c r="A886" s="147"/>
      <c r="B886" s="147"/>
      <c r="C886" s="147"/>
      <c r="D886" s="147"/>
      <c r="E886" s="147"/>
      <c r="F886" s="147"/>
      <c r="G886" s="147"/>
      <c r="H886" s="262"/>
      <c r="I886" s="147"/>
      <c r="J886" s="147"/>
      <c r="K886" s="147"/>
      <c r="L886" s="147"/>
      <c r="M886" s="147"/>
      <c r="N886" s="147"/>
      <c r="O886" s="147"/>
      <c r="P886" s="147"/>
      <c r="Q886" s="147"/>
      <c r="R886" s="147"/>
      <c r="S886" s="147"/>
      <c r="T886" s="147"/>
      <c r="U886" s="147"/>
      <c r="V886" s="147"/>
      <c r="W886" s="147"/>
      <c r="X886" s="147"/>
      <c r="Y886" s="147"/>
      <c r="Z886" s="147"/>
      <c r="AA886" s="147"/>
      <c r="AB886" s="147"/>
      <c r="AC886" s="147"/>
      <c r="AD886" s="147"/>
    </row>
    <row r="887">
      <c r="A887" s="147"/>
      <c r="B887" s="147"/>
      <c r="C887" s="147"/>
      <c r="D887" s="147"/>
      <c r="E887" s="147"/>
      <c r="F887" s="147"/>
      <c r="G887" s="147"/>
      <c r="H887" s="262"/>
      <c r="I887" s="147"/>
      <c r="J887" s="147"/>
      <c r="K887" s="147"/>
      <c r="L887" s="147"/>
      <c r="M887" s="147"/>
      <c r="N887" s="147"/>
      <c r="O887" s="147"/>
      <c r="P887" s="147"/>
      <c r="Q887" s="147"/>
      <c r="R887" s="147"/>
      <c r="S887" s="147"/>
      <c r="T887" s="147"/>
      <c r="U887" s="147"/>
      <c r="V887" s="147"/>
      <c r="W887" s="147"/>
      <c r="X887" s="147"/>
      <c r="Y887" s="147"/>
      <c r="Z887" s="147"/>
      <c r="AA887" s="147"/>
      <c r="AB887" s="147"/>
      <c r="AC887" s="147"/>
      <c r="AD887" s="147"/>
    </row>
    <row r="888">
      <c r="A888" s="147"/>
      <c r="B888" s="147"/>
      <c r="C888" s="147"/>
      <c r="D888" s="147"/>
      <c r="E888" s="147"/>
      <c r="F888" s="147"/>
      <c r="G888" s="147"/>
      <c r="H888" s="262"/>
      <c r="I888" s="147"/>
      <c r="J888" s="147"/>
      <c r="K888" s="147"/>
      <c r="L888" s="147"/>
      <c r="M888" s="147"/>
      <c r="N888" s="147"/>
      <c r="O888" s="147"/>
      <c r="P888" s="147"/>
      <c r="Q888" s="147"/>
      <c r="R888" s="147"/>
      <c r="S888" s="147"/>
      <c r="T888" s="147"/>
      <c r="U888" s="147"/>
      <c r="V888" s="147"/>
      <c r="W888" s="147"/>
      <c r="X888" s="147"/>
      <c r="Y888" s="147"/>
      <c r="Z888" s="147"/>
      <c r="AA888" s="147"/>
      <c r="AB888" s="147"/>
      <c r="AC888" s="147"/>
      <c r="AD888" s="147"/>
    </row>
    <row r="889">
      <c r="A889" s="147"/>
      <c r="B889" s="147"/>
      <c r="C889" s="147"/>
      <c r="D889" s="147"/>
      <c r="E889" s="147"/>
      <c r="F889" s="147"/>
      <c r="G889" s="147"/>
      <c r="H889" s="262"/>
      <c r="I889" s="147"/>
      <c r="J889" s="147"/>
      <c r="K889" s="147"/>
      <c r="L889" s="147"/>
      <c r="M889" s="147"/>
      <c r="N889" s="147"/>
      <c r="O889" s="147"/>
      <c r="P889" s="147"/>
      <c r="Q889" s="147"/>
      <c r="R889" s="147"/>
      <c r="S889" s="147"/>
      <c r="T889" s="147"/>
      <c r="U889" s="147"/>
      <c r="V889" s="147"/>
      <c r="W889" s="147"/>
      <c r="X889" s="147"/>
      <c r="Y889" s="147"/>
      <c r="Z889" s="147"/>
      <c r="AA889" s="147"/>
      <c r="AB889" s="147"/>
      <c r="AC889" s="147"/>
      <c r="AD889" s="147"/>
    </row>
    <row r="890">
      <c r="A890" s="147"/>
      <c r="B890" s="147"/>
      <c r="C890" s="147"/>
      <c r="D890" s="147"/>
      <c r="E890" s="147"/>
      <c r="F890" s="147"/>
      <c r="G890" s="147"/>
      <c r="H890" s="262"/>
      <c r="I890" s="147"/>
      <c r="J890" s="147"/>
      <c r="K890" s="147"/>
      <c r="L890" s="147"/>
      <c r="M890" s="147"/>
      <c r="N890" s="147"/>
      <c r="O890" s="147"/>
      <c r="P890" s="147"/>
      <c r="Q890" s="147"/>
      <c r="R890" s="147"/>
      <c r="S890" s="147"/>
      <c r="T890" s="147"/>
      <c r="U890" s="147"/>
      <c r="V890" s="147"/>
      <c r="W890" s="147"/>
      <c r="X890" s="147"/>
      <c r="Y890" s="147"/>
      <c r="Z890" s="147"/>
      <c r="AA890" s="147"/>
      <c r="AB890" s="147"/>
      <c r="AC890" s="147"/>
      <c r="AD890" s="147"/>
    </row>
    <row r="891">
      <c r="A891" s="147"/>
      <c r="B891" s="147"/>
      <c r="C891" s="147"/>
      <c r="D891" s="147"/>
      <c r="E891" s="147"/>
      <c r="F891" s="147"/>
      <c r="G891" s="147"/>
      <c r="H891" s="262"/>
      <c r="I891" s="147"/>
      <c r="J891" s="147"/>
      <c r="K891" s="147"/>
      <c r="L891" s="147"/>
      <c r="M891" s="147"/>
      <c r="N891" s="147"/>
      <c r="O891" s="147"/>
      <c r="P891" s="147"/>
      <c r="Q891" s="147"/>
      <c r="R891" s="147"/>
      <c r="S891" s="147"/>
      <c r="T891" s="147"/>
      <c r="U891" s="147"/>
      <c r="V891" s="147"/>
      <c r="W891" s="147"/>
      <c r="X891" s="147"/>
      <c r="Y891" s="147"/>
      <c r="Z891" s="147"/>
      <c r="AA891" s="147"/>
      <c r="AB891" s="147"/>
      <c r="AC891" s="147"/>
      <c r="AD891" s="147"/>
    </row>
    <row r="892">
      <c r="A892" s="147"/>
      <c r="B892" s="147"/>
      <c r="C892" s="147"/>
      <c r="D892" s="147"/>
      <c r="E892" s="147"/>
      <c r="F892" s="147"/>
      <c r="G892" s="147"/>
      <c r="H892" s="262"/>
      <c r="I892" s="147"/>
      <c r="J892" s="147"/>
      <c r="K892" s="147"/>
      <c r="L892" s="147"/>
      <c r="M892" s="147"/>
      <c r="N892" s="147"/>
      <c r="O892" s="147"/>
      <c r="P892" s="147"/>
      <c r="Q892" s="147"/>
      <c r="R892" s="147"/>
      <c r="S892" s="147"/>
      <c r="T892" s="147"/>
      <c r="U892" s="147"/>
      <c r="V892" s="147"/>
      <c r="W892" s="147"/>
      <c r="X892" s="147"/>
      <c r="Y892" s="147"/>
      <c r="Z892" s="147"/>
      <c r="AA892" s="147"/>
      <c r="AB892" s="147"/>
      <c r="AC892" s="147"/>
      <c r="AD892" s="147"/>
    </row>
    <row r="893">
      <c r="A893" s="147"/>
      <c r="B893" s="147"/>
      <c r="C893" s="147"/>
      <c r="D893" s="147"/>
      <c r="E893" s="147"/>
      <c r="F893" s="147"/>
      <c r="G893" s="147"/>
      <c r="H893" s="262"/>
      <c r="I893" s="147"/>
      <c r="J893" s="147"/>
      <c r="K893" s="147"/>
      <c r="L893" s="147"/>
      <c r="M893" s="147"/>
      <c r="N893" s="147"/>
      <c r="O893" s="147"/>
      <c r="P893" s="147"/>
      <c r="Q893" s="147"/>
      <c r="R893" s="147"/>
      <c r="S893" s="147"/>
      <c r="T893" s="147"/>
      <c r="U893" s="147"/>
      <c r="V893" s="147"/>
      <c r="W893" s="147"/>
      <c r="X893" s="147"/>
      <c r="Y893" s="147"/>
      <c r="Z893" s="147"/>
      <c r="AA893" s="147"/>
      <c r="AB893" s="147"/>
      <c r="AC893" s="147"/>
      <c r="AD893" s="147"/>
    </row>
    <row r="894">
      <c r="A894" s="147"/>
      <c r="B894" s="147"/>
      <c r="C894" s="147"/>
      <c r="D894" s="147"/>
      <c r="E894" s="147"/>
      <c r="F894" s="147"/>
      <c r="G894" s="147"/>
      <c r="H894" s="262"/>
      <c r="I894" s="147"/>
      <c r="J894" s="147"/>
      <c r="K894" s="147"/>
      <c r="L894" s="147"/>
      <c r="M894" s="147"/>
      <c r="N894" s="147"/>
      <c r="O894" s="147"/>
      <c r="P894" s="147"/>
      <c r="Q894" s="147"/>
      <c r="R894" s="147"/>
      <c r="S894" s="147"/>
      <c r="T894" s="147"/>
      <c r="U894" s="147"/>
      <c r="V894" s="147"/>
      <c r="W894" s="147"/>
      <c r="X894" s="147"/>
      <c r="Y894" s="147"/>
      <c r="Z894" s="147"/>
      <c r="AA894" s="147"/>
      <c r="AB894" s="147"/>
      <c r="AC894" s="147"/>
      <c r="AD894" s="147"/>
    </row>
    <row r="895">
      <c r="A895" s="147"/>
      <c r="B895" s="147"/>
      <c r="C895" s="147"/>
      <c r="D895" s="147"/>
      <c r="E895" s="147"/>
      <c r="F895" s="147"/>
      <c r="G895" s="147"/>
      <c r="H895" s="262"/>
      <c r="I895" s="147"/>
      <c r="J895" s="147"/>
      <c r="K895" s="147"/>
      <c r="L895" s="147"/>
      <c r="M895" s="147"/>
      <c r="N895" s="147"/>
      <c r="O895" s="147"/>
      <c r="P895" s="147"/>
      <c r="Q895" s="147"/>
      <c r="R895" s="147"/>
      <c r="S895" s="147"/>
      <c r="T895" s="147"/>
      <c r="U895" s="147"/>
      <c r="V895" s="147"/>
      <c r="W895" s="147"/>
      <c r="X895" s="147"/>
      <c r="Y895" s="147"/>
      <c r="Z895" s="147"/>
      <c r="AA895" s="147"/>
      <c r="AB895" s="147"/>
      <c r="AC895" s="147"/>
      <c r="AD895" s="147"/>
    </row>
    <row r="896">
      <c r="A896" s="147"/>
      <c r="B896" s="147"/>
      <c r="C896" s="147"/>
      <c r="D896" s="147"/>
      <c r="E896" s="147"/>
      <c r="F896" s="147"/>
      <c r="G896" s="147"/>
      <c r="H896" s="262"/>
      <c r="I896" s="147"/>
      <c r="J896" s="147"/>
      <c r="K896" s="147"/>
      <c r="L896" s="147"/>
      <c r="M896" s="147"/>
      <c r="N896" s="147"/>
      <c r="O896" s="147"/>
      <c r="P896" s="147"/>
      <c r="Q896" s="147"/>
      <c r="R896" s="147"/>
      <c r="S896" s="147"/>
      <c r="T896" s="147"/>
      <c r="U896" s="147"/>
      <c r="V896" s="147"/>
      <c r="W896" s="147"/>
      <c r="X896" s="147"/>
      <c r="Y896" s="147"/>
      <c r="Z896" s="147"/>
      <c r="AA896" s="147"/>
      <c r="AB896" s="147"/>
      <c r="AC896" s="147"/>
      <c r="AD896" s="147"/>
    </row>
    <row r="897">
      <c r="A897" s="147"/>
      <c r="B897" s="147"/>
      <c r="C897" s="147"/>
      <c r="D897" s="147"/>
      <c r="E897" s="147"/>
      <c r="F897" s="147"/>
      <c r="G897" s="147"/>
      <c r="H897" s="262"/>
      <c r="I897" s="147"/>
      <c r="J897" s="147"/>
      <c r="K897" s="147"/>
      <c r="L897" s="147"/>
      <c r="M897" s="147"/>
      <c r="N897" s="147"/>
      <c r="O897" s="147"/>
      <c r="P897" s="147"/>
      <c r="Q897" s="147"/>
      <c r="R897" s="147"/>
      <c r="S897" s="147"/>
      <c r="T897" s="147"/>
      <c r="U897" s="147"/>
      <c r="V897" s="147"/>
      <c r="W897" s="147"/>
      <c r="X897" s="147"/>
      <c r="Y897" s="147"/>
      <c r="Z897" s="147"/>
      <c r="AA897" s="147"/>
      <c r="AB897" s="147"/>
      <c r="AC897" s="147"/>
      <c r="AD897" s="147"/>
    </row>
    <row r="898">
      <c r="A898" s="147"/>
      <c r="B898" s="147"/>
      <c r="C898" s="147"/>
      <c r="D898" s="147"/>
      <c r="E898" s="147"/>
      <c r="F898" s="147"/>
      <c r="G898" s="147"/>
      <c r="H898" s="262"/>
      <c r="I898" s="147"/>
      <c r="J898" s="147"/>
      <c r="K898" s="147"/>
      <c r="L898" s="147"/>
      <c r="M898" s="147"/>
      <c r="N898" s="147"/>
      <c r="O898" s="147"/>
      <c r="P898" s="147"/>
      <c r="Q898" s="147"/>
      <c r="R898" s="147"/>
      <c r="S898" s="147"/>
      <c r="T898" s="147"/>
      <c r="U898" s="147"/>
      <c r="V898" s="147"/>
      <c r="W898" s="147"/>
      <c r="X898" s="147"/>
      <c r="Y898" s="147"/>
      <c r="Z898" s="147"/>
      <c r="AA898" s="147"/>
      <c r="AB898" s="147"/>
      <c r="AC898" s="147"/>
      <c r="AD898" s="147"/>
    </row>
    <row r="899">
      <c r="A899" s="147"/>
      <c r="B899" s="147"/>
      <c r="C899" s="147"/>
      <c r="D899" s="147"/>
      <c r="E899" s="147"/>
      <c r="F899" s="147"/>
      <c r="G899" s="147"/>
      <c r="H899" s="262"/>
      <c r="I899" s="147"/>
      <c r="J899" s="147"/>
      <c r="K899" s="147"/>
      <c r="L899" s="147"/>
      <c r="M899" s="147"/>
      <c r="N899" s="147"/>
      <c r="O899" s="147"/>
      <c r="P899" s="147"/>
      <c r="Q899" s="147"/>
      <c r="R899" s="147"/>
      <c r="S899" s="147"/>
      <c r="T899" s="147"/>
      <c r="U899" s="147"/>
      <c r="V899" s="147"/>
      <c r="W899" s="147"/>
      <c r="X899" s="147"/>
      <c r="Y899" s="147"/>
      <c r="Z899" s="147"/>
      <c r="AA899" s="147"/>
      <c r="AB899" s="147"/>
      <c r="AC899" s="147"/>
      <c r="AD899" s="147"/>
    </row>
    <row r="900">
      <c r="A900" s="147"/>
      <c r="B900" s="147"/>
      <c r="C900" s="147"/>
      <c r="D900" s="147"/>
      <c r="E900" s="147"/>
      <c r="F900" s="147"/>
      <c r="G900" s="147"/>
      <c r="H900" s="262"/>
      <c r="I900" s="147"/>
      <c r="J900" s="147"/>
      <c r="K900" s="147"/>
      <c r="L900" s="147"/>
      <c r="M900" s="147"/>
      <c r="N900" s="147"/>
      <c r="O900" s="147"/>
      <c r="P900" s="147"/>
      <c r="Q900" s="147"/>
      <c r="R900" s="147"/>
      <c r="S900" s="147"/>
      <c r="T900" s="147"/>
      <c r="U900" s="147"/>
      <c r="V900" s="147"/>
      <c r="W900" s="147"/>
      <c r="X900" s="147"/>
      <c r="Y900" s="147"/>
      <c r="Z900" s="147"/>
      <c r="AA900" s="147"/>
      <c r="AB900" s="147"/>
      <c r="AC900" s="147"/>
      <c r="AD900" s="147"/>
    </row>
    <row r="901">
      <c r="A901" s="147"/>
      <c r="B901" s="147"/>
      <c r="C901" s="147"/>
      <c r="D901" s="147"/>
      <c r="E901" s="147"/>
      <c r="F901" s="147"/>
      <c r="G901" s="147"/>
      <c r="H901" s="262"/>
      <c r="I901" s="147"/>
      <c r="J901" s="147"/>
      <c r="K901" s="147"/>
      <c r="L901" s="147"/>
      <c r="M901" s="147"/>
      <c r="N901" s="147"/>
      <c r="O901" s="147"/>
      <c r="P901" s="147"/>
      <c r="Q901" s="147"/>
      <c r="R901" s="147"/>
      <c r="S901" s="147"/>
      <c r="T901" s="147"/>
      <c r="U901" s="147"/>
      <c r="V901" s="147"/>
      <c r="W901" s="147"/>
      <c r="X901" s="147"/>
      <c r="Y901" s="147"/>
      <c r="Z901" s="147"/>
      <c r="AA901" s="147"/>
      <c r="AB901" s="147"/>
      <c r="AC901" s="147"/>
      <c r="AD901" s="147"/>
    </row>
    <row r="902">
      <c r="A902" s="147"/>
      <c r="B902" s="147"/>
      <c r="C902" s="147"/>
      <c r="D902" s="147"/>
      <c r="E902" s="147"/>
      <c r="F902" s="147"/>
      <c r="G902" s="147"/>
      <c r="H902" s="262"/>
      <c r="I902" s="147"/>
      <c r="J902" s="147"/>
      <c r="K902" s="147"/>
      <c r="L902" s="147"/>
      <c r="M902" s="147"/>
      <c r="N902" s="147"/>
      <c r="O902" s="147"/>
      <c r="P902" s="147"/>
      <c r="Q902" s="147"/>
      <c r="R902" s="147"/>
      <c r="S902" s="147"/>
      <c r="T902" s="147"/>
      <c r="U902" s="147"/>
      <c r="V902" s="147"/>
      <c r="W902" s="147"/>
      <c r="X902" s="147"/>
      <c r="Y902" s="147"/>
      <c r="Z902" s="147"/>
      <c r="AA902" s="147"/>
      <c r="AB902" s="147"/>
      <c r="AC902" s="147"/>
      <c r="AD902" s="147"/>
    </row>
    <row r="903">
      <c r="A903" s="147"/>
      <c r="B903" s="147"/>
      <c r="C903" s="147"/>
      <c r="D903" s="147"/>
      <c r="E903" s="147"/>
      <c r="F903" s="147"/>
      <c r="G903" s="147"/>
      <c r="H903" s="262"/>
      <c r="I903" s="147"/>
      <c r="J903" s="147"/>
      <c r="K903" s="147"/>
      <c r="L903" s="147"/>
      <c r="M903" s="147"/>
      <c r="N903" s="147"/>
      <c r="O903" s="147"/>
      <c r="P903" s="147"/>
      <c r="Q903" s="147"/>
      <c r="R903" s="147"/>
      <c r="S903" s="147"/>
      <c r="T903" s="147"/>
      <c r="U903" s="147"/>
      <c r="V903" s="147"/>
      <c r="W903" s="147"/>
      <c r="X903" s="147"/>
      <c r="Y903" s="147"/>
      <c r="Z903" s="147"/>
      <c r="AA903" s="147"/>
      <c r="AB903" s="147"/>
      <c r="AC903" s="147"/>
      <c r="AD903" s="147"/>
    </row>
    <row r="904">
      <c r="A904" s="147"/>
      <c r="B904" s="147"/>
      <c r="C904" s="147"/>
      <c r="D904" s="147"/>
      <c r="E904" s="147"/>
      <c r="F904" s="147"/>
      <c r="G904" s="147"/>
      <c r="H904" s="262"/>
      <c r="I904" s="147"/>
      <c r="J904" s="147"/>
      <c r="K904" s="147"/>
      <c r="L904" s="147"/>
      <c r="M904" s="147"/>
      <c r="N904" s="147"/>
      <c r="O904" s="147"/>
      <c r="P904" s="147"/>
      <c r="Q904" s="147"/>
      <c r="R904" s="147"/>
      <c r="S904" s="147"/>
      <c r="T904" s="147"/>
      <c r="U904" s="147"/>
      <c r="V904" s="147"/>
      <c r="W904" s="147"/>
      <c r="X904" s="147"/>
      <c r="Y904" s="147"/>
      <c r="Z904" s="147"/>
      <c r="AA904" s="147"/>
      <c r="AB904" s="147"/>
      <c r="AC904" s="147"/>
      <c r="AD904" s="147"/>
    </row>
    <row r="905">
      <c r="A905" s="147"/>
      <c r="B905" s="147"/>
      <c r="C905" s="147"/>
      <c r="D905" s="147"/>
      <c r="E905" s="147"/>
      <c r="F905" s="147"/>
      <c r="G905" s="147"/>
      <c r="H905" s="262"/>
      <c r="I905" s="147"/>
      <c r="J905" s="147"/>
      <c r="K905" s="147"/>
      <c r="L905" s="147"/>
      <c r="M905" s="147"/>
      <c r="N905" s="147"/>
      <c r="O905" s="147"/>
      <c r="P905" s="147"/>
      <c r="Q905" s="147"/>
      <c r="R905" s="147"/>
      <c r="S905" s="147"/>
      <c r="T905" s="147"/>
      <c r="U905" s="147"/>
      <c r="V905" s="147"/>
      <c r="W905" s="147"/>
      <c r="X905" s="147"/>
      <c r="Y905" s="147"/>
      <c r="Z905" s="147"/>
      <c r="AA905" s="147"/>
      <c r="AB905" s="147"/>
      <c r="AC905" s="147"/>
      <c r="AD905" s="147"/>
    </row>
    <row r="906">
      <c r="A906" s="147"/>
      <c r="B906" s="147"/>
      <c r="C906" s="147"/>
      <c r="D906" s="147"/>
      <c r="E906" s="147"/>
      <c r="F906" s="147"/>
      <c r="G906" s="147"/>
      <c r="H906" s="262"/>
      <c r="I906" s="147"/>
      <c r="J906" s="147"/>
      <c r="K906" s="147"/>
      <c r="L906" s="147"/>
      <c r="M906" s="147"/>
      <c r="N906" s="147"/>
      <c r="O906" s="147"/>
      <c r="P906" s="147"/>
      <c r="Q906" s="147"/>
      <c r="R906" s="147"/>
      <c r="S906" s="147"/>
      <c r="T906" s="147"/>
      <c r="U906" s="147"/>
      <c r="V906" s="147"/>
      <c r="W906" s="147"/>
      <c r="X906" s="147"/>
      <c r="Y906" s="147"/>
      <c r="Z906" s="147"/>
      <c r="AA906" s="147"/>
      <c r="AB906" s="147"/>
      <c r="AC906" s="147"/>
      <c r="AD906" s="147"/>
    </row>
    <row r="907">
      <c r="A907" s="147"/>
      <c r="B907" s="147"/>
      <c r="C907" s="147"/>
      <c r="D907" s="147"/>
      <c r="E907" s="147"/>
      <c r="F907" s="147"/>
      <c r="G907" s="147"/>
      <c r="H907" s="262"/>
      <c r="I907" s="147"/>
      <c r="J907" s="147"/>
      <c r="K907" s="147"/>
      <c r="L907" s="147"/>
      <c r="M907" s="147"/>
      <c r="N907" s="147"/>
      <c r="O907" s="147"/>
      <c r="P907" s="147"/>
      <c r="Q907" s="147"/>
      <c r="R907" s="147"/>
      <c r="S907" s="147"/>
      <c r="T907" s="147"/>
      <c r="U907" s="147"/>
      <c r="V907" s="147"/>
      <c r="W907" s="147"/>
      <c r="X907" s="147"/>
      <c r="Y907" s="147"/>
      <c r="Z907" s="147"/>
      <c r="AA907" s="147"/>
      <c r="AB907" s="147"/>
      <c r="AC907" s="147"/>
      <c r="AD907" s="147"/>
    </row>
    <row r="908">
      <c r="A908" s="147"/>
      <c r="B908" s="147"/>
      <c r="C908" s="147"/>
      <c r="D908" s="147"/>
      <c r="E908" s="147"/>
      <c r="F908" s="147"/>
      <c r="G908" s="147"/>
      <c r="H908" s="262"/>
      <c r="I908" s="147"/>
      <c r="J908" s="147"/>
      <c r="K908" s="147"/>
      <c r="L908" s="147"/>
      <c r="M908" s="147"/>
      <c r="N908" s="147"/>
      <c r="O908" s="147"/>
      <c r="P908" s="147"/>
      <c r="Q908" s="147"/>
      <c r="R908" s="147"/>
      <c r="S908" s="147"/>
      <c r="T908" s="147"/>
      <c r="U908" s="147"/>
      <c r="V908" s="147"/>
      <c r="W908" s="147"/>
      <c r="X908" s="147"/>
      <c r="Y908" s="147"/>
      <c r="Z908" s="147"/>
      <c r="AA908" s="147"/>
      <c r="AB908" s="147"/>
      <c r="AC908" s="147"/>
      <c r="AD908" s="147"/>
    </row>
    <row r="909">
      <c r="A909" s="147"/>
      <c r="B909" s="147"/>
      <c r="C909" s="147"/>
      <c r="D909" s="147"/>
      <c r="E909" s="147"/>
      <c r="F909" s="147"/>
      <c r="G909" s="147"/>
      <c r="H909" s="262"/>
      <c r="I909" s="147"/>
      <c r="J909" s="147"/>
      <c r="K909" s="147"/>
      <c r="L909" s="147"/>
      <c r="M909" s="147"/>
      <c r="N909" s="147"/>
      <c r="O909" s="147"/>
      <c r="P909" s="147"/>
      <c r="Q909" s="147"/>
      <c r="R909" s="147"/>
      <c r="S909" s="147"/>
      <c r="T909" s="147"/>
      <c r="U909" s="147"/>
      <c r="V909" s="147"/>
      <c r="W909" s="147"/>
      <c r="X909" s="147"/>
      <c r="Y909" s="147"/>
      <c r="Z909" s="147"/>
      <c r="AA909" s="147"/>
      <c r="AB909" s="147"/>
      <c r="AC909" s="147"/>
      <c r="AD909" s="147"/>
    </row>
    <row r="910">
      <c r="A910" s="147"/>
      <c r="B910" s="147"/>
      <c r="C910" s="147"/>
      <c r="D910" s="147"/>
      <c r="E910" s="147"/>
      <c r="F910" s="147"/>
      <c r="G910" s="147"/>
      <c r="H910" s="262"/>
      <c r="I910" s="147"/>
      <c r="J910" s="147"/>
      <c r="K910" s="147"/>
      <c r="L910" s="147"/>
      <c r="M910" s="147"/>
      <c r="N910" s="147"/>
      <c r="O910" s="147"/>
      <c r="P910" s="147"/>
      <c r="Q910" s="147"/>
      <c r="R910" s="147"/>
      <c r="S910" s="147"/>
      <c r="T910" s="147"/>
      <c r="U910" s="147"/>
      <c r="V910" s="147"/>
      <c r="W910" s="147"/>
      <c r="X910" s="147"/>
      <c r="Y910" s="147"/>
      <c r="Z910" s="147"/>
      <c r="AA910" s="147"/>
      <c r="AB910" s="147"/>
      <c r="AC910" s="147"/>
      <c r="AD910" s="147"/>
    </row>
    <row r="911">
      <c r="A911" s="147"/>
      <c r="B911" s="147"/>
      <c r="C911" s="147"/>
      <c r="D911" s="147"/>
      <c r="E911" s="147"/>
      <c r="F911" s="147"/>
      <c r="G911" s="147"/>
      <c r="H911" s="262"/>
      <c r="I911" s="147"/>
      <c r="J911" s="147"/>
      <c r="K911" s="147"/>
      <c r="L911" s="147"/>
      <c r="M911" s="147"/>
      <c r="N911" s="147"/>
      <c r="O911" s="147"/>
      <c r="P911" s="147"/>
      <c r="Q911" s="147"/>
      <c r="R911" s="147"/>
      <c r="S911" s="147"/>
      <c r="T911" s="147"/>
      <c r="U911" s="147"/>
      <c r="V911" s="147"/>
      <c r="W911" s="147"/>
      <c r="X911" s="147"/>
      <c r="Y911" s="147"/>
      <c r="Z911" s="147"/>
      <c r="AA911" s="147"/>
      <c r="AB911" s="147"/>
      <c r="AC911" s="147"/>
      <c r="AD911" s="147"/>
    </row>
    <row r="912">
      <c r="A912" s="147"/>
      <c r="B912" s="147"/>
      <c r="C912" s="147"/>
      <c r="D912" s="147"/>
      <c r="E912" s="147"/>
      <c r="F912" s="147"/>
      <c r="G912" s="147"/>
      <c r="H912" s="262"/>
      <c r="I912" s="147"/>
      <c r="J912" s="147"/>
      <c r="K912" s="147"/>
      <c r="L912" s="147"/>
      <c r="M912" s="147"/>
      <c r="N912" s="147"/>
      <c r="O912" s="147"/>
      <c r="P912" s="147"/>
      <c r="Q912" s="147"/>
      <c r="R912" s="147"/>
      <c r="S912" s="147"/>
      <c r="T912" s="147"/>
      <c r="U912" s="147"/>
      <c r="V912" s="147"/>
      <c r="W912" s="147"/>
      <c r="X912" s="147"/>
      <c r="Y912" s="147"/>
      <c r="Z912" s="147"/>
      <c r="AA912" s="147"/>
      <c r="AB912" s="147"/>
      <c r="AC912" s="147"/>
      <c r="AD912" s="147"/>
    </row>
    <row r="913">
      <c r="A913" s="147"/>
      <c r="B913" s="147"/>
      <c r="C913" s="147"/>
      <c r="D913" s="147"/>
      <c r="E913" s="147"/>
      <c r="F913" s="147"/>
      <c r="G913" s="147"/>
      <c r="H913" s="262"/>
      <c r="I913" s="147"/>
      <c r="J913" s="147"/>
      <c r="K913" s="147"/>
      <c r="L913" s="147"/>
      <c r="M913" s="147"/>
      <c r="N913" s="147"/>
      <c r="O913" s="147"/>
      <c r="P913" s="147"/>
      <c r="Q913" s="147"/>
      <c r="R913" s="147"/>
      <c r="S913" s="147"/>
      <c r="T913" s="147"/>
      <c r="U913" s="147"/>
      <c r="V913" s="147"/>
      <c r="W913" s="147"/>
      <c r="X913" s="147"/>
      <c r="Y913" s="147"/>
      <c r="Z913" s="147"/>
      <c r="AA913" s="147"/>
      <c r="AB913" s="147"/>
      <c r="AC913" s="147"/>
      <c r="AD913" s="147"/>
    </row>
    <row r="914">
      <c r="A914" s="147"/>
      <c r="B914" s="147"/>
      <c r="C914" s="147"/>
      <c r="D914" s="147"/>
      <c r="E914" s="147"/>
      <c r="F914" s="147"/>
      <c r="G914" s="147"/>
      <c r="H914" s="262"/>
      <c r="I914" s="147"/>
      <c r="J914" s="147"/>
      <c r="K914" s="147"/>
      <c r="L914" s="147"/>
      <c r="M914" s="147"/>
      <c r="N914" s="147"/>
      <c r="O914" s="147"/>
      <c r="P914" s="147"/>
      <c r="Q914" s="147"/>
      <c r="R914" s="147"/>
      <c r="S914" s="147"/>
      <c r="T914" s="147"/>
      <c r="U914" s="147"/>
      <c r="V914" s="147"/>
      <c r="W914" s="147"/>
      <c r="X914" s="147"/>
      <c r="Y914" s="147"/>
      <c r="Z914" s="147"/>
      <c r="AA914" s="147"/>
      <c r="AB914" s="147"/>
      <c r="AC914" s="147"/>
      <c r="AD914" s="147"/>
    </row>
    <row r="915">
      <c r="A915" s="147"/>
      <c r="B915" s="147"/>
      <c r="C915" s="147"/>
      <c r="D915" s="147"/>
      <c r="E915" s="147"/>
      <c r="F915" s="147"/>
      <c r="G915" s="147"/>
      <c r="H915" s="262"/>
      <c r="I915" s="147"/>
      <c r="J915" s="147"/>
      <c r="K915" s="147"/>
      <c r="L915" s="147"/>
      <c r="M915" s="147"/>
      <c r="N915" s="147"/>
      <c r="O915" s="147"/>
      <c r="P915" s="147"/>
      <c r="Q915" s="147"/>
      <c r="R915" s="147"/>
      <c r="S915" s="147"/>
      <c r="T915" s="147"/>
      <c r="U915" s="147"/>
      <c r="V915" s="147"/>
      <c r="W915" s="147"/>
      <c r="X915" s="147"/>
      <c r="Y915" s="147"/>
      <c r="Z915" s="147"/>
      <c r="AA915" s="147"/>
      <c r="AB915" s="147"/>
      <c r="AC915" s="147"/>
      <c r="AD915" s="147"/>
    </row>
    <row r="916">
      <c r="A916" s="147"/>
      <c r="B916" s="147"/>
      <c r="C916" s="147"/>
      <c r="D916" s="147"/>
      <c r="E916" s="147"/>
      <c r="F916" s="147"/>
      <c r="G916" s="147"/>
      <c r="H916" s="262"/>
      <c r="I916" s="147"/>
      <c r="J916" s="147"/>
      <c r="K916" s="147"/>
      <c r="L916" s="147"/>
      <c r="M916" s="147"/>
      <c r="N916" s="147"/>
      <c r="O916" s="147"/>
      <c r="P916" s="147"/>
      <c r="Q916" s="147"/>
      <c r="R916" s="147"/>
      <c r="S916" s="147"/>
      <c r="T916" s="147"/>
      <c r="U916" s="147"/>
      <c r="V916" s="147"/>
      <c r="W916" s="147"/>
      <c r="X916" s="147"/>
      <c r="Y916" s="147"/>
      <c r="Z916" s="147"/>
      <c r="AA916" s="147"/>
      <c r="AB916" s="147"/>
      <c r="AC916" s="147"/>
      <c r="AD916" s="147"/>
    </row>
    <row r="917">
      <c r="A917" s="147"/>
      <c r="B917" s="147"/>
      <c r="C917" s="147"/>
      <c r="D917" s="147"/>
      <c r="E917" s="147"/>
      <c r="F917" s="147"/>
      <c r="G917" s="147"/>
      <c r="H917" s="262"/>
      <c r="I917" s="147"/>
      <c r="J917" s="147"/>
      <c r="K917" s="147"/>
      <c r="L917" s="147"/>
      <c r="M917" s="147"/>
      <c r="N917" s="147"/>
      <c r="O917" s="147"/>
      <c r="P917" s="147"/>
      <c r="Q917" s="147"/>
      <c r="R917" s="147"/>
      <c r="S917" s="147"/>
      <c r="T917" s="147"/>
      <c r="U917" s="147"/>
      <c r="V917" s="147"/>
      <c r="W917" s="147"/>
      <c r="X917" s="147"/>
      <c r="Y917" s="147"/>
      <c r="Z917" s="147"/>
      <c r="AA917" s="147"/>
      <c r="AB917" s="147"/>
      <c r="AC917" s="147"/>
      <c r="AD917" s="147"/>
    </row>
    <row r="918">
      <c r="A918" s="147"/>
      <c r="B918" s="147"/>
      <c r="C918" s="147"/>
      <c r="D918" s="147"/>
      <c r="E918" s="147"/>
      <c r="F918" s="147"/>
      <c r="G918" s="147"/>
      <c r="H918" s="262"/>
      <c r="I918" s="147"/>
      <c r="J918" s="147"/>
      <c r="K918" s="147"/>
      <c r="L918" s="147"/>
      <c r="M918" s="147"/>
      <c r="N918" s="147"/>
      <c r="O918" s="147"/>
      <c r="P918" s="147"/>
      <c r="Q918" s="147"/>
      <c r="R918" s="147"/>
      <c r="S918" s="147"/>
      <c r="T918" s="147"/>
      <c r="U918" s="147"/>
      <c r="V918" s="147"/>
      <c r="W918" s="147"/>
      <c r="X918" s="147"/>
      <c r="Y918" s="147"/>
      <c r="Z918" s="147"/>
      <c r="AA918" s="147"/>
      <c r="AB918" s="147"/>
      <c r="AC918" s="147"/>
      <c r="AD918" s="147"/>
    </row>
    <row r="919">
      <c r="A919" s="147"/>
      <c r="B919" s="147"/>
      <c r="C919" s="147"/>
      <c r="D919" s="147"/>
      <c r="E919" s="147"/>
      <c r="F919" s="147"/>
      <c r="G919" s="147"/>
      <c r="H919" s="262"/>
      <c r="I919" s="147"/>
      <c r="J919" s="147"/>
      <c r="K919" s="147"/>
      <c r="L919" s="147"/>
      <c r="M919" s="147"/>
      <c r="N919" s="147"/>
      <c r="O919" s="147"/>
      <c r="P919" s="147"/>
      <c r="Q919" s="147"/>
      <c r="R919" s="147"/>
      <c r="S919" s="147"/>
      <c r="T919" s="147"/>
      <c r="U919" s="147"/>
      <c r="V919" s="147"/>
      <c r="W919" s="147"/>
      <c r="X919" s="147"/>
      <c r="Y919" s="147"/>
      <c r="Z919" s="147"/>
      <c r="AA919" s="147"/>
      <c r="AB919" s="147"/>
      <c r="AC919" s="147"/>
      <c r="AD919" s="147"/>
    </row>
    <row r="920">
      <c r="A920" s="147"/>
      <c r="B920" s="147"/>
      <c r="C920" s="147"/>
      <c r="D920" s="147"/>
      <c r="E920" s="147"/>
      <c r="F920" s="147"/>
      <c r="G920" s="147"/>
      <c r="H920" s="262"/>
      <c r="I920" s="147"/>
      <c r="J920" s="147"/>
      <c r="K920" s="147"/>
      <c r="L920" s="147"/>
      <c r="M920" s="147"/>
      <c r="N920" s="147"/>
      <c r="O920" s="147"/>
      <c r="P920" s="147"/>
      <c r="Q920" s="147"/>
      <c r="R920" s="147"/>
      <c r="S920" s="147"/>
      <c r="T920" s="147"/>
      <c r="U920" s="147"/>
      <c r="V920" s="147"/>
      <c r="W920" s="147"/>
      <c r="X920" s="147"/>
      <c r="Y920" s="147"/>
      <c r="Z920" s="147"/>
      <c r="AA920" s="147"/>
      <c r="AB920" s="147"/>
      <c r="AC920" s="147"/>
      <c r="AD920" s="147"/>
    </row>
    <row r="921">
      <c r="A921" s="147"/>
      <c r="B921" s="147"/>
      <c r="C921" s="147"/>
      <c r="D921" s="147"/>
      <c r="E921" s="147"/>
      <c r="F921" s="147"/>
      <c r="G921" s="147"/>
      <c r="H921" s="262"/>
      <c r="I921" s="147"/>
      <c r="J921" s="147"/>
      <c r="K921" s="147"/>
      <c r="L921" s="147"/>
      <c r="M921" s="147"/>
      <c r="N921" s="147"/>
      <c r="O921" s="147"/>
      <c r="P921" s="147"/>
      <c r="Q921" s="147"/>
      <c r="R921" s="147"/>
      <c r="S921" s="147"/>
      <c r="T921" s="147"/>
      <c r="U921" s="147"/>
      <c r="V921" s="147"/>
      <c r="W921" s="147"/>
      <c r="X921" s="147"/>
      <c r="Y921" s="147"/>
      <c r="Z921" s="147"/>
      <c r="AA921" s="147"/>
      <c r="AB921" s="147"/>
      <c r="AC921" s="147"/>
      <c r="AD921" s="147"/>
    </row>
    <row r="922">
      <c r="A922" s="147"/>
      <c r="B922" s="147"/>
      <c r="C922" s="147"/>
      <c r="D922" s="147"/>
      <c r="E922" s="147"/>
      <c r="F922" s="147"/>
      <c r="G922" s="147"/>
      <c r="H922" s="262"/>
      <c r="I922" s="147"/>
      <c r="J922" s="147"/>
      <c r="K922" s="147"/>
      <c r="L922" s="147"/>
      <c r="M922" s="147"/>
      <c r="N922" s="147"/>
      <c r="O922" s="147"/>
      <c r="P922" s="147"/>
      <c r="Q922" s="147"/>
      <c r="R922" s="147"/>
      <c r="S922" s="147"/>
      <c r="T922" s="147"/>
      <c r="U922" s="147"/>
      <c r="V922" s="147"/>
      <c r="W922" s="147"/>
      <c r="X922" s="147"/>
      <c r="Y922" s="147"/>
      <c r="Z922" s="147"/>
      <c r="AA922" s="147"/>
      <c r="AB922" s="147"/>
      <c r="AC922" s="147"/>
      <c r="AD922" s="147"/>
    </row>
    <row r="923">
      <c r="A923" s="147"/>
      <c r="B923" s="147"/>
      <c r="C923" s="147"/>
      <c r="D923" s="147"/>
      <c r="E923" s="147"/>
      <c r="F923" s="147"/>
      <c r="G923" s="147"/>
      <c r="H923" s="262"/>
      <c r="I923" s="147"/>
      <c r="J923" s="147"/>
      <c r="K923" s="147"/>
      <c r="L923" s="147"/>
      <c r="M923" s="147"/>
      <c r="N923" s="147"/>
      <c r="O923" s="147"/>
      <c r="P923" s="147"/>
      <c r="Q923" s="147"/>
      <c r="R923" s="147"/>
      <c r="S923" s="147"/>
      <c r="T923" s="147"/>
      <c r="U923" s="147"/>
      <c r="V923" s="147"/>
      <c r="W923" s="147"/>
      <c r="X923" s="147"/>
      <c r="Y923" s="147"/>
      <c r="Z923" s="147"/>
      <c r="AA923" s="147"/>
      <c r="AB923" s="147"/>
      <c r="AC923" s="147"/>
      <c r="AD923" s="147"/>
    </row>
    <row r="924">
      <c r="A924" s="147"/>
      <c r="B924" s="147"/>
      <c r="C924" s="147"/>
      <c r="D924" s="147"/>
      <c r="E924" s="147"/>
      <c r="F924" s="147"/>
      <c r="G924" s="147"/>
      <c r="H924" s="262"/>
      <c r="I924" s="147"/>
      <c r="J924" s="147"/>
      <c r="K924" s="147"/>
      <c r="L924" s="147"/>
      <c r="M924" s="147"/>
      <c r="N924" s="147"/>
      <c r="O924" s="147"/>
      <c r="P924" s="147"/>
      <c r="Q924" s="147"/>
      <c r="R924" s="147"/>
      <c r="S924" s="147"/>
      <c r="T924" s="147"/>
      <c r="U924" s="147"/>
      <c r="V924" s="147"/>
      <c r="W924" s="147"/>
      <c r="X924" s="147"/>
      <c r="Y924" s="147"/>
      <c r="Z924" s="147"/>
      <c r="AA924" s="147"/>
      <c r="AB924" s="147"/>
      <c r="AC924" s="147"/>
      <c r="AD924" s="147"/>
    </row>
    <row r="925">
      <c r="A925" s="147"/>
      <c r="B925" s="147"/>
      <c r="C925" s="147"/>
      <c r="D925" s="147"/>
      <c r="E925" s="147"/>
      <c r="F925" s="147"/>
      <c r="G925" s="147"/>
      <c r="H925" s="262"/>
      <c r="I925" s="147"/>
      <c r="J925" s="147"/>
      <c r="K925" s="147"/>
      <c r="L925" s="147"/>
      <c r="M925" s="147"/>
      <c r="N925" s="147"/>
      <c r="O925" s="147"/>
      <c r="P925" s="147"/>
      <c r="Q925" s="147"/>
      <c r="R925" s="147"/>
      <c r="S925" s="147"/>
      <c r="T925" s="147"/>
      <c r="U925" s="147"/>
      <c r="V925" s="147"/>
      <c r="W925" s="147"/>
      <c r="X925" s="147"/>
      <c r="Y925" s="147"/>
      <c r="Z925" s="147"/>
      <c r="AA925" s="147"/>
      <c r="AB925" s="147"/>
      <c r="AC925" s="147"/>
      <c r="AD925" s="147"/>
    </row>
    <row r="926">
      <c r="A926" s="147"/>
      <c r="B926" s="147"/>
      <c r="C926" s="147"/>
      <c r="D926" s="147"/>
      <c r="E926" s="147"/>
      <c r="F926" s="147"/>
      <c r="G926" s="147"/>
      <c r="H926" s="262"/>
      <c r="I926" s="147"/>
      <c r="J926" s="147"/>
      <c r="K926" s="147"/>
      <c r="L926" s="147"/>
      <c r="M926" s="147"/>
      <c r="N926" s="147"/>
      <c r="O926" s="147"/>
      <c r="P926" s="147"/>
      <c r="Q926" s="147"/>
      <c r="R926" s="147"/>
      <c r="S926" s="147"/>
      <c r="T926" s="147"/>
      <c r="U926" s="147"/>
      <c r="V926" s="147"/>
      <c r="W926" s="147"/>
      <c r="X926" s="147"/>
      <c r="Y926" s="147"/>
      <c r="Z926" s="147"/>
      <c r="AA926" s="147"/>
      <c r="AB926" s="147"/>
      <c r="AC926" s="147"/>
      <c r="AD926" s="147"/>
    </row>
    <row r="927">
      <c r="A927" s="147"/>
      <c r="B927" s="147"/>
      <c r="C927" s="147"/>
      <c r="D927" s="147"/>
      <c r="E927" s="147"/>
      <c r="F927" s="147"/>
      <c r="G927" s="147"/>
      <c r="H927" s="262"/>
      <c r="I927" s="147"/>
      <c r="J927" s="147"/>
      <c r="K927" s="147"/>
      <c r="L927" s="147"/>
      <c r="M927" s="147"/>
      <c r="N927" s="147"/>
      <c r="O927" s="147"/>
      <c r="P927" s="147"/>
      <c r="Q927" s="147"/>
      <c r="R927" s="147"/>
      <c r="S927" s="147"/>
      <c r="T927" s="147"/>
      <c r="U927" s="147"/>
      <c r="V927" s="147"/>
      <c r="W927" s="147"/>
      <c r="X927" s="147"/>
      <c r="Y927" s="147"/>
      <c r="Z927" s="147"/>
      <c r="AA927" s="147"/>
      <c r="AB927" s="147"/>
      <c r="AC927" s="147"/>
      <c r="AD927" s="147"/>
    </row>
    <row r="928">
      <c r="A928" s="147"/>
      <c r="B928" s="147"/>
      <c r="C928" s="147"/>
      <c r="D928" s="147"/>
      <c r="E928" s="147"/>
      <c r="F928" s="147"/>
      <c r="G928" s="147"/>
      <c r="H928" s="262"/>
      <c r="I928" s="147"/>
      <c r="J928" s="147"/>
      <c r="K928" s="147"/>
      <c r="L928" s="147"/>
      <c r="M928" s="147"/>
      <c r="N928" s="147"/>
      <c r="O928" s="147"/>
      <c r="P928" s="147"/>
      <c r="Q928" s="147"/>
      <c r="R928" s="147"/>
      <c r="S928" s="147"/>
      <c r="T928" s="147"/>
      <c r="U928" s="147"/>
      <c r="V928" s="147"/>
      <c r="W928" s="147"/>
      <c r="X928" s="147"/>
      <c r="Y928" s="147"/>
      <c r="Z928" s="147"/>
      <c r="AA928" s="147"/>
      <c r="AB928" s="147"/>
      <c r="AC928" s="147"/>
      <c r="AD928" s="147"/>
    </row>
    <row r="929">
      <c r="A929" s="147"/>
      <c r="B929" s="147"/>
      <c r="C929" s="147"/>
      <c r="D929" s="147"/>
      <c r="E929" s="147"/>
      <c r="F929" s="147"/>
      <c r="G929" s="147"/>
      <c r="H929" s="262"/>
      <c r="I929" s="147"/>
      <c r="J929" s="147"/>
      <c r="K929" s="147"/>
      <c r="L929" s="147"/>
      <c r="M929" s="147"/>
      <c r="N929" s="147"/>
      <c r="O929" s="147"/>
      <c r="P929" s="147"/>
      <c r="Q929" s="147"/>
      <c r="R929" s="147"/>
      <c r="S929" s="147"/>
      <c r="T929" s="147"/>
      <c r="U929" s="147"/>
      <c r="V929" s="147"/>
      <c r="W929" s="147"/>
      <c r="X929" s="147"/>
      <c r="Y929" s="147"/>
      <c r="Z929" s="147"/>
      <c r="AA929" s="147"/>
      <c r="AB929" s="147"/>
      <c r="AC929" s="147"/>
      <c r="AD929" s="147"/>
    </row>
    <row r="930">
      <c r="A930" s="147"/>
      <c r="B930" s="147"/>
      <c r="C930" s="147"/>
      <c r="D930" s="147"/>
      <c r="E930" s="147"/>
      <c r="F930" s="147"/>
      <c r="G930" s="147"/>
      <c r="H930" s="262"/>
      <c r="I930" s="147"/>
      <c r="J930" s="147"/>
      <c r="K930" s="147"/>
      <c r="L930" s="147"/>
      <c r="M930" s="147"/>
      <c r="N930" s="147"/>
      <c r="O930" s="147"/>
      <c r="P930" s="147"/>
      <c r="Q930" s="147"/>
      <c r="R930" s="147"/>
      <c r="S930" s="147"/>
      <c r="T930" s="147"/>
      <c r="U930" s="147"/>
      <c r="V930" s="147"/>
      <c r="W930" s="147"/>
      <c r="X930" s="147"/>
      <c r="Y930" s="147"/>
      <c r="Z930" s="147"/>
      <c r="AA930" s="147"/>
      <c r="AB930" s="147"/>
      <c r="AC930" s="147"/>
      <c r="AD930" s="147"/>
    </row>
    <row r="931">
      <c r="A931" s="147"/>
      <c r="B931" s="147"/>
      <c r="C931" s="147"/>
      <c r="D931" s="147"/>
      <c r="E931" s="147"/>
      <c r="F931" s="147"/>
      <c r="G931" s="147"/>
      <c r="H931" s="262"/>
      <c r="I931" s="147"/>
      <c r="J931" s="147"/>
      <c r="K931" s="147"/>
      <c r="L931" s="147"/>
      <c r="M931" s="147"/>
      <c r="N931" s="147"/>
      <c r="O931" s="147"/>
      <c r="P931" s="147"/>
      <c r="Q931" s="147"/>
      <c r="R931" s="147"/>
      <c r="S931" s="147"/>
      <c r="T931" s="147"/>
      <c r="U931" s="147"/>
      <c r="V931" s="147"/>
      <c r="W931" s="147"/>
      <c r="X931" s="147"/>
      <c r="Y931" s="147"/>
      <c r="Z931" s="147"/>
      <c r="AA931" s="147"/>
      <c r="AB931" s="147"/>
      <c r="AC931" s="147"/>
      <c r="AD931" s="147"/>
    </row>
    <row r="932">
      <c r="A932" s="147"/>
      <c r="B932" s="147"/>
      <c r="C932" s="147"/>
      <c r="D932" s="147"/>
      <c r="E932" s="147"/>
      <c r="F932" s="147"/>
      <c r="G932" s="147"/>
      <c r="H932" s="262"/>
      <c r="I932" s="147"/>
      <c r="J932" s="147"/>
      <c r="K932" s="147"/>
      <c r="L932" s="147"/>
      <c r="M932" s="147"/>
      <c r="N932" s="147"/>
      <c r="O932" s="147"/>
      <c r="P932" s="147"/>
      <c r="Q932" s="147"/>
      <c r="R932" s="147"/>
      <c r="S932" s="147"/>
      <c r="T932" s="147"/>
      <c r="U932" s="147"/>
      <c r="V932" s="147"/>
      <c r="W932" s="147"/>
      <c r="X932" s="147"/>
      <c r="Y932" s="147"/>
      <c r="Z932" s="147"/>
      <c r="AA932" s="147"/>
      <c r="AB932" s="147"/>
      <c r="AC932" s="147"/>
      <c r="AD932" s="147"/>
    </row>
    <row r="933">
      <c r="A933" s="147"/>
      <c r="B933" s="147"/>
      <c r="C933" s="147"/>
      <c r="D933" s="147"/>
      <c r="E933" s="147"/>
      <c r="F933" s="147"/>
      <c r="G933" s="147"/>
      <c r="H933" s="262"/>
      <c r="I933" s="147"/>
      <c r="J933" s="147"/>
      <c r="K933" s="147"/>
      <c r="L933" s="147"/>
      <c r="M933" s="147"/>
      <c r="N933" s="147"/>
      <c r="O933" s="147"/>
      <c r="P933" s="147"/>
      <c r="Q933" s="147"/>
      <c r="R933" s="147"/>
      <c r="S933" s="147"/>
      <c r="T933" s="147"/>
      <c r="U933" s="147"/>
      <c r="V933" s="147"/>
      <c r="W933" s="147"/>
      <c r="X933" s="147"/>
      <c r="Y933" s="147"/>
      <c r="Z933" s="147"/>
      <c r="AA933" s="147"/>
      <c r="AB933" s="147"/>
      <c r="AC933" s="147"/>
      <c r="AD933" s="147"/>
    </row>
    <row r="934">
      <c r="A934" s="147"/>
      <c r="B934" s="147"/>
      <c r="C934" s="147"/>
      <c r="D934" s="147"/>
      <c r="E934" s="147"/>
      <c r="F934" s="147"/>
      <c r="G934" s="147"/>
      <c r="H934" s="262"/>
      <c r="I934" s="147"/>
      <c r="J934" s="147"/>
      <c r="K934" s="147"/>
      <c r="L934" s="147"/>
      <c r="M934" s="147"/>
      <c r="N934" s="147"/>
      <c r="O934" s="147"/>
      <c r="P934" s="147"/>
      <c r="Q934" s="147"/>
      <c r="R934" s="147"/>
      <c r="S934" s="147"/>
      <c r="T934" s="147"/>
      <c r="U934" s="147"/>
      <c r="V934" s="147"/>
      <c r="W934" s="147"/>
      <c r="X934" s="147"/>
      <c r="Y934" s="147"/>
      <c r="Z934" s="147"/>
      <c r="AA934" s="147"/>
      <c r="AB934" s="147"/>
      <c r="AC934" s="147"/>
      <c r="AD934" s="147"/>
    </row>
    <row r="935">
      <c r="A935" s="147"/>
      <c r="B935" s="147"/>
      <c r="C935" s="147"/>
      <c r="D935" s="147"/>
      <c r="E935" s="147"/>
      <c r="F935" s="147"/>
      <c r="G935" s="147"/>
      <c r="H935" s="262"/>
      <c r="I935" s="147"/>
      <c r="J935" s="147"/>
      <c r="K935" s="147"/>
      <c r="L935" s="147"/>
      <c r="M935" s="147"/>
      <c r="N935" s="147"/>
      <c r="O935" s="147"/>
      <c r="P935" s="147"/>
      <c r="Q935" s="147"/>
      <c r="R935" s="147"/>
      <c r="S935" s="147"/>
      <c r="T935" s="147"/>
      <c r="U935" s="147"/>
      <c r="V935" s="147"/>
      <c r="W935" s="147"/>
      <c r="X935" s="147"/>
      <c r="Y935" s="147"/>
      <c r="Z935" s="147"/>
      <c r="AA935" s="147"/>
      <c r="AB935" s="147"/>
      <c r="AC935" s="147"/>
      <c r="AD935" s="147"/>
    </row>
    <row r="936">
      <c r="A936" s="147"/>
      <c r="B936" s="147"/>
      <c r="C936" s="147"/>
      <c r="D936" s="147"/>
      <c r="E936" s="147"/>
      <c r="F936" s="147"/>
      <c r="G936" s="147"/>
      <c r="H936" s="262"/>
      <c r="I936" s="147"/>
      <c r="J936" s="147"/>
      <c r="K936" s="147"/>
      <c r="L936" s="147"/>
      <c r="M936" s="147"/>
      <c r="N936" s="147"/>
      <c r="O936" s="147"/>
      <c r="P936" s="147"/>
      <c r="Q936" s="147"/>
      <c r="R936" s="147"/>
      <c r="S936" s="147"/>
      <c r="T936" s="147"/>
      <c r="U936" s="147"/>
      <c r="V936" s="147"/>
      <c r="W936" s="147"/>
      <c r="X936" s="147"/>
      <c r="Y936" s="147"/>
      <c r="Z936" s="147"/>
      <c r="AA936" s="147"/>
      <c r="AB936" s="147"/>
      <c r="AC936" s="147"/>
      <c r="AD936" s="147"/>
    </row>
    <row r="937">
      <c r="A937" s="147"/>
      <c r="B937" s="147"/>
      <c r="C937" s="147"/>
      <c r="D937" s="147"/>
      <c r="E937" s="147"/>
      <c r="F937" s="147"/>
      <c r="G937" s="147"/>
      <c r="H937" s="262"/>
      <c r="I937" s="147"/>
      <c r="J937" s="147"/>
      <c r="K937" s="147"/>
      <c r="L937" s="147"/>
      <c r="M937" s="147"/>
      <c r="N937" s="147"/>
      <c r="O937" s="147"/>
      <c r="P937" s="147"/>
      <c r="Q937" s="147"/>
      <c r="R937" s="147"/>
      <c r="S937" s="147"/>
      <c r="T937" s="147"/>
      <c r="U937" s="147"/>
      <c r="V937" s="147"/>
      <c r="W937" s="147"/>
      <c r="X937" s="147"/>
      <c r="Y937" s="147"/>
      <c r="Z937" s="147"/>
      <c r="AA937" s="147"/>
      <c r="AB937" s="147"/>
      <c r="AC937" s="147"/>
      <c r="AD937" s="147"/>
    </row>
    <row r="938">
      <c r="A938" s="147"/>
      <c r="B938" s="147"/>
      <c r="C938" s="147"/>
      <c r="D938" s="147"/>
      <c r="E938" s="147"/>
      <c r="F938" s="147"/>
      <c r="G938" s="147"/>
      <c r="H938" s="262"/>
      <c r="I938" s="147"/>
      <c r="J938" s="147"/>
      <c r="K938" s="147"/>
      <c r="L938" s="147"/>
      <c r="M938" s="147"/>
      <c r="N938" s="147"/>
      <c r="O938" s="147"/>
      <c r="P938" s="147"/>
      <c r="Q938" s="147"/>
      <c r="R938" s="147"/>
      <c r="S938" s="147"/>
      <c r="T938" s="147"/>
      <c r="U938" s="147"/>
      <c r="V938" s="147"/>
      <c r="W938" s="147"/>
      <c r="X938" s="147"/>
      <c r="Y938" s="147"/>
      <c r="Z938" s="147"/>
      <c r="AA938" s="147"/>
      <c r="AB938" s="147"/>
      <c r="AC938" s="147"/>
      <c r="AD938" s="147"/>
    </row>
    <row r="939">
      <c r="A939" s="147"/>
      <c r="B939" s="147"/>
      <c r="C939" s="147"/>
      <c r="D939" s="147"/>
      <c r="E939" s="147"/>
      <c r="F939" s="147"/>
      <c r="G939" s="147"/>
      <c r="H939" s="262"/>
      <c r="I939" s="147"/>
      <c r="J939" s="147"/>
      <c r="K939" s="147"/>
      <c r="L939" s="147"/>
      <c r="M939" s="147"/>
      <c r="N939" s="147"/>
      <c r="O939" s="147"/>
      <c r="P939" s="147"/>
      <c r="Q939" s="147"/>
      <c r="R939" s="147"/>
      <c r="S939" s="147"/>
      <c r="T939" s="147"/>
      <c r="U939" s="147"/>
      <c r="V939" s="147"/>
      <c r="W939" s="147"/>
      <c r="X939" s="147"/>
      <c r="Y939" s="147"/>
      <c r="Z939" s="147"/>
      <c r="AA939" s="147"/>
      <c r="AB939" s="147"/>
      <c r="AC939" s="147"/>
      <c r="AD939" s="147"/>
    </row>
    <row r="940">
      <c r="A940" s="147"/>
      <c r="B940" s="147"/>
      <c r="C940" s="147"/>
      <c r="D940" s="147"/>
      <c r="E940" s="147"/>
      <c r="F940" s="147"/>
      <c r="G940" s="147"/>
      <c r="H940" s="262"/>
      <c r="I940" s="147"/>
      <c r="J940" s="147"/>
      <c r="K940" s="147"/>
      <c r="L940" s="147"/>
      <c r="M940" s="147"/>
      <c r="N940" s="147"/>
      <c r="O940" s="147"/>
      <c r="P940" s="147"/>
      <c r="Q940" s="147"/>
      <c r="R940" s="147"/>
      <c r="S940" s="147"/>
      <c r="T940" s="147"/>
      <c r="U940" s="147"/>
      <c r="V940" s="147"/>
      <c r="W940" s="147"/>
      <c r="X940" s="147"/>
      <c r="Y940" s="147"/>
      <c r="Z940" s="147"/>
      <c r="AA940" s="147"/>
      <c r="AB940" s="147"/>
      <c r="AC940" s="147"/>
      <c r="AD940" s="147"/>
    </row>
    <row r="941">
      <c r="A941" s="147"/>
      <c r="B941" s="147"/>
      <c r="C941" s="147"/>
      <c r="D941" s="147"/>
      <c r="E941" s="147"/>
      <c r="F941" s="147"/>
      <c r="G941" s="147"/>
      <c r="H941" s="262"/>
      <c r="I941" s="147"/>
      <c r="J941" s="147"/>
      <c r="K941" s="147"/>
      <c r="L941" s="147"/>
      <c r="M941" s="147"/>
      <c r="N941" s="147"/>
      <c r="O941" s="147"/>
      <c r="P941" s="147"/>
      <c r="Q941" s="147"/>
      <c r="R941" s="147"/>
      <c r="S941" s="147"/>
      <c r="T941" s="147"/>
      <c r="U941" s="147"/>
      <c r="V941" s="147"/>
      <c r="W941" s="147"/>
      <c r="X941" s="147"/>
      <c r="Y941" s="147"/>
      <c r="Z941" s="147"/>
      <c r="AA941" s="147"/>
      <c r="AB941" s="147"/>
      <c r="AC941" s="147"/>
      <c r="AD941" s="147"/>
    </row>
    <row r="942">
      <c r="A942" s="147"/>
      <c r="B942" s="147"/>
      <c r="C942" s="147"/>
      <c r="D942" s="147"/>
      <c r="E942" s="147"/>
      <c r="F942" s="147"/>
      <c r="G942" s="147"/>
      <c r="H942" s="262"/>
      <c r="I942" s="147"/>
      <c r="J942" s="147"/>
      <c r="K942" s="147"/>
      <c r="L942" s="147"/>
      <c r="M942" s="147"/>
      <c r="N942" s="147"/>
      <c r="O942" s="147"/>
      <c r="P942" s="147"/>
      <c r="Q942" s="147"/>
      <c r="R942" s="147"/>
      <c r="S942" s="147"/>
      <c r="T942" s="147"/>
      <c r="U942" s="147"/>
      <c r="V942" s="147"/>
      <c r="W942" s="147"/>
      <c r="X942" s="147"/>
      <c r="Y942" s="147"/>
      <c r="Z942" s="147"/>
      <c r="AA942" s="147"/>
      <c r="AB942" s="147"/>
      <c r="AC942" s="147"/>
      <c r="AD942" s="147"/>
    </row>
    <row r="943">
      <c r="A943" s="147"/>
      <c r="B943" s="147"/>
      <c r="C943" s="147"/>
      <c r="D943" s="147"/>
      <c r="E943" s="147"/>
      <c r="F943" s="147"/>
      <c r="G943" s="147"/>
      <c r="H943" s="262"/>
      <c r="I943" s="147"/>
      <c r="J943" s="147"/>
      <c r="K943" s="147"/>
      <c r="L943" s="147"/>
      <c r="M943" s="147"/>
      <c r="N943" s="147"/>
      <c r="O943" s="147"/>
      <c r="P943" s="147"/>
      <c r="Q943" s="147"/>
      <c r="R943" s="147"/>
      <c r="S943" s="147"/>
      <c r="T943" s="147"/>
      <c r="U943" s="147"/>
      <c r="V943" s="147"/>
      <c r="W943" s="147"/>
      <c r="X943" s="147"/>
      <c r="Y943" s="147"/>
      <c r="Z943" s="147"/>
      <c r="AA943" s="147"/>
      <c r="AB943" s="147"/>
      <c r="AC943" s="147"/>
      <c r="AD943" s="147"/>
    </row>
    <row r="944">
      <c r="A944" s="147"/>
      <c r="B944" s="147"/>
      <c r="C944" s="147"/>
      <c r="D944" s="147"/>
      <c r="E944" s="147"/>
      <c r="F944" s="147"/>
      <c r="G944" s="147"/>
      <c r="H944" s="262"/>
      <c r="I944" s="147"/>
      <c r="J944" s="147"/>
      <c r="K944" s="147"/>
      <c r="L944" s="147"/>
      <c r="M944" s="147"/>
      <c r="N944" s="147"/>
      <c r="O944" s="147"/>
      <c r="P944" s="147"/>
      <c r="Q944" s="147"/>
      <c r="R944" s="147"/>
      <c r="S944" s="147"/>
      <c r="T944" s="147"/>
      <c r="U944" s="147"/>
      <c r="V944" s="147"/>
      <c r="W944" s="147"/>
      <c r="X944" s="147"/>
      <c r="Y944" s="147"/>
      <c r="Z944" s="147"/>
      <c r="AA944" s="147"/>
      <c r="AB944" s="147"/>
      <c r="AC944" s="147"/>
      <c r="AD944" s="147"/>
    </row>
    <row r="945">
      <c r="A945" s="147"/>
      <c r="B945" s="147"/>
      <c r="C945" s="147"/>
      <c r="D945" s="147"/>
      <c r="E945" s="147"/>
      <c r="F945" s="147"/>
      <c r="G945" s="147"/>
      <c r="H945" s="262"/>
      <c r="I945" s="147"/>
      <c r="J945" s="147"/>
      <c r="K945" s="147"/>
      <c r="L945" s="147"/>
      <c r="M945" s="147"/>
      <c r="N945" s="147"/>
      <c r="O945" s="147"/>
      <c r="P945" s="147"/>
      <c r="Q945" s="147"/>
      <c r="R945" s="147"/>
      <c r="S945" s="147"/>
      <c r="T945" s="147"/>
      <c r="U945" s="147"/>
      <c r="V945" s="147"/>
      <c r="W945" s="147"/>
      <c r="X945" s="147"/>
      <c r="Y945" s="147"/>
      <c r="Z945" s="147"/>
      <c r="AA945" s="147"/>
      <c r="AB945" s="147"/>
      <c r="AC945" s="147"/>
      <c r="AD945" s="147"/>
    </row>
    <row r="946">
      <c r="A946" s="147"/>
      <c r="B946" s="147"/>
      <c r="C946" s="147"/>
      <c r="D946" s="147"/>
      <c r="E946" s="147"/>
      <c r="F946" s="147"/>
      <c r="G946" s="147"/>
      <c r="H946" s="262"/>
      <c r="I946" s="147"/>
      <c r="J946" s="147"/>
      <c r="K946" s="147"/>
      <c r="L946" s="147"/>
      <c r="M946" s="147"/>
      <c r="N946" s="147"/>
      <c r="O946" s="147"/>
      <c r="P946" s="147"/>
      <c r="Q946" s="147"/>
      <c r="R946" s="147"/>
      <c r="S946" s="147"/>
      <c r="T946" s="147"/>
      <c r="U946" s="147"/>
      <c r="V946" s="147"/>
      <c r="W946" s="147"/>
      <c r="X946" s="147"/>
      <c r="Y946" s="147"/>
      <c r="Z946" s="147"/>
      <c r="AA946" s="147"/>
      <c r="AB946" s="147"/>
      <c r="AC946" s="147"/>
      <c r="AD946" s="147"/>
    </row>
    <row r="947">
      <c r="A947" s="147"/>
      <c r="B947" s="147"/>
      <c r="C947" s="147"/>
      <c r="D947" s="147"/>
      <c r="E947" s="147"/>
      <c r="F947" s="147"/>
      <c r="G947" s="147"/>
      <c r="H947" s="262"/>
      <c r="I947" s="147"/>
      <c r="J947" s="147"/>
      <c r="K947" s="147"/>
      <c r="L947" s="147"/>
      <c r="M947" s="147"/>
      <c r="N947" s="147"/>
      <c r="O947" s="147"/>
      <c r="P947" s="147"/>
      <c r="Q947" s="147"/>
      <c r="R947" s="147"/>
      <c r="S947" s="147"/>
      <c r="T947" s="147"/>
      <c r="U947" s="147"/>
      <c r="V947" s="147"/>
      <c r="W947" s="147"/>
      <c r="X947" s="147"/>
      <c r="Y947" s="147"/>
      <c r="Z947" s="147"/>
      <c r="AA947" s="147"/>
      <c r="AB947" s="147"/>
      <c r="AC947" s="147"/>
      <c r="AD947" s="147"/>
    </row>
    <row r="948">
      <c r="A948" s="147"/>
      <c r="B948" s="147"/>
      <c r="C948" s="147"/>
      <c r="D948" s="147"/>
      <c r="E948" s="147"/>
      <c r="F948" s="147"/>
      <c r="G948" s="147"/>
      <c r="H948" s="262"/>
      <c r="I948" s="147"/>
      <c r="J948" s="147"/>
      <c r="K948" s="147"/>
      <c r="L948" s="147"/>
      <c r="M948" s="147"/>
      <c r="N948" s="147"/>
      <c r="O948" s="147"/>
      <c r="P948" s="147"/>
      <c r="Q948" s="147"/>
      <c r="R948" s="147"/>
      <c r="S948" s="147"/>
      <c r="T948" s="147"/>
      <c r="U948" s="147"/>
      <c r="V948" s="147"/>
      <c r="W948" s="147"/>
      <c r="X948" s="147"/>
      <c r="Y948" s="147"/>
      <c r="Z948" s="147"/>
      <c r="AA948" s="147"/>
      <c r="AB948" s="147"/>
      <c r="AC948" s="147"/>
      <c r="AD948" s="147"/>
    </row>
    <row r="949">
      <c r="A949" s="147"/>
      <c r="B949" s="147"/>
      <c r="C949" s="147"/>
      <c r="D949" s="147"/>
      <c r="E949" s="147"/>
      <c r="F949" s="147"/>
      <c r="G949" s="147"/>
      <c r="H949" s="262"/>
      <c r="I949" s="147"/>
      <c r="J949" s="147"/>
      <c r="K949" s="147"/>
      <c r="L949" s="147"/>
      <c r="M949" s="147"/>
      <c r="N949" s="147"/>
      <c r="O949" s="147"/>
      <c r="P949" s="147"/>
      <c r="Q949" s="147"/>
      <c r="R949" s="147"/>
      <c r="S949" s="147"/>
      <c r="T949" s="147"/>
      <c r="U949" s="147"/>
      <c r="V949" s="147"/>
      <c r="W949" s="147"/>
      <c r="X949" s="147"/>
      <c r="Y949" s="147"/>
      <c r="Z949" s="147"/>
      <c r="AA949" s="147"/>
      <c r="AB949" s="147"/>
      <c r="AC949" s="147"/>
      <c r="AD949" s="147"/>
    </row>
    <row r="950">
      <c r="A950" s="147"/>
      <c r="B950" s="147"/>
      <c r="C950" s="147"/>
      <c r="D950" s="147"/>
      <c r="E950" s="147"/>
      <c r="F950" s="147"/>
      <c r="G950" s="147"/>
      <c r="H950" s="262"/>
      <c r="I950" s="147"/>
      <c r="J950" s="147"/>
      <c r="K950" s="147"/>
      <c r="L950" s="147"/>
      <c r="M950" s="147"/>
      <c r="N950" s="147"/>
      <c r="O950" s="147"/>
      <c r="P950" s="147"/>
      <c r="Q950" s="147"/>
      <c r="R950" s="147"/>
      <c r="S950" s="147"/>
      <c r="T950" s="147"/>
      <c r="U950" s="147"/>
      <c r="V950" s="147"/>
      <c r="W950" s="147"/>
      <c r="X950" s="147"/>
      <c r="Y950" s="147"/>
      <c r="Z950" s="147"/>
      <c r="AA950" s="147"/>
      <c r="AB950" s="147"/>
      <c r="AC950" s="147"/>
      <c r="AD950" s="147"/>
    </row>
    <row r="951">
      <c r="A951" s="147"/>
      <c r="B951" s="147"/>
      <c r="C951" s="147"/>
      <c r="D951" s="147"/>
      <c r="E951" s="147"/>
      <c r="F951" s="147"/>
      <c r="G951" s="147"/>
      <c r="H951" s="262"/>
      <c r="I951" s="147"/>
      <c r="J951" s="147"/>
      <c r="K951" s="147"/>
      <c r="L951" s="147"/>
      <c r="M951" s="147"/>
      <c r="N951" s="147"/>
      <c r="O951" s="147"/>
      <c r="P951" s="147"/>
      <c r="Q951" s="147"/>
      <c r="R951" s="147"/>
      <c r="S951" s="147"/>
      <c r="T951" s="147"/>
      <c r="U951" s="147"/>
      <c r="V951" s="147"/>
      <c r="W951" s="147"/>
      <c r="X951" s="147"/>
      <c r="Y951" s="147"/>
      <c r="Z951" s="147"/>
      <c r="AA951" s="147"/>
      <c r="AB951" s="147"/>
      <c r="AC951" s="147"/>
      <c r="AD951" s="147"/>
    </row>
    <row r="952">
      <c r="A952" s="147"/>
      <c r="B952" s="147"/>
      <c r="C952" s="147"/>
      <c r="D952" s="147"/>
      <c r="E952" s="147"/>
      <c r="F952" s="147"/>
      <c r="G952" s="147"/>
      <c r="H952" s="262"/>
      <c r="I952" s="147"/>
      <c r="J952" s="147"/>
      <c r="K952" s="147"/>
      <c r="L952" s="147"/>
      <c r="M952" s="147"/>
      <c r="N952" s="147"/>
      <c r="O952" s="147"/>
      <c r="P952" s="147"/>
      <c r="Q952" s="147"/>
      <c r="R952" s="147"/>
      <c r="S952" s="147"/>
      <c r="T952" s="147"/>
      <c r="U952" s="147"/>
      <c r="V952" s="147"/>
      <c r="W952" s="147"/>
      <c r="X952" s="147"/>
      <c r="Y952" s="147"/>
      <c r="Z952" s="147"/>
      <c r="AA952" s="147"/>
      <c r="AB952" s="147"/>
      <c r="AC952" s="147"/>
      <c r="AD952" s="147"/>
    </row>
    <row r="953">
      <c r="A953" s="147"/>
      <c r="B953" s="147"/>
      <c r="C953" s="147"/>
      <c r="D953" s="147"/>
      <c r="E953" s="147"/>
      <c r="F953" s="147"/>
      <c r="G953" s="147"/>
      <c r="H953" s="262"/>
      <c r="I953" s="147"/>
      <c r="J953" s="147"/>
      <c r="K953" s="147"/>
      <c r="L953" s="147"/>
      <c r="M953" s="147"/>
      <c r="N953" s="147"/>
      <c r="O953" s="147"/>
      <c r="P953" s="147"/>
      <c r="Q953" s="147"/>
      <c r="R953" s="147"/>
      <c r="S953" s="147"/>
      <c r="T953" s="147"/>
      <c r="U953" s="147"/>
      <c r="V953" s="147"/>
      <c r="W953" s="147"/>
      <c r="X953" s="147"/>
      <c r="Y953" s="147"/>
      <c r="Z953" s="147"/>
      <c r="AA953" s="147"/>
      <c r="AB953" s="147"/>
      <c r="AC953" s="147"/>
      <c r="AD953" s="147"/>
    </row>
    <row r="954">
      <c r="H954" s="271"/>
    </row>
    <row r="955">
      <c r="H955" s="271"/>
    </row>
    <row r="956">
      <c r="H956" s="271"/>
    </row>
    <row r="957">
      <c r="H957" s="271"/>
    </row>
    <row r="958">
      <c r="H958" s="271"/>
    </row>
  </sheetData>
  <dataValidations>
    <dataValidation type="list" allowBlank="1" showErrorMessage="1" sqref="I7:I19">
      <formula1>"June 29 morning,June 29 afternoon,June 30 morning,June 30 afternoon"</formula1>
    </dataValidation>
  </dataValidation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4" max="4" width="65.75"/>
    <col customWidth="1" min="5" max="5" width="9.63"/>
    <col customWidth="1" min="6" max="6" width="20.88"/>
    <col customWidth="1" min="7" max="7" width="107.5"/>
    <col customWidth="1" min="8" max="9" width="43.63"/>
    <col customWidth="1" min="10" max="10" width="65.75"/>
  </cols>
  <sheetData>
    <row r="1">
      <c r="A1" s="260" t="s">
        <v>3144</v>
      </c>
      <c r="B1" s="260"/>
      <c r="C1" s="260" t="s">
        <v>3145</v>
      </c>
      <c r="D1" s="260"/>
      <c r="E1" s="260"/>
      <c r="F1" s="260" t="s">
        <v>3146</v>
      </c>
      <c r="G1" s="272"/>
      <c r="H1" s="272" t="s">
        <v>3147</v>
      </c>
      <c r="I1" s="272"/>
      <c r="J1" s="272"/>
      <c r="K1" s="147"/>
      <c r="L1" s="147"/>
      <c r="M1" s="147"/>
      <c r="N1" s="147"/>
      <c r="O1" s="147"/>
      <c r="P1" s="147"/>
      <c r="Q1" s="147"/>
      <c r="R1" s="147"/>
      <c r="S1" s="147"/>
      <c r="T1" s="147"/>
      <c r="U1" s="147"/>
      <c r="V1" s="147"/>
      <c r="W1" s="147"/>
      <c r="X1" s="147"/>
      <c r="Y1" s="147"/>
      <c r="Z1" s="147"/>
      <c r="AA1" s="147"/>
      <c r="AB1" s="147"/>
      <c r="AC1" s="147"/>
      <c r="AD1" s="147"/>
      <c r="AE1" s="147"/>
      <c r="AF1" s="147"/>
      <c r="AG1" s="147"/>
    </row>
    <row r="2">
      <c r="A2" s="263" t="s">
        <v>3148</v>
      </c>
      <c r="B2" s="263"/>
      <c r="C2" s="264">
        <v>7.0</v>
      </c>
      <c r="D2" s="264"/>
      <c r="E2" s="264"/>
      <c r="F2" s="273">
        <f t="shared" ref="F2:F5" si="1">countif(#REF!,A2)</f>
        <v>0</v>
      </c>
      <c r="G2" s="150"/>
      <c r="H2" s="150"/>
      <c r="I2" s="150"/>
      <c r="J2" s="150"/>
      <c r="K2" s="147"/>
      <c r="L2" s="147"/>
      <c r="M2" s="274">
        <f>28/4</f>
        <v>7</v>
      </c>
      <c r="N2" s="147"/>
      <c r="O2" s="147"/>
      <c r="P2" s="147"/>
      <c r="Q2" s="147"/>
      <c r="R2" s="147"/>
      <c r="S2" s="147"/>
      <c r="T2" s="147"/>
      <c r="U2" s="147"/>
      <c r="V2" s="147"/>
      <c r="W2" s="147"/>
      <c r="X2" s="147"/>
      <c r="Y2" s="147"/>
      <c r="Z2" s="147"/>
      <c r="AA2" s="147"/>
      <c r="AB2" s="147"/>
      <c r="AC2" s="147"/>
      <c r="AD2" s="147"/>
      <c r="AE2" s="147"/>
      <c r="AF2" s="147"/>
      <c r="AG2" s="147"/>
    </row>
    <row r="3">
      <c r="A3" s="263" t="s">
        <v>3150</v>
      </c>
      <c r="B3" s="263"/>
      <c r="C3" s="264">
        <v>7.0</v>
      </c>
      <c r="D3" s="264"/>
      <c r="E3" s="264"/>
      <c r="F3" s="273">
        <f t="shared" si="1"/>
        <v>0</v>
      </c>
      <c r="G3" s="150"/>
      <c r="H3" s="150"/>
      <c r="I3" s="150"/>
      <c r="J3" s="275"/>
      <c r="K3" s="147"/>
      <c r="L3" s="147"/>
      <c r="M3" s="147"/>
      <c r="N3" s="147"/>
      <c r="O3" s="147"/>
      <c r="P3" s="147"/>
      <c r="Q3" s="147"/>
      <c r="R3" s="147"/>
      <c r="S3" s="147"/>
      <c r="T3" s="147"/>
      <c r="U3" s="147"/>
      <c r="V3" s="147"/>
      <c r="W3" s="147"/>
      <c r="X3" s="147"/>
      <c r="Y3" s="147"/>
      <c r="Z3" s="147"/>
      <c r="AA3" s="147"/>
      <c r="AB3" s="147"/>
      <c r="AC3" s="147"/>
      <c r="AD3" s="147"/>
      <c r="AE3" s="147"/>
      <c r="AF3" s="147"/>
      <c r="AG3" s="147"/>
    </row>
    <row r="4">
      <c r="A4" s="263" t="s">
        <v>3151</v>
      </c>
      <c r="B4" s="263"/>
      <c r="C4" s="264">
        <v>7.0</v>
      </c>
      <c r="D4" s="264"/>
      <c r="E4" s="264"/>
      <c r="F4" s="273">
        <f t="shared" si="1"/>
        <v>0</v>
      </c>
      <c r="G4" s="150"/>
      <c r="H4" s="150"/>
      <c r="I4" s="150"/>
      <c r="J4" s="150"/>
      <c r="K4" s="147"/>
      <c r="L4" s="147"/>
      <c r="M4" s="147"/>
      <c r="N4" s="147"/>
      <c r="O4" s="147"/>
      <c r="P4" s="147"/>
      <c r="Q4" s="147"/>
      <c r="R4" s="147"/>
      <c r="S4" s="147"/>
      <c r="T4" s="147"/>
      <c r="U4" s="147"/>
      <c r="V4" s="147"/>
      <c r="W4" s="147"/>
      <c r="X4" s="147"/>
      <c r="Y4" s="147"/>
      <c r="Z4" s="147"/>
      <c r="AA4" s="147"/>
      <c r="AB4" s="147"/>
      <c r="AC4" s="147"/>
      <c r="AD4" s="147"/>
      <c r="AE4" s="147"/>
      <c r="AF4" s="147"/>
      <c r="AG4" s="147"/>
    </row>
    <row r="5">
      <c r="A5" s="263" t="s">
        <v>3152</v>
      </c>
      <c r="B5" s="263"/>
      <c r="C5" s="264">
        <v>7.0</v>
      </c>
      <c r="D5" s="264"/>
      <c r="E5" s="264"/>
      <c r="F5" s="273">
        <f t="shared" si="1"/>
        <v>0</v>
      </c>
      <c r="G5" s="150"/>
      <c r="H5" s="150"/>
      <c r="I5" s="150"/>
      <c r="J5" s="150"/>
      <c r="K5" s="147"/>
      <c r="L5" s="147"/>
      <c r="M5" s="147"/>
      <c r="N5" s="147"/>
      <c r="O5" s="147"/>
      <c r="P5" s="147"/>
      <c r="Q5" s="147"/>
      <c r="R5" s="147"/>
      <c r="S5" s="147"/>
      <c r="T5" s="147"/>
      <c r="U5" s="147"/>
      <c r="V5" s="147"/>
      <c r="W5" s="147"/>
      <c r="X5" s="147"/>
      <c r="Y5" s="147"/>
      <c r="Z5" s="147"/>
      <c r="AA5" s="147"/>
      <c r="AB5" s="147"/>
      <c r="AC5" s="147"/>
      <c r="AD5" s="147"/>
      <c r="AE5" s="147"/>
      <c r="AF5" s="147"/>
      <c r="AG5" s="147"/>
    </row>
    <row r="6">
      <c r="A6" s="276" t="s">
        <v>3170</v>
      </c>
      <c r="B6" s="277" t="s">
        <v>2949</v>
      </c>
      <c r="C6" s="276" t="s">
        <v>3171</v>
      </c>
      <c r="D6" s="277" t="s">
        <v>3172</v>
      </c>
      <c r="E6" s="277" t="s">
        <v>3173</v>
      </c>
      <c r="F6" s="276" t="s">
        <v>3174</v>
      </c>
      <c r="G6" s="229" t="s">
        <v>3175</v>
      </c>
      <c r="H6" s="277" t="s">
        <v>3176</v>
      </c>
      <c r="I6" s="277" t="s">
        <v>3177</v>
      </c>
      <c r="J6" s="277" t="s">
        <v>2951</v>
      </c>
      <c r="K6" s="156"/>
      <c r="L6" s="147"/>
      <c r="M6" s="147"/>
      <c r="N6" s="147"/>
      <c r="O6" s="147"/>
      <c r="P6" s="147"/>
      <c r="Q6" s="147"/>
      <c r="R6" s="147"/>
      <c r="S6" s="147"/>
      <c r="T6" s="147"/>
      <c r="U6" s="147"/>
      <c r="V6" s="147"/>
      <c r="W6" s="147"/>
      <c r="X6" s="147"/>
      <c r="Y6" s="147"/>
      <c r="Z6" s="147"/>
      <c r="AA6" s="147"/>
      <c r="AB6" s="147"/>
      <c r="AC6" s="147"/>
      <c r="AD6" s="147"/>
      <c r="AE6" s="147"/>
      <c r="AF6" s="147"/>
      <c r="AG6" s="147"/>
    </row>
    <row r="7">
      <c r="A7" s="278" t="s">
        <v>27</v>
      </c>
      <c r="B7" s="278" t="str">
        <f t="shared" ref="B7:B10" si="2">concatenate(A7,"i")</f>
        <v>wk0100i</v>
      </c>
      <c r="C7" s="267" t="s">
        <v>3178</v>
      </c>
      <c r="D7" s="279" t="s">
        <v>3179</v>
      </c>
      <c r="E7" s="280" t="s">
        <v>3180</v>
      </c>
      <c r="F7" s="281" t="s">
        <v>3181</v>
      </c>
      <c r="G7" s="279" t="str">
        <f t="shared" ref="G7:G35" si="3">concatenate(F7," - ",H7,char(10),D7,char(10),E7)</f>
        <v>(AAIMVT) - 1st Workshop on Applied AI and Multimodal Visualization Technologies
Cesar Sanin, Edward Szczerbicki and Md Rafiqul Islam 
https://rafiqulislamcse24.wixsite.com/aaimvt-26</v>
      </c>
      <c r="H7" s="279" t="s">
        <v>3182</v>
      </c>
      <c r="I7" s="278" t="s">
        <v>3183</v>
      </c>
      <c r="J7" s="282" t="str">
        <f>IFERROR(__xludf.DUMMYFUNCTION("CONCATENATE(""https://dl.acm.org/doi/"",INDEX(FILTER('Sheridan Comp'!A:A,'Sheridan Comp'!C:C=B7),1))"),"https://dl.acm.org/doi/10.1145/3774905.3795604")</f>
        <v>https://dl.acm.org/doi/10.1145/3774905.3795604</v>
      </c>
      <c r="K7" s="279" t="s">
        <v>3182</v>
      </c>
      <c r="L7" s="147"/>
      <c r="M7" s="147"/>
      <c r="N7" s="147"/>
      <c r="O7" s="147"/>
      <c r="P7" s="147"/>
      <c r="Q7" s="147"/>
      <c r="R7" s="147"/>
      <c r="S7" s="147"/>
      <c r="T7" s="147"/>
      <c r="U7" s="147"/>
      <c r="V7" s="147"/>
      <c r="W7" s="147"/>
      <c r="X7" s="147"/>
      <c r="Y7" s="147"/>
      <c r="Z7" s="147"/>
      <c r="AA7" s="147"/>
      <c r="AB7" s="147"/>
      <c r="AC7" s="147"/>
      <c r="AD7" s="147"/>
      <c r="AE7" s="147"/>
      <c r="AF7" s="147"/>
      <c r="AG7" s="147"/>
    </row>
    <row r="8">
      <c r="A8" s="278" t="s">
        <v>64</v>
      </c>
      <c r="B8" s="278" t="str">
        <f t="shared" si="2"/>
        <v>wk0200i</v>
      </c>
      <c r="C8" s="267" t="s">
        <v>3178</v>
      </c>
      <c r="D8" s="279" t="s">
        <v>3184</v>
      </c>
      <c r="E8" s="280" t="s">
        <v>3185</v>
      </c>
      <c r="F8" s="281" t="s">
        <v>3186</v>
      </c>
      <c r="G8" s="279" t="str">
        <f t="shared" si="3"/>
        <v>(AiOfAi) - The Workshop on Adverse Impacts and Collateral Effects of Artificial Intelligence Technologies
Esma Aïmeur, Rim Ben Salem, Dorsaf Sallami, Julita Vassileva and Nora Boulahia-Cuppens 
https://sites.google.com/view/aiofai-2026/home</v>
      </c>
      <c r="H8" s="279" t="s">
        <v>3187</v>
      </c>
      <c r="I8" s="278" t="s">
        <v>3188</v>
      </c>
      <c r="J8" s="282" t="str">
        <f>IFERROR(__xludf.DUMMYFUNCTION("CONCATENATE(""https://dl.acm.org/doi/"",INDEX(FILTER('Sheridan Comp'!A:A,'Sheridan Comp'!C:C=B8),1))"),"https://dl.acm.org/doi/10.1145/3774905.3795468")</f>
        <v>https://dl.acm.org/doi/10.1145/3774905.3795468</v>
      </c>
      <c r="K8" s="279" t="s">
        <v>3187</v>
      </c>
      <c r="L8" s="147"/>
      <c r="M8" s="147"/>
      <c r="N8" s="147"/>
      <c r="O8" s="147"/>
      <c r="P8" s="147"/>
      <c r="Q8" s="147"/>
      <c r="R8" s="147"/>
      <c r="S8" s="147"/>
      <c r="T8" s="147"/>
      <c r="U8" s="147"/>
      <c r="V8" s="147"/>
      <c r="W8" s="147"/>
      <c r="X8" s="147"/>
      <c r="Y8" s="147"/>
      <c r="Z8" s="147"/>
      <c r="AA8" s="147"/>
      <c r="AB8" s="147"/>
      <c r="AC8" s="147"/>
      <c r="AD8" s="147"/>
      <c r="AE8" s="147"/>
      <c r="AF8" s="147"/>
      <c r="AG8" s="147"/>
    </row>
    <row r="9">
      <c r="A9" s="278" t="s">
        <v>51</v>
      </c>
      <c r="B9" s="278" t="str">
        <f t="shared" si="2"/>
        <v>wk0300i</v>
      </c>
      <c r="C9" s="267" t="s">
        <v>3178</v>
      </c>
      <c r="D9" s="279" t="s">
        <v>3189</v>
      </c>
      <c r="E9" s="280" t="s">
        <v>3190</v>
      </c>
      <c r="F9" s="281" t="s">
        <v>3191</v>
      </c>
      <c r="G9" s="279" t="str">
        <f t="shared" si="3"/>
        <v>(ALTARS 2026) - 4th Workshop on Augmented Intelligence in Technology-Assisted Review Systems
Giorgio Maria Di Nunzio, Evangelos Kanoulas and Prasenjit Majumder 
https://altars2026.dei.unipd.it/</v>
      </c>
      <c r="H9" s="279" t="s">
        <v>3192</v>
      </c>
      <c r="I9" s="278" t="s">
        <v>3193</v>
      </c>
      <c r="J9" s="282" t="str">
        <f>IFERROR(__xludf.DUMMYFUNCTION("CONCATENATE(""https://dl.acm.org/doi/"",INDEX(FILTER('Sheridan Comp'!A:A,'Sheridan Comp'!C:C=B9),1))"),"https://dl.acm.org/doi/10.1145/3774905.3795597")</f>
        <v>https://dl.acm.org/doi/10.1145/3774905.3795597</v>
      </c>
      <c r="K9" s="279" t="s">
        <v>3192</v>
      </c>
      <c r="L9" s="147"/>
      <c r="M9" s="147"/>
      <c r="N9" s="147"/>
      <c r="O9" s="147"/>
      <c r="P9" s="147"/>
      <c r="Q9" s="147"/>
      <c r="R9" s="147"/>
      <c r="S9" s="147"/>
      <c r="T9" s="147"/>
      <c r="U9" s="147"/>
      <c r="V9" s="147"/>
      <c r="W9" s="147"/>
      <c r="X9" s="147"/>
      <c r="Y9" s="147"/>
      <c r="Z9" s="147"/>
      <c r="AA9" s="147"/>
      <c r="AB9" s="147"/>
      <c r="AC9" s="147"/>
      <c r="AD9" s="147"/>
      <c r="AE9" s="147"/>
      <c r="AF9" s="147"/>
      <c r="AG9" s="147"/>
    </row>
    <row r="10">
      <c r="A10" s="278" t="s">
        <v>41</v>
      </c>
      <c r="B10" s="278" t="str">
        <f t="shared" si="2"/>
        <v>wk0400i</v>
      </c>
      <c r="C10" s="267" t="s">
        <v>3178</v>
      </c>
      <c r="D10" s="279" t="s">
        <v>3194</v>
      </c>
      <c r="E10" s="280" t="s">
        <v>3195</v>
      </c>
      <c r="F10" s="281" t="s">
        <v>3196</v>
      </c>
      <c r="G10" s="279" t="str">
        <f t="shared" si="3"/>
        <v>(BeyondFacts'26) - 6th International Workshop on Computational Methods for Online Discourse Analysis
Stefan Dietze, Dimitar Dimitrov, Pavlos Fafalios and Konstantin Todorov
https://beyondfacts2026.wordpress.com/</v>
      </c>
      <c r="H10" s="279" t="s">
        <v>3197</v>
      </c>
      <c r="I10" s="278" t="s">
        <v>3198</v>
      </c>
      <c r="J10" s="282" t="str">
        <f>IFERROR(__xludf.DUMMYFUNCTION("CONCATENATE(""https://dl.acm.org/doi/"",INDEX(FILTER('Sheridan Comp'!A:A,'Sheridan Comp'!C:C=B10),1))"),"https://dl.acm.org/doi/10.1145/3774905.3794642")</f>
        <v>https://dl.acm.org/doi/10.1145/3774905.3794642</v>
      </c>
      <c r="K10" s="279" t="s">
        <v>3197</v>
      </c>
      <c r="L10" s="147"/>
      <c r="M10" s="147"/>
      <c r="N10" s="147"/>
      <c r="O10" s="147"/>
      <c r="P10" s="147"/>
      <c r="Q10" s="147"/>
      <c r="R10" s="147"/>
      <c r="S10" s="147"/>
      <c r="T10" s="147"/>
      <c r="U10" s="147"/>
      <c r="V10" s="147"/>
      <c r="W10" s="147"/>
      <c r="X10" s="147"/>
      <c r="Y10" s="147"/>
      <c r="Z10" s="147"/>
      <c r="AA10" s="147"/>
      <c r="AB10" s="147"/>
      <c r="AC10" s="147"/>
      <c r="AD10" s="147"/>
      <c r="AE10" s="147"/>
      <c r="AF10" s="147"/>
      <c r="AG10" s="147"/>
    </row>
    <row r="11">
      <c r="A11" s="278" t="s">
        <v>47</v>
      </c>
      <c r="B11" s="278" t="s">
        <v>2809</v>
      </c>
      <c r="C11" s="267" t="s">
        <v>3199</v>
      </c>
      <c r="D11" s="279" t="s">
        <v>3200</v>
      </c>
      <c r="E11" s="280" t="s">
        <v>3201</v>
      </c>
      <c r="F11" s="281" t="s">
        <v>3202</v>
      </c>
      <c r="G11" s="279" t="str">
        <f t="shared" si="3"/>
        <v>(DHOW-MiLLA) part 1 - Joint Workshop on Diffusion of Harmful Content on Online Web and Countering Misinformation in the Age of LLMs and Agents
Thomas Mandl, Haiming Liu, Gautam Kishore Shahi, Amit Kumar Jaiswal, Durgesh Nandini, Luis-Daniel Ibáñez, Junichi Suga, Dai Yamamoto, Rahul Mishra, Rajakrishnan P. Rajkumar, Sagar Uprety, Sujit Kuma and Bornali Phukon
https://dhow-workshop.github.io/2026/</v>
      </c>
      <c r="H11" s="279" t="s">
        <v>3203</v>
      </c>
      <c r="I11" s="278" t="s">
        <v>3204</v>
      </c>
      <c r="J11" s="282" t="str">
        <f>IFERROR(__xludf.DUMMYFUNCTION("CONCATENATE(""https://dl.acm.org/doi/"",INDEX(FILTER('Sheridan Comp'!A:A,'Sheridan Comp'!C:C=B11),1))"),"https://dl.acm.org/doi/10.1145/3774905.3796481")</f>
        <v>https://dl.acm.org/doi/10.1145/3774905.3796481</v>
      </c>
      <c r="K11" s="279" t="s">
        <v>3203</v>
      </c>
      <c r="L11" s="147"/>
      <c r="M11" s="147"/>
      <c r="N11" s="147"/>
      <c r="O11" s="147"/>
      <c r="P11" s="147"/>
      <c r="Q11" s="147"/>
      <c r="R11" s="147"/>
      <c r="S11" s="147"/>
      <c r="T11" s="147"/>
      <c r="U11" s="147"/>
      <c r="V11" s="147"/>
      <c r="W11" s="147"/>
      <c r="X11" s="147"/>
      <c r="Y11" s="147"/>
      <c r="Z11" s="147"/>
      <c r="AA11" s="147"/>
      <c r="AB11" s="147"/>
      <c r="AC11" s="147"/>
      <c r="AD11" s="147"/>
      <c r="AE11" s="147"/>
      <c r="AF11" s="147"/>
      <c r="AG11" s="147"/>
    </row>
    <row r="12">
      <c r="A12" s="278" t="s">
        <v>60</v>
      </c>
      <c r="B12" s="278" t="s">
        <v>2809</v>
      </c>
      <c r="C12" s="267" t="s">
        <v>3199</v>
      </c>
      <c r="D12" s="279" t="s">
        <v>3200</v>
      </c>
      <c r="E12" s="280" t="s">
        <v>3205</v>
      </c>
      <c r="F12" s="281" t="s">
        <v>3206</v>
      </c>
      <c r="G12" s="279" t="str">
        <f t="shared" si="3"/>
        <v>(DHOW-MiLLA) part 2 - Joint Workshop on Diffusion of Harmful Content on Online Web and Countering Misinformation in the Age of LLMs and Agents
Thomas Mandl, Haiming Liu, Gautam Kishore Shahi, Amit Kumar Jaiswal, Durgesh Nandini, Luis-Daniel Ibáñez, Junichi Suga, Dai Yamamoto, Rahul Mishra, Rajakrishnan P. Rajkumar, Sagar Uprety, Sujit Kuma and Bornali Phukon
https://dhow-workshop.github.io/2026/</v>
      </c>
      <c r="H12" s="279" t="s">
        <v>3203</v>
      </c>
      <c r="I12" s="278" t="s">
        <v>3204</v>
      </c>
      <c r="J12" s="282" t="str">
        <f>IFERROR(__xludf.DUMMYFUNCTION("CONCATENATE(""https://dl.acm.org/doi/"",INDEX(FILTER('Sheridan Comp'!A:A,'Sheridan Comp'!C:C=B12),1))"),"https://dl.acm.org/doi/10.1145/3774905.3796481")</f>
        <v>https://dl.acm.org/doi/10.1145/3774905.3796481</v>
      </c>
      <c r="K12" s="279" t="s">
        <v>3203</v>
      </c>
      <c r="L12" s="147"/>
      <c r="M12" s="147"/>
      <c r="N12" s="147"/>
      <c r="O12" s="147"/>
      <c r="P12" s="147"/>
      <c r="Q12" s="147"/>
      <c r="R12" s="147"/>
      <c r="S12" s="147"/>
      <c r="T12" s="147"/>
      <c r="U12" s="147"/>
      <c r="V12" s="147"/>
      <c r="W12" s="147"/>
      <c r="X12" s="147"/>
      <c r="Y12" s="147"/>
      <c r="Z12" s="147"/>
      <c r="AA12" s="147"/>
      <c r="AB12" s="147"/>
      <c r="AC12" s="147"/>
      <c r="AD12" s="147"/>
      <c r="AE12" s="147"/>
      <c r="AF12" s="147"/>
      <c r="AG12" s="147"/>
    </row>
    <row r="13">
      <c r="A13" s="278" t="s">
        <v>48</v>
      </c>
      <c r="B13" s="278" t="s">
        <v>2610</v>
      </c>
      <c r="C13" s="267" t="s">
        <v>3199</v>
      </c>
      <c r="D13" s="279" t="s">
        <v>3207</v>
      </c>
      <c r="E13" s="280" t="s">
        <v>3208</v>
      </c>
      <c r="F13" s="281" t="s">
        <v>3209</v>
      </c>
      <c r="G13" s="279" t="str">
        <f t="shared" si="3"/>
        <v>(FAAW) part 1 - International Workshop on Foundations and Architectures for the Agentic Web
Abderrahmane Maaradji, Abul Ehtesham, Aditi Singh, Boualem Benatallah, Fatma Outay, Luca Muscariello, Pradyumna Chari, Ramesh Raskar, Sabrina Senatore and Yacine Sam 
https://faaw.univ-tours.fr/</v>
      </c>
      <c r="H13" s="279" t="s">
        <v>3210</v>
      </c>
      <c r="I13" s="278" t="s">
        <v>3211</v>
      </c>
      <c r="J13" s="282" t="str">
        <f>IFERROR(__xludf.DUMMYFUNCTION("CONCATENATE(""https://dl.acm.org/doi/"",INDEX(FILTER('Sheridan Comp'!A:A,'Sheridan Comp'!C:C=B13),1))"),"https://dl.acm.org/doi/10.1145/3774905.3795086")</f>
        <v>https://dl.acm.org/doi/10.1145/3774905.3795086</v>
      </c>
      <c r="K13" s="279" t="s">
        <v>3210</v>
      </c>
      <c r="L13" s="147"/>
      <c r="M13" s="147"/>
      <c r="N13" s="147"/>
      <c r="O13" s="147"/>
      <c r="P13" s="147"/>
      <c r="Q13" s="147"/>
      <c r="R13" s="147"/>
      <c r="S13" s="147"/>
      <c r="T13" s="147"/>
      <c r="U13" s="147"/>
      <c r="V13" s="147"/>
      <c r="W13" s="147"/>
      <c r="X13" s="147"/>
      <c r="Y13" s="147"/>
      <c r="Z13" s="147"/>
      <c r="AA13" s="147"/>
      <c r="AB13" s="147"/>
      <c r="AC13" s="147"/>
      <c r="AD13" s="147"/>
      <c r="AE13" s="147"/>
      <c r="AF13" s="147"/>
      <c r="AG13" s="147"/>
    </row>
    <row r="14">
      <c r="A14" s="278" t="s">
        <v>61</v>
      </c>
      <c r="B14" s="278" t="s">
        <v>2610</v>
      </c>
      <c r="C14" s="267" t="s">
        <v>3199</v>
      </c>
      <c r="D14" s="279" t="s">
        <v>3207</v>
      </c>
      <c r="E14" s="280" t="s">
        <v>3212</v>
      </c>
      <c r="F14" s="281" t="s">
        <v>3213</v>
      </c>
      <c r="G14" s="279" t="str">
        <f t="shared" si="3"/>
        <v>(FAAW) part 2 - International Workshop on Foundations and Architectures for the Agentic Web
Abderrahmane Maaradji, Abul Ehtesham, Aditi Singh, Boualem Benatallah, Fatma Outay, Luca Muscariello, Pradyumna Chari, Ramesh Raskar, Sabrina Senatore and Yacine Sam 
https://faaw.univ-tours.fr/</v>
      </c>
      <c r="H14" s="279" t="s">
        <v>3210</v>
      </c>
      <c r="I14" s="278" t="s">
        <v>3211</v>
      </c>
      <c r="J14" s="282" t="str">
        <f>IFERROR(__xludf.DUMMYFUNCTION("CONCATENATE(""https://dl.acm.org/doi/"",INDEX(FILTER('Sheridan Comp'!A:A,'Sheridan Comp'!C:C=B14),1))"),"https://dl.acm.org/doi/10.1145/3774905.3795086")</f>
        <v>https://dl.acm.org/doi/10.1145/3774905.3795086</v>
      </c>
      <c r="K14" s="279" t="s">
        <v>3210</v>
      </c>
      <c r="L14" s="147"/>
      <c r="M14" s="147"/>
      <c r="N14" s="147"/>
      <c r="O14" s="147"/>
      <c r="P14" s="147"/>
      <c r="Q14" s="147"/>
      <c r="R14" s="147"/>
      <c r="S14" s="147"/>
      <c r="T14" s="147"/>
      <c r="U14" s="147"/>
      <c r="V14" s="147"/>
      <c r="W14" s="147"/>
      <c r="X14" s="147"/>
      <c r="Y14" s="147"/>
      <c r="Z14" s="147"/>
      <c r="AA14" s="147"/>
      <c r="AB14" s="147"/>
      <c r="AC14" s="147"/>
      <c r="AD14" s="147"/>
      <c r="AE14" s="147"/>
      <c r="AF14" s="147"/>
      <c r="AG14" s="147"/>
    </row>
    <row r="15">
      <c r="A15" s="278" t="s">
        <v>52</v>
      </c>
      <c r="B15" s="278" t="s">
        <v>52</v>
      </c>
      <c r="C15" s="267" t="s">
        <v>3178</v>
      </c>
      <c r="D15" s="279" t="s">
        <v>3214</v>
      </c>
      <c r="E15" s="280" t="s">
        <v>3215</v>
      </c>
      <c r="F15" s="281" t="s">
        <v>3216</v>
      </c>
      <c r="G15" s="279" t="str">
        <f t="shared" si="3"/>
        <v>(FL@FM) - International Workshop on Federated Foundation Models for the Web 2026
Irwin King, Guodong Long, Zenglin Xu, Han Yu, Xiaoli Tang and Liping Yi 
https://federated-learning.org/fl@fm-www-2026/</v>
      </c>
      <c r="H15" s="279" t="s">
        <v>3217</v>
      </c>
      <c r="I15" s="278" t="s">
        <v>3218</v>
      </c>
      <c r="J15" s="282" t="str">
        <f>IFERROR(__xludf.DUMMYFUNCTION("CONCATENATE(""https://dl.acm.org/doi/"",INDEX(FILTER('Sheridan Comp'!A:A,'Sheridan Comp'!C:C=B15),1))"),"https://dl.acm.org/doi/10.1145/3774905.3796620")</f>
        <v>https://dl.acm.org/doi/10.1145/3774905.3796620</v>
      </c>
      <c r="K15" s="279" t="s">
        <v>3217</v>
      </c>
      <c r="L15" s="147"/>
      <c r="M15" s="147"/>
      <c r="N15" s="147"/>
      <c r="O15" s="147"/>
      <c r="P15" s="147"/>
      <c r="Q15" s="147"/>
      <c r="R15" s="147"/>
      <c r="S15" s="147"/>
      <c r="T15" s="147"/>
      <c r="U15" s="147"/>
      <c r="V15" s="147"/>
      <c r="W15" s="147"/>
      <c r="X15" s="147"/>
      <c r="Y15" s="147"/>
      <c r="Z15" s="147"/>
      <c r="AA15" s="147"/>
      <c r="AB15" s="147"/>
      <c r="AC15" s="147"/>
      <c r="AD15" s="147"/>
      <c r="AE15" s="147"/>
      <c r="AF15" s="147"/>
      <c r="AG15" s="147"/>
    </row>
    <row r="16">
      <c r="A16" s="278" t="s">
        <v>23</v>
      </c>
      <c r="B16" s="278" t="str">
        <f t="shared" ref="B16:B17" si="4">concatenate(A16,"i")</f>
        <v>wk0900i</v>
      </c>
      <c r="C16" s="267" t="s">
        <v>3178</v>
      </c>
      <c r="D16" s="279" t="s">
        <v>3219</v>
      </c>
      <c r="E16" s="280" t="s">
        <v>3220</v>
      </c>
      <c r="F16" s="281" t="s">
        <v>3221</v>
      </c>
      <c r="G16" s="279" t="str">
        <f t="shared" si="3"/>
        <v>(GLOW) - Graph-enhanced LLMs for Trustworthy Web Data Management
Gianluca Bonifazi, Stefano Cirillo, Eliana Pastor and Luca Virgili 
https://glow-workshop.github.io/www2026/</v>
      </c>
      <c r="H16" s="279" t="s">
        <v>3222</v>
      </c>
      <c r="I16" s="278" t="s">
        <v>3223</v>
      </c>
      <c r="J16" s="282" t="str">
        <f>IFERROR(__xludf.DUMMYFUNCTION("CONCATENATE(""https://dl.acm.org/doi/"",INDEX(FILTER('Sheridan Comp'!A:A,'Sheridan Comp'!C:C=B16),1))"),"https://dl.acm.org/doi/10.1145/3774905.3794648")</f>
        <v>https://dl.acm.org/doi/10.1145/3774905.3794648</v>
      </c>
      <c r="K16" s="279" t="s">
        <v>3222</v>
      </c>
      <c r="L16" s="147"/>
      <c r="M16" s="147"/>
      <c r="N16" s="147"/>
      <c r="O16" s="147"/>
      <c r="P16" s="147"/>
      <c r="Q16" s="147"/>
      <c r="R16" s="147"/>
      <c r="S16" s="147"/>
      <c r="T16" s="147"/>
      <c r="U16" s="147"/>
      <c r="V16" s="147"/>
      <c r="W16" s="147"/>
      <c r="X16" s="147"/>
      <c r="Y16" s="147"/>
      <c r="Z16" s="147"/>
      <c r="AA16" s="147"/>
      <c r="AB16" s="147"/>
      <c r="AC16" s="147"/>
      <c r="AD16" s="147"/>
      <c r="AE16" s="147"/>
      <c r="AF16" s="147"/>
      <c r="AG16" s="147"/>
    </row>
    <row r="17">
      <c r="A17" s="278" t="s">
        <v>46</v>
      </c>
      <c r="B17" s="278" t="str">
        <f t="shared" si="4"/>
        <v>wk1000i</v>
      </c>
      <c r="C17" s="267" t="s">
        <v>3178</v>
      </c>
      <c r="D17" s="279" t="s">
        <v>3224</v>
      </c>
      <c r="E17" s="280" t="s">
        <v>3225</v>
      </c>
      <c r="F17" s="281" t="s">
        <v>3226</v>
      </c>
      <c r="G17" s="279" t="str">
        <f t="shared" si="3"/>
        <v>(HCRS) - The 2nd Workshop on Human-Centered Recommender Systems
Kaike Zhang, Jiakai Tang, Du Su, Shuchang Liu, Julian McAuley, Lina Yao, Qi Cao, Yue Feng and Fei Sun 
https://hcrec.github.io/</v>
      </c>
      <c r="H17" s="279" t="s">
        <v>2496</v>
      </c>
      <c r="I17" s="278" t="s">
        <v>3227</v>
      </c>
      <c r="J17" s="282" t="str">
        <f>IFERROR(__xludf.DUMMYFUNCTION("CONCATENATE(""https://dl.acm.org/doi/"",INDEX(FILTER('Sheridan Comp'!A:A,'Sheridan Comp'!C:C=B17),1))"),"https://dl.acm.org/doi/10.1145/3774905.3794659")</f>
        <v>https://dl.acm.org/doi/10.1145/3774905.3794659</v>
      </c>
      <c r="K17" s="279" t="s">
        <v>2496</v>
      </c>
      <c r="L17" s="147"/>
      <c r="M17" s="147"/>
      <c r="N17" s="147"/>
      <c r="O17" s="147"/>
      <c r="P17" s="147"/>
      <c r="Q17" s="147"/>
      <c r="R17" s="147"/>
      <c r="S17" s="147"/>
      <c r="T17" s="147"/>
      <c r="U17" s="147"/>
      <c r="V17" s="147"/>
      <c r="W17" s="147"/>
      <c r="X17" s="147"/>
      <c r="Y17" s="147"/>
      <c r="Z17" s="147"/>
      <c r="AA17" s="147"/>
      <c r="AB17" s="147"/>
      <c r="AC17" s="147"/>
      <c r="AD17" s="147"/>
      <c r="AE17" s="147"/>
      <c r="AF17" s="147"/>
      <c r="AG17" s="147"/>
    </row>
    <row r="18">
      <c r="A18" s="278" t="s">
        <v>20</v>
      </c>
      <c r="B18" s="278" t="s">
        <v>2731</v>
      </c>
      <c r="C18" s="267" t="s">
        <v>3199</v>
      </c>
      <c r="D18" s="279" t="s">
        <v>3228</v>
      </c>
      <c r="E18" s="280" t="s">
        <v>3229</v>
      </c>
      <c r="F18" s="281" t="s">
        <v>3230</v>
      </c>
      <c r="G18" s="279" t="str">
        <f t="shared" si="3"/>
        <v>(LARS) part 1 - LLM &amp; Agents for Recommendation Systems
Keerthi Gopalakrishnan, Qi Xu, Aysenur Inan, Zhigang Hua, Shuang Yang and Luyi Ma 
https://llmandagents4recsys.github.io/</v>
      </c>
      <c r="H18" s="279" t="s">
        <v>3231</v>
      </c>
      <c r="I18" s="278" t="s">
        <v>3232</v>
      </c>
      <c r="J18" s="282" t="str">
        <f>IFERROR(__xludf.DUMMYFUNCTION("CONCATENATE(""https://dl.acm.org/doi/"",INDEX(FILTER('Sheridan Comp'!A:A,'Sheridan Comp'!C:C=B18),1))"),"https://dl.acm.org/doi/10.1145/3774905.3795718")</f>
        <v>https://dl.acm.org/doi/10.1145/3774905.3795718</v>
      </c>
      <c r="K18" s="279" t="s">
        <v>3231</v>
      </c>
      <c r="L18" s="147"/>
      <c r="M18" s="147"/>
      <c r="N18" s="147"/>
      <c r="O18" s="147"/>
      <c r="P18" s="147"/>
      <c r="Q18" s="147"/>
      <c r="R18" s="147"/>
      <c r="S18" s="147"/>
      <c r="T18" s="147"/>
      <c r="U18" s="147"/>
      <c r="V18" s="147"/>
      <c r="W18" s="147"/>
      <c r="X18" s="147"/>
      <c r="Y18" s="147"/>
      <c r="Z18" s="147"/>
      <c r="AA18" s="147"/>
      <c r="AB18" s="147"/>
      <c r="AC18" s="147"/>
      <c r="AD18" s="147"/>
      <c r="AE18" s="147"/>
      <c r="AF18" s="147"/>
      <c r="AG18" s="147"/>
    </row>
    <row r="19">
      <c r="A19" s="278" t="s">
        <v>36</v>
      </c>
      <c r="B19" s="278" t="s">
        <v>2731</v>
      </c>
      <c r="C19" s="267" t="s">
        <v>3199</v>
      </c>
      <c r="D19" s="279" t="s">
        <v>3228</v>
      </c>
      <c r="E19" s="280" t="s">
        <v>3233</v>
      </c>
      <c r="F19" s="281" t="s">
        <v>3234</v>
      </c>
      <c r="G19" s="279" t="str">
        <f t="shared" si="3"/>
        <v>(LARS) part 2 - LLM &amp; Agents for Recommendation Systems
Keerthi Gopalakrishnan, Qi Xu, Aysenur Inan, Zhigang Hua, Shuang Yang and Luyi Ma 
https://llmandagents4recsys.github.io/</v>
      </c>
      <c r="H19" s="279" t="s">
        <v>3231</v>
      </c>
      <c r="I19" s="278" t="s">
        <v>3232</v>
      </c>
      <c r="J19" s="282" t="str">
        <f>IFERROR(__xludf.DUMMYFUNCTION("CONCATENATE(""https://dl.acm.org/doi/"",INDEX(FILTER('Sheridan Comp'!A:A,'Sheridan Comp'!C:C=B19),1))"),"https://dl.acm.org/doi/10.1145/3774905.3795718")</f>
        <v>https://dl.acm.org/doi/10.1145/3774905.3795718</v>
      </c>
      <c r="K19" s="279" t="s">
        <v>3231</v>
      </c>
      <c r="L19" s="147"/>
      <c r="M19" s="147"/>
      <c r="N19" s="147"/>
      <c r="O19" s="147"/>
      <c r="P19" s="147"/>
      <c r="Q19" s="147"/>
      <c r="R19" s="147"/>
      <c r="S19" s="147"/>
      <c r="T19" s="147"/>
      <c r="U19" s="147"/>
      <c r="V19" s="147"/>
      <c r="W19" s="147"/>
      <c r="X19" s="147"/>
      <c r="Y19" s="147"/>
      <c r="Z19" s="147"/>
      <c r="AA19" s="147"/>
      <c r="AB19" s="147"/>
      <c r="AC19" s="147"/>
      <c r="AD19" s="147"/>
      <c r="AE19" s="147"/>
      <c r="AF19" s="147"/>
      <c r="AG19" s="147"/>
    </row>
    <row r="20">
      <c r="A20" s="278" t="s">
        <v>65</v>
      </c>
      <c r="B20" s="278" t="str">
        <f>concatenate(A20,"i")</f>
        <v>wk1200i</v>
      </c>
      <c r="C20" s="267" t="s">
        <v>3178</v>
      </c>
      <c r="D20" s="279" t="s">
        <v>3235</v>
      </c>
      <c r="E20" s="280" t="s">
        <v>3236</v>
      </c>
      <c r="F20" s="281" t="s">
        <v>3237</v>
      </c>
      <c r="G20" s="279" t="str">
        <f t="shared" si="3"/>
        <v>(MM4SG) - Fourth International Workshop on Multimodal Content Analysis for Social Good
Usman Naseem, Surendrabikram Thapa, Roy Ka-Wei Lee and Mehwish Nasim 
https://sites.google.com/view/mm4sg-webconf26</v>
      </c>
      <c r="H20" s="279" t="s">
        <v>3238</v>
      </c>
      <c r="I20" s="278" t="s">
        <v>3239</v>
      </c>
      <c r="J20" s="282" t="str">
        <f>IFERROR(__xludf.DUMMYFUNCTION("CONCATENATE(""https://dl.acm.org/doi/"",INDEX(FILTER('Sheridan Comp'!A:A,'Sheridan Comp'!C:C=B20),1))"),"https://dl.acm.org/doi/10.1145/3774905.3795452")</f>
        <v>https://dl.acm.org/doi/10.1145/3774905.3795452</v>
      </c>
      <c r="K20" s="279" t="s">
        <v>3238</v>
      </c>
      <c r="L20" s="147"/>
      <c r="M20" s="147"/>
      <c r="N20" s="147"/>
      <c r="O20" s="147"/>
      <c r="P20" s="147"/>
      <c r="Q20" s="147"/>
      <c r="R20" s="147"/>
      <c r="S20" s="147"/>
      <c r="T20" s="147"/>
      <c r="U20" s="147"/>
      <c r="V20" s="147"/>
      <c r="W20" s="147"/>
      <c r="X20" s="147"/>
      <c r="Y20" s="147"/>
      <c r="Z20" s="147"/>
      <c r="AA20" s="147"/>
      <c r="AB20" s="147"/>
      <c r="AC20" s="147"/>
      <c r="AD20" s="147"/>
      <c r="AE20" s="147"/>
      <c r="AF20" s="147"/>
      <c r="AG20" s="147"/>
    </row>
    <row r="21">
      <c r="A21" s="278" t="s">
        <v>40</v>
      </c>
      <c r="B21" s="278" t="s">
        <v>40</v>
      </c>
      <c r="C21" s="267" t="s">
        <v>3178</v>
      </c>
      <c r="D21" s="279" t="s">
        <v>3240</v>
      </c>
      <c r="E21" s="280" t="s">
        <v>3241</v>
      </c>
      <c r="F21" s="281" t="s">
        <v>3242</v>
      </c>
      <c r="G21" s="279" t="str">
        <f t="shared" si="3"/>
        <v>(PromptEng) - Third International Workshop on Prompt Engineering for Pre-Trained Language Models
Damien Graux, Sébastien Montella and Hajira Jabeen 
https://prompteng-ws.github.io/2026/</v>
      </c>
      <c r="H21" s="279" t="s">
        <v>3243</v>
      </c>
      <c r="I21" s="278" t="s">
        <v>3244</v>
      </c>
      <c r="J21" s="279" t="str">
        <f>IFERROR(__xludf.DUMMYFUNCTION("CONCATENATE(""https://dl.acm.org/doi/"",INDEX(FILTER('Sheridan Comp'!A:A,'Sheridan Comp'!C:C=B21),1))"),"#N/A")</f>
        <v>#N/A</v>
      </c>
      <c r="K21" s="283"/>
      <c r="L21" s="147"/>
      <c r="M21" s="147"/>
      <c r="N21" s="147"/>
      <c r="O21" s="147"/>
      <c r="P21" s="147"/>
      <c r="Q21" s="147"/>
      <c r="R21" s="147"/>
      <c r="S21" s="147"/>
      <c r="T21" s="147"/>
      <c r="U21" s="147"/>
      <c r="V21" s="147"/>
      <c r="W21" s="147"/>
      <c r="X21" s="147"/>
      <c r="Y21" s="147"/>
      <c r="Z21" s="147"/>
      <c r="AA21" s="147"/>
      <c r="AB21" s="147"/>
      <c r="AC21" s="147"/>
      <c r="AD21" s="147"/>
      <c r="AE21" s="147"/>
      <c r="AF21" s="147"/>
      <c r="AG21" s="147"/>
    </row>
    <row r="22">
      <c r="A22" s="278" t="s">
        <v>42</v>
      </c>
      <c r="B22" s="278" t="str">
        <f t="shared" ref="B22:B23" si="5">concatenate(A22,"i")</f>
        <v>wk1400i</v>
      </c>
      <c r="C22" s="267" t="s">
        <v>3178</v>
      </c>
      <c r="D22" s="279" t="s">
        <v>3245</v>
      </c>
      <c r="E22" s="280" t="s">
        <v>3246</v>
      </c>
      <c r="F22" s="281" t="s">
        <v>3247</v>
      </c>
      <c r="G22" s="279" t="str">
        <f t="shared" si="3"/>
        <v>(R2CASS) - The 2nd International Workshop on Social Science Meets Web Data: Reproducible and Reusable Computational Approaches
Fakhri Momeni, Arnim Bleier, Danilo Dessi and Muhammad Taimoor Khan 
https://sites.google.com/view/r2cass/home</v>
      </c>
      <c r="H22" s="279" t="s">
        <v>3248</v>
      </c>
      <c r="I22" s="278" t="s">
        <v>3249</v>
      </c>
      <c r="J22" s="282" t="str">
        <f>IFERROR(__xludf.DUMMYFUNCTION("CONCATENATE(""https://dl.acm.org/doi/"",INDEX(FILTER('Sheridan Comp'!A:A,'Sheridan Comp'!C:C=B22),1))"),"https://dl.acm.org/doi/10.1145/3774905.3795479")</f>
        <v>https://dl.acm.org/doi/10.1145/3774905.3795479</v>
      </c>
      <c r="K22" s="283"/>
      <c r="L22" s="147"/>
      <c r="M22" s="147"/>
      <c r="N22" s="147"/>
      <c r="O22" s="147"/>
      <c r="P22" s="147"/>
      <c r="Q22" s="147"/>
      <c r="R22" s="147"/>
      <c r="S22" s="147"/>
      <c r="T22" s="147"/>
      <c r="U22" s="147"/>
      <c r="V22" s="147"/>
      <c r="W22" s="147"/>
      <c r="X22" s="147"/>
      <c r="Y22" s="147"/>
      <c r="Z22" s="147"/>
      <c r="AA22" s="147"/>
      <c r="AB22" s="147"/>
      <c r="AC22" s="147"/>
      <c r="AD22" s="147"/>
      <c r="AE22" s="147"/>
      <c r="AF22" s="147"/>
      <c r="AG22" s="147"/>
    </row>
    <row r="23">
      <c r="A23" s="278" t="s">
        <v>39</v>
      </c>
      <c r="B23" s="278" t="str">
        <f t="shared" si="5"/>
        <v>wk1500i</v>
      </c>
      <c r="C23" s="267" t="s">
        <v>3178</v>
      </c>
      <c r="D23" s="279" t="s">
        <v>3250</v>
      </c>
      <c r="E23" s="280" t="s">
        <v>3251</v>
      </c>
      <c r="F23" s="281" t="s">
        <v>3252</v>
      </c>
      <c r="G23" s="279" t="str">
        <f t="shared" si="3"/>
        <v>(SemTech) - 4th International Workshop on AI and Semantic Technologies for the Scientific, Technical, and Legal Web
Rima Dessi', Jeenu Joy, Danilo Dessi', Francesco Osborne and Hidir Aras 
https://semtech4stld.github.io/</v>
      </c>
      <c r="H23" s="279" t="s">
        <v>3253</v>
      </c>
      <c r="I23" s="278" t="s">
        <v>3254</v>
      </c>
      <c r="J23" s="282" t="str">
        <f>IFERROR(__xludf.DUMMYFUNCTION("CONCATENATE(""https://dl.acm.org/doi/"",INDEX(FILTER('Sheridan Comp'!A:A,'Sheridan Comp'!C:C=B23),1))"),"https://dl.acm.org/doi/10.1145/3774905.3795078")</f>
        <v>https://dl.acm.org/doi/10.1145/3774905.3795078</v>
      </c>
      <c r="K23" s="283"/>
      <c r="L23" s="147"/>
      <c r="M23" s="147"/>
      <c r="N23" s="147"/>
      <c r="O23" s="147"/>
      <c r="P23" s="147"/>
      <c r="Q23" s="147"/>
      <c r="R23" s="147"/>
      <c r="S23" s="147"/>
      <c r="T23" s="147"/>
      <c r="U23" s="147"/>
      <c r="V23" s="147"/>
      <c r="W23" s="147"/>
      <c r="X23" s="147"/>
      <c r="Y23" s="147"/>
      <c r="Z23" s="147"/>
      <c r="AA23" s="147"/>
      <c r="AB23" s="147"/>
      <c r="AC23" s="147"/>
      <c r="AD23" s="147"/>
      <c r="AE23" s="147"/>
      <c r="AF23" s="147"/>
      <c r="AG23" s="147"/>
    </row>
    <row r="24">
      <c r="A24" s="278" t="s">
        <v>49</v>
      </c>
      <c r="B24" s="278" t="s">
        <v>2629</v>
      </c>
      <c r="C24" s="267" t="s">
        <v>3199</v>
      </c>
      <c r="D24" s="279" t="s">
        <v>3255</v>
      </c>
      <c r="E24" s="280" t="s">
        <v>3256</v>
      </c>
      <c r="F24" s="281" t="s">
        <v>3257</v>
      </c>
      <c r="G24" s="279" t="str">
        <f t="shared" si="3"/>
        <v>(TempWeb) part 1 - The 16th Temporal Web Analytics Workshop
Marc Spaniol, France Omar Alonso and Ricardo Baeza-Yates 
https://temporalweb.net/</v>
      </c>
      <c r="H24" s="279" t="s">
        <v>3258</v>
      </c>
      <c r="I24" s="278" t="s">
        <v>3259</v>
      </c>
      <c r="J24" s="282" t="str">
        <f>IFERROR(__xludf.DUMMYFUNCTION("CONCATENATE(""https://dl.acm.org/doi/"",INDEX(FILTER('Sheridan Comp'!A:A,'Sheridan Comp'!C:C=B24),1))"),"https://dl.acm.org/doi/10.1145/3774905.3795439")</f>
        <v>https://dl.acm.org/doi/10.1145/3774905.3795439</v>
      </c>
      <c r="K24" s="283"/>
      <c r="L24" s="147"/>
      <c r="M24" s="147"/>
      <c r="N24" s="147"/>
      <c r="O24" s="147"/>
      <c r="P24" s="147"/>
      <c r="Q24" s="147"/>
      <c r="R24" s="147"/>
      <c r="S24" s="147"/>
      <c r="T24" s="147"/>
      <c r="U24" s="147"/>
      <c r="V24" s="147"/>
      <c r="W24" s="147"/>
      <c r="X24" s="147"/>
      <c r="Y24" s="147"/>
      <c r="Z24" s="147"/>
      <c r="AA24" s="147"/>
      <c r="AB24" s="147"/>
      <c r="AC24" s="147"/>
      <c r="AD24" s="147"/>
      <c r="AE24" s="147"/>
      <c r="AF24" s="147"/>
      <c r="AG24" s="147"/>
    </row>
    <row r="25">
      <c r="A25" s="278" t="s">
        <v>62</v>
      </c>
      <c r="B25" s="278" t="s">
        <v>2629</v>
      </c>
      <c r="C25" s="267" t="s">
        <v>3199</v>
      </c>
      <c r="D25" s="279" t="s">
        <v>3255</v>
      </c>
      <c r="E25" s="280" t="s">
        <v>3260</v>
      </c>
      <c r="F25" s="281" t="s">
        <v>3261</v>
      </c>
      <c r="G25" s="279" t="str">
        <f t="shared" si="3"/>
        <v>(TempWeb) part 2 - The 16th Temporal Web Analytics Workshop
Marc Spaniol, France Omar Alonso and Ricardo Baeza-Yates 
https://temporalweb.net/</v>
      </c>
      <c r="H25" s="279" t="s">
        <v>3258</v>
      </c>
      <c r="I25" s="278" t="s">
        <v>3259</v>
      </c>
      <c r="J25" s="282" t="str">
        <f>IFERROR(__xludf.DUMMYFUNCTION("CONCATENATE(""https://dl.acm.org/doi/"",INDEX(FILTER('Sheridan Comp'!A:A,'Sheridan Comp'!C:C=B25),1))"),"https://dl.acm.org/doi/10.1145/3774905.3795439")</f>
        <v>https://dl.acm.org/doi/10.1145/3774905.3795439</v>
      </c>
      <c r="K25" s="283"/>
      <c r="L25" s="147"/>
      <c r="M25" s="147"/>
      <c r="N25" s="147"/>
      <c r="O25" s="147"/>
      <c r="P25" s="147"/>
      <c r="Q25" s="147"/>
      <c r="R25" s="147"/>
      <c r="S25" s="147"/>
      <c r="T25" s="147"/>
      <c r="U25" s="147"/>
      <c r="V25" s="147"/>
      <c r="W25" s="147"/>
      <c r="X25" s="147"/>
      <c r="Y25" s="147"/>
      <c r="Z25" s="147"/>
      <c r="AA25" s="147"/>
      <c r="AB25" s="147"/>
      <c r="AC25" s="147"/>
      <c r="AD25" s="147"/>
      <c r="AE25" s="147"/>
      <c r="AF25" s="147"/>
      <c r="AG25" s="147"/>
    </row>
    <row r="26">
      <c r="A26" s="278" t="s">
        <v>53</v>
      </c>
      <c r="B26" s="255" t="s">
        <v>53</v>
      </c>
      <c r="C26" s="267" t="s">
        <v>3178</v>
      </c>
      <c r="D26" s="279" t="s">
        <v>3262</v>
      </c>
      <c r="E26" s="280" t="s">
        <v>3263</v>
      </c>
      <c r="F26" s="281" t="s">
        <v>3264</v>
      </c>
      <c r="G26" s="279" t="str">
        <f t="shared" si="3"/>
        <v>(TrustFM) - Trustworthy Foundation Models for Web Intelligence: Causal Perspectives and Challenges
Haoang Chi  Qi  Wang  Jiantong Jiang  Jiangchao Yao  Feng Liu  Bo Han 
https://www-tfm-causal.github.io/www2026-workshop/</v>
      </c>
      <c r="H26" s="279" t="s">
        <v>2755</v>
      </c>
      <c r="I26" s="278" t="s">
        <v>3265</v>
      </c>
      <c r="J26" s="282" t="str">
        <f>IFERROR(__xludf.DUMMYFUNCTION("CONCATENATE(""https://dl.acm.org/doi/"",INDEX(FILTER('Sheridan Comp'!A:A,'Sheridan Comp'!C:C=B26),1))"),"https://dl.acm.org/doi/10.1145/3774905.3795831")</f>
        <v>https://dl.acm.org/doi/10.1145/3774905.3795831</v>
      </c>
      <c r="K26" s="283"/>
      <c r="L26" s="147"/>
      <c r="M26" s="147"/>
      <c r="N26" s="147"/>
      <c r="O26" s="147"/>
      <c r="P26" s="147"/>
      <c r="Q26" s="147"/>
      <c r="R26" s="147"/>
      <c r="S26" s="147"/>
      <c r="T26" s="147"/>
      <c r="U26" s="147"/>
      <c r="V26" s="147"/>
      <c r="W26" s="147"/>
      <c r="X26" s="147"/>
      <c r="Y26" s="147"/>
      <c r="Z26" s="147"/>
      <c r="AA26" s="147"/>
      <c r="AB26" s="147"/>
      <c r="AC26" s="147"/>
      <c r="AD26" s="147"/>
      <c r="AE26" s="147"/>
      <c r="AF26" s="147"/>
      <c r="AG26" s="147"/>
    </row>
    <row r="27">
      <c r="A27" s="278" t="s">
        <v>50</v>
      </c>
      <c r="B27" s="278" t="s">
        <v>2515</v>
      </c>
      <c r="C27" s="267" t="s">
        <v>3199</v>
      </c>
      <c r="D27" s="279" t="s">
        <v>3266</v>
      </c>
      <c r="E27" s="280" t="s">
        <v>3267</v>
      </c>
      <c r="F27" s="281" t="s">
        <v>3268</v>
      </c>
      <c r="G27" s="279" t="str">
        <f t="shared" si="3"/>
        <v>(TIME) part 1 - 2nd International Workshop on Transformative Insights in Multi-faceted Evaluation
 Lei Wang,  Md Zakir Hossain, Tom Gedeon, Syed Mohammed Shamsul Islam. Rafiqul Islam. Yasmeen George and Shreya Ghosh 
https://time.griffith.edu.au/workshop/time2026/</v>
      </c>
      <c r="H27" s="279" t="s">
        <v>3269</v>
      </c>
      <c r="I27" s="278" t="s">
        <v>3270</v>
      </c>
      <c r="J27" s="282" t="str">
        <f>IFERROR(__xludf.DUMMYFUNCTION("CONCATENATE(""https://dl.acm.org/doi/"",INDEX(FILTER('Sheridan Comp'!A:A,'Sheridan Comp'!C:C=B27),1))"),"https://dl.acm.org/doi/10.1145/3774905.3794670")</f>
        <v>https://dl.acm.org/doi/10.1145/3774905.3794670</v>
      </c>
      <c r="K27" s="283"/>
      <c r="L27" s="147"/>
      <c r="M27" s="147"/>
      <c r="N27" s="147"/>
      <c r="O27" s="147"/>
      <c r="P27" s="147"/>
      <c r="Q27" s="147"/>
      <c r="R27" s="147"/>
      <c r="S27" s="147"/>
      <c r="T27" s="147"/>
      <c r="U27" s="147"/>
      <c r="V27" s="147"/>
      <c r="W27" s="147"/>
      <c r="X27" s="147"/>
      <c r="Y27" s="147"/>
      <c r="Z27" s="147"/>
      <c r="AA27" s="147"/>
      <c r="AB27" s="147"/>
      <c r="AC27" s="147"/>
      <c r="AD27" s="147"/>
      <c r="AE27" s="147"/>
      <c r="AF27" s="147"/>
      <c r="AG27" s="147"/>
    </row>
    <row r="28">
      <c r="A28" s="278" t="s">
        <v>63</v>
      </c>
      <c r="B28" s="278" t="s">
        <v>2515</v>
      </c>
      <c r="C28" s="267" t="s">
        <v>3199</v>
      </c>
      <c r="D28" s="279" t="s">
        <v>3266</v>
      </c>
      <c r="E28" s="280" t="s">
        <v>3271</v>
      </c>
      <c r="F28" s="281" t="s">
        <v>3272</v>
      </c>
      <c r="G28" s="279" t="str">
        <f t="shared" si="3"/>
        <v>(TIME) part 2 - 2nd International Workshop on Transformative Insights in Multi-faceted Evaluation
 Lei Wang,  Md Zakir Hossain, Tom Gedeon, Syed Mohammed Shamsul Islam. Rafiqul Islam. Yasmeen George and Shreya Ghosh 
https://time.griffith.edu.au/workshop/time2026/</v>
      </c>
      <c r="H28" s="279" t="s">
        <v>3269</v>
      </c>
      <c r="I28" s="278" t="s">
        <v>3270</v>
      </c>
      <c r="J28" s="282" t="str">
        <f>IFERROR(__xludf.DUMMYFUNCTION("CONCATENATE(""https://dl.acm.org/doi/"",INDEX(FILTER('Sheridan Comp'!A:A,'Sheridan Comp'!C:C=B28),1))"),"https://dl.acm.org/doi/10.1145/3774905.3794670")</f>
        <v>https://dl.acm.org/doi/10.1145/3774905.3794670</v>
      </c>
      <c r="K28" s="283"/>
      <c r="L28" s="147"/>
      <c r="M28" s="147"/>
      <c r="N28" s="147"/>
      <c r="O28" s="147"/>
      <c r="P28" s="147"/>
      <c r="Q28" s="147"/>
      <c r="R28" s="147"/>
      <c r="S28" s="147"/>
      <c r="T28" s="147"/>
      <c r="U28" s="147"/>
      <c r="V28" s="147"/>
      <c r="W28" s="147"/>
      <c r="X28" s="147"/>
      <c r="Y28" s="147"/>
      <c r="Z28" s="147"/>
      <c r="AA28" s="147"/>
      <c r="AB28" s="147"/>
      <c r="AC28" s="147"/>
      <c r="AD28" s="147"/>
      <c r="AE28" s="147"/>
      <c r="AF28" s="147"/>
      <c r="AG28" s="147"/>
    </row>
    <row r="29">
      <c r="A29" s="278" t="s">
        <v>24</v>
      </c>
      <c r="B29" s="278" t="s">
        <v>24</v>
      </c>
      <c r="C29" s="267" t="s">
        <v>3178</v>
      </c>
      <c r="D29" s="279" t="s">
        <v>3273</v>
      </c>
      <c r="E29" s="280" t="s">
        <v>3274</v>
      </c>
      <c r="F29" s="281" t="s">
        <v>3275</v>
      </c>
      <c r="G29" s="279" t="str">
        <f t="shared" si="3"/>
        <v>(TML) - International Workshop on Trustworthy Multimodal Learning for Social Media Analysis
Jingwei Sun,G uosheng Lin, Fengmao Lv, Tao Liang, Junlin Fang and Jianli Wang
https://ttthhl.github.io/www2026-workshop/</v>
      </c>
      <c r="H29" s="279" t="s">
        <v>2768</v>
      </c>
      <c r="I29" s="278" t="s">
        <v>3276</v>
      </c>
      <c r="J29" s="282" t="str">
        <f>IFERROR(__xludf.DUMMYFUNCTION("CONCATENATE(""https://dl.acm.org/doi/"",INDEX(FILTER('Sheridan Comp'!A:A,'Sheridan Comp'!C:C=B29),1))"),"https://dl.acm.org/doi/10.1145/3774905.3795841")</f>
        <v>https://dl.acm.org/doi/10.1145/3774905.3795841</v>
      </c>
      <c r="K29" s="283"/>
      <c r="L29" s="147"/>
      <c r="M29" s="147"/>
      <c r="N29" s="147"/>
      <c r="O29" s="147"/>
      <c r="P29" s="147"/>
      <c r="Q29" s="147"/>
      <c r="R29" s="147"/>
      <c r="S29" s="147"/>
      <c r="T29" s="147"/>
      <c r="U29" s="147"/>
      <c r="V29" s="147"/>
      <c r="W29" s="147"/>
      <c r="X29" s="147"/>
      <c r="Y29" s="147"/>
      <c r="Z29" s="147"/>
      <c r="AA29" s="147"/>
      <c r="AB29" s="147"/>
      <c r="AC29" s="147"/>
      <c r="AD29" s="147"/>
      <c r="AE29" s="147"/>
      <c r="AF29" s="147"/>
      <c r="AG29" s="147"/>
    </row>
    <row r="30">
      <c r="A30" s="278" t="s">
        <v>21</v>
      </c>
      <c r="B30" s="255" t="s">
        <v>2545</v>
      </c>
      <c r="C30" s="267" t="s">
        <v>3199</v>
      </c>
      <c r="D30" s="279" t="s">
        <v>3277</v>
      </c>
      <c r="E30" s="280" t="s">
        <v>3278</v>
      </c>
      <c r="F30" s="284" t="s">
        <v>3279</v>
      </c>
      <c r="G30" s="279" t="str">
        <f t="shared" si="3"/>
        <v>(WebAds) part 1 - Emerging Trends in Web Advertising
Ehsan Toreini and Muadh Al Kalbani 
https://samsunginternet.github.io/webads26/</v>
      </c>
      <c r="H30" s="279" t="s">
        <v>3280</v>
      </c>
      <c r="I30" s="278" t="s">
        <v>3281</v>
      </c>
      <c r="J30" s="282" t="str">
        <f>IFERROR(__xludf.DUMMYFUNCTION("CONCATENATE(""https://dl.acm.org/doi/"",INDEX(FILTER('Sheridan Comp'!A:A,'Sheridan Comp'!C:C=B30),1))"),"https://dl.acm.org/doi/10.1145/3774905.3794686")</f>
        <v>https://dl.acm.org/doi/10.1145/3774905.3794686</v>
      </c>
      <c r="K30" s="283"/>
      <c r="L30" s="147"/>
      <c r="M30" s="147"/>
      <c r="N30" s="147"/>
      <c r="O30" s="147"/>
      <c r="P30" s="147"/>
      <c r="Q30" s="147"/>
      <c r="R30" s="147"/>
      <c r="S30" s="147"/>
      <c r="T30" s="147"/>
      <c r="U30" s="147"/>
      <c r="V30" s="147"/>
      <c r="W30" s="147"/>
      <c r="X30" s="147"/>
      <c r="Y30" s="147"/>
      <c r="Z30" s="147"/>
      <c r="AA30" s="147"/>
      <c r="AB30" s="147"/>
      <c r="AC30" s="147"/>
      <c r="AD30" s="147"/>
      <c r="AE30" s="147"/>
      <c r="AF30" s="147"/>
      <c r="AG30" s="147"/>
    </row>
    <row r="31">
      <c r="A31" s="278" t="s">
        <v>37</v>
      </c>
      <c r="B31" s="255" t="s">
        <v>2545</v>
      </c>
      <c r="C31" s="267" t="s">
        <v>3199</v>
      </c>
      <c r="D31" s="279" t="s">
        <v>3277</v>
      </c>
      <c r="E31" s="285" t="s">
        <v>3282</v>
      </c>
      <c r="F31" s="284" t="s">
        <v>3283</v>
      </c>
      <c r="G31" s="279" t="str">
        <f t="shared" si="3"/>
        <v>(WebAds) part 2 - Emerging Trends in Web Advertising
Ehsan Toreini and Muadh Al Kalbani 
https://samsunginternet.github.io/webads26/</v>
      </c>
      <c r="H31" s="279" t="s">
        <v>3280</v>
      </c>
      <c r="I31" s="278" t="s">
        <v>3281</v>
      </c>
      <c r="J31" s="282" t="str">
        <f>IFERROR(__xludf.DUMMYFUNCTION("CONCATENATE(""https://dl.acm.org/doi/"",INDEX(FILTER('Sheridan Comp'!A:A,'Sheridan Comp'!C:C=B31),1))"),"https://dl.acm.org/doi/10.1145/3774905.3794686")</f>
        <v>https://dl.acm.org/doi/10.1145/3774905.3794686</v>
      </c>
      <c r="K31" s="283"/>
      <c r="L31" s="147"/>
      <c r="M31" s="147"/>
      <c r="N31" s="147"/>
      <c r="O31" s="147"/>
      <c r="P31" s="147"/>
      <c r="Q31" s="147"/>
      <c r="R31" s="147"/>
      <c r="S31" s="147"/>
      <c r="T31" s="147"/>
      <c r="U31" s="147"/>
      <c r="V31" s="147"/>
      <c r="W31" s="147"/>
      <c r="X31" s="147"/>
      <c r="Y31" s="147"/>
      <c r="Z31" s="147"/>
      <c r="AA31" s="147"/>
      <c r="AB31" s="147"/>
      <c r="AC31" s="147"/>
      <c r="AD31" s="147"/>
      <c r="AE31" s="147"/>
      <c r="AF31" s="147"/>
      <c r="AG31" s="147"/>
    </row>
    <row r="32">
      <c r="A32" s="278" t="s">
        <v>25</v>
      </c>
      <c r="B32" s="255" t="s">
        <v>2785</v>
      </c>
      <c r="C32" s="267" t="s">
        <v>3178</v>
      </c>
      <c r="D32" s="279" t="s">
        <v>3284</v>
      </c>
      <c r="E32" s="280" t="s">
        <v>3285</v>
      </c>
      <c r="F32" s="281" t="s">
        <v>3286</v>
      </c>
      <c r="G32" s="279" t="str">
        <f t="shared" si="3"/>
        <v>(WebAndTheCity) - 12th International Smart City Workshop – Data-Driven Smart Cities
Leonidas Anthopoulos, Marijn Janssen and Vishanth Weerakkody 
https://webandthecity.home.blog/</v>
      </c>
      <c r="H32" s="279" t="s">
        <v>3287</v>
      </c>
      <c r="I32" s="278" t="s">
        <v>3288</v>
      </c>
      <c r="J32" s="282" t="str">
        <f>IFERROR(__xludf.DUMMYFUNCTION("CONCATENATE(""https://dl.acm.org/doi/"",INDEX(FILTER('Sheridan Comp'!A:A,'Sheridan Comp'!C:C=B32),1))"),"https://dl.acm.org/doi/10.1145/3774905.3795852")</f>
        <v>https://dl.acm.org/doi/10.1145/3774905.3795852</v>
      </c>
      <c r="K32" s="283"/>
      <c r="L32" s="147"/>
      <c r="M32" s="147"/>
      <c r="N32" s="147"/>
      <c r="O32" s="147"/>
      <c r="P32" s="147"/>
      <c r="Q32" s="147"/>
      <c r="R32" s="147"/>
      <c r="S32" s="147"/>
      <c r="T32" s="147"/>
      <c r="U32" s="147"/>
      <c r="V32" s="147"/>
      <c r="W32" s="147"/>
      <c r="X32" s="147"/>
      <c r="Y32" s="147"/>
      <c r="Z32" s="147"/>
      <c r="AA32" s="147"/>
      <c r="AB32" s="147"/>
      <c r="AC32" s="147"/>
      <c r="AD32" s="147"/>
      <c r="AE32" s="147"/>
      <c r="AF32" s="147"/>
      <c r="AG32" s="147"/>
    </row>
    <row r="33">
      <c r="A33" s="278" t="s">
        <v>26</v>
      </c>
      <c r="B33" s="278" t="s">
        <v>26</v>
      </c>
      <c r="C33" s="286" t="s">
        <v>3178</v>
      </c>
      <c r="D33" s="279" t="s">
        <v>3289</v>
      </c>
      <c r="E33" s="280" t="s">
        <v>3290</v>
      </c>
      <c r="F33" s="287" t="s">
        <v>3291</v>
      </c>
      <c r="G33" s="279" t="str">
        <f t="shared" si="3"/>
        <v>(WebST) - The 2nd International Workshop on Spatio-Temporal Data Mining from the Web
Yuxuan Liang, Hao Xue, Ming Jin, Fei Wang, Qingxiang Liu, Qingsong Wen, Shirui Pan and Flora Salim 
https://webst2026.netlify.app/</v>
      </c>
      <c r="H33" s="288" t="s">
        <v>3292</v>
      </c>
      <c r="I33" s="278" t="s">
        <v>3293</v>
      </c>
      <c r="J33" s="279" t="str">
        <f>IFERROR(__xludf.DUMMYFUNCTION("CONCATENATE(""https://dl.acm.org/doi/"",INDEX(FILTER('Sheridan Comp'!A:A,'Sheridan Comp'!C:C=B33),1))"),"#N/A")</f>
        <v>#N/A</v>
      </c>
      <c r="K33" s="289"/>
      <c r="L33" s="147"/>
      <c r="M33" s="147"/>
      <c r="N33" s="147"/>
      <c r="O33" s="147"/>
      <c r="P33" s="147"/>
      <c r="Q33" s="147"/>
      <c r="R33" s="147"/>
      <c r="S33" s="147"/>
      <c r="T33" s="147"/>
      <c r="U33" s="147"/>
      <c r="V33" s="147"/>
      <c r="W33" s="147"/>
      <c r="X33" s="147"/>
      <c r="Y33" s="147"/>
      <c r="Z33" s="147"/>
      <c r="AA33" s="147"/>
      <c r="AB33" s="147"/>
      <c r="AC33" s="147"/>
      <c r="AD33" s="147"/>
      <c r="AE33" s="147"/>
      <c r="AF33" s="147"/>
      <c r="AG33" s="147"/>
    </row>
    <row r="34">
      <c r="A34" s="278" t="s">
        <v>22</v>
      </c>
      <c r="B34" s="278" t="s">
        <v>2557</v>
      </c>
      <c r="C34" s="290" t="s">
        <v>3199</v>
      </c>
      <c r="D34" s="279" t="s">
        <v>3294</v>
      </c>
      <c r="E34" s="280" t="s">
        <v>3295</v>
      </c>
      <c r="F34" s="276" t="s">
        <v>3296</v>
      </c>
      <c r="G34" s="279" t="str">
        <f t="shared" si="3"/>
        <v>(ZABAPAD) part 1 - Zero-knowledge Proof and Blockchain for Web 4.0: Advancing the Post-quantum and Decentralized Era
Shiho Kim, Ho Suk, Roberto Di Pietro, Davor Svetinovic, KyungHi Chang, Madhusudan Singh and Rakesh Shrestha 
https://zabapad.github.io</v>
      </c>
      <c r="H34" s="291" t="s">
        <v>3297</v>
      </c>
      <c r="I34" s="278" t="s">
        <v>3298</v>
      </c>
      <c r="J34" s="282" t="str">
        <f>IFERROR(__xludf.DUMMYFUNCTION("CONCATENATE(""https://dl.acm.org/doi/"",INDEX(FILTER('Sheridan Comp'!A:A,'Sheridan Comp'!C:C=B34),1))"),"https://dl.acm.org/doi/10.1145/3774905.3794693")</f>
        <v>https://dl.acm.org/doi/10.1145/3774905.3794693</v>
      </c>
      <c r="K34" s="156"/>
      <c r="L34" s="147"/>
      <c r="M34" s="147"/>
      <c r="N34" s="147"/>
      <c r="O34" s="147"/>
      <c r="P34" s="147"/>
      <c r="Q34" s="147"/>
      <c r="R34" s="147"/>
      <c r="S34" s="147"/>
      <c r="T34" s="147"/>
      <c r="U34" s="147"/>
      <c r="V34" s="147"/>
      <c r="W34" s="147"/>
      <c r="X34" s="147"/>
      <c r="Y34" s="147"/>
      <c r="Z34" s="147"/>
      <c r="AA34" s="147"/>
      <c r="AB34" s="147"/>
      <c r="AC34" s="147"/>
      <c r="AD34" s="147"/>
      <c r="AE34" s="147"/>
      <c r="AF34" s="147"/>
      <c r="AG34" s="147"/>
    </row>
    <row r="35">
      <c r="A35" s="278" t="s">
        <v>38</v>
      </c>
      <c r="B35" s="278" t="s">
        <v>2557</v>
      </c>
      <c r="C35" s="290" t="s">
        <v>3199</v>
      </c>
      <c r="D35" s="279" t="s">
        <v>3294</v>
      </c>
      <c r="E35" s="280" t="s">
        <v>3299</v>
      </c>
      <c r="F35" s="276" t="s">
        <v>3300</v>
      </c>
      <c r="G35" s="279" t="str">
        <f t="shared" si="3"/>
        <v>(ZABAPAD) part 2 - Zero-knowledge Proof and Blockchain for Web 4.0: Advancing the Post-quantum and Decentralized Era
Shiho Kim, Ho Suk, Roberto Di Pietro, Davor Svetinovic, KyungHi Chang, Madhusudan Singh and Rakesh Shrestha 
https://zabapad.github.io</v>
      </c>
      <c r="H35" s="291" t="s">
        <v>3297</v>
      </c>
      <c r="I35" s="278" t="s">
        <v>3298</v>
      </c>
      <c r="J35" s="282" t="str">
        <f>IFERROR(__xludf.DUMMYFUNCTION("CONCATENATE(""https://dl.acm.org/doi/"",INDEX(FILTER('Sheridan Comp'!A:A,'Sheridan Comp'!C:C=B35),1))"),"https://dl.acm.org/doi/10.1145/3774905.3794693")</f>
        <v>https://dl.acm.org/doi/10.1145/3774905.3794693</v>
      </c>
      <c r="K35" s="156"/>
      <c r="L35" s="147"/>
      <c r="M35" s="147"/>
      <c r="N35" s="147"/>
      <c r="O35" s="147"/>
      <c r="P35" s="147"/>
      <c r="Q35" s="147"/>
      <c r="R35" s="147"/>
      <c r="S35" s="147"/>
      <c r="T35" s="147"/>
      <c r="U35" s="147"/>
      <c r="V35" s="147"/>
      <c r="W35" s="147"/>
      <c r="X35" s="147"/>
      <c r="Y35" s="147"/>
      <c r="Z35" s="147"/>
      <c r="AA35" s="147"/>
      <c r="AB35" s="147"/>
      <c r="AC35" s="147"/>
      <c r="AD35" s="147"/>
      <c r="AE35" s="147"/>
      <c r="AF35" s="147"/>
      <c r="AG35" s="147"/>
    </row>
    <row r="36">
      <c r="A36" s="252"/>
      <c r="B36" s="252"/>
      <c r="C36" s="147"/>
      <c r="D36" s="147"/>
      <c r="E36" s="147"/>
      <c r="F36" s="205"/>
      <c r="G36" s="147"/>
      <c r="H36" s="147"/>
      <c r="I36" s="147"/>
      <c r="J36" s="147"/>
      <c r="K36" s="147"/>
      <c r="L36" s="147"/>
      <c r="M36" s="147"/>
      <c r="N36" s="147"/>
      <c r="O36" s="147"/>
      <c r="P36" s="147"/>
      <c r="Q36" s="147"/>
      <c r="R36" s="147"/>
      <c r="S36" s="147"/>
      <c r="T36" s="147"/>
      <c r="U36" s="147"/>
      <c r="V36" s="147"/>
      <c r="W36" s="147"/>
      <c r="X36" s="147"/>
      <c r="Y36" s="147"/>
      <c r="Z36" s="147"/>
      <c r="AA36" s="147"/>
      <c r="AB36" s="147"/>
      <c r="AC36" s="147"/>
      <c r="AD36" s="147"/>
      <c r="AE36" s="147"/>
      <c r="AF36" s="147"/>
      <c r="AG36" s="147"/>
    </row>
    <row r="37">
      <c r="A37" s="251"/>
      <c r="B37" s="251"/>
      <c r="C37" s="147"/>
      <c r="D37" s="147"/>
      <c r="E37" s="147"/>
      <c r="F37" s="205"/>
      <c r="G37" s="147"/>
      <c r="H37" s="147"/>
      <c r="I37" s="147"/>
      <c r="J37" s="147"/>
      <c r="K37" s="147"/>
      <c r="L37" s="147"/>
      <c r="M37" s="147"/>
      <c r="N37" s="147"/>
      <c r="O37" s="147"/>
      <c r="P37" s="147"/>
      <c r="Q37" s="147"/>
      <c r="R37" s="147"/>
      <c r="S37" s="147"/>
      <c r="T37" s="147"/>
      <c r="U37" s="147"/>
      <c r="V37" s="147"/>
      <c r="W37" s="147"/>
      <c r="X37" s="147"/>
      <c r="Y37" s="147"/>
      <c r="Z37" s="147"/>
      <c r="AA37" s="147"/>
      <c r="AB37" s="147"/>
      <c r="AC37" s="147"/>
      <c r="AD37" s="147"/>
      <c r="AE37" s="147"/>
      <c r="AF37" s="147"/>
      <c r="AG37" s="147"/>
    </row>
    <row r="38">
      <c r="C38" s="147"/>
      <c r="D38" s="147"/>
      <c r="E38" s="147"/>
      <c r="F38" s="205"/>
      <c r="G38" s="147"/>
      <c r="H38" s="147"/>
      <c r="I38" s="147"/>
      <c r="J38" s="147"/>
      <c r="K38" s="147"/>
      <c r="L38" s="147"/>
      <c r="M38" s="147"/>
      <c r="N38" s="147"/>
      <c r="O38" s="147"/>
      <c r="P38" s="147"/>
      <c r="Q38" s="147"/>
      <c r="R38" s="147"/>
      <c r="S38" s="147"/>
      <c r="T38" s="147"/>
      <c r="U38" s="147"/>
      <c r="V38" s="147"/>
      <c r="W38" s="147"/>
      <c r="X38" s="147"/>
      <c r="Y38" s="147"/>
      <c r="Z38" s="147"/>
      <c r="AA38" s="147"/>
      <c r="AB38" s="147"/>
      <c r="AC38" s="147"/>
      <c r="AD38" s="147"/>
      <c r="AE38" s="147"/>
      <c r="AF38" s="147"/>
      <c r="AG38" s="147"/>
    </row>
    <row r="39">
      <c r="A39" s="252"/>
      <c r="B39" s="252"/>
      <c r="C39" s="147"/>
      <c r="D39" s="147"/>
      <c r="E39" s="147"/>
      <c r="F39" s="205"/>
      <c r="G39" s="147"/>
      <c r="H39" s="147"/>
      <c r="I39" s="147"/>
      <c r="J39" s="147"/>
      <c r="K39" s="147"/>
      <c r="L39" s="147"/>
      <c r="M39" s="147"/>
      <c r="N39" s="147"/>
      <c r="O39" s="147"/>
      <c r="P39" s="147"/>
      <c r="Q39" s="147"/>
      <c r="R39" s="147"/>
      <c r="S39" s="147"/>
      <c r="T39" s="147"/>
      <c r="U39" s="147"/>
      <c r="V39" s="147"/>
      <c r="W39" s="147"/>
      <c r="X39" s="147"/>
      <c r="Y39" s="147"/>
      <c r="Z39" s="147"/>
      <c r="AA39" s="147"/>
      <c r="AB39" s="147"/>
      <c r="AC39" s="147"/>
      <c r="AD39" s="147"/>
      <c r="AE39" s="147"/>
      <c r="AF39" s="147"/>
      <c r="AG39" s="147"/>
    </row>
    <row r="40">
      <c r="A40" s="251"/>
      <c r="B40" s="251"/>
      <c r="C40" s="147"/>
      <c r="D40" s="147"/>
      <c r="E40" s="147"/>
      <c r="F40" s="205"/>
      <c r="G40" s="147"/>
      <c r="H40" s="147"/>
      <c r="I40" s="147"/>
      <c r="J40" s="147"/>
      <c r="K40" s="147"/>
      <c r="L40" s="147"/>
      <c r="M40" s="147"/>
      <c r="N40" s="147"/>
      <c r="O40" s="147"/>
      <c r="P40" s="147"/>
      <c r="Q40" s="147"/>
      <c r="R40" s="147"/>
      <c r="S40" s="147"/>
      <c r="T40" s="147"/>
      <c r="U40" s="147"/>
      <c r="V40" s="147"/>
      <c r="W40" s="147"/>
      <c r="X40" s="147"/>
      <c r="Y40" s="147"/>
      <c r="Z40" s="147"/>
      <c r="AA40" s="147"/>
      <c r="AB40" s="147"/>
      <c r="AC40" s="147"/>
      <c r="AD40" s="147"/>
      <c r="AE40" s="147"/>
      <c r="AF40" s="147"/>
      <c r="AG40" s="147"/>
    </row>
    <row r="41">
      <c r="C41" s="147"/>
      <c r="D41" s="147"/>
      <c r="E41" s="147"/>
      <c r="F41" s="205"/>
      <c r="G41" s="147"/>
      <c r="H41" s="147"/>
      <c r="I41" s="147"/>
      <c r="J41" s="147"/>
      <c r="K41" s="147"/>
      <c r="L41" s="147"/>
      <c r="M41" s="147"/>
      <c r="N41" s="147"/>
      <c r="O41" s="147"/>
      <c r="P41" s="147"/>
      <c r="Q41" s="147"/>
      <c r="R41" s="147"/>
      <c r="S41" s="147"/>
      <c r="T41" s="147"/>
      <c r="U41" s="147"/>
      <c r="V41" s="147"/>
      <c r="W41" s="147"/>
      <c r="X41" s="147"/>
      <c r="Y41" s="147"/>
      <c r="Z41" s="147"/>
      <c r="AA41" s="147"/>
      <c r="AB41" s="147"/>
      <c r="AC41" s="147"/>
      <c r="AD41" s="147"/>
      <c r="AE41" s="147"/>
      <c r="AF41" s="147"/>
      <c r="AG41" s="147"/>
    </row>
    <row r="42">
      <c r="A42" s="252"/>
      <c r="B42" s="252"/>
      <c r="C42" s="147"/>
      <c r="D42" s="147"/>
      <c r="E42" s="147"/>
      <c r="F42" s="205"/>
      <c r="G42" s="147"/>
      <c r="H42" s="147"/>
      <c r="I42" s="147"/>
      <c r="J42" s="147"/>
      <c r="K42" s="147"/>
      <c r="L42" s="147"/>
      <c r="M42" s="147"/>
      <c r="N42" s="147"/>
      <c r="O42" s="147"/>
      <c r="P42" s="147"/>
      <c r="Q42" s="147"/>
      <c r="R42" s="147"/>
      <c r="S42" s="147"/>
      <c r="T42" s="147"/>
      <c r="U42" s="147"/>
      <c r="V42" s="147"/>
      <c r="W42" s="147"/>
      <c r="X42" s="147"/>
      <c r="Y42" s="147"/>
      <c r="Z42" s="147"/>
      <c r="AA42" s="147"/>
      <c r="AB42" s="147"/>
      <c r="AC42" s="147"/>
      <c r="AD42" s="147"/>
      <c r="AE42" s="147"/>
      <c r="AF42" s="147"/>
      <c r="AG42" s="147"/>
    </row>
    <row r="43">
      <c r="A43" s="251"/>
      <c r="B43" s="251"/>
      <c r="C43" s="147"/>
      <c r="D43" s="147"/>
      <c r="E43" s="147"/>
      <c r="F43" s="205"/>
      <c r="G43" s="147"/>
      <c r="H43" s="147"/>
      <c r="I43" s="147"/>
      <c r="J43" s="147"/>
      <c r="K43" s="147"/>
      <c r="L43" s="147"/>
      <c r="M43" s="147"/>
      <c r="N43" s="147"/>
      <c r="O43" s="147"/>
      <c r="P43" s="147"/>
      <c r="Q43" s="147"/>
      <c r="R43" s="147"/>
      <c r="S43" s="147"/>
      <c r="T43" s="147"/>
      <c r="U43" s="147"/>
      <c r="V43" s="147"/>
      <c r="W43" s="147"/>
      <c r="X43" s="147"/>
      <c r="Y43" s="147"/>
      <c r="Z43" s="147"/>
      <c r="AA43" s="147"/>
      <c r="AB43" s="147"/>
      <c r="AC43" s="147"/>
      <c r="AD43" s="147"/>
      <c r="AE43" s="147"/>
      <c r="AF43" s="147"/>
      <c r="AG43" s="147"/>
    </row>
    <row r="44">
      <c r="A44" s="252"/>
      <c r="B44" s="252"/>
      <c r="C44" s="147"/>
      <c r="D44" s="147"/>
      <c r="E44" s="147"/>
      <c r="F44" s="205"/>
      <c r="G44" s="147"/>
      <c r="H44" s="147"/>
      <c r="I44" s="147"/>
      <c r="J44" s="147"/>
      <c r="K44" s="147"/>
      <c r="L44" s="147"/>
      <c r="M44" s="147"/>
      <c r="N44" s="147"/>
      <c r="O44" s="147"/>
      <c r="P44" s="147"/>
      <c r="Q44" s="147"/>
      <c r="R44" s="147"/>
      <c r="S44" s="147"/>
      <c r="T44" s="147"/>
      <c r="U44" s="147"/>
      <c r="V44" s="147"/>
      <c r="W44" s="147"/>
      <c r="X44" s="147"/>
      <c r="Y44" s="147"/>
      <c r="Z44" s="147"/>
      <c r="AA44" s="147"/>
      <c r="AB44" s="147"/>
      <c r="AC44" s="147"/>
      <c r="AD44" s="147"/>
      <c r="AE44" s="147"/>
      <c r="AF44" s="147"/>
      <c r="AG44" s="147"/>
    </row>
    <row r="45">
      <c r="A45" s="252"/>
      <c r="B45" s="252"/>
      <c r="C45" s="147"/>
      <c r="D45" s="147"/>
      <c r="E45" s="147"/>
      <c r="F45" s="205"/>
      <c r="G45" s="147"/>
      <c r="H45" s="147"/>
      <c r="I45" s="147"/>
      <c r="J45" s="147"/>
      <c r="K45" s="147"/>
      <c r="L45" s="147"/>
      <c r="M45" s="147"/>
      <c r="N45" s="147"/>
      <c r="O45" s="147"/>
      <c r="P45" s="147"/>
      <c r="Q45" s="147"/>
      <c r="R45" s="147"/>
      <c r="S45" s="147"/>
      <c r="T45" s="147"/>
      <c r="U45" s="147"/>
      <c r="V45" s="147"/>
      <c r="W45" s="147"/>
      <c r="X45" s="147"/>
      <c r="Y45" s="147"/>
      <c r="Z45" s="147"/>
      <c r="AA45" s="147"/>
      <c r="AB45" s="147"/>
      <c r="AC45" s="147"/>
      <c r="AD45" s="147"/>
      <c r="AE45" s="147"/>
      <c r="AF45" s="147"/>
      <c r="AG45" s="147"/>
    </row>
    <row r="46">
      <c r="A46" s="251"/>
      <c r="B46" s="251"/>
      <c r="C46" s="147"/>
      <c r="D46" s="147"/>
      <c r="E46" s="147"/>
      <c r="F46" s="205"/>
      <c r="G46" s="147"/>
      <c r="H46" s="147"/>
      <c r="I46" s="147"/>
      <c r="J46" s="147"/>
      <c r="K46" s="147"/>
      <c r="L46" s="147"/>
      <c r="M46" s="147"/>
      <c r="N46" s="147"/>
      <c r="O46" s="147"/>
      <c r="P46" s="147"/>
      <c r="Q46" s="147"/>
      <c r="R46" s="147"/>
      <c r="S46" s="147"/>
      <c r="T46" s="147"/>
      <c r="U46" s="147"/>
      <c r="V46" s="147"/>
      <c r="W46" s="147"/>
      <c r="X46" s="147"/>
      <c r="Y46" s="147"/>
      <c r="Z46" s="147"/>
      <c r="AA46" s="147"/>
      <c r="AB46" s="147"/>
      <c r="AC46" s="147"/>
      <c r="AD46" s="147"/>
      <c r="AE46" s="147"/>
      <c r="AF46" s="147"/>
      <c r="AG46" s="147"/>
    </row>
    <row r="47">
      <c r="C47" s="147"/>
      <c r="D47" s="147"/>
      <c r="E47" s="147"/>
      <c r="F47" s="205"/>
      <c r="G47" s="147"/>
      <c r="H47" s="147"/>
      <c r="I47" s="147"/>
      <c r="J47" s="147"/>
      <c r="K47" s="147"/>
      <c r="L47" s="147"/>
      <c r="M47" s="147"/>
      <c r="N47" s="147"/>
      <c r="O47" s="147"/>
      <c r="P47" s="147"/>
      <c r="Q47" s="147"/>
      <c r="R47" s="147"/>
      <c r="S47" s="147"/>
      <c r="T47" s="147"/>
      <c r="U47" s="147"/>
      <c r="V47" s="147"/>
      <c r="W47" s="147"/>
      <c r="X47" s="147"/>
      <c r="Y47" s="147"/>
      <c r="Z47" s="147"/>
      <c r="AA47" s="147"/>
      <c r="AB47" s="147"/>
      <c r="AC47" s="147"/>
      <c r="AD47" s="147"/>
      <c r="AE47" s="147"/>
      <c r="AF47" s="147"/>
      <c r="AG47" s="147"/>
    </row>
    <row r="48">
      <c r="A48" s="252"/>
      <c r="B48" s="252"/>
      <c r="C48" s="147"/>
      <c r="D48" s="147"/>
      <c r="E48" s="147"/>
      <c r="F48" s="205"/>
      <c r="G48" s="147"/>
      <c r="H48" s="147"/>
      <c r="I48" s="147"/>
      <c r="J48" s="147"/>
      <c r="K48" s="147"/>
      <c r="L48" s="147"/>
      <c r="M48" s="147"/>
      <c r="N48" s="147"/>
      <c r="O48" s="147"/>
      <c r="P48" s="147"/>
      <c r="Q48" s="147"/>
      <c r="R48" s="147"/>
      <c r="S48" s="147"/>
      <c r="T48" s="147"/>
      <c r="U48" s="147"/>
      <c r="V48" s="147"/>
      <c r="W48" s="147"/>
      <c r="X48" s="147"/>
      <c r="Y48" s="147"/>
      <c r="Z48" s="147"/>
      <c r="AA48" s="147"/>
      <c r="AB48" s="147"/>
      <c r="AC48" s="147"/>
      <c r="AD48" s="147"/>
      <c r="AE48" s="147"/>
      <c r="AF48" s="147"/>
      <c r="AG48" s="147"/>
    </row>
    <row r="49">
      <c r="A49" s="251"/>
      <c r="B49" s="251"/>
      <c r="C49" s="147"/>
      <c r="D49" s="147"/>
      <c r="E49" s="147"/>
      <c r="F49" s="205"/>
      <c r="G49" s="147"/>
      <c r="H49" s="147"/>
      <c r="I49" s="147"/>
      <c r="J49" s="147"/>
      <c r="K49" s="147"/>
      <c r="L49" s="147"/>
      <c r="M49" s="147"/>
      <c r="N49" s="147"/>
      <c r="O49" s="147"/>
      <c r="P49" s="147"/>
      <c r="Q49" s="147"/>
      <c r="R49" s="147"/>
      <c r="S49" s="147"/>
      <c r="T49" s="147"/>
      <c r="U49" s="147"/>
      <c r="V49" s="147"/>
      <c r="W49" s="147"/>
      <c r="X49" s="147"/>
      <c r="Y49" s="147"/>
      <c r="Z49" s="147"/>
      <c r="AA49" s="147"/>
      <c r="AB49" s="147"/>
      <c r="AC49" s="147"/>
      <c r="AD49" s="147"/>
      <c r="AE49" s="147"/>
      <c r="AF49" s="147"/>
      <c r="AG49" s="147"/>
    </row>
    <row r="50">
      <c r="C50" s="147"/>
      <c r="D50" s="147"/>
      <c r="E50" s="147"/>
      <c r="F50" s="205"/>
      <c r="G50" s="147"/>
      <c r="H50" s="147"/>
      <c r="I50" s="147"/>
      <c r="J50" s="147"/>
      <c r="K50" s="147"/>
      <c r="L50" s="147"/>
      <c r="M50" s="147"/>
      <c r="N50" s="147"/>
      <c r="O50" s="147"/>
      <c r="P50" s="147"/>
      <c r="Q50" s="147"/>
      <c r="R50" s="147"/>
      <c r="S50" s="147"/>
      <c r="T50" s="147"/>
      <c r="U50" s="147"/>
      <c r="V50" s="147"/>
      <c r="W50" s="147"/>
      <c r="X50" s="147"/>
      <c r="Y50" s="147"/>
      <c r="Z50" s="147"/>
      <c r="AA50" s="147"/>
      <c r="AB50" s="147"/>
      <c r="AC50" s="147"/>
      <c r="AD50" s="147"/>
      <c r="AE50" s="147"/>
      <c r="AF50" s="147"/>
      <c r="AG50" s="147"/>
    </row>
    <row r="51">
      <c r="A51" s="252"/>
      <c r="B51" s="252"/>
      <c r="C51" s="147"/>
      <c r="D51" s="147"/>
      <c r="E51" s="147"/>
      <c r="F51" s="205"/>
      <c r="G51" s="147"/>
      <c r="H51" s="147"/>
      <c r="I51" s="147"/>
      <c r="J51" s="147"/>
      <c r="K51" s="147"/>
      <c r="L51" s="147"/>
      <c r="M51" s="147"/>
      <c r="N51" s="147"/>
      <c r="O51" s="147"/>
      <c r="P51" s="147"/>
      <c r="Q51" s="147"/>
      <c r="R51" s="147"/>
      <c r="S51" s="147"/>
      <c r="T51" s="147"/>
      <c r="U51" s="147"/>
      <c r="V51" s="147"/>
      <c r="W51" s="147"/>
      <c r="X51" s="147"/>
      <c r="Y51" s="147"/>
      <c r="Z51" s="147"/>
      <c r="AA51" s="147"/>
      <c r="AB51" s="147"/>
      <c r="AC51" s="147"/>
      <c r="AD51" s="147"/>
      <c r="AE51" s="147"/>
      <c r="AF51" s="147"/>
      <c r="AG51" s="147"/>
    </row>
    <row r="52">
      <c r="A52" s="251"/>
      <c r="B52" s="251"/>
      <c r="C52" s="147"/>
      <c r="D52" s="147"/>
      <c r="E52" s="147"/>
      <c r="F52" s="205"/>
      <c r="G52" s="147"/>
      <c r="H52" s="147"/>
      <c r="I52" s="147"/>
      <c r="J52" s="147"/>
      <c r="K52" s="147"/>
      <c r="L52" s="147"/>
      <c r="M52" s="147"/>
      <c r="N52" s="147"/>
      <c r="O52" s="147"/>
      <c r="P52" s="147"/>
      <c r="Q52" s="147"/>
      <c r="R52" s="147"/>
      <c r="S52" s="147"/>
      <c r="T52" s="147"/>
      <c r="U52" s="147"/>
      <c r="V52" s="147"/>
      <c r="W52" s="147"/>
      <c r="X52" s="147"/>
      <c r="Y52" s="147"/>
      <c r="Z52" s="147"/>
      <c r="AA52" s="147"/>
      <c r="AB52" s="147"/>
      <c r="AC52" s="147"/>
      <c r="AD52" s="147"/>
      <c r="AE52" s="147"/>
      <c r="AF52" s="147"/>
      <c r="AG52" s="147"/>
    </row>
    <row r="53">
      <c r="C53" s="147"/>
      <c r="D53" s="147"/>
      <c r="E53" s="147"/>
      <c r="F53" s="205"/>
      <c r="G53" s="147"/>
      <c r="H53" s="147"/>
      <c r="I53" s="147"/>
      <c r="J53" s="147"/>
      <c r="K53" s="147"/>
      <c r="L53" s="147"/>
      <c r="M53" s="147"/>
      <c r="N53" s="147"/>
      <c r="O53" s="147"/>
      <c r="P53" s="147"/>
      <c r="Q53" s="147"/>
      <c r="R53" s="147"/>
      <c r="S53" s="147"/>
      <c r="T53" s="147"/>
      <c r="U53" s="147"/>
      <c r="V53" s="147"/>
      <c r="W53" s="147"/>
      <c r="X53" s="147"/>
      <c r="Y53" s="147"/>
      <c r="Z53" s="147"/>
      <c r="AA53" s="147"/>
      <c r="AB53" s="147"/>
      <c r="AC53" s="147"/>
      <c r="AD53" s="147"/>
      <c r="AE53" s="147"/>
      <c r="AF53" s="147"/>
      <c r="AG53" s="147"/>
    </row>
    <row r="54">
      <c r="A54" s="252"/>
      <c r="B54" s="252"/>
      <c r="C54" s="147"/>
      <c r="D54" s="147"/>
      <c r="E54" s="147"/>
      <c r="F54" s="205"/>
      <c r="G54" s="147"/>
      <c r="H54" s="147"/>
      <c r="I54" s="147"/>
      <c r="J54" s="147"/>
      <c r="K54" s="147"/>
      <c r="L54" s="147"/>
      <c r="M54" s="147"/>
      <c r="N54" s="147"/>
      <c r="O54" s="147"/>
      <c r="P54" s="147"/>
      <c r="Q54" s="147"/>
      <c r="R54" s="147"/>
      <c r="S54" s="147"/>
      <c r="T54" s="147"/>
      <c r="U54" s="147"/>
      <c r="V54" s="147"/>
      <c r="W54" s="147"/>
      <c r="X54" s="147"/>
      <c r="Y54" s="147"/>
      <c r="Z54" s="147"/>
      <c r="AA54" s="147"/>
      <c r="AB54" s="147"/>
      <c r="AC54" s="147"/>
      <c r="AD54" s="147"/>
      <c r="AE54" s="147"/>
      <c r="AF54" s="147"/>
      <c r="AG54" s="147"/>
    </row>
    <row r="55">
      <c r="A55" s="251"/>
      <c r="B55" s="251"/>
      <c r="C55" s="147"/>
      <c r="D55" s="147"/>
      <c r="E55" s="147"/>
      <c r="F55" s="205"/>
      <c r="G55" s="147"/>
      <c r="H55" s="147"/>
      <c r="I55" s="147"/>
      <c r="J55" s="147"/>
      <c r="K55" s="147"/>
      <c r="L55" s="147"/>
      <c r="M55" s="147"/>
      <c r="N55" s="147"/>
      <c r="O55" s="147"/>
      <c r="P55" s="147"/>
      <c r="Q55" s="147"/>
      <c r="R55" s="147"/>
      <c r="S55" s="147"/>
      <c r="T55" s="147"/>
      <c r="U55" s="147"/>
      <c r="V55" s="147"/>
      <c r="W55" s="147"/>
      <c r="X55" s="147"/>
      <c r="Y55" s="147"/>
      <c r="Z55" s="147"/>
      <c r="AA55" s="147"/>
      <c r="AB55" s="147"/>
      <c r="AC55" s="147"/>
      <c r="AD55" s="147"/>
      <c r="AE55" s="147"/>
      <c r="AF55" s="147"/>
      <c r="AG55" s="147"/>
    </row>
    <row r="56">
      <c r="C56" s="147"/>
      <c r="D56" s="147"/>
      <c r="E56" s="147"/>
      <c r="F56" s="205"/>
      <c r="G56" s="147"/>
      <c r="H56" s="147"/>
      <c r="I56" s="147"/>
      <c r="J56" s="147"/>
      <c r="K56" s="147"/>
      <c r="L56" s="147"/>
      <c r="M56" s="147"/>
      <c r="N56" s="147"/>
      <c r="O56" s="147"/>
      <c r="P56" s="147"/>
      <c r="Q56" s="147"/>
      <c r="R56" s="147"/>
      <c r="S56" s="147"/>
      <c r="T56" s="147"/>
      <c r="U56" s="147"/>
      <c r="V56" s="147"/>
      <c r="W56" s="147"/>
      <c r="X56" s="147"/>
      <c r="Y56" s="147"/>
      <c r="Z56" s="147"/>
      <c r="AA56" s="147"/>
      <c r="AB56" s="147"/>
      <c r="AC56" s="147"/>
      <c r="AD56" s="147"/>
      <c r="AE56" s="147"/>
      <c r="AF56" s="147"/>
      <c r="AG56" s="147"/>
    </row>
    <row r="57">
      <c r="A57" s="147"/>
      <c r="B57" s="147"/>
      <c r="C57" s="147"/>
      <c r="D57" s="147"/>
      <c r="E57" s="147"/>
      <c r="F57" s="205"/>
      <c r="G57" s="147"/>
      <c r="H57" s="147"/>
      <c r="I57" s="147"/>
      <c r="J57" s="147"/>
      <c r="K57" s="147"/>
      <c r="L57" s="147"/>
      <c r="M57" s="147"/>
      <c r="N57" s="147"/>
      <c r="O57" s="147"/>
      <c r="P57" s="147"/>
      <c r="Q57" s="147"/>
      <c r="R57" s="147"/>
      <c r="S57" s="147"/>
      <c r="T57" s="147"/>
      <c r="U57" s="147"/>
      <c r="V57" s="147"/>
      <c r="W57" s="147"/>
      <c r="X57" s="147"/>
      <c r="Y57" s="147"/>
      <c r="Z57" s="147"/>
      <c r="AA57" s="147"/>
      <c r="AB57" s="147"/>
      <c r="AC57" s="147"/>
      <c r="AD57" s="147"/>
      <c r="AE57" s="147"/>
      <c r="AF57" s="147"/>
      <c r="AG57" s="147"/>
    </row>
    <row r="58">
      <c r="A58" s="147"/>
      <c r="B58" s="147"/>
      <c r="C58" s="147"/>
      <c r="D58" s="147"/>
      <c r="E58" s="147"/>
      <c r="F58" s="205"/>
      <c r="G58" s="147"/>
      <c r="H58" s="147"/>
      <c r="I58" s="147"/>
      <c r="J58" s="147"/>
      <c r="K58" s="147"/>
      <c r="L58" s="147"/>
      <c r="M58" s="147"/>
      <c r="N58" s="147"/>
      <c r="O58" s="147"/>
      <c r="P58" s="147"/>
      <c r="Q58" s="147"/>
      <c r="R58" s="147"/>
      <c r="S58" s="147"/>
      <c r="T58" s="147"/>
      <c r="U58" s="147"/>
      <c r="V58" s="147"/>
      <c r="W58" s="147"/>
      <c r="X58" s="147"/>
      <c r="Y58" s="147"/>
      <c r="Z58" s="147"/>
      <c r="AA58" s="147"/>
      <c r="AB58" s="147"/>
      <c r="AC58" s="147"/>
      <c r="AD58" s="147"/>
      <c r="AE58" s="147"/>
      <c r="AF58" s="147"/>
      <c r="AG58" s="147"/>
    </row>
    <row r="59">
      <c r="A59" s="147"/>
      <c r="B59" s="147"/>
      <c r="C59" s="147"/>
      <c r="D59" s="147"/>
      <c r="E59" s="147"/>
      <c r="F59" s="205"/>
      <c r="G59" s="147"/>
      <c r="H59" s="147"/>
      <c r="I59" s="147"/>
      <c r="J59" s="147"/>
      <c r="K59" s="147"/>
      <c r="L59" s="147"/>
      <c r="M59" s="147"/>
      <c r="N59" s="147"/>
      <c r="O59" s="147"/>
      <c r="P59" s="147"/>
      <c r="Q59" s="147"/>
      <c r="R59" s="147"/>
      <c r="S59" s="147"/>
      <c r="T59" s="147"/>
      <c r="U59" s="147"/>
      <c r="V59" s="147"/>
      <c r="W59" s="147"/>
      <c r="X59" s="147"/>
      <c r="Y59" s="147"/>
      <c r="Z59" s="147"/>
      <c r="AA59" s="147"/>
      <c r="AB59" s="147"/>
      <c r="AC59" s="147"/>
      <c r="AD59" s="147"/>
      <c r="AE59" s="147"/>
      <c r="AF59" s="147"/>
      <c r="AG59" s="147"/>
    </row>
    <row r="60">
      <c r="A60" s="147"/>
      <c r="B60" s="147"/>
      <c r="C60" s="147"/>
      <c r="D60" s="147"/>
      <c r="E60" s="147"/>
      <c r="F60" s="205"/>
      <c r="G60" s="147"/>
      <c r="H60" s="147"/>
      <c r="I60" s="147"/>
      <c r="J60" s="147"/>
      <c r="K60" s="147"/>
      <c r="L60" s="147"/>
      <c r="M60" s="147"/>
      <c r="N60" s="147"/>
      <c r="O60" s="147"/>
      <c r="P60" s="147"/>
      <c r="Q60" s="147"/>
      <c r="R60" s="147"/>
      <c r="S60" s="147"/>
      <c r="T60" s="147"/>
      <c r="U60" s="147"/>
      <c r="V60" s="147"/>
      <c r="W60" s="147"/>
      <c r="X60" s="147"/>
      <c r="Y60" s="147"/>
      <c r="Z60" s="147"/>
      <c r="AA60" s="147"/>
      <c r="AB60" s="147"/>
      <c r="AC60" s="147"/>
      <c r="AD60" s="147"/>
      <c r="AE60" s="147"/>
      <c r="AF60" s="147"/>
      <c r="AG60" s="147"/>
    </row>
    <row r="61">
      <c r="A61" s="147"/>
      <c r="B61" s="147"/>
      <c r="C61" s="147"/>
      <c r="D61" s="147"/>
      <c r="E61" s="147"/>
      <c r="F61" s="205"/>
      <c r="G61" s="147"/>
      <c r="H61" s="147"/>
      <c r="I61" s="147"/>
      <c r="J61" s="147"/>
      <c r="K61" s="147"/>
      <c r="L61" s="147"/>
      <c r="M61" s="147"/>
      <c r="N61" s="147"/>
      <c r="O61" s="147"/>
      <c r="P61" s="147"/>
      <c r="Q61" s="147"/>
      <c r="R61" s="147"/>
      <c r="S61" s="147"/>
      <c r="T61" s="147"/>
      <c r="U61" s="147"/>
      <c r="V61" s="147"/>
      <c r="W61" s="147"/>
      <c r="X61" s="147"/>
      <c r="Y61" s="147"/>
      <c r="Z61" s="147"/>
      <c r="AA61" s="147"/>
      <c r="AB61" s="147"/>
      <c r="AC61" s="147"/>
      <c r="AD61" s="147"/>
      <c r="AE61" s="147"/>
      <c r="AF61" s="147"/>
      <c r="AG61" s="147"/>
    </row>
    <row r="62">
      <c r="A62" s="147"/>
      <c r="B62" s="147"/>
      <c r="C62" s="147"/>
      <c r="D62" s="147"/>
      <c r="E62" s="147"/>
      <c r="F62" s="205"/>
      <c r="G62" s="147"/>
      <c r="H62" s="147"/>
      <c r="I62" s="147"/>
      <c r="J62" s="147"/>
      <c r="K62" s="147"/>
      <c r="L62" s="147"/>
      <c r="M62" s="147"/>
      <c r="N62" s="147"/>
      <c r="O62" s="147"/>
      <c r="P62" s="147"/>
      <c r="Q62" s="147"/>
      <c r="R62" s="147"/>
      <c r="S62" s="147"/>
      <c r="T62" s="147"/>
      <c r="U62" s="147"/>
      <c r="V62" s="147"/>
      <c r="W62" s="147"/>
      <c r="X62" s="147"/>
      <c r="Y62" s="147"/>
      <c r="Z62" s="147"/>
      <c r="AA62" s="147"/>
      <c r="AB62" s="147"/>
      <c r="AC62" s="147"/>
      <c r="AD62" s="147"/>
      <c r="AE62" s="147"/>
      <c r="AF62" s="147"/>
      <c r="AG62" s="147"/>
    </row>
    <row r="63">
      <c r="A63" s="147"/>
      <c r="B63" s="147"/>
      <c r="C63" s="147"/>
      <c r="D63" s="147"/>
      <c r="E63" s="147"/>
      <c r="F63" s="205"/>
      <c r="G63" s="147"/>
      <c r="H63" s="147"/>
      <c r="I63" s="147"/>
      <c r="J63" s="147"/>
      <c r="K63" s="147"/>
      <c r="L63" s="147"/>
      <c r="M63" s="147"/>
      <c r="N63" s="147"/>
      <c r="O63" s="147"/>
      <c r="P63" s="147"/>
      <c r="Q63" s="147"/>
      <c r="R63" s="147"/>
      <c r="S63" s="147"/>
      <c r="T63" s="147"/>
      <c r="U63" s="147"/>
      <c r="V63" s="147"/>
      <c r="W63" s="147"/>
      <c r="X63" s="147"/>
      <c r="Y63" s="147"/>
      <c r="Z63" s="147"/>
      <c r="AA63" s="147"/>
      <c r="AB63" s="147"/>
      <c r="AC63" s="147"/>
      <c r="AD63" s="147"/>
      <c r="AE63" s="147"/>
      <c r="AF63" s="147"/>
      <c r="AG63" s="147"/>
    </row>
    <row r="64">
      <c r="A64" s="147"/>
      <c r="B64" s="147"/>
      <c r="C64" s="147"/>
      <c r="D64" s="147"/>
      <c r="E64" s="147"/>
      <c r="F64" s="205"/>
      <c r="G64" s="147"/>
      <c r="H64" s="147"/>
      <c r="I64" s="147"/>
      <c r="J64" s="147"/>
      <c r="K64" s="147"/>
      <c r="L64" s="147"/>
      <c r="M64" s="147"/>
      <c r="N64" s="147"/>
      <c r="O64" s="147"/>
      <c r="P64" s="147"/>
      <c r="Q64" s="147"/>
      <c r="R64" s="147"/>
      <c r="S64" s="147"/>
      <c r="T64" s="147"/>
      <c r="U64" s="147"/>
      <c r="V64" s="147"/>
      <c r="W64" s="147"/>
      <c r="X64" s="147"/>
      <c r="Y64" s="147"/>
      <c r="Z64" s="147"/>
      <c r="AA64" s="147"/>
      <c r="AB64" s="147"/>
      <c r="AC64" s="147"/>
      <c r="AD64" s="147"/>
      <c r="AE64" s="147"/>
      <c r="AF64" s="147"/>
      <c r="AG64" s="147"/>
    </row>
    <row r="65">
      <c r="A65" s="147"/>
      <c r="B65" s="147"/>
      <c r="C65" s="147"/>
      <c r="D65" s="147"/>
      <c r="E65" s="147"/>
      <c r="F65" s="205"/>
      <c r="G65" s="147"/>
      <c r="H65" s="147"/>
      <c r="I65" s="147"/>
      <c r="J65" s="147"/>
      <c r="K65" s="147"/>
      <c r="L65" s="147"/>
      <c r="M65" s="147"/>
      <c r="N65" s="147"/>
      <c r="O65" s="147"/>
      <c r="P65" s="147"/>
      <c r="Q65" s="147"/>
      <c r="R65" s="147"/>
      <c r="S65" s="147"/>
      <c r="T65" s="147"/>
      <c r="U65" s="147"/>
      <c r="V65" s="147"/>
      <c r="W65" s="147"/>
      <c r="X65" s="147"/>
      <c r="Y65" s="147"/>
      <c r="Z65" s="147"/>
      <c r="AA65" s="147"/>
      <c r="AB65" s="147"/>
      <c r="AC65" s="147"/>
      <c r="AD65" s="147"/>
      <c r="AE65" s="147"/>
      <c r="AF65" s="147"/>
      <c r="AG65" s="147"/>
    </row>
    <row r="66">
      <c r="A66" s="147"/>
      <c r="B66" s="147"/>
      <c r="C66" s="147"/>
      <c r="D66" s="147"/>
      <c r="E66" s="147"/>
      <c r="F66" s="205"/>
      <c r="G66" s="147"/>
      <c r="H66" s="147"/>
      <c r="I66" s="147"/>
      <c r="J66" s="147"/>
      <c r="K66" s="147"/>
      <c r="L66" s="147"/>
      <c r="M66" s="147"/>
      <c r="N66" s="147"/>
      <c r="O66" s="147"/>
      <c r="P66" s="147"/>
      <c r="Q66" s="147"/>
      <c r="R66" s="147"/>
      <c r="S66" s="147"/>
      <c r="T66" s="147"/>
      <c r="U66" s="147"/>
      <c r="V66" s="147"/>
      <c r="W66" s="147"/>
      <c r="X66" s="147"/>
      <c r="Y66" s="147"/>
      <c r="Z66" s="147"/>
      <c r="AA66" s="147"/>
      <c r="AB66" s="147"/>
      <c r="AC66" s="147"/>
      <c r="AD66" s="147"/>
      <c r="AE66" s="147"/>
      <c r="AF66" s="147"/>
      <c r="AG66" s="147"/>
    </row>
    <row r="67">
      <c r="A67" s="147"/>
      <c r="B67" s="147"/>
      <c r="C67" s="147"/>
      <c r="D67" s="147"/>
      <c r="E67" s="147"/>
      <c r="F67" s="205"/>
      <c r="G67" s="147"/>
      <c r="H67" s="147"/>
      <c r="I67" s="147"/>
      <c r="J67" s="147"/>
      <c r="K67" s="147"/>
      <c r="L67" s="147"/>
      <c r="M67" s="147"/>
      <c r="N67" s="147"/>
      <c r="O67" s="147"/>
      <c r="P67" s="147"/>
      <c r="Q67" s="147"/>
      <c r="R67" s="147"/>
      <c r="S67" s="147"/>
      <c r="T67" s="147"/>
      <c r="U67" s="147"/>
      <c r="V67" s="147"/>
      <c r="W67" s="147"/>
      <c r="X67" s="147"/>
      <c r="Y67" s="147"/>
      <c r="Z67" s="147"/>
      <c r="AA67" s="147"/>
      <c r="AB67" s="147"/>
      <c r="AC67" s="147"/>
      <c r="AD67" s="147"/>
      <c r="AE67" s="147"/>
      <c r="AF67" s="147"/>
      <c r="AG67" s="147"/>
    </row>
    <row r="68">
      <c r="A68" s="147"/>
      <c r="B68" s="147"/>
      <c r="C68" s="147"/>
      <c r="D68" s="147"/>
      <c r="E68" s="147"/>
      <c r="F68" s="205"/>
      <c r="G68" s="147"/>
      <c r="H68" s="147"/>
      <c r="I68" s="147"/>
      <c r="J68" s="147"/>
      <c r="K68" s="147"/>
      <c r="L68" s="147"/>
      <c r="M68" s="147"/>
      <c r="N68" s="147"/>
      <c r="O68" s="147"/>
      <c r="P68" s="147"/>
      <c r="Q68" s="147"/>
      <c r="R68" s="147"/>
      <c r="S68" s="147"/>
      <c r="T68" s="147"/>
      <c r="U68" s="147"/>
      <c r="V68" s="147"/>
      <c r="W68" s="147"/>
      <c r="X68" s="147"/>
      <c r="Y68" s="147"/>
      <c r="Z68" s="147"/>
      <c r="AA68" s="147"/>
      <c r="AB68" s="147"/>
      <c r="AC68" s="147"/>
      <c r="AD68" s="147"/>
      <c r="AE68" s="147"/>
      <c r="AF68" s="147"/>
      <c r="AG68" s="147"/>
    </row>
    <row r="69">
      <c r="A69" s="147"/>
      <c r="B69" s="147"/>
      <c r="C69" s="147"/>
      <c r="D69" s="147"/>
      <c r="E69" s="147"/>
      <c r="F69" s="205"/>
      <c r="G69" s="147"/>
      <c r="H69" s="147"/>
      <c r="I69" s="147"/>
      <c r="J69" s="147"/>
      <c r="K69" s="147"/>
      <c r="L69" s="147"/>
      <c r="M69" s="147"/>
      <c r="N69" s="147"/>
      <c r="O69" s="147"/>
      <c r="P69" s="147"/>
      <c r="Q69" s="147"/>
      <c r="R69" s="147"/>
      <c r="S69" s="147"/>
      <c r="T69" s="147"/>
      <c r="U69" s="147"/>
      <c r="V69" s="147"/>
      <c r="W69" s="147"/>
      <c r="X69" s="147"/>
      <c r="Y69" s="147"/>
      <c r="Z69" s="147"/>
      <c r="AA69" s="147"/>
      <c r="AB69" s="147"/>
      <c r="AC69" s="147"/>
      <c r="AD69" s="147"/>
      <c r="AE69" s="147"/>
      <c r="AF69" s="147"/>
      <c r="AG69" s="147"/>
    </row>
    <row r="70">
      <c r="A70" s="147"/>
      <c r="B70" s="147"/>
      <c r="C70" s="147"/>
      <c r="D70" s="147"/>
      <c r="E70" s="147"/>
      <c r="F70" s="205"/>
      <c r="G70" s="147"/>
      <c r="H70" s="147"/>
      <c r="I70" s="147"/>
      <c r="J70" s="147"/>
      <c r="K70" s="147"/>
      <c r="L70" s="147"/>
      <c r="M70" s="147"/>
      <c r="N70" s="147"/>
      <c r="O70" s="147"/>
      <c r="P70" s="147"/>
      <c r="Q70" s="147"/>
      <c r="R70" s="147"/>
      <c r="S70" s="147"/>
      <c r="T70" s="147"/>
      <c r="U70" s="147"/>
      <c r="V70" s="147"/>
      <c r="W70" s="147"/>
      <c r="X70" s="147"/>
      <c r="Y70" s="147"/>
      <c r="Z70" s="147"/>
      <c r="AA70" s="147"/>
      <c r="AB70" s="147"/>
      <c r="AC70" s="147"/>
      <c r="AD70" s="147"/>
      <c r="AE70" s="147"/>
      <c r="AF70" s="147"/>
      <c r="AG70" s="147"/>
    </row>
    <row r="71">
      <c r="A71" s="147"/>
      <c r="B71" s="147"/>
      <c r="C71" s="147"/>
      <c r="D71" s="147"/>
      <c r="E71" s="147"/>
      <c r="F71" s="205"/>
      <c r="G71" s="147"/>
      <c r="H71" s="147"/>
      <c r="I71" s="147"/>
      <c r="J71" s="147"/>
      <c r="K71" s="147"/>
      <c r="L71" s="147"/>
      <c r="M71" s="147"/>
      <c r="N71" s="147"/>
      <c r="O71" s="147"/>
      <c r="P71" s="147"/>
      <c r="Q71" s="147"/>
      <c r="R71" s="147"/>
      <c r="S71" s="147"/>
      <c r="T71" s="147"/>
      <c r="U71" s="147"/>
      <c r="V71" s="147"/>
      <c r="W71" s="147"/>
      <c r="X71" s="147"/>
      <c r="Y71" s="147"/>
      <c r="Z71" s="147"/>
      <c r="AA71" s="147"/>
      <c r="AB71" s="147"/>
      <c r="AC71" s="147"/>
      <c r="AD71" s="147"/>
      <c r="AE71" s="147"/>
      <c r="AF71" s="147"/>
      <c r="AG71" s="147"/>
    </row>
    <row r="72">
      <c r="A72" s="147"/>
      <c r="B72" s="147"/>
      <c r="C72" s="147"/>
      <c r="D72" s="147"/>
      <c r="E72" s="147"/>
      <c r="F72" s="205"/>
      <c r="G72" s="147"/>
      <c r="H72" s="147"/>
      <c r="I72" s="147"/>
      <c r="J72" s="147"/>
      <c r="K72" s="147"/>
      <c r="L72" s="147"/>
      <c r="M72" s="147"/>
      <c r="N72" s="147"/>
      <c r="O72" s="147"/>
      <c r="P72" s="147"/>
      <c r="Q72" s="147"/>
      <c r="R72" s="147"/>
      <c r="S72" s="147"/>
      <c r="T72" s="147"/>
      <c r="U72" s="147"/>
      <c r="V72" s="147"/>
      <c r="W72" s="147"/>
      <c r="X72" s="147"/>
      <c r="Y72" s="147"/>
      <c r="Z72" s="147"/>
      <c r="AA72" s="147"/>
      <c r="AB72" s="147"/>
      <c r="AC72" s="147"/>
      <c r="AD72" s="147"/>
      <c r="AE72" s="147"/>
      <c r="AF72" s="147"/>
      <c r="AG72" s="147"/>
    </row>
    <row r="73">
      <c r="A73" s="147"/>
      <c r="B73" s="147"/>
      <c r="C73" s="147"/>
      <c r="D73" s="147"/>
      <c r="E73" s="147"/>
      <c r="F73" s="205"/>
      <c r="G73" s="147"/>
      <c r="H73" s="147"/>
      <c r="I73" s="147"/>
      <c r="J73" s="147"/>
      <c r="K73" s="147"/>
      <c r="L73" s="147"/>
      <c r="M73" s="147"/>
      <c r="N73" s="147"/>
      <c r="O73" s="147"/>
      <c r="P73" s="147"/>
      <c r="Q73" s="147"/>
      <c r="R73" s="147"/>
      <c r="S73" s="147"/>
      <c r="T73" s="147"/>
      <c r="U73" s="147"/>
      <c r="V73" s="147"/>
      <c r="W73" s="147"/>
      <c r="X73" s="147"/>
      <c r="Y73" s="147"/>
      <c r="Z73" s="147"/>
      <c r="AA73" s="147"/>
      <c r="AB73" s="147"/>
      <c r="AC73" s="147"/>
      <c r="AD73" s="147"/>
      <c r="AE73" s="147"/>
      <c r="AF73" s="147"/>
      <c r="AG73" s="147"/>
    </row>
    <row r="74">
      <c r="A74" s="147"/>
      <c r="B74" s="147"/>
      <c r="C74" s="147"/>
      <c r="D74" s="147"/>
      <c r="E74" s="147"/>
      <c r="F74" s="205"/>
      <c r="G74" s="147"/>
      <c r="H74" s="147"/>
      <c r="I74" s="147"/>
      <c r="J74" s="147"/>
      <c r="K74" s="147"/>
      <c r="L74" s="147"/>
      <c r="M74" s="147"/>
      <c r="N74" s="147"/>
      <c r="O74" s="147"/>
      <c r="P74" s="147"/>
      <c r="Q74" s="147"/>
      <c r="R74" s="147"/>
      <c r="S74" s="147"/>
      <c r="T74" s="147"/>
      <c r="U74" s="147"/>
      <c r="V74" s="147"/>
      <c r="W74" s="147"/>
      <c r="X74" s="147"/>
      <c r="Y74" s="147"/>
      <c r="Z74" s="147"/>
      <c r="AA74" s="147"/>
      <c r="AB74" s="147"/>
      <c r="AC74" s="147"/>
      <c r="AD74" s="147"/>
      <c r="AE74" s="147"/>
      <c r="AF74" s="147"/>
      <c r="AG74" s="147"/>
    </row>
    <row r="75">
      <c r="A75" s="147"/>
      <c r="B75" s="147"/>
      <c r="C75" s="147"/>
      <c r="D75" s="147"/>
      <c r="E75" s="147"/>
      <c r="F75" s="205"/>
      <c r="G75" s="147"/>
      <c r="H75" s="147"/>
      <c r="I75" s="147"/>
      <c r="J75" s="147"/>
      <c r="K75" s="147"/>
      <c r="L75" s="147"/>
      <c r="M75" s="147"/>
      <c r="N75" s="147"/>
      <c r="O75" s="147"/>
      <c r="P75" s="147"/>
      <c r="Q75" s="147"/>
      <c r="R75" s="147"/>
      <c r="S75" s="147"/>
      <c r="T75" s="147"/>
      <c r="U75" s="147"/>
      <c r="V75" s="147"/>
      <c r="W75" s="147"/>
      <c r="X75" s="147"/>
      <c r="Y75" s="147"/>
      <c r="Z75" s="147"/>
      <c r="AA75" s="147"/>
      <c r="AB75" s="147"/>
      <c r="AC75" s="147"/>
      <c r="AD75" s="147"/>
      <c r="AE75" s="147"/>
      <c r="AF75" s="147"/>
      <c r="AG75" s="147"/>
    </row>
    <row r="76">
      <c r="A76" s="147"/>
      <c r="B76" s="147"/>
      <c r="C76" s="147"/>
      <c r="D76" s="147"/>
      <c r="E76" s="147"/>
      <c r="F76" s="205"/>
      <c r="G76" s="147"/>
      <c r="H76" s="147"/>
      <c r="I76" s="147"/>
      <c r="J76" s="147"/>
      <c r="K76" s="147"/>
      <c r="L76" s="147"/>
      <c r="M76" s="147"/>
      <c r="N76" s="147"/>
      <c r="O76" s="147"/>
      <c r="P76" s="147"/>
      <c r="Q76" s="147"/>
      <c r="R76" s="147"/>
      <c r="S76" s="147"/>
      <c r="T76" s="147"/>
      <c r="U76" s="147"/>
      <c r="V76" s="147"/>
      <c r="W76" s="147"/>
      <c r="X76" s="147"/>
      <c r="Y76" s="147"/>
      <c r="Z76" s="147"/>
      <c r="AA76" s="147"/>
      <c r="AB76" s="147"/>
      <c r="AC76" s="147"/>
      <c r="AD76" s="147"/>
      <c r="AE76" s="147"/>
      <c r="AF76" s="147"/>
      <c r="AG76" s="147"/>
    </row>
    <row r="77">
      <c r="A77" s="147"/>
      <c r="B77" s="147"/>
      <c r="C77" s="147"/>
      <c r="D77" s="147"/>
      <c r="E77" s="147"/>
      <c r="F77" s="205"/>
      <c r="G77" s="147"/>
      <c r="H77" s="147"/>
      <c r="I77" s="147"/>
      <c r="J77" s="147"/>
      <c r="K77" s="147"/>
      <c r="L77" s="147"/>
      <c r="M77" s="147"/>
      <c r="N77" s="147"/>
      <c r="O77" s="147"/>
      <c r="P77" s="147"/>
      <c r="Q77" s="147"/>
      <c r="R77" s="147"/>
      <c r="S77" s="147"/>
      <c r="T77" s="147"/>
      <c r="U77" s="147"/>
      <c r="V77" s="147"/>
      <c r="W77" s="147"/>
      <c r="X77" s="147"/>
      <c r="Y77" s="147"/>
      <c r="Z77" s="147"/>
      <c r="AA77" s="147"/>
      <c r="AB77" s="147"/>
      <c r="AC77" s="147"/>
      <c r="AD77" s="147"/>
      <c r="AE77" s="147"/>
      <c r="AF77" s="147"/>
      <c r="AG77" s="147"/>
    </row>
    <row r="78">
      <c r="A78" s="147"/>
      <c r="B78" s="147"/>
      <c r="C78" s="147"/>
      <c r="D78" s="147"/>
      <c r="E78" s="147"/>
      <c r="F78" s="205"/>
      <c r="G78" s="147"/>
      <c r="H78" s="147"/>
      <c r="I78" s="147"/>
      <c r="J78" s="147"/>
      <c r="K78" s="147"/>
      <c r="L78" s="147"/>
      <c r="M78" s="147"/>
      <c r="N78" s="147"/>
      <c r="O78" s="147"/>
      <c r="P78" s="147"/>
      <c r="Q78" s="147"/>
      <c r="R78" s="147"/>
      <c r="S78" s="147"/>
      <c r="T78" s="147"/>
      <c r="U78" s="147"/>
      <c r="V78" s="147"/>
      <c r="W78" s="147"/>
      <c r="X78" s="147"/>
      <c r="Y78" s="147"/>
      <c r="Z78" s="147"/>
      <c r="AA78" s="147"/>
      <c r="AB78" s="147"/>
      <c r="AC78" s="147"/>
      <c r="AD78" s="147"/>
      <c r="AE78" s="147"/>
      <c r="AF78" s="147"/>
      <c r="AG78" s="147"/>
    </row>
    <row r="79">
      <c r="A79" s="147"/>
      <c r="B79" s="147"/>
      <c r="C79" s="147"/>
      <c r="D79" s="147"/>
      <c r="E79" s="147"/>
      <c r="F79" s="205"/>
      <c r="G79" s="147"/>
      <c r="H79" s="147"/>
      <c r="I79" s="147"/>
      <c r="J79" s="147"/>
      <c r="K79" s="147"/>
      <c r="L79" s="147"/>
      <c r="M79" s="147"/>
      <c r="N79" s="147"/>
      <c r="O79" s="147"/>
      <c r="P79" s="147"/>
      <c r="Q79" s="147"/>
      <c r="R79" s="147"/>
      <c r="S79" s="147"/>
      <c r="T79" s="147"/>
      <c r="U79" s="147"/>
      <c r="V79" s="147"/>
      <c r="W79" s="147"/>
      <c r="X79" s="147"/>
      <c r="Y79" s="147"/>
      <c r="Z79" s="147"/>
      <c r="AA79" s="147"/>
      <c r="AB79" s="147"/>
      <c r="AC79" s="147"/>
      <c r="AD79" s="147"/>
      <c r="AE79" s="147"/>
      <c r="AF79" s="147"/>
      <c r="AG79" s="147"/>
    </row>
    <row r="80">
      <c r="A80" s="147"/>
      <c r="B80" s="147"/>
      <c r="C80" s="147"/>
      <c r="D80" s="147"/>
      <c r="E80" s="147"/>
      <c r="F80" s="205"/>
      <c r="G80" s="147"/>
      <c r="H80" s="147"/>
      <c r="I80" s="147"/>
      <c r="J80" s="147"/>
      <c r="K80" s="147"/>
      <c r="L80" s="147"/>
      <c r="M80" s="147"/>
      <c r="N80" s="147"/>
      <c r="O80" s="147"/>
      <c r="P80" s="147"/>
      <c r="Q80" s="147"/>
      <c r="R80" s="147"/>
      <c r="S80" s="147"/>
      <c r="T80" s="147"/>
      <c r="U80" s="147"/>
      <c r="V80" s="147"/>
      <c r="W80" s="147"/>
      <c r="X80" s="147"/>
      <c r="Y80" s="147"/>
      <c r="Z80" s="147"/>
      <c r="AA80" s="147"/>
      <c r="AB80" s="147"/>
      <c r="AC80" s="147"/>
      <c r="AD80" s="147"/>
      <c r="AE80" s="147"/>
      <c r="AF80" s="147"/>
      <c r="AG80" s="147"/>
    </row>
    <row r="81">
      <c r="A81" s="147"/>
      <c r="B81" s="147"/>
      <c r="C81" s="147"/>
      <c r="D81" s="147"/>
      <c r="E81" s="147"/>
      <c r="F81" s="205"/>
      <c r="G81" s="147"/>
      <c r="H81" s="147"/>
      <c r="I81" s="147"/>
      <c r="J81" s="147"/>
      <c r="K81" s="147"/>
      <c r="L81" s="147"/>
      <c r="M81" s="147"/>
      <c r="N81" s="147"/>
      <c r="O81" s="147"/>
      <c r="P81" s="147"/>
      <c r="Q81" s="147"/>
      <c r="R81" s="147"/>
      <c r="S81" s="147"/>
      <c r="T81" s="147"/>
      <c r="U81" s="147"/>
      <c r="V81" s="147"/>
      <c r="W81" s="147"/>
      <c r="X81" s="147"/>
      <c r="Y81" s="147"/>
      <c r="Z81" s="147"/>
      <c r="AA81" s="147"/>
      <c r="AB81" s="147"/>
      <c r="AC81" s="147"/>
      <c r="AD81" s="147"/>
      <c r="AE81" s="147"/>
      <c r="AF81" s="147"/>
      <c r="AG81" s="147"/>
    </row>
    <row r="82">
      <c r="A82" s="147"/>
      <c r="B82" s="147"/>
      <c r="C82" s="147"/>
      <c r="D82" s="147"/>
      <c r="E82" s="147"/>
      <c r="F82" s="205"/>
      <c r="G82" s="147"/>
      <c r="H82" s="147"/>
      <c r="I82" s="147"/>
      <c r="J82" s="147"/>
      <c r="K82" s="147"/>
      <c r="L82" s="147"/>
      <c r="M82" s="147"/>
      <c r="N82" s="147"/>
      <c r="O82" s="147"/>
      <c r="P82" s="147"/>
      <c r="Q82" s="147"/>
      <c r="R82" s="147"/>
      <c r="S82" s="147"/>
      <c r="T82" s="147"/>
      <c r="U82" s="147"/>
      <c r="V82" s="147"/>
      <c r="W82" s="147"/>
      <c r="X82" s="147"/>
      <c r="Y82" s="147"/>
      <c r="Z82" s="147"/>
      <c r="AA82" s="147"/>
      <c r="AB82" s="147"/>
      <c r="AC82" s="147"/>
      <c r="AD82" s="147"/>
      <c r="AE82" s="147"/>
      <c r="AF82" s="147"/>
      <c r="AG82" s="147"/>
    </row>
    <row r="83">
      <c r="A83" s="147"/>
      <c r="B83" s="147"/>
      <c r="C83" s="147"/>
      <c r="D83" s="147"/>
      <c r="E83" s="147"/>
      <c r="F83" s="205"/>
      <c r="G83" s="147"/>
      <c r="H83" s="147"/>
      <c r="I83" s="147"/>
      <c r="J83" s="147"/>
      <c r="K83" s="147"/>
      <c r="L83" s="147"/>
      <c r="M83" s="147"/>
      <c r="N83" s="147"/>
      <c r="O83" s="147"/>
      <c r="P83" s="147"/>
      <c r="Q83" s="147"/>
      <c r="R83" s="147"/>
      <c r="S83" s="147"/>
      <c r="T83" s="147"/>
      <c r="U83" s="147"/>
      <c r="V83" s="147"/>
      <c r="W83" s="147"/>
      <c r="X83" s="147"/>
      <c r="Y83" s="147"/>
      <c r="Z83" s="147"/>
      <c r="AA83" s="147"/>
      <c r="AB83" s="147"/>
      <c r="AC83" s="147"/>
      <c r="AD83" s="147"/>
      <c r="AE83" s="147"/>
      <c r="AF83" s="147"/>
      <c r="AG83" s="147"/>
    </row>
    <row r="84">
      <c r="A84" s="147"/>
      <c r="B84" s="147"/>
      <c r="C84" s="147"/>
      <c r="D84" s="147"/>
      <c r="E84" s="147"/>
      <c r="F84" s="205"/>
      <c r="G84" s="147"/>
      <c r="H84" s="147"/>
      <c r="I84" s="147"/>
      <c r="J84" s="147"/>
      <c r="K84" s="147"/>
      <c r="L84" s="147"/>
      <c r="M84" s="147"/>
      <c r="N84" s="147"/>
      <c r="O84" s="147"/>
      <c r="P84" s="147"/>
      <c r="Q84" s="147"/>
      <c r="R84" s="147"/>
      <c r="S84" s="147"/>
      <c r="T84" s="147"/>
      <c r="U84" s="147"/>
      <c r="V84" s="147"/>
      <c r="W84" s="147"/>
      <c r="X84" s="147"/>
      <c r="Y84" s="147"/>
      <c r="Z84" s="147"/>
      <c r="AA84" s="147"/>
      <c r="AB84" s="147"/>
      <c r="AC84" s="147"/>
      <c r="AD84" s="147"/>
      <c r="AE84" s="147"/>
      <c r="AF84" s="147"/>
      <c r="AG84" s="147"/>
    </row>
    <row r="85">
      <c r="A85" s="147"/>
      <c r="B85" s="147"/>
      <c r="C85" s="147"/>
      <c r="D85" s="147"/>
      <c r="E85" s="147"/>
      <c r="F85" s="205"/>
      <c r="G85" s="147"/>
      <c r="H85" s="147"/>
      <c r="I85" s="147"/>
      <c r="J85" s="147"/>
      <c r="K85" s="147"/>
      <c r="L85" s="147"/>
      <c r="M85" s="147"/>
      <c r="N85" s="147"/>
      <c r="O85" s="147"/>
      <c r="P85" s="147"/>
      <c r="Q85" s="147"/>
      <c r="R85" s="147"/>
      <c r="S85" s="147"/>
      <c r="T85" s="147"/>
      <c r="U85" s="147"/>
      <c r="V85" s="147"/>
      <c r="W85" s="147"/>
      <c r="X85" s="147"/>
      <c r="Y85" s="147"/>
      <c r="Z85" s="147"/>
      <c r="AA85" s="147"/>
      <c r="AB85" s="147"/>
      <c r="AC85" s="147"/>
      <c r="AD85" s="147"/>
      <c r="AE85" s="147"/>
      <c r="AF85" s="147"/>
      <c r="AG85" s="147"/>
    </row>
    <row r="86">
      <c r="A86" s="147"/>
      <c r="B86" s="147"/>
      <c r="C86" s="147"/>
      <c r="D86" s="147"/>
      <c r="E86" s="147"/>
      <c r="F86" s="205"/>
      <c r="G86" s="147"/>
      <c r="H86" s="147"/>
      <c r="I86" s="147"/>
      <c r="J86" s="147"/>
      <c r="K86" s="147"/>
      <c r="L86" s="147"/>
      <c r="M86" s="147"/>
      <c r="N86" s="147"/>
      <c r="O86" s="147"/>
      <c r="P86" s="147"/>
      <c r="Q86" s="147"/>
      <c r="R86" s="147"/>
      <c r="S86" s="147"/>
      <c r="T86" s="147"/>
      <c r="U86" s="147"/>
      <c r="V86" s="147"/>
      <c r="W86" s="147"/>
      <c r="X86" s="147"/>
      <c r="Y86" s="147"/>
      <c r="Z86" s="147"/>
      <c r="AA86" s="147"/>
      <c r="AB86" s="147"/>
      <c r="AC86" s="147"/>
      <c r="AD86" s="147"/>
      <c r="AE86" s="147"/>
      <c r="AF86" s="147"/>
      <c r="AG86" s="147"/>
    </row>
    <row r="87">
      <c r="A87" s="147"/>
      <c r="B87" s="147"/>
      <c r="C87" s="147"/>
      <c r="D87" s="147"/>
      <c r="E87" s="147"/>
      <c r="F87" s="205"/>
      <c r="G87" s="147"/>
      <c r="H87" s="147"/>
      <c r="I87" s="147"/>
      <c r="J87" s="147"/>
      <c r="K87" s="147"/>
      <c r="L87" s="147"/>
      <c r="M87" s="147"/>
      <c r="N87" s="147"/>
      <c r="O87" s="147"/>
      <c r="P87" s="147"/>
      <c r="Q87" s="147"/>
      <c r="R87" s="147"/>
      <c r="S87" s="147"/>
      <c r="T87" s="147"/>
      <c r="U87" s="147"/>
      <c r="V87" s="147"/>
      <c r="W87" s="147"/>
      <c r="X87" s="147"/>
      <c r="Y87" s="147"/>
      <c r="Z87" s="147"/>
      <c r="AA87" s="147"/>
      <c r="AB87" s="147"/>
      <c r="AC87" s="147"/>
      <c r="AD87" s="147"/>
      <c r="AE87" s="147"/>
      <c r="AF87" s="147"/>
      <c r="AG87" s="147"/>
    </row>
    <row r="88">
      <c r="A88" s="147"/>
      <c r="B88" s="147"/>
      <c r="C88" s="147"/>
      <c r="D88" s="147"/>
      <c r="E88" s="147"/>
      <c r="F88" s="205"/>
      <c r="G88" s="147"/>
      <c r="H88" s="147"/>
      <c r="I88" s="147"/>
      <c r="J88" s="147"/>
      <c r="K88" s="147"/>
      <c r="L88" s="147"/>
      <c r="M88" s="147"/>
      <c r="N88" s="147"/>
      <c r="O88" s="147"/>
      <c r="P88" s="147"/>
      <c r="Q88" s="147"/>
      <c r="R88" s="147"/>
      <c r="S88" s="147"/>
      <c r="T88" s="147"/>
      <c r="U88" s="147"/>
      <c r="V88" s="147"/>
      <c r="W88" s="147"/>
      <c r="X88" s="147"/>
      <c r="Y88" s="147"/>
      <c r="Z88" s="147"/>
      <c r="AA88" s="147"/>
      <c r="AB88" s="147"/>
      <c r="AC88" s="147"/>
      <c r="AD88" s="147"/>
      <c r="AE88" s="147"/>
      <c r="AF88" s="147"/>
      <c r="AG88" s="147"/>
    </row>
    <row r="89">
      <c r="A89" s="147"/>
      <c r="B89" s="147"/>
      <c r="C89" s="147"/>
      <c r="D89" s="147"/>
      <c r="E89" s="147"/>
      <c r="F89" s="205"/>
      <c r="G89" s="147"/>
      <c r="H89" s="147"/>
      <c r="I89" s="147"/>
      <c r="J89" s="147"/>
      <c r="K89" s="147"/>
      <c r="L89" s="147"/>
      <c r="M89" s="147"/>
      <c r="N89" s="147"/>
      <c r="O89" s="147"/>
      <c r="P89" s="147"/>
      <c r="Q89" s="147"/>
      <c r="R89" s="147"/>
      <c r="S89" s="147"/>
      <c r="T89" s="147"/>
      <c r="U89" s="147"/>
      <c r="V89" s="147"/>
      <c r="W89" s="147"/>
      <c r="X89" s="147"/>
      <c r="Y89" s="147"/>
      <c r="Z89" s="147"/>
      <c r="AA89" s="147"/>
      <c r="AB89" s="147"/>
      <c r="AC89" s="147"/>
      <c r="AD89" s="147"/>
      <c r="AE89" s="147"/>
      <c r="AF89" s="147"/>
      <c r="AG89" s="147"/>
    </row>
    <row r="90">
      <c r="A90" s="147"/>
      <c r="B90" s="147"/>
      <c r="C90" s="147"/>
      <c r="D90" s="147"/>
      <c r="E90" s="147"/>
      <c r="F90" s="205"/>
      <c r="G90" s="147"/>
      <c r="H90" s="147"/>
      <c r="I90" s="147"/>
      <c r="J90" s="147"/>
      <c r="K90" s="147"/>
      <c r="L90" s="147"/>
      <c r="M90" s="147"/>
      <c r="N90" s="147"/>
      <c r="O90" s="147"/>
      <c r="P90" s="147"/>
      <c r="Q90" s="147"/>
      <c r="R90" s="147"/>
      <c r="S90" s="147"/>
      <c r="T90" s="147"/>
      <c r="U90" s="147"/>
      <c r="V90" s="147"/>
      <c r="W90" s="147"/>
      <c r="X90" s="147"/>
      <c r="Y90" s="147"/>
      <c r="Z90" s="147"/>
      <c r="AA90" s="147"/>
      <c r="AB90" s="147"/>
      <c r="AC90" s="147"/>
      <c r="AD90" s="147"/>
      <c r="AE90" s="147"/>
      <c r="AF90" s="147"/>
      <c r="AG90" s="147"/>
    </row>
    <row r="91">
      <c r="A91" s="147"/>
      <c r="B91" s="147"/>
      <c r="C91" s="147"/>
      <c r="D91" s="147"/>
      <c r="E91" s="147"/>
      <c r="F91" s="205"/>
      <c r="G91" s="147"/>
      <c r="H91" s="147"/>
      <c r="I91" s="147"/>
      <c r="J91" s="147"/>
      <c r="K91" s="147"/>
      <c r="L91" s="147"/>
      <c r="M91" s="147"/>
      <c r="N91" s="147"/>
      <c r="O91" s="147"/>
      <c r="P91" s="147"/>
      <c r="Q91" s="147"/>
      <c r="R91" s="147"/>
      <c r="S91" s="147"/>
      <c r="T91" s="147"/>
      <c r="U91" s="147"/>
      <c r="V91" s="147"/>
      <c r="W91" s="147"/>
      <c r="X91" s="147"/>
      <c r="Y91" s="147"/>
      <c r="Z91" s="147"/>
      <c r="AA91" s="147"/>
      <c r="AB91" s="147"/>
      <c r="AC91" s="147"/>
      <c r="AD91" s="147"/>
      <c r="AE91" s="147"/>
      <c r="AF91" s="147"/>
      <c r="AG91" s="147"/>
    </row>
    <row r="92">
      <c r="A92" s="147"/>
      <c r="B92" s="147"/>
      <c r="C92" s="147"/>
      <c r="D92" s="147"/>
      <c r="E92" s="147"/>
      <c r="F92" s="205"/>
      <c r="G92" s="147"/>
      <c r="H92" s="147"/>
      <c r="I92" s="147"/>
      <c r="J92" s="147"/>
      <c r="K92" s="147"/>
      <c r="L92" s="147"/>
      <c r="M92" s="147"/>
      <c r="N92" s="147"/>
      <c r="O92" s="147"/>
      <c r="P92" s="147"/>
      <c r="Q92" s="147"/>
      <c r="R92" s="147"/>
      <c r="S92" s="147"/>
      <c r="T92" s="147"/>
      <c r="U92" s="147"/>
      <c r="V92" s="147"/>
      <c r="W92" s="147"/>
      <c r="X92" s="147"/>
      <c r="Y92" s="147"/>
      <c r="Z92" s="147"/>
      <c r="AA92" s="147"/>
      <c r="AB92" s="147"/>
      <c r="AC92" s="147"/>
      <c r="AD92" s="147"/>
      <c r="AE92" s="147"/>
      <c r="AF92" s="147"/>
      <c r="AG92" s="147"/>
    </row>
    <row r="93">
      <c r="A93" s="147"/>
      <c r="B93" s="147"/>
      <c r="C93" s="147"/>
      <c r="D93" s="147"/>
      <c r="E93" s="147"/>
      <c r="F93" s="205"/>
      <c r="G93" s="147"/>
      <c r="H93" s="147"/>
      <c r="I93" s="147"/>
      <c r="J93" s="147"/>
      <c r="K93" s="147"/>
      <c r="L93" s="147"/>
      <c r="M93" s="147"/>
      <c r="N93" s="147"/>
      <c r="O93" s="147"/>
      <c r="P93" s="147"/>
      <c r="Q93" s="147"/>
      <c r="R93" s="147"/>
      <c r="S93" s="147"/>
      <c r="T93" s="147"/>
      <c r="U93" s="147"/>
      <c r="V93" s="147"/>
      <c r="W93" s="147"/>
      <c r="X93" s="147"/>
      <c r="Y93" s="147"/>
      <c r="Z93" s="147"/>
      <c r="AA93" s="147"/>
      <c r="AB93" s="147"/>
      <c r="AC93" s="147"/>
      <c r="AD93" s="147"/>
      <c r="AE93" s="147"/>
      <c r="AF93" s="147"/>
      <c r="AG93" s="147"/>
    </row>
    <row r="94">
      <c r="A94" s="147"/>
      <c r="B94" s="147"/>
      <c r="C94" s="147"/>
      <c r="D94" s="147"/>
      <c r="E94" s="147"/>
      <c r="F94" s="205"/>
      <c r="G94" s="147"/>
      <c r="H94" s="147"/>
      <c r="I94" s="147"/>
      <c r="J94" s="147"/>
      <c r="K94" s="147"/>
      <c r="L94" s="147"/>
      <c r="M94" s="147"/>
      <c r="N94" s="147"/>
      <c r="O94" s="147"/>
      <c r="P94" s="147"/>
      <c r="Q94" s="147"/>
      <c r="R94" s="147"/>
      <c r="S94" s="147"/>
      <c r="T94" s="147"/>
      <c r="U94" s="147"/>
      <c r="V94" s="147"/>
      <c r="W94" s="147"/>
      <c r="X94" s="147"/>
      <c r="Y94" s="147"/>
      <c r="Z94" s="147"/>
      <c r="AA94" s="147"/>
      <c r="AB94" s="147"/>
      <c r="AC94" s="147"/>
      <c r="AD94" s="147"/>
      <c r="AE94" s="147"/>
      <c r="AF94" s="147"/>
      <c r="AG94" s="147"/>
    </row>
    <row r="95">
      <c r="A95" s="147"/>
      <c r="B95" s="147"/>
      <c r="C95" s="147"/>
      <c r="D95" s="147"/>
      <c r="E95" s="147"/>
      <c r="F95" s="205"/>
      <c r="G95" s="147"/>
      <c r="H95" s="147"/>
      <c r="I95" s="147"/>
      <c r="J95" s="147"/>
      <c r="K95" s="147"/>
      <c r="L95" s="147"/>
      <c r="M95" s="147"/>
      <c r="N95" s="147"/>
      <c r="O95" s="147"/>
      <c r="P95" s="147"/>
      <c r="Q95" s="147"/>
      <c r="R95" s="147"/>
      <c r="S95" s="147"/>
      <c r="T95" s="147"/>
      <c r="U95" s="147"/>
      <c r="V95" s="147"/>
      <c r="W95" s="147"/>
      <c r="X95" s="147"/>
      <c r="Y95" s="147"/>
      <c r="Z95" s="147"/>
      <c r="AA95" s="147"/>
      <c r="AB95" s="147"/>
      <c r="AC95" s="147"/>
      <c r="AD95" s="147"/>
      <c r="AE95" s="147"/>
      <c r="AF95" s="147"/>
      <c r="AG95" s="147"/>
    </row>
    <row r="96">
      <c r="A96" s="147"/>
      <c r="B96" s="147"/>
      <c r="C96" s="147"/>
      <c r="D96" s="147"/>
      <c r="E96" s="147"/>
      <c r="F96" s="205"/>
      <c r="G96" s="147"/>
      <c r="H96" s="147"/>
      <c r="I96" s="147"/>
      <c r="J96" s="147"/>
      <c r="K96" s="147"/>
      <c r="L96" s="147"/>
      <c r="M96" s="147"/>
      <c r="N96" s="147"/>
      <c r="O96" s="147"/>
      <c r="P96" s="147"/>
      <c r="Q96" s="147"/>
      <c r="R96" s="147"/>
      <c r="S96" s="147"/>
      <c r="T96" s="147"/>
      <c r="U96" s="147"/>
      <c r="V96" s="147"/>
      <c r="W96" s="147"/>
      <c r="X96" s="147"/>
      <c r="Y96" s="147"/>
      <c r="Z96" s="147"/>
      <c r="AA96" s="147"/>
      <c r="AB96" s="147"/>
      <c r="AC96" s="147"/>
      <c r="AD96" s="147"/>
      <c r="AE96" s="147"/>
      <c r="AF96" s="147"/>
      <c r="AG96" s="147"/>
    </row>
    <row r="97">
      <c r="A97" s="147"/>
      <c r="B97" s="147"/>
      <c r="C97" s="147"/>
      <c r="D97" s="147"/>
      <c r="E97" s="147"/>
      <c r="F97" s="205"/>
      <c r="G97" s="147"/>
      <c r="H97" s="147"/>
      <c r="I97" s="147"/>
      <c r="J97" s="147"/>
      <c r="K97" s="147"/>
      <c r="L97" s="147"/>
      <c r="M97" s="147"/>
      <c r="N97" s="147"/>
      <c r="O97" s="147"/>
      <c r="P97" s="147"/>
      <c r="Q97" s="147"/>
      <c r="R97" s="147"/>
      <c r="S97" s="147"/>
      <c r="T97" s="147"/>
      <c r="U97" s="147"/>
      <c r="V97" s="147"/>
      <c r="W97" s="147"/>
      <c r="X97" s="147"/>
      <c r="Y97" s="147"/>
      <c r="Z97" s="147"/>
      <c r="AA97" s="147"/>
      <c r="AB97" s="147"/>
      <c r="AC97" s="147"/>
      <c r="AD97" s="147"/>
      <c r="AE97" s="147"/>
      <c r="AF97" s="147"/>
      <c r="AG97" s="147"/>
    </row>
    <row r="98">
      <c r="A98" s="147"/>
      <c r="B98" s="147"/>
      <c r="C98" s="147"/>
      <c r="D98" s="147"/>
      <c r="E98" s="147"/>
      <c r="F98" s="205"/>
      <c r="G98" s="147"/>
      <c r="H98" s="147"/>
      <c r="I98" s="147"/>
      <c r="J98" s="147"/>
      <c r="K98" s="147"/>
      <c r="L98" s="147"/>
      <c r="M98" s="147"/>
      <c r="N98" s="147"/>
      <c r="O98" s="147"/>
      <c r="P98" s="147"/>
      <c r="Q98" s="147"/>
      <c r="R98" s="147"/>
      <c r="S98" s="147"/>
      <c r="T98" s="147"/>
      <c r="U98" s="147"/>
      <c r="V98" s="147"/>
      <c r="W98" s="147"/>
      <c r="X98" s="147"/>
      <c r="Y98" s="147"/>
      <c r="Z98" s="147"/>
      <c r="AA98" s="147"/>
      <c r="AB98" s="147"/>
      <c r="AC98" s="147"/>
      <c r="AD98" s="147"/>
      <c r="AE98" s="147"/>
      <c r="AF98" s="147"/>
      <c r="AG98" s="147"/>
    </row>
    <row r="99">
      <c r="A99" s="147"/>
      <c r="B99" s="147"/>
      <c r="C99" s="147"/>
      <c r="D99" s="147"/>
      <c r="E99" s="147"/>
      <c r="F99" s="205"/>
      <c r="G99" s="147"/>
      <c r="H99" s="147"/>
      <c r="I99" s="147"/>
      <c r="J99" s="147"/>
      <c r="K99" s="147"/>
      <c r="L99" s="147"/>
      <c r="M99" s="147"/>
      <c r="N99" s="147"/>
      <c r="O99" s="147"/>
      <c r="P99" s="147"/>
      <c r="Q99" s="147"/>
      <c r="R99" s="147"/>
      <c r="S99" s="147"/>
      <c r="T99" s="147"/>
      <c r="U99" s="147"/>
      <c r="V99" s="147"/>
      <c r="W99" s="147"/>
      <c r="X99" s="147"/>
      <c r="Y99" s="147"/>
      <c r="Z99" s="147"/>
      <c r="AA99" s="147"/>
      <c r="AB99" s="147"/>
      <c r="AC99" s="147"/>
      <c r="AD99" s="147"/>
      <c r="AE99" s="147"/>
      <c r="AF99" s="147"/>
      <c r="AG99" s="147"/>
    </row>
    <row r="100">
      <c r="A100" s="147"/>
      <c r="B100" s="147"/>
      <c r="C100" s="147"/>
      <c r="D100" s="147"/>
      <c r="E100" s="147"/>
      <c r="F100" s="205"/>
      <c r="G100" s="147"/>
      <c r="H100" s="147"/>
      <c r="I100" s="147"/>
      <c r="J100" s="147"/>
      <c r="K100" s="147"/>
      <c r="L100" s="147"/>
      <c r="M100" s="147"/>
      <c r="N100" s="147"/>
      <c r="O100" s="147"/>
      <c r="P100" s="147"/>
      <c r="Q100" s="147"/>
      <c r="R100" s="147"/>
      <c r="S100" s="147"/>
      <c r="T100" s="147"/>
      <c r="U100" s="147"/>
      <c r="V100" s="147"/>
      <c r="W100" s="147"/>
      <c r="X100" s="147"/>
      <c r="Y100" s="147"/>
      <c r="Z100" s="147"/>
      <c r="AA100" s="147"/>
      <c r="AB100" s="147"/>
      <c r="AC100" s="147"/>
      <c r="AD100" s="147"/>
      <c r="AE100" s="147"/>
      <c r="AF100" s="147"/>
      <c r="AG100" s="147"/>
    </row>
    <row r="101">
      <c r="A101" s="147"/>
      <c r="B101" s="147"/>
      <c r="C101" s="147"/>
      <c r="D101" s="147"/>
      <c r="E101" s="147"/>
      <c r="F101" s="205"/>
      <c r="G101" s="147"/>
      <c r="H101" s="147"/>
      <c r="I101" s="147"/>
      <c r="J101" s="147"/>
      <c r="K101" s="147"/>
      <c r="L101" s="147"/>
      <c r="M101" s="147"/>
      <c r="N101" s="147"/>
      <c r="O101" s="147"/>
      <c r="P101" s="147"/>
      <c r="Q101" s="147"/>
      <c r="R101" s="147"/>
      <c r="S101" s="147"/>
      <c r="T101" s="147"/>
      <c r="U101" s="147"/>
      <c r="V101" s="147"/>
      <c r="W101" s="147"/>
      <c r="X101" s="147"/>
      <c r="Y101" s="147"/>
      <c r="Z101" s="147"/>
      <c r="AA101" s="147"/>
      <c r="AB101" s="147"/>
      <c r="AC101" s="147"/>
      <c r="AD101" s="147"/>
      <c r="AE101" s="147"/>
      <c r="AF101" s="147"/>
      <c r="AG101" s="147"/>
    </row>
    <row r="102">
      <c r="A102" s="147"/>
      <c r="B102" s="147"/>
      <c r="C102" s="147"/>
      <c r="D102" s="147"/>
      <c r="E102" s="147"/>
      <c r="F102" s="205"/>
      <c r="G102" s="147"/>
      <c r="H102" s="147"/>
      <c r="I102" s="147"/>
      <c r="J102" s="147"/>
      <c r="K102" s="147"/>
      <c r="L102" s="147"/>
      <c r="M102" s="147"/>
      <c r="N102" s="147"/>
      <c r="O102" s="147"/>
      <c r="P102" s="147"/>
      <c r="Q102" s="147"/>
      <c r="R102" s="147"/>
      <c r="S102" s="147"/>
      <c r="T102" s="147"/>
      <c r="U102" s="147"/>
      <c r="V102" s="147"/>
      <c r="W102" s="147"/>
      <c r="X102" s="147"/>
      <c r="Y102" s="147"/>
      <c r="Z102" s="147"/>
      <c r="AA102" s="147"/>
      <c r="AB102" s="147"/>
      <c r="AC102" s="147"/>
      <c r="AD102" s="147"/>
      <c r="AE102" s="147"/>
      <c r="AF102" s="147"/>
      <c r="AG102" s="147"/>
    </row>
    <row r="103">
      <c r="A103" s="147"/>
      <c r="B103" s="147"/>
      <c r="C103" s="147"/>
      <c r="D103" s="147"/>
      <c r="E103" s="147"/>
      <c r="F103" s="205"/>
      <c r="G103" s="147"/>
      <c r="H103" s="147"/>
      <c r="I103" s="147"/>
      <c r="J103" s="147"/>
      <c r="K103" s="147"/>
      <c r="L103" s="147"/>
      <c r="M103" s="147"/>
      <c r="N103" s="147"/>
      <c r="O103" s="147"/>
      <c r="P103" s="147"/>
      <c r="Q103" s="147"/>
      <c r="R103" s="147"/>
      <c r="S103" s="147"/>
      <c r="T103" s="147"/>
      <c r="U103" s="147"/>
      <c r="V103" s="147"/>
      <c r="W103" s="147"/>
      <c r="X103" s="147"/>
      <c r="Y103" s="147"/>
      <c r="Z103" s="147"/>
      <c r="AA103" s="147"/>
      <c r="AB103" s="147"/>
      <c r="AC103" s="147"/>
      <c r="AD103" s="147"/>
      <c r="AE103" s="147"/>
      <c r="AF103" s="147"/>
      <c r="AG103" s="147"/>
    </row>
    <row r="104">
      <c r="A104" s="147"/>
      <c r="B104" s="147"/>
      <c r="C104" s="147"/>
      <c r="D104" s="147"/>
      <c r="E104" s="147"/>
      <c r="F104" s="205"/>
      <c r="G104" s="147"/>
      <c r="H104" s="147"/>
      <c r="I104" s="147"/>
      <c r="J104" s="147"/>
      <c r="K104" s="147"/>
      <c r="L104" s="147"/>
      <c r="M104" s="147"/>
      <c r="N104" s="147"/>
      <c r="O104" s="147"/>
      <c r="P104" s="147"/>
      <c r="Q104" s="147"/>
      <c r="R104" s="147"/>
      <c r="S104" s="147"/>
      <c r="T104" s="147"/>
      <c r="U104" s="147"/>
      <c r="V104" s="147"/>
      <c r="W104" s="147"/>
      <c r="X104" s="147"/>
      <c r="Y104" s="147"/>
      <c r="Z104" s="147"/>
      <c r="AA104" s="147"/>
      <c r="AB104" s="147"/>
      <c r="AC104" s="147"/>
      <c r="AD104" s="147"/>
      <c r="AE104" s="147"/>
      <c r="AF104" s="147"/>
      <c r="AG104" s="147"/>
    </row>
    <row r="105">
      <c r="A105" s="147"/>
      <c r="B105" s="147"/>
      <c r="C105" s="147"/>
      <c r="D105" s="147"/>
      <c r="E105" s="147"/>
      <c r="F105" s="205"/>
      <c r="G105" s="147"/>
      <c r="H105" s="147"/>
      <c r="I105" s="147"/>
      <c r="J105" s="147"/>
      <c r="K105" s="147"/>
      <c r="L105" s="147"/>
      <c r="M105" s="147"/>
      <c r="N105" s="147"/>
      <c r="O105" s="147"/>
      <c r="P105" s="147"/>
      <c r="Q105" s="147"/>
      <c r="R105" s="147"/>
      <c r="S105" s="147"/>
      <c r="T105" s="147"/>
      <c r="U105" s="147"/>
      <c r="V105" s="147"/>
      <c r="W105" s="147"/>
      <c r="X105" s="147"/>
      <c r="Y105" s="147"/>
      <c r="Z105" s="147"/>
      <c r="AA105" s="147"/>
      <c r="AB105" s="147"/>
      <c r="AC105" s="147"/>
      <c r="AD105" s="147"/>
      <c r="AE105" s="147"/>
      <c r="AF105" s="147"/>
      <c r="AG105" s="147"/>
    </row>
    <row r="106">
      <c r="A106" s="147"/>
      <c r="B106" s="147"/>
      <c r="C106" s="147"/>
      <c r="D106" s="147"/>
      <c r="E106" s="147"/>
      <c r="F106" s="205"/>
      <c r="G106" s="147"/>
      <c r="H106" s="147"/>
      <c r="I106" s="147"/>
      <c r="J106" s="147"/>
      <c r="K106" s="147"/>
      <c r="L106" s="147"/>
      <c r="M106" s="147"/>
      <c r="N106" s="147"/>
      <c r="O106" s="147"/>
      <c r="P106" s="147"/>
      <c r="Q106" s="147"/>
      <c r="R106" s="147"/>
      <c r="S106" s="147"/>
      <c r="T106" s="147"/>
      <c r="U106" s="147"/>
      <c r="V106" s="147"/>
      <c r="W106" s="147"/>
      <c r="X106" s="147"/>
      <c r="Y106" s="147"/>
      <c r="Z106" s="147"/>
      <c r="AA106" s="147"/>
      <c r="AB106" s="147"/>
      <c r="AC106" s="147"/>
      <c r="AD106" s="147"/>
      <c r="AE106" s="147"/>
      <c r="AF106" s="147"/>
      <c r="AG106" s="147"/>
    </row>
    <row r="107">
      <c r="A107" s="147"/>
      <c r="B107" s="147"/>
      <c r="C107" s="147"/>
      <c r="D107" s="147"/>
      <c r="E107" s="147"/>
      <c r="F107" s="205"/>
      <c r="G107" s="147"/>
      <c r="H107" s="147"/>
      <c r="I107" s="147"/>
      <c r="J107" s="147"/>
      <c r="K107" s="147"/>
      <c r="L107" s="147"/>
      <c r="M107" s="147"/>
      <c r="N107" s="147"/>
      <c r="O107" s="147"/>
      <c r="P107" s="147"/>
      <c r="Q107" s="147"/>
      <c r="R107" s="147"/>
      <c r="S107" s="147"/>
      <c r="T107" s="147"/>
      <c r="U107" s="147"/>
      <c r="V107" s="147"/>
      <c r="W107" s="147"/>
      <c r="X107" s="147"/>
      <c r="Y107" s="147"/>
      <c r="Z107" s="147"/>
      <c r="AA107" s="147"/>
      <c r="AB107" s="147"/>
      <c r="AC107" s="147"/>
      <c r="AD107" s="147"/>
      <c r="AE107" s="147"/>
      <c r="AF107" s="147"/>
      <c r="AG107" s="147"/>
    </row>
    <row r="108">
      <c r="A108" s="147"/>
      <c r="B108" s="147"/>
      <c r="C108" s="147"/>
      <c r="D108" s="147"/>
      <c r="E108" s="147"/>
      <c r="F108" s="205"/>
      <c r="G108" s="147"/>
      <c r="H108" s="147"/>
      <c r="I108" s="147"/>
      <c r="J108" s="147"/>
      <c r="K108" s="147"/>
      <c r="L108" s="147"/>
      <c r="M108" s="147"/>
      <c r="N108" s="147"/>
      <c r="O108" s="147"/>
      <c r="P108" s="147"/>
      <c r="Q108" s="147"/>
      <c r="R108" s="147"/>
      <c r="S108" s="147"/>
      <c r="T108" s="147"/>
      <c r="U108" s="147"/>
      <c r="V108" s="147"/>
      <c r="W108" s="147"/>
      <c r="X108" s="147"/>
      <c r="Y108" s="147"/>
      <c r="Z108" s="147"/>
      <c r="AA108" s="147"/>
      <c r="AB108" s="147"/>
      <c r="AC108" s="147"/>
      <c r="AD108" s="147"/>
      <c r="AE108" s="147"/>
      <c r="AF108" s="147"/>
      <c r="AG108" s="147"/>
    </row>
    <row r="109">
      <c r="A109" s="147"/>
      <c r="B109" s="147"/>
      <c r="C109" s="147"/>
      <c r="D109" s="147"/>
      <c r="E109" s="147"/>
      <c r="F109" s="205"/>
      <c r="G109" s="147"/>
      <c r="H109" s="147"/>
      <c r="I109" s="147"/>
      <c r="J109" s="147"/>
      <c r="K109" s="147"/>
      <c r="L109" s="147"/>
      <c r="M109" s="147"/>
      <c r="N109" s="147"/>
      <c r="O109" s="147"/>
      <c r="P109" s="147"/>
      <c r="Q109" s="147"/>
      <c r="R109" s="147"/>
      <c r="S109" s="147"/>
      <c r="T109" s="147"/>
      <c r="U109" s="147"/>
      <c r="V109" s="147"/>
      <c r="W109" s="147"/>
      <c r="X109" s="147"/>
      <c r="Y109" s="147"/>
      <c r="Z109" s="147"/>
      <c r="AA109" s="147"/>
      <c r="AB109" s="147"/>
      <c r="AC109" s="147"/>
      <c r="AD109" s="147"/>
      <c r="AE109" s="147"/>
      <c r="AF109" s="147"/>
      <c r="AG109" s="147"/>
    </row>
    <row r="110">
      <c r="A110" s="147"/>
      <c r="B110" s="147"/>
      <c r="C110" s="147"/>
      <c r="D110" s="147"/>
      <c r="E110" s="147"/>
      <c r="F110" s="205"/>
      <c r="G110" s="147"/>
      <c r="H110" s="147"/>
      <c r="I110" s="147"/>
      <c r="J110" s="147"/>
      <c r="K110" s="147"/>
      <c r="L110" s="147"/>
      <c r="M110" s="147"/>
      <c r="N110" s="147"/>
      <c r="O110" s="147"/>
      <c r="P110" s="147"/>
      <c r="Q110" s="147"/>
      <c r="R110" s="147"/>
      <c r="S110" s="147"/>
      <c r="T110" s="147"/>
      <c r="U110" s="147"/>
      <c r="V110" s="147"/>
      <c r="W110" s="147"/>
      <c r="X110" s="147"/>
      <c r="Y110" s="147"/>
      <c r="Z110" s="147"/>
      <c r="AA110" s="147"/>
      <c r="AB110" s="147"/>
      <c r="AC110" s="147"/>
      <c r="AD110" s="147"/>
      <c r="AE110" s="147"/>
      <c r="AF110" s="147"/>
      <c r="AG110" s="147"/>
    </row>
    <row r="111">
      <c r="A111" s="147"/>
      <c r="B111" s="147"/>
      <c r="C111" s="147"/>
      <c r="D111" s="147"/>
      <c r="E111" s="147"/>
      <c r="F111" s="205"/>
      <c r="G111" s="147"/>
      <c r="H111" s="147"/>
      <c r="I111" s="147"/>
      <c r="J111" s="147"/>
      <c r="K111" s="147"/>
      <c r="L111" s="147"/>
      <c r="M111" s="147"/>
      <c r="N111" s="147"/>
      <c r="O111" s="147"/>
      <c r="P111" s="147"/>
      <c r="Q111" s="147"/>
      <c r="R111" s="147"/>
      <c r="S111" s="147"/>
      <c r="T111" s="147"/>
      <c r="U111" s="147"/>
      <c r="V111" s="147"/>
      <c r="W111" s="147"/>
      <c r="X111" s="147"/>
      <c r="Y111" s="147"/>
      <c r="Z111" s="147"/>
      <c r="AA111" s="147"/>
      <c r="AB111" s="147"/>
      <c r="AC111" s="147"/>
      <c r="AD111" s="147"/>
      <c r="AE111" s="147"/>
      <c r="AF111" s="147"/>
      <c r="AG111" s="147"/>
    </row>
    <row r="112">
      <c r="A112" s="147"/>
      <c r="B112" s="147"/>
      <c r="C112" s="147"/>
      <c r="D112" s="147"/>
      <c r="E112" s="147"/>
      <c r="F112" s="205"/>
      <c r="G112" s="147"/>
      <c r="H112" s="147"/>
      <c r="I112" s="147"/>
      <c r="J112" s="147"/>
      <c r="K112" s="147"/>
      <c r="L112" s="147"/>
      <c r="M112" s="147"/>
      <c r="N112" s="147"/>
      <c r="O112" s="147"/>
      <c r="P112" s="147"/>
      <c r="Q112" s="147"/>
      <c r="R112" s="147"/>
      <c r="S112" s="147"/>
      <c r="T112" s="147"/>
      <c r="U112" s="147"/>
      <c r="V112" s="147"/>
      <c r="W112" s="147"/>
      <c r="X112" s="147"/>
      <c r="Y112" s="147"/>
      <c r="Z112" s="147"/>
      <c r="AA112" s="147"/>
      <c r="AB112" s="147"/>
      <c r="AC112" s="147"/>
      <c r="AD112" s="147"/>
      <c r="AE112" s="147"/>
      <c r="AF112" s="147"/>
      <c r="AG112" s="147"/>
    </row>
    <row r="113">
      <c r="A113" s="147"/>
      <c r="B113" s="147"/>
      <c r="C113" s="147"/>
      <c r="D113" s="147"/>
      <c r="E113" s="147"/>
      <c r="F113" s="205"/>
      <c r="G113" s="147"/>
      <c r="H113" s="147"/>
      <c r="I113" s="147"/>
      <c r="J113" s="147"/>
      <c r="K113" s="147"/>
      <c r="L113" s="147"/>
      <c r="M113" s="147"/>
      <c r="N113" s="147"/>
      <c r="O113" s="147"/>
      <c r="P113" s="147"/>
      <c r="Q113" s="147"/>
      <c r="R113" s="147"/>
      <c r="S113" s="147"/>
      <c r="T113" s="147"/>
      <c r="U113" s="147"/>
      <c r="V113" s="147"/>
      <c r="W113" s="147"/>
      <c r="X113" s="147"/>
      <c r="Y113" s="147"/>
      <c r="Z113" s="147"/>
      <c r="AA113" s="147"/>
      <c r="AB113" s="147"/>
      <c r="AC113" s="147"/>
      <c r="AD113" s="147"/>
      <c r="AE113" s="147"/>
      <c r="AF113" s="147"/>
      <c r="AG113" s="147"/>
    </row>
    <row r="114">
      <c r="A114" s="147"/>
      <c r="B114" s="147"/>
      <c r="C114" s="147"/>
      <c r="D114" s="147"/>
      <c r="E114" s="147"/>
      <c r="F114" s="205"/>
      <c r="G114" s="147"/>
      <c r="H114" s="147"/>
      <c r="I114" s="147"/>
      <c r="J114" s="147"/>
      <c r="K114" s="147"/>
      <c r="L114" s="147"/>
      <c r="M114" s="147"/>
      <c r="N114" s="147"/>
      <c r="O114" s="147"/>
      <c r="P114" s="147"/>
      <c r="Q114" s="147"/>
      <c r="R114" s="147"/>
      <c r="S114" s="147"/>
      <c r="T114" s="147"/>
      <c r="U114" s="147"/>
      <c r="V114" s="147"/>
      <c r="W114" s="147"/>
      <c r="X114" s="147"/>
      <c r="Y114" s="147"/>
      <c r="Z114" s="147"/>
      <c r="AA114" s="147"/>
      <c r="AB114" s="147"/>
      <c r="AC114" s="147"/>
      <c r="AD114" s="147"/>
      <c r="AE114" s="147"/>
      <c r="AF114" s="147"/>
      <c r="AG114" s="147"/>
    </row>
    <row r="115">
      <c r="A115" s="147"/>
      <c r="B115" s="147"/>
      <c r="C115" s="147"/>
      <c r="D115" s="147"/>
      <c r="E115" s="147"/>
      <c r="F115" s="205"/>
      <c r="G115" s="147"/>
      <c r="H115" s="147"/>
      <c r="I115" s="147"/>
      <c r="J115" s="147"/>
      <c r="K115" s="147"/>
      <c r="L115" s="147"/>
      <c r="M115" s="147"/>
      <c r="N115" s="147"/>
      <c r="O115" s="147"/>
      <c r="P115" s="147"/>
      <c r="Q115" s="147"/>
      <c r="R115" s="147"/>
      <c r="S115" s="147"/>
      <c r="T115" s="147"/>
      <c r="U115" s="147"/>
      <c r="V115" s="147"/>
      <c r="W115" s="147"/>
      <c r="X115" s="147"/>
      <c r="Y115" s="147"/>
      <c r="Z115" s="147"/>
      <c r="AA115" s="147"/>
      <c r="AB115" s="147"/>
      <c r="AC115" s="147"/>
      <c r="AD115" s="147"/>
      <c r="AE115" s="147"/>
      <c r="AF115" s="147"/>
      <c r="AG115" s="147"/>
    </row>
    <row r="116">
      <c r="A116" s="147"/>
      <c r="B116" s="147"/>
      <c r="C116" s="147"/>
      <c r="D116" s="147"/>
      <c r="E116" s="147"/>
      <c r="F116" s="205"/>
      <c r="G116" s="147"/>
      <c r="H116" s="147"/>
      <c r="I116" s="147"/>
      <c r="J116" s="147"/>
      <c r="K116" s="147"/>
      <c r="L116" s="147"/>
      <c r="M116" s="147"/>
      <c r="N116" s="147"/>
      <c r="O116" s="147"/>
      <c r="P116" s="147"/>
      <c r="Q116" s="147"/>
      <c r="R116" s="147"/>
      <c r="S116" s="147"/>
      <c r="T116" s="147"/>
      <c r="U116" s="147"/>
      <c r="V116" s="147"/>
      <c r="W116" s="147"/>
      <c r="X116" s="147"/>
      <c r="Y116" s="147"/>
      <c r="Z116" s="147"/>
      <c r="AA116" s="147"/>
      <c r="AB116" s="147"/>
      <c r="AC116" s="147"/>
      <c r="AD116" s="147"/>
      <c r="AE116" s="147"/>
      <c r="AF116" s="147"/>
      <c r="AG116" s="147"/>
    </row>
    <row r="117">
      <c r="A117" s="147"/>
      <c r="B117" s="147"/>
      <c r="C117" s="147"/>
      <c r="D117" s="147"/>
      <c r="E117" s="147"/>
      <c r="F117" s="205"/>
      <c r="G117" s="147"/>
      <c r="H117" s="147"/>
      <c r="I117" s="147"/>
      <c r="J117" s="147"/>
      <c r="K117" s="147"/>
      <c r="L117" s="147"/>
      <c r="M117" s="147"/>
      <c r="N117" s="147"/>
      <c r="O117" s="147"/>
      <c r="P117" s="147"/>
      <c r="Q117" s="147"/>
      <c r="R117" s="147"/>
      <c r="S117" s="147"/>
      <c r="T117" s="147"/>
      <c r="U117" s="147"/>
      <c r="V117" s="147"/>
      <c r="W117" s="147"/>
      <c r="X117" s="147"/>
      <c r="Y117" s="147"/>
      <c r="Z117" s="147"/>
      <c r="AA117" s="147"/>
      <c r="AB117" s="147"/>
      <c r="AC117" s="147"/>
      <c r="AD117" s="147"/>
      <c r="AE117" s="147"/>
      <c r="AF117" s="147"/>
      <c r="AG117" s="147"/>
    </row>
    <row r="118">
      <c r="A118" s="147"/>
      <c r="B118" s="147"/>
      <c r="C118" s="147"/>
      <c r="D118" s="147"/>
      <c r="E118" s="147"/>
      <c r="F118" s="205"/>
      <c r="G118" s="147"/>
      <c r="H118" s="147"/>
      <c r="I118" s="147"/>
      <c r="J118" s="147"/>
      <c r="K118" s="147"/>
      <c r="L118" s="147"/>
      <c r="M118" s="147"/>
      <c r="N118" s="147"/>
      <c r="O118" s="147"/>
      <c r="P118" s="147"/>
      <c r="Q118" s="147"/>
      <c r="R118" s="147"/>
      <c r="S118" s="147"/>
      <c r="T118" s="147"/>
      <c r="U118" s="147"/>
      <c r="V118" s="147"/>
      <c r="W118" s="147"/>
      <c r="X118" s="147"/>
      <c r="Y118" s="147"/>
      <c r="Z118" s="147"/>
      <c r="AA118" s="147"/>
      <c r="AB118" s="147"/>
      <c r="AC118" s="147"/>
      <c r="AD118" s="147"/>
      <c r="AE118" s="147"/>
      <c r="AF118" s="147"/>
      <c r="AG118" s="147"/>
    </row>
    <row r="119">
      <c r="A119" s="147"/>
      <c r="B119" s="147"/>
      <c r="C119" s="147"/>
      <c r="D119" s="147"/>
      <c r="E119" s="147"/>
      <c r="F119" s="205"/>
      <c r="G119" s="147"/>
      <c r="H119" s="147"/>
      <c r="I119" s="147"/>
      <c r="J119" s="147"/>
      <c r="K119" s="147"/>
      <c r="L119" s="147"/>
      <c r="M119" s="147"/>
      <c r="N119" s="147"/>
      <c r="O119" s="147"/>
      <c r="P119" s="147"/>
      <c r="Q119" s="147"/>
      <c r="R119" s="147"/>
      <c r="S119" s="147"/>
      <c r="T119" s="147"/>
      <c r="U119" s="147"/>
      <c r="V119" s="147"/>
      <c r="W119" s="147"/>
      <c r="X119" s="147"/>
      <c r="Y119" s="147"/>
      <c r="Z119" s="147"/>
      <c r="AA119" s="147"/>
      <c r="AB119" s="147"/>
      <c r="AC119" s="147"/>
      <c r="AD119" s="147"/>
      <c r="AE119" s="147"/>
      <c r="AF119" s="147"/>
      <c r="AG119" s="147"/>
    </row>
    <row r="120">
      <c r="A120" s="147"/>
      <c r="B120" s="147"/>
      <c r="C120" s="147"/>
      <c r="D120" s="147"/>
      <c r="E120" s="147"/>
      <c r="F120" s="205"/>
      <c r="G120" s="147"/>
      <c r="H120" s="147"/>
      <c r="I120" s="147"/>
      <c r="J120" s="147"/>
      <c r="K120" s="147"/>
      <c r="L120" s="147"/>
      <c r="M120" s="147"/>
      <c r="N120" s="147"/>
      <c r="O120" s="147"/>
      <c r="P120" s="147"/>
      <c r="Q120" s="147"/>
      <c r="R120" s="147"/>
      <c r="S120" s="147"/>
      <c r="T120" s="147"/>
      <c r="U120" s="147"/>
      <c r="V120" s="147"/>
      <c r="W120" s="147"/>
      <c r="X120" s="147"/>
      <c r="Y120" s="147"/>
      <c r="Z120" s="147"/>
      <c r="AA120" s="147"/>
      <c r="AB120" s="147"/>
      <c r="AC120" s="147"/>
      <c r="AD120" s="147"/>
      <c r="AE120" s="147"/>
      <c r="AF120" s="147"/>
      <c r="AG120" s="147"/>
    </row>
    <row r="121">
      <c r="A121" s="147"/>
      <c r="B121" s="147"/>
      <c r="C121" s="147"/>
      <c r="D121" s="147"/>
      <c r="E121" s="147"/>
      <c r="F121" s="205"/>
      <c r="G121" s="147"/>
      <c r="H121" s="147"/>
      <c r="I121" s="147"/>
      <c r="J121" s="147"/>
      <c r="K121" s="147"/>
      <c r="L121" s="147"/>
      <c r="M121" s="147"/>
      <c r="N121" s="147"/>
      <c r="O121" s="147"/>
      <c r="P121" s="147"/>
      <c r="Q121" s="147"/>
      <c r="R121" s="147"/>
      <c r="S121" s="147"/>
      <c r="T121" s="147"/>
      <c r="U121" s="147"/>
      <c r="V121" s="147"/>
      <c r="W121" s="147"/>
      <c r="X121" s="147"/>
      <c r="Y121" s="147"/>
      <c r="Z121" s="147"/>
      <c r="AA121" s="147"/>
      <c r="AB121" s="147"/>
      <c r="AC121" s="147"/>
      <c r="AD121" s="147"/>
      <c r="AE121" s="147"/>
      <c r="AF121" s="147"/>
      <c r="AG121" s="147"/>
    </row>
    <row r="122">
      <c r="A122" s="147"/>
      <c r="B122" s="147"/>
      <c r="C122" s="147"/>
      <c r="D122" s="147"/>
      <c r="E122" s="147"/>
      <c r="F122" s="205"/>
      <c r="G122" s="147"/>
      <c r="H122" s="147"/>
      <c r="I122" s="147"/>
      <c r="J122" s="147"/>
      <c r="K122" s="147"/>
      <c r="L122" s="147"/>
      <c r="M122" s="147"/>
      <c r="N122" s="147"/>
      <c r="O122" s="147"/>
      <c r="P122" s="147"/>
      <c r="Q122" s="147"/>
      <c r="R122" s="147"/>
      <c r="S122" s="147"/>
      <c r="T122" s="147"/>
      <c r="U122" s="147"/>
      <c r="V122" s="147"/>
      <c r="W122" s="147"/>
      <c r="X122" s="147"/>
      <c r="Y122" s="147"/>
      <c r="Z122" s="147"/>
      <c r="AA122" s="147"/>
      <c r="AB122" s="147"/>
      <c r="AC122" s="147"/>
      <c r="AD122" s="147"/>
      <c r="AE122" s="147"/>
      <c r="AF122" s="147"/>
      <c r="AG122" s="147"/>
    </row>
    <row r="123">
      <c r="A123" s="147"/>
      <c r="B123" s="147"/>
      <c r="C123" s="147"/>
      <c r="D123" s="147"/>
      <c r="E123" s="147"/>
      <c r="F123" s="205"/>
      <c r="G123" s="147"/>
      <c r="H123" s="147"/>
      <c r="I123" s="147"/>
      <c r="J123" s="147"/>
      <c r="K123" s="147"/>
      <c r="L123" s="147"/>
      <c r="M123" s="147"/>
      <c r="N123" s="147"/>
      <c r="O123" s="147"/>
      <c r="P123" s="147"/>
      <c r="Q123" s="147"/>
      <c r="R123" s="147"/>
      <c r="S123" s="147"/>
      <c r="T123" s="147"/>
      <c r="U123" s="147"/>
      <c r="V123" s="147"/>
      <c r="W123" s="147"/>
      <c r="X123" s="147"/>
      <c r="Y123" s="147"/>
      <c r="Z123" s="147"/>
      <c r="AA123" s="147"/>
      <c r="AB123" s="147"/>
      <c r="AC123" s="147"/>
      <c r="AD123" s="147"/>
      <c r="AE123" s="147"/>
      <c r="AF123" s="147"/>
      <c r="AG123" s="147"/>
    </row>
    <row r="124">
      <c r="A124" s="147"/>
      <c r="B124" s="147"/>
      <c r="C124" s="147"/>
      <c r="D124" s="147"/>
      <c r="E124" s="147"/>
      <c r="F124" s="205"/>
      <c r="G124" s="147"/>
      <c r="H124" s="147"/>
      <c r="I124" s="147"/>
      <c r="J124" s="147"/>
      <c r="K124" s="147"/>
      <c r="L124" s="147"/>
      <c r="M124" s="147"/>
      <c r="N124" s="147"/>
      <c r="O124" s="147"/>
      <c r="P124" s="147"/>
      <c r="Q124" s="147"/>
      <c r="R124" s="147"/>
      <c r="S124" s="147"/>
      <c r="T124" s="147"/>
      <c r="U124" s="147"/>
      <c r="V124" s="147"/>
      <c r="W124" s="147"/>
      <c r="X124" s="147"/>
      <c r="Y124" s="147"/>
      <c r="Z124" s="147"/>
      <c r="AA124" s="147"/>
      <c r="AB124" s="147"/>
      <c r="AC124" s="147"/>
      <c r="AD124" s="147"/>
      <c r="AE124" s="147"/>
      <c r="AF124" s="147"/>
      <c r="AG124" s="147"/>
    </row>
    <row r="125">
      <c r="A125" s="147"/>
      <c r="B125" s="147"/>
      <c r="C125" s="147"/>
      <c r="D125" s="147"/>
      <c r="E125" s="147"/>
      <c r="F125" s="205"/>
      <c r="G125" s="147"/>
      <c r="H125" s="147"/>
      <c r="I125" s="147"/>
      <c r="J125" s="147"/>
      <c r="K125" s="147"/>
      <c r="L125" s="147"/>
      <c r="M125" s="147"/>
      <c r="N125" s="147"/>
      <c r="O125" s="147"/>
      <c r="P125" s="147"/>
      <c r="Q125" s="147"/>
      <c r="R125" s="147"/>
      <c r="S125" s="147"/>
      <c r="T125" s="147"/>
      <c r="U125" s="147"/>
      <c r="V125" s="147"/>
      <c r="W125" s="147"/>
      <c r="X125" s="147"/>
      <c r="Y125" s="147"/>
      <c r="Z125" s="147"/>
      <c r="AA125" s="147"/>
      <c r="AB125" s="147"/>
      <c r="AC125" s="147"/>
      <c r="AD125" s="147"/>
      <c r="AE125" s="147"/>
      <c r="AF125" s="147"/>
      <c r="AG125" s="147"/>
    </row>
    <row r="126">
      <c r="A126" s="147"/>
      <c r="B126" s="147"/>
      <c r="C126" s="147"/>
      <c r="D126" s="147"/>
      <c r="E126" s="147"/>
      <c r="F126" s="205"/>
      <c r="G126" s="147"/>
      <c r="H126" s="147"/>
      <c r="I126" s="147"/>
      <c r="J126" s="147"/>
      <c r="K126" s="147"/>
      <c r="L126" s="147"/>
      <c r="M126" s="147"/>
      <c r="N126" s="147"/>
      <c r="O126" s="147"/>
      <c r="P126" s="147"/>
      <c r="Q126" s="147"/>
      <c r="R126" s="147"/>
      <c r="S126" s="147"/>
      <c r="T126" s="147"/>
      <c r="U126" s="147"/>
      <c r="V126" s="147"/>
      <c r="W126" s="147"/>
      <c r="X126" s="147"/>
      <c r="Y126" s="147"/>
      <c r="Z126" s="147"/>
      <c r="AA126" s="147"/>
      <c r="AB126" s="147"/>
      <c r="AC126" s="147"/>
      <c r="AD126" s="147"/>
      <c r="AE126" s="147"/>
      <c r="AF126" s="147"/>
      <c r="AG126" s="147"/>
    </row>
    <row r="127">
      <c r="A127" s="147"/>
      <c r="B127" s="147"/>
      <c r="C127" s="147"/>
      <c r="D127" s="147"/>
      <c r="E127" s="147"/>
      <c r="F127" s="205"/>
      <c r="G127" s="147"/>
      <c r="H127" s="147"/>
      <c r="I127" s="147"/>
      <c r="J127" s="147"/>
      <c r="K127" s="147"/>
      <c r="L127" s="147"/>
      <c r="M127" s="147"/>
      <c r="N127" s="147"/>
      <c r="O127" s="147"/>
      <c r="P127" s="147"/>
      <c r="Q127" s="147"/>
      <c r="R127" s="147"/>
      <c r="S127" s="147"/>
      <c r="T127" s="147"/>
      <c r="U127" s="147"/>
      <c r="V127" s="147"/>
      <c r="W127" s="147"/>
      <c r="X127" s="147"/>
      <c r="Y127" s="147"/>
      <c r="Z127" s="147"/>
      <c r="AA127" s="147"/>
      <c r="AB127" s="147"/>
      <c r="AC127" s="147"/>
      <c r="AD127" s="147"/>
      <c r="AE127" s="147"/>
      <c r="AF127" s="147"/>
      <c r="AG127" s="147"/>
    </row>
    <row r="128">
      <c r="A128" s="147"/>
      <c r="B128" s="147"/>
      <c r="C128" s="147"/>
      <c r="D128" s="147"/>
      <c r="E128" s="147"/>
      <c r="F128" s="205"/>
      <c r="G128" s="147"/>
      <c r="H128" s="147"/>
      <c r="I128" s="147"/>
      <c r="J128" s="147"/>
      <c r="K128" s="147"/>
      <c r="L128" s="147"/>
      <c r="M128" s="147"/>
      <c r="N128" s="147"/>
      <c r="O128" s="147"/>
      <c r="P128" s="147"/>
      <c r="Q128" s="147"/>
      <c r="R128" s="147"/>
      <c r="S128" s="147"/>
      <c r="T128" s="147"/>
      <c r="U128" s="147"/>
      <c r="V128" s="147"/>
      <c r="W128" s="147"/>
      <c r="X128" s="147"/>
      <c r="Y128" s="147"/>
      <c r="Z128" s="147"/>
      <c r="AA128" s="147"/>
      <c r="AB128" s="147"/>
      <c r="AC128" s="147"/>
      <c r="AD128" s="147"/>
      <c r="AE128" s="147"/>
      <c r="AF128" s="147"/>
      <c r="AG128" s="147"/>
    </row>
    <row r="129">
      <c r="A129" s="147"/>
      <c r="B129" s="147"/>
      <c r="C129" s="147"/>
      <c r="D129" s="147"/>
      <c r="E129" s="147"/>
      <c r="F129" s="205"/>
      <c r="G129" s="147"/>
      <c r="H129" s="147"/>
      <c r="I129" s="147"/>
      <c r="J129" s="147"/>
      <c r="K129" s="147"/>
      <c r="L129" s="147"/>
      <c r="M129" s="147"/>
      <c r="N129" s="147"/>
      <c r="O129" s="147"/>
      <c r="P129" s="147"/>
      <c r="Q129" s="147"/>
      <c r="R129" s="147"/>
      <c r="S129" s="147"/>
      <c r="T129" s="147"/>
      <c r="U129" s="147"/>
      <c r="V129" s="147"/>
      <c r="W129" s="147"/>
      <c r="X129" s="147"/>
      <c r="Y129" s="147"/>
      <c r="Z129" s="147"/>
      <c r="AA129" s="147"/>
      <c r="AB129" s="147"/>
      <c r="AC129" s="147"/>
      <c r="AD129" s="147"/>
      <c r="AE129" s="147"/>
      <c r="AF129" s="147"/>
      <c r="AG129" s="147"/>
    </row>
    <row r="130">
      <c r="A130" s="147"/>
      <c r="B130" s="147"/>
      <c r="C130" s="147"/>
      <c r="D130" s="147"/>
      <c r="E130" s="147"/>
      <c r="F130" s="205"/>
      <c r="G130" s="147"/>
      <c r="H130" s="147"/>
      <c r="I130" s="147"/>
      <c r="J130" s="147"/>
      <c r="K130" s="147"/>
      <c r="L130" s="147"/>
      <c r="M130" s="147"/>
      <c r="N130" s="147"/>
      <c r="O130" s="147"/>
      <c r="P130" s="147"/>
      <c r="Q130" s="147"/>
      <c r="R130" s="147"/>
      <c r="S130" s="147"/>
      <c r="T130" s="147"/>
      <c r="U130" s="147"/>
      <c r="V130" s="147"/>
      <c r="W130" s="147"/>
      <c r="X130" s="147"/>
      <c r="Y130" s="147"/>
      <c r="Z130" s="147"/>
      <c r="AA130" s="147"/>
      <c r="AB130" s="147"/>
      <c r="AC130" s="147"/>
      <c r="AD130" s="147"/>
      <c r="AE130" s="147"/>
      <c r="AF130" s="147"/>
      <c r="AG130" s="147"/>
    </row>
    <row r="131">
      <c r="A131" s="147"/>
      <c r="B131" s="147"/>
      <c r="C131" s="147"/>
      <c r="D131" s="147"/>
      <c r="E131" s="147"/>
      <c r="F131" s="205"/>
      <c r="G131" s="147"/>
      <c r="H131" s="147"/>
      <c r="I131" s="147"/>
      <c r="J131" s="147"/>
      <c r="K131" s="147"/>
      <c r="L131" s="147"/>
      <c r="M131" s="147"/>
      <c r="N131" s="147"/>
      <c r="O131" s="147"/>
      <c r="P131" s="147"/>
      <c r="Q131" s="147"/>
      <c r="R131" s="147"/>
      <c r="S131" s="147"/>
      <c r="T131" s="147"/>
      <c r="U131" s="147"/>
      <c r="V131" s="147"/>
      <c r="W131" s="147"/>
      <c r="X131" s="147"/>
      <c r="Y131" s="147"/>
      <c r="Z131" s="147"/>
      <c r="AA131" s="147"/>
      <c r="AB131" s="147"/>
      <c r="AC131" s="147"/>
      <c r="AD131" s="147"/>
      <c r="AE131" s="147"/>
      <c r="AF131" s="147"/>
      <c r="AG131" s="147"/>
    </row>
    <row r="132">
      <c r="A132" s="147"/>
      <c r="B132" s="147"/>
      <c r="C132" s="147"/>
      <c r="D132" s="147"/>
      <c r="E132" s="147"/>
      <c r="F132" s="205"/>
      <c r="G132" s="147"/>
      <c r="H132" s="147"/>
      <c r="I132" s="147"/>
      <c r="J132" s="147"/>
      <c r="K132" s="147"/>
      <c r="L132" s="147"/>
      <c r="M132" s="147"/>
      <c r="N132" s="147"/>
      <c r="O132" s="147"/>
      <c r="P132" s="147"/>
      <c r="Q132" s="147"/>
      <c r="R132" s="147"/>
      <c r="S132" s="147"/>
      <c r="T132" s="147"/>
      <c r="U132" s="147"/>
      <c r="V132" s="147"/>
      <c r="W132" s="147"/>
      <c r="X132" s="147"/>
      <c r="Y132" s="147"/>
      <c r="Z132" s="147"/>
      <c r="AA132" s="147"/>
      <c r="AB132" s="147"/>
      <c r="AC132" s="147"/>
      <c r="AD132" s="147"/>
      <c r="AE132" s="147"/>
      <c r="AF132" s="147"/>
      <c r="AG132" s="147"/>
    </row>
    <row r="133">
      <c r="A133" s="147"/>
      <c r="B133" s="147"/>
      <c r="C133" s="147"/>
      <c r="D133" s="147"/>
      <c r="E133" s="147"/>
      <c r="F133" s="205"/>
      <c r="G133" s="147"/>
      <c r="H133" s="147"/>
      <c r="I133" s="147"/>
      <c r="J133" s="147"/>
      <c r="K133" s="147"/>
      <c r="L133" s="147"/>
      <c r="M133" s="147"/>
      <c r="N133" s="147"/>
      <c r="O133" s="147"/>
      <c r="P133" s="147"/>
      <c r="Q133" s="147"/>
      <c r="R133" s="147"/>
      <c r="S133" s="147"/>
      <c r="T133" s="147"/>
      <c r="U133" s="147"/>
      <c r="V133" s="147"/>
      <c r="W133" s="147"/>
      <c r="X133" s="147"/>
      <c r="Y133" s="147"/>
      <c r="Z133" s="147"/>
      <c r="AA133" s="147"/>
      <c r="AB133" s="147"/>
      <c r="AC133" s="147"/>
      <c r="AD133" s="147"/>
      <c r="AE133" s="147"/>
      <c r="AF133" s="147"/>
      <c r="AG133" s="147"/>
    </row>
    <row r="134">
      <c r="A134" s="147"/>
      <c r="B134" s="147"/>
      <c r="C134" s="147"/>
      <c r="D134" s="147"/>
      <c r="E134" s="147"/>
      <c r="F134" s="205"/>
      <c r="G134" s="147"/>
      <c r="H134" s="147"/>
      <c r="I134" s="147"/>
      <c r="J134" s="147"/>
      <c r="K134" s="147"/>
      <c r="L134" s="147"/>
      <c r="M134" s="147"/>
      <c r="N134" s="147"/>
      <c r="O134" s="147"/>
      <c r="P134" s="147"/>
      <c r="Q134" s="147"/>
      <c r="R134" s="147"/>
      <c r="S134" s="147"/>
      <c r="T134" s="147"/>
      <c r="U134" s="147"/>
      <c r="V134" s="147"/>
      <c r="W134" s="147"/>
      <c r="X134" s="147"/>
      <c r="Y134" s="147"/>
      <c r="Z134" s="147"/>
      <c r="AA134" s="147"/>
      <c r="AB134" s="147"/>
      <c r="AC134" s="147"/>
      <c r="AD134" s="147"/>
      <c r="AE134" s="147"/>
      <c r="AF134" s="147"/>
      <c r="AG134" s="147"/>
    </row>
    <row r="135">
      <c r="A135" s="147"/>
      <c r="B135" s="147"/>
      <c r="C135" s="147"/>
      <c r="D135" s="147"/>
      <c r="E135" s="147"/>
      <c r="F135" s="205"/>
      <c r="G135" s="147"/>
      <c r="H135" s="147"/>
      <c r="I135" s="147"/>
      <c r="J135" s="147"/>
      <c r="K135" s="147"/>
      <c r="L135" s="147"/>
      <c r="M135" s="147"/>
      <c r="N135" s="147"/>
      <c r="O135" s="147"/>
      <c r="P135" s="147"/>
      <c r="Q135" s="147"/>
      <c r="R135" s="147"/>
      <c r="S135" s="147"/>
      <c r="T135" s="147"/>
      <c r="U135" s="147"/>
      <c r="V135" s="147"/>
      <c r="W135" s="147"/>
      <c r="X135" s="147"/>
      <c r="Y135" s="147"/>
      <c r="Z135" s="147"/>
      <c r="AA135" s="147"/>
      <c r="AB135" s="147"/>
      <c r="AC135" s="147"/>
      <c r="AD135" s="147"/>
      <c r="AE135" s="147"/>
      <c r="AF135" s="147"/>
      <c r="AG135" s="147"/>
    </row>
    <row r="136">
      <c r="A136" s="147"/>
      <c r="B136" s="147"/>
      <c r="C136" s="147"/>
      <c r="D136" s="147"/>
      <c r="E136" s="147"/>
      <c r="F136" s="205"/>
      <c r="G136" s="147"/>
      <c r="H136" s="147"/>
      <c r="I136" s="147"/>
      <c r="J136" s="147"/>
      <c r="K136" s="147"/>
      <c r="L136" s="147"/>
      <c r="M136" s="147"/>
      <c r="N136" s="147"/>
      <c r="O136" s="147"/>
      <c r="P136" s="147"/>
      <c r="Q136" s="147"/>
      <c r="R136" s="147"/>
      <c r="S136" s="147"/>
      <c r="T136" s="147"/>
      <c r="U136" s="147"/>
      <c r="V136" s="147"/>
      <c r="W136" s="147"/>
      <c r="X136" s="147"/>
      <c r="Y136" s="147"/>
      <c r="Z136" s="147"/>
      <c r="AA136" s="147"/>
      <c r="AB136" s="147"/>
      <c r="AC136" s="147"/>
      <c r="AD136" s="147"/>
      <c r="AE136" s="147"/>
      <c r="AF136" s="147"/>
      <c r="AG136" s="147"/>
    </row>
    <row r="137">
      <c r="A137" s="147"/>
      <c r="B137" s="147"/>
      <c r="C137" s="147"/>
      <c r="D137" s="147"/>
      <c r="E137" s="147"/>
      <c r="F137" s="205"/>
      <c r="G137" s="147"/>
      <c r="H137" s="147"/>
      <c r="I137" s="147"/>
      <c r="J137" s="147"/>
      <c r="K137" s="147"/>
      <c r="L137" s="147"/>
      <c r="M137" s="147"/>
      <c r="N137" s="147"/>
      <c r="O137" s="147"/>
      <c r="P137" s="147"/>
      <c r="Q137" s="147"/>
      <c r="R137" s="147"/>
      <c r="S137" s="147"/>
      <c r="T137" s="147"/>
      <c r="U137" s="147"/>
      <c r="V137" s="147"/>
      <c r="W137" s="147"/>
      <c r="X137" s="147"/>
      <c r="Y137" s="147"/>
      <c r="Z137" s="147"/>
      <c r="AA137" s="147"/>
      <c r="AB137" s="147"/>
      <c r="AC137" s="147"/>
      <c r="AD137" s="147"/>
      <c r="AE137" s="147"/>
      <c r="AF137" s="147"/>
      <c r="AG137" s="147"/>
    </row>
    <row r="138">
      <c r="A138" s="147"/>
      <c r="B138" s="147"/>
      <c r="C138" s="147"/>
      <c r="D138" s="147"/>
      <c r="E138" s="147"/>
      <c r="F138" s="205"/>
      <c r="G138" s="147"/>
      <c r="H138" s="147"/>
      <c r="I138" s="147"/>
      <c r="J138" s="147"/>
      <c r="K138" s="147"/>
      <c r="L138" s="147"/>
      <c r="M138" s="147"/>
      <c r="N138" s="147"/>
      <c r="O138" s="147"/>
      <c r="P138" s="147"/>
      <c r="Q138" s="147"/>
      <c r="R138" s="147"/>
      <c r="S138" s="147"/>
      <c r="T138" s="147"/>
      <c r="U138" s="147"/>
      <c r="V138" s="147"/>
      <c r="W138" s="147"/>
      <c r="X138" s="147"/>
      <c r="Y138" s="147"/>
      <c r="Z138" s="147"/>
      <c r="AA138" s="147"/>
      <c r="AB138" s="147"/>
      <c r="AC138" s="147"/>
      <c r="AD138" s="147"/>
      <c r="AE138" s="147"/>
      <c r="AF138" s="147"/>
      <c r="AG138" s="147"/>
    </row>
    <row r="139">
      <c r="A139" s="147"/>
      <c r="B139" s="147"/>
      <c r="C139" s="147"/>
      <c r="D139" s="147"/>
      <c r="E139" s="147"/>
      <c r="F139" s="205"/>
      <c r="G139" s="147"/>
      <c r="H139" s="147"/>
      <c r="I139" s="147"/>
      <c r="J139" s="147"/>
      <c r="K139" s="147"/>
      <c r="L139" s="147"/>
      <c r="M139" s="147"/>
      <c r="N139" s="147"/>
      <c r="O139" s="147"/>
      <c r="P139" s="147"/>
      <c r="Q139" s="147"/>
      <c r="R139" s="147"/>
      <c r="S139" s="147"/>
      <c r="T139" s="147"/>
      <c r="U139" s="147"/>
      <c r="V139" s="147"/>
      <c r="W139" s="147"/>
      <c r="X139" s="147"/>
      <c r="Y139" s="147"/>
      <c r="Z139" s="147"/>
      <c r="AA139" s="147"/>
      <c r="AB139" s="147"/>
      <c r="AC139" s="147"/>
      <c r="AD139" s="147"/>
      <c r="AE139" s="147"/>
      <c r="AF139" s="147"/>
      <c r="AG139" s="147"/>
    </row>
    <row r="140">
      <c r="A140" s="147"/>
      <c r="B140" s="147"/>
      <c r="C140" s="147"/>
      <c r="D140" s="147"/>
      <c r="E140" s="147"/>
      <c r="F140" s="205"/>
      <c r="G140" s="147"/>
      <c r="H140" s="147"/>
      <c r="I140" s="147"/>
      <c r="J140" s="147"/>
      <c r="K140" s="147"/>
      <c r="L140" s="147"/>
      <c r="M140" s="147"/>
      <c r="N140" s="147"/>
      <c r="O140" s="147"/>
      <c r="P140" s="147"/>
      <c r="Q140" s="147"/>
      <c r="R140" s="147"/>
      <c r="S140" s="147"/>
      <c r="T140" s="147"/>
      <c r="U140" s="147"/>
      <c r="V140" s="147"/>
      <c r="W140" s="147"/>
      <c r="X140" s="147"/>
      <c r="Y140" s="147"/>
      <c r="Z140" s="147"/>
      <c r="AA140" s="147"/>
      <c r="AB140" s="147"/>
      <c r="AC140" s="147"/>
      <c r="AD140" s="147"/>
      <c r="AE140" s="147"/>
      <c r="AF140" s="147"/>
      <c r="AG140" s="147"/>
    </row>
    <row r="141">
      <c r="A141" s="147"/>
      <c r="B141" s="147"/>
      <c r="C141" s="147"/>
      <c r="D141" s="147"/>
      <c r="E141" s="147"/>
      <c r="F141" s="205"/>
      <c r="G141" s="147"/>
      <c r="H141" s="147"/>
      <c r="I141" s="147"/>
      <c r="J141" s="147"/>
      <c r="K141" s="147"/>
      <c r="L141" s="147"/>
      <c r="M141" s="147"/>
      <c r="N141" s="147"/>
      <c r="O141" s="147"/>
      <c r="P141" s="147"/>
      <c r="Q141" s="147"/>
      <c r="R141" s="147"/>
      <c r="S141" s="147"/>
      <c r="T141" s="147"/>
      <c r="U141" s="147"/>
      <c r="V141" s="147"/>
      <c r="W141" s="147"/>
      <c r="X141" s="147"/>
      <c r="Y141" s="147"/>
      <c r="Z141" s="147"/>
      <c r="AA141" s="147"/>
      <c r="AB141" s="147"/>
      <c r="AC141" s="147"/>
      <c r="AD141" s="147"/>
      <c r="AE141" s="147"/>
      <c r="AF141" s="147"/>
      <c r="AG141" s="147"/>
    </row>
    <row r="142">
      <c r="A142" s="147"/>
      <c r="B142" s="147"/>
      <c r="C142" s="147"/>
      <c r="D142" s="147"/>
      <c r="E142" s="147"/>
      <c r="F142" s="205"/>
      <c r="G142" s="147"/>
      <c r="H142" s="147"/>
      <c r="I142" s="147"/>
      <c r="J142" s="147"/>
      <c r="K142" s="147"/>
      <c r="L142" s="147"/>
      <c r="M142" s="147"/>
      <c r="N142" s="147"/>
      <c r="O142" s="147"/>
      <c r="P142" s="147"/>
      <c r="Q142" s="147"/>
      <c r="R142" s="147"/>
      <c r="S142" s="147"/>
      <c r="T142" s="147"/>
      <c r="U142" s="147"/>
      <c r="V142" s="147"/>
      <c r="W142" s="147"/>
      <c r="X142" s="147"/>
      <c r="Y142" s="147"/>
      <c r="Z142" s="147"/>
      <c r="AA142" s="147"/>
      <c r="AB142" s="147"/>
      <c r="AC142" s="147"/>
      <c r="AD142" s="147"/>
      <c r="AE142" s="147"/>
      <c r="AF142" s="147"/>
      <c r="AG142" s="147"/>
    </row>
    <row r="143">
      <c r="A143" s="147"/>
      <c r="B143" s="147"/>
      <c r="C143" s="147"/>
      <c r="D143" s="147"/>
      <c r="E143" s="147"/>
      <c r="F143" s="205"/>
      <c r="G143" s="147"/>
      <c r="H143" s="147"/>
      <c r="I143" s="147"/>
      <c r="J143" s="147"/>
      <c r="K143" s="147"/>
      <c r="L143" s="147"/>
      <c r="M143" s="147"/>
      <c r="N143" s="147"/>
      <c r="O143" s="147"/>
      <c r="P143" s="147"/>
      <c r="Q143" s="147"/>
      <c r="R143" s="147"/>
      <c r="S143" s="147"/>
      <c r="T143" s="147"/>
      <c r="U143" s="147"/>
      <c r="V143" s="147"/>
      <c r="W143" s="147"/>
      <c r="X143" s="147"/>
      <c r="Y143" s="147"/>
      <c r="Z143" s="147"/>
      <c r="AA143" s="147"/>
      <c r="AB143" s="147"/>
      <c r="AC143" s="147"/>
      <c r="AD143" s="147"/>
      <c r="AE143" s="147"/>
      <c r="AF143" s="147"/>
      <c r="AG143" s="147"/>
    </row>
    <row r="144">
      <c r="A144" s="147"/>
      <c r="B144" s="147"/>
      <c r="C144" s="147"/>
      <c r="D144" s="147"/>
      <c r="E144" s="147"/>
      <c r="F144" s="205"/>
      <c r="G144" s="147"/>
      <c r="H144" s="147"/>
      <c r="I144" s="147"/>
      <c r="J144" s="147"/>
      <c r="K144" s="147"/>
      <c r="L144" s="147"/>
      <c r="M144" s="147"/>
      <c r="N144" s="147"/>
      <c r="O144" s="147"/>
      <c r="P144" s="147"/>
      <c r="Q144" s="147"/>
      <c r="R144" s="147"/>
      <c r="S144" s="147"/>
      <c r="T144" s="147"/>
      <c r="U144" s="147"/>
      <c r="V144" s="147"/>
      <c r="W144" s="147"/>
      <c r="X144" s="147"/>
      <c r="Y144" s="147"/>
      <c r="Z144" s="147"/>
      <c r="AA144" s="147"/>
      <c r="AB144" s="147"/>
      <c r="AC144" s="147"/>
      <c r="AD144" s="147"/>
      <c r="AE144" s="147"/>
      <c r="AF144" s="147"/>
      <c r="AG144" s="147"/>
    </row>
    <row r="145">
      <c r="A145" s="147"/>
      <c r="B145" s="147"/>
      <c r="C145" s="147"/>
      <c r="D145" s="147"/>
      <c r="E145" s="147"/>
      <c r="F145" s="205"/>
      <c r="G145" s="147"/>
      <c r="H145" s="147"/>
      <c r="I145" s="147"/>
      <c r="J145" s="147"/>
      <c r="K145" s="147"/>
      <c r="L145" s="147"/>
      <c r="M145" s="147"/>
      <c r="N145" s="147"/>
      <c r="O145" s="147"/>
      <c r="P145" s="147"/>
      <c r="Q145" s="147"/>
      <c r="R145" s="147"/>
      <c r="S145" s="147"/>
      <c r="T145" s="147"/>
      <c r="U145" s="147"/>
      <c r="V145" s="147"/>
      <c r="W145" s="147"/>
      <c r="X145" s="147"/>
      <c r="Y145" s="147"/>
      <c r="Z145" s="147"/>
      <c r="AA145" s="147"/>
      <c r="AB145" s="147"/>
      <c r="AC145" s="147"/>
      <c r="AD145" s="147"/>
      <c r="AE145" s="147"/>
      <c r="AF145" s="147"/>
      <c r="AG145" s="147"/>
    </row>
    <row r="146">
      <c r="A146" s="147"/>
      <c r="B146" s="147"/>
      <c r="C146" s="147"/>
      <c r="D146" s="147"/>
      <c r="E146" s="147"/>
      <c r="F146" s="205"/>
      <c r="G146" s="147"/>
      <c r="H146" s="147"/>
      <c r="I146" s="147"/>
      <c r="J146" s="147"/>
      <c r="K146" s="147"/>
      <c r="L146" s="147"/>
      <c r="M146" s="147"/>
      <c r="N146" s="147"/>
      <c r="O146" s="147"/>
      <c r="P146" s="147"/>
      <c r="Q146" s="147"/>
      <c r="R146" s="147"/>
      <c r="S146" s="147"/>
      <c r="T146" s="147"/>
      <c r="U146" s="147"/>
      <c r="V146" s="147"/>
      <c r="W146" s="147"/>
      <c r="X146" s="147"/>
      <c r="Y146" s="147"/>
      <c r="Z146" s="147"/>
      <c r="AA146" s="147"/>
      <c r="AB146" s="147"/>
      <c r="AC146" s="147"/>
      <c r="AD146" s="147"/>
      <c r="AE146" s="147"/>
      <c r="AF146" s="147"/>
      <c r="AG146" s="147"/>
    </row>
    <row r="147">
      <c r="A147" s="147"/>
      <c r="B147" s="147"/>
      <c r="C147" s="147"/>
      <c r="D147" s="147"/>
      <c r="E147" s="147"/>
      <c r="F147" s="205"/>
      <c r="G147" s="147"/>
      <c r="H147" s="147"/>
      <c r="I147" s="147"/>
      <c r="J147" s="147"/>
      <c r="K147" s="147"/>
      <c r="L147" s="147"/>
      <c r="M147" s="147"/>
      <c r="N147" s="147"/>
      <c r="O147" s="147"/>
      <c r="P147" s="147"/>
      <c r="Q147" s="147"/>
      <c r="R147" s="147"/>
      <c r="S147" s="147"/>
      <c r="T147" s="147"/>
      <c r="U147" s="147"/>
      <c r="V147" s="147"/>
      <c r="W147" s="147"/>
      <c r="X147" s="147"/>
      <c r="Y147" s="147"/>
      <c r="Z147" s="147"/>
      <c r="AA147" s="147"/>
      <c r="AB147" s="147"/>
      <c r="AC147" s="147"/>
      <c r="AD147" s="147"/>
      <c r="AE147" s="147"/>
      <c r="AF147" s="147"/>
      <c r="AG147" s="147"/>
    </row>
    <row r="148">
      <c r="A148" s="147"/>
      <c r="B148" s="147"/>
      <c r="C148" s="147"/>
      <c r="D148" s="147"/>
      <c r="E148" s="147"/>
      <c r="F148" s="205"/>
      <c r="G148" s="147"/>
      <c r="H148" s="147"/>
      <c r="I148" s="147"/>
      <c r="J148" s="147"/>
      <c r="K148" s="147"/>
      <c r="L148" s="147"/>
      <c r="M148" s="147"/>
      <c r="N148" s="147"/>
      <c r="O148" s="147"/>
      <c r="P148" s="147"/>
      <c r="Q148" s="147"/>
      <c r="R148" s="147"/>
      <c r="S148" s="147"/>
      <c r="T148" s="147"/>
      <c r="U148" s="147"/>
      <c r="V148" s="147"/>
      <c r="W148" s="147"/>
      <c r="X148" s="147"/>
      <c r="Y148" s="147"/>
      <c r="Z148" s="147"/>
      <c r="AA148" s="147"/>
      <c r="AB148" s="147"/>
      <c r="AC148" s="147"/>
      <c r="AD148" s="147"/>
      <c r="AE148" s="147"/>
      <c r="AF148" s="147"/>
      <c r="AG148" s="147"/>
    </row>
    <row r="149">
      <c r="A149" s="147"/>
      <c r="B149" s="147"/>
      <c r="C149" s="147"/>
      <c r="D149" s="147"/>
      <c r="E149" s="147"/>
      <c r="F149" s="205"/>
      <c r="G149" s="147"/>
      <c r="H149" s="147"/>
      <c r="I149" s="147"/>
      <c r="J149" s="147"/>
      <c r="K149" s="147"/>
      <c r="L149" s="147"/>
      <c r="M149" s="147"/>
      <c r="N149" s="147"/>
      <c r="O149" s="147"/>
      <c r="P149" s="147"/>
      <c r="Q149" s="147"/>
      <c r="R149" s="147"/>
      <c r="S149" s="147"/>
      <c r="T149" s="147"/>
      <c r="U149" s="147"/>
      <c r="V149" s="147"/>
      <c r="W149" s="147"/>
      <c r="X149" s="147"/>
      <c r="Y149" s="147"/>
      <c r="Z149" s="147"/>
      <c r="AA149" s="147"/>
      <c r="AB149" s="147"/>
      <c r="AC149" s="147"/>
      <c r="AD149" s="147"/>
      <c r="AE149" s="147"/>
      <c r="AF149" s="147"/>
      <c r="AG149" s="147"/>
    </row>
    <row r="150">
      <c r="A150" s="147"/>
      <c r="B150" s="147"/>
      <c r="C150" s="147"/>
      <c r="D150" s="147"/>
      <c r="E150" s="147"/>
      <c r="F150" s="205"/>
      <c r="G150" s="147"/>
      <c r="H150" s="147"/>
      <c r="I150" s="147"/>
      <c r="J150" s="147"/>
      <c r="K150" s="147"/>
      <c r="L150" s="147"/>
      <c r="M150" s="147"/>
      <c r="N150" s="147"/>
      <c r="O150" s="147"/>
      <c r="P150" s="147"/>
      <c r="Q150" s="147"/>
      <c r="R150" s="147"/>
      <c r="S150" s="147"/>
      <c r="T150" s="147"/>
      <c r="U150" s="147"/>
      <c r="V150" s="147"/>
      <c r="W150" s="147"/>
      <c r="X150" s="147"/>
      <c r="Y150" s="147"/>
      <c r="Z150" s="147"/>
      <c r="AA150" s="147"/>
      <c r="AB150" s="147"/>
      <c r="AC150" s="147"/>
      <c r="AD150" s="147"/>
      <c r="AE150" s="147"/>
      <c r="AF150" s="147"/>
      <c r="AG150" s="147"/>
    </row>
    <row r="151">
      <c r="A151" s="147"/>
      <c r="B151" s="147"/>
      <c r="C151" s="147"/>
      <c r="D151" s="147"/>
      <c r="E151" s="147"/>
      <c r="F151" s="205"/>
      <c r="G151" s="147"/>
      <c r="H151" s="147"/>
      <c r="I151" s="147"/>
      <c r="J151" s="147"/>
      <c r="K151" s="147"/>
      <c r="L151" s="147"/>
      <c r="M151" s="147"/>
      <c r="N151" s="147"/>
      <c r="O151" s="147"/>
      <c r="P151" s="147"/>
      <c r="Q151" s="147"/>
      <c r="R151" s="147"/>
      <c r="S151" s="147"/>
      <c r="T151" s="147"/>
      <c r="U151" s="147"/>
      <c r="V151" s="147"/>
      <c r="W151" s="147"/>
      <c r="X151" s="147"/>
      <c r="Y151" s="147"/>
      <c r="Z151" s="147"/>
      <c r="AA151" s="147"/>
      <c r="AB151" s="147"/>
      <c r="AC151" s="147"/>
      <c r="AD151" s="147"/>
      <c r="AE151" s="147"/>
      <c r="AF151" s="147"/>
      <c r="AG151" s="147"/>
    </row>
    <row r="152">
      <c r="A152" s="147"/>
      <c r="B152" s="147"/>
      <c r="C152" s="147"/>
      <c r="D152" s="147"/>
      <c r="E152" s="147"/>
      <c r="F152" s="205"/>
      <c r="G152" s="147"/>
      <c r="H152" s="147"/>
      <c r="I152" s="147"/>
      <c r="J152" s="147"/>
      <c r="K152" s="147"/>
      <c r="L152" s="147"/>
      <c r="M152" s="147"/>
      <c r="N152" s="147"/>
      <c r="O152" s="147"/>
      <c r="P152" s="147"/>
      <c r="Q152" s="147"/>
      <c r="R152" s="147"/>
      <c r="S152" s="147"/>
      <c r="T152" s="147"/>
      <c r="U152" s="147"/>
      <c r="V152" s="147"/>
      <c r="W152" s="147"/>
      <c r="X152" s="147"/>
      <c r="Y152" s="147"/>
      <c r="Z152" s="147"/>
      <c r="AA152" s="147"/>
      <c r="AB152" s="147"/>
      <c r="AC152" s="147"/>
      <c r="AD152" s="147"/>
      <c r="AE152" s="147"/>
      <c r="AF152" s="147"/>
      <c r="AG152" s="147"/>
    </row>
    <row r="153">
      <c r="A153" s="147"/>
      <c r="B153" s="147"/>
      <c r="C153" s="147"/>
      <c r="D153" s="147"/>
      <c r="E153" s="147"/>
      <c r="F153" s="205"/>
      <c r="G153" s="147"/>
      <c r="H153" s="147"/>
      <c r="I153" s="147"/>
      <c r="J153" s="147"/>
      <c r="K153" s="147"/>
      <c r="L153" s="147"/>
      <c r="M153" s="147"/>
      <c r="N153" s="147"/>
      <c r="O153" s="147"/>
      <c r="P153" s="147"/>
      <c r="Q153" s="147"/>
      <c r="R153" s="147"/>
      <c r="S153" s="147"/>
      <c r="T153" s="147"/>
      <c r="U153" s="147"/>
      <c r="V153" s="147"/>
      <c r="W153" s="147"/>
      <c r="X153" s="147"/>
      <c r="Y153" s="147"/>
      <c r="Z153" s="147"/>
      <c r="AA153" s="147"/>
      <c r="AB153" s="147"/>
      <c r="AC153" s="147"/>
      <c r="AD153" s="147"/>
      <c r="AE153" s="147"/>
      <c r="AF153" s="147"/>
      <c r="AG153" s="147"/>
    </row>
    <row r="154">
      <c r="A154" s="147"/>
      <c r="B154" s="147"/>
      <c r="C154" s="147"/>
      <c r="D154" s="147"/>
      <c r="E154" s="147"/>
      <c r="F154" s="205"/>
      <c r="G154" s="147"/>
      <c r="H154" s="147"/>
      <c r="I154" s="147"/>
      <c r="J154" s="147"/>
      <c r="K154" s="147"/>
      <c r="L154" s="147"/>
      <c r="M154" s="147"/>
      <c r="N154" s="147"/>
      <c r="O154" s="147"/>
      <c r="P154" s="147"/>
      <c r="Q154" s="147"/>
      <c r="R154" s="147"/>
      <c r="S154" s="147"/>
      <c r="T154" s="147"/>
      <c r="U154" s="147"/>
      <c r="V154" s="147"/>
      <c r="W154" s="147"/>
      <c r="X154" s="147"/>
      <c r="Y154" s="147"/>
      <c r="Z154" s="147"/>
      <c r="AA154" s="147"/>
      <c r="AB154" s="147"/>
      <c r="AC154" s="147"/>
      <c r="AD154" s="147"/>
      <c r="AE154" s="147"/>
      <c r="AF154" s="147"/>
      <c r="AG154" s="147"/>
    </row>
    <row r="155">
      <c r="A155" s="147"/>
      <c r="B155" s="147"/>
      <c r="C155" s="147"/>
      <c r="D155" s="147"/>
      <c r="E155" s="147"/>
      <c r="F155" s="205"/>
      <c r="G155" s="147"/>
      <c r="H155" s="147"/>
      <c r="I155" s="147"/>
      <c r="J155" s="147"/>
      <c r="K155" s="147"/>
      <c r="L155" s="147"/>
      <c r="M155" s="147"/>
      <c r="N155" s="147"/>
      <c r="O155" s="147"/>
      <c r="P155" s="147"/>
      <c r="Q155" s="147"/>
      <c r="R155" s="147"/>
      <c r="S155" s="147"/>
      <c r="T155" s="147"/>
      <c r="U155" s="147"/>
      <c r="V155" s="147"/>
      <c r="W155" s="147"/>
      <c r="X155" s="147"/>
      <c r="Y155" s="147"/>
      <c r="Z155" s="147"/>
      <c r="AA155" s="147"/>
      <c r="AB155" s="147"/>
      <c r="AC155" s="147"/>
      <c r="AD155" s="147"/>
      <c r="AE155" s="147"/>
      <c r="AF155" s="147"/>
      <c r="AG155" s="147"/>
    </row>
    <row r="156">
      <c r="A156" s="147"/>
      <c r="B156" s="147"/>
      <c r="C156" s="147"/>
      <c r="D156" s="147"/>
      <c r="E156" s="147"/>
      <c r="F156" s="205"/>
      <c r="G156" s="147"/>
      <c r="H156" s="147"/>
      <c r="I156" s="147"/>
      <c r="J156" s="147"/>
      <c r="K156" s="147"/>
      <c r="L156" s="147"/>
      <c r="M156" s="147"/>
      <c r="N156" s="147"/>
      <c r="O156" s="147"/>
      <c r="P156" s="147"/>
      <c r="Q156" s="147"/>
      <c r="R156" s="147"/>
      <c r="S156" s="147"/>
      <c r="T156" s="147"/>
      <c r="U156" s="147"/>
      <c r="V156" s="147"/>
      <c r="W156" s="147"/>
      <c r="X156" s="147"/>
      <c r="Y156" s="147"/>
      <c r="Z156" s="147"/>
      <c r="AA156" s="147"/>
      <c r="AB156" s="147"/>
      <c r="AC156" s="147"/>
      <c r="AD156" s="147"/>
      <c r="AE156" s="147"/>
      <c r="AF156" s="147"/>
      <c r="AG156" s="147"/>
    </row>
    <row r="157">
      <c r="A157" s="147"/>
      <c r="B157" s="147"/>
      <c r="C157" s="147"/>
      <c r="D157" s="147"/>
      <c r="E157" s="147"/>
      <c r="F157" s="205"/>
      <c r="G157" s="147"/>
      <c r="H157" s="147"/>
      <c r="I157" s="147"/>
      <c r="J157" s="147"/>
      <c r="K157" s="147"/>
      <c r="L157" s="147"/>
      <c r="M157" s="147"/>
      <c r="N157" s="147"/>
      <c r="O157" s="147"/>
      <c r="P157" s="147"/>
      <c r="Q157" s="147"/>
      <c r="R157" s="147"/>
      <c r="S157" s="147"/>
      <c r="T157" s="147"/>
      <c r="U157" s="147"/>
      <c r="V157" s="147"/>
      <c r="W157" s="147"/>
      <c r="X157" s="147"/>
      <c r="Y157" s="147"/>
      <c r="Z157" s="147"/>
      <c r="AA157" s="147"/>
      <c r="AB157" s="147"/>
      <c r="AC157" s="147"/>
      <c r="AD157" s="147"/>
      <c r="AE157" s="147"/>
      <c r="AF157" s="147"/>
      <c r="AG157" s="147"/>
    </row>
    <row r="158">
      <c r="A158" s="147"/>
      <c r="B158" s="147"/>
      <c r="C158" s="147"/>
      <c r="D158" s="147"/>
      <c r="E158" s="147"/>
      <c r="F158" s="205"/>
      <c r="G158" s="147"/>
      <c r="H158" s="147"/>
      <c r="I158" s="147"/>
      <c r="J158" s="147"/>
      <c r="K158" s="147"/>
      <c r="L158" s="147"/>
      <c r="M158" s="147"/>
      <c r="N158" s="147"/>
      <c r="O158" s="147"/>
      <c r="P158" s="147"/>
      <c r="Q158" s="147"/>
      <c r="R158" s="147"/>
      <c r="S158" s="147"/>
      <c r="T158" s="147"/>
      <c r="U158" s="147"/>
      <c r="V158" s="147"/>
      <c r="W158" s="147"/>
      <c r="X158" s="147"/>
      <c r="Y158" s="147"/>
      <c r="Z158" s="147"/>
      <c r="AA158" s="147"/>
      <c r="AB158" s="147"/>
      <c r="AC158" s="147"/>
      <c r="AD158" s="147"/>
      <c r="AE158" s="147"/>
      <c r="AF158" s="147"/>
      <c r="AG158" s="147"/>
    </row>
    <row r="159">
      <c r="A159" s="147"/>
      <c r="B159" s="147"/>
      <c r="C159" s="147"/>
      <c r="D159" s="147"/>
      <c r="E159" s="147"/>
      <c r="F159" s="205"/>
      <c r="G159" s="147"/>
      <c r="H159" s="147"/>
      <c r="I159" s="147"/>
      <c r="J159" s="147"/>
      <c r="K159" s="147"/>
      <c r="L159" s="147"/>
      <c r="M159" s="147"/>
      <c r="N159" s="147"/>
      <c r="O159" s="147"/>
      <c r="P159" s="147"/>
      <c r="Q159" s="147"/>
      <c r="R159" s="147"/>
      <c r="S159" s="147"/>
      <c r="T159" s="147"/>
      <c r="U159" s="147"/>
      <c r="V159" s="147"/>
      <c r="W159" s="147"/>
      <c r="X159" s="147"/>
      <c r="Y159" s="147"/>
      <c r="Z159" s="147"/>
      <c r="AA159" s="147"/>
      <c r="AB159" s="147"/>
      <c r="AC159" s="147"/>
      <c r="AD159" s="147"/>
      <c r="AE159" s="147"/>
      <c r="AF159" s="147"/>
      <c r="AG159" s="147"/>
    </row>
    <row r="160">
      <c r="A160" s="147"/>
      <c r="B160" s="147"/>
      <c r="C160" s="147"/>
      <c r="D160" s="147"/>
      <c r="E160" s="147"/>
      <c r="F160" s="205"/>
      <c r="G160" s="147"/>
      <c r="H160" s="147"/>
      <c r="I160" s="147"/>
      <c r="J160" s="147"/>
      <c r="K160" s="147"/>
      <c r="L160" s="147"/>
      <c r="M160" s="147"/>
      <c r="N160" s="147"/>
      <c r="O160" s="147"/>
      <c r="P160" s="147"/>
      <c r="Q160" s="147"/>
      <c r="R160" s="147"/>
      <c r="S160" s="147"/>
      <c r="T160" s="147"/>
      <c r="U160" s="147"/>
      <c r="V160" s="147"/>
      <c r="W160" s="147"/>
      <c r="X160" s="147"/>
      <c r="Y160" s="147"/>
      <c r="Z160" s="147"/>
      <c r="AA160" s="147"/>
      <c r="AB160" s="147"/>
      <c r="AC160" s="147"/>
      <c r="AD160" s="147"/>
      <c r="AE160" s="147"/>
      <c r="AF160" s="147"/>
      <c r="AG160" s="147"/>
    </row>
    <row r="161">
      <c r="A161" s="147"/>
      <c r="B161" s="147"/>
      <c r="C161" s="147"/>
      <c r="D161" s="147"/>
      <c r="E161" s="147"/>
      <c r="F161" s="205"/>
      <c r="G161" s="147"/>
      <c r="H161" s="147"/>
      <c r="I161" s="147"/>
      <c r="J161" s="147"/>
      <c r="K161" s="147"/>
      <c r="L161" s="147"/>
      <c r="M161" s="147"/>
      <c r="N161" s="147"/>
      <c r="O161" s="147"/>
      <c r="P161" s="147"/>
      <c r="Q161" s="147"/>
      <c r="R161" s="147"/>
      <c r="S161" s="147"/>
      <c r="T161" s="147"/>
      <c r="U161" s="147"/>
      <c r="V161" s="147"/>
      <c r="W161" s="147"/>
      <c r="X161" s="147"/>
      <c r="Y161" s="147"/>
      <c r="Z161" s="147"/>
      <c r="AA161" s="147"/>
      <c r="AB161" s="147"/>
      <c r="AC161" s="147"/>
      <c r="AD161" s="147"/>
      <c r="AE161" s="147"/>
      <c r="AF161" s="147"/>
      <c r="AG161" s="147"/>
    </row>
    <row r="162">
      <c r="A162" s="147"/>
      <c r="B162" s="147"/>
      <c r="C162" s="147"/>
      <c r="D162" s="147"/>
      <c r="E162" s="147"/>
      <c r="F162" s="205"/>
      <c r="G162" s="147"/>
      <c r="H162" s="147"/>
      <c r="I162" s="147"/>
      <c r="J162" s="147"/>
      <c r="K162" s="147"/>
      <c r="L162" s="147"/>
      <c r="M162" s="147"/>
      <c r="N162" s="147"/>
      <c r="O162" s="147"/>
      <c r="P162" s="147"/>
      <c r="Q162" s="147"/>
      <c r="R162" s="147"/>
      <c r="S162" s="147"/>
      <c r="T162" s="147"/>
      <c r="U162" s="147"/>
      <c r="V162" s="147"/>
      <c r="W162" s="147"/>
      <c r="X162" s="147"/>
      <c r="Y162" s="147"/>
      <c r="Z162" s="147"/>
      <c r="AA162" s="147"/>
      <c r="AB162" s="147"/>
      <c r="AC162" s="147"/>
      <c r="AD162" s="147"/>
      <c r="AE162" s="147"/>
      <c r="AF162" s="147"/>
      <c r="AG162" s="147"/>
    </row>
    <row r="163">
      <c r="A163" s="147"/>
      <c r="B163" s="147"/>
      <c r="C163" s="147"/>
      <c r="D163" s="147"/>
      <c r="E163" s="147"/>
      <c r="F163" s="205"/>
      <c r="G163" s="147"/>
      <c r="H163" s="147"/>
      <c r="I163" s="147"/>
      <c r="J163" s="147"/>
      <c r="K163" s="147"/>
      <c r="L163" s="147"/>
      <c r="M163" s="147"/>
      <c r="N163" s="147"/>
      <c r="O163" s="147"/>
      <c r="P163" s="147"/>
      <c r="Q163" s="147"/>
      <c r="R163" s="147"/>
      <c r="S163" s="147"/>
      <c r="T163" s="147"/>
      <c r="U163" s="147"/>
      <c r="V163" s="147"/>
      <c r="W163" s="147"/>
      <c r="X163" s="147"/>
      <c r="Y163" s="147"/>
      <c r="Z163" s="147"/>
      <c r="AA163" s="147"/>
      <c r="AB163" s="147"/>
      <c r="AC163" s="147"/>
      <c r="AD163" s="147"/>
      <c r="AE163" s="147"/>
      <c r="AF163" s="147"/>
      <c r="AG163" s="147"/>
    </row>
    <row r="164">
      <c r="A164" s="147"/>
      <c r="B164" s="147"/>
      <c r="C164" s="147"/>
      <c r="D164" s="147"/>
      <c r="E164" s="147"/>
      <c r="F164" s="205"/>
      <c r="G164" s="147"/>
      <c r="H164" s="147"/>
      <c r="I164" s="147"/>
      <c r="J164" s="147"/>
      <c r="K164" s="147"/>
      <c r="L164" s="147"/>
      <c r="M164" s="147"/>
      <c r="N164" s="147"/>
      <c r="O164" s="147"/>
      <c r="P164" s="147"/>
      <c r="Q164" s="147"/>
      <c r="R164" s="147"/>
      <c r="S164" s="147"/>
      <c r="T164" s="147"/>
      <c r="U164" s="147"/>
      <c r="V164" s="147"/>
      <c r="W164" s="147"/>
      <c r="X164" s="147"/>
      <c r="Y164" s="147"/>
      <c r="Z164" s="147"/>
      <c r="AA164" s="147"/>
      <c r="AB164" s="147"/>
      <c r="AC164" s="147"/>
      <c r="AD164" s="147"/>
      <c r="AE164" s="147"/>
      <c r="AF164" s="147"/>
      <c r="AG164" s="147"/>
    </row>
    <row r="165">
      <c r="A165" s="147"/>
      <c r="B165" s="147"/>
      <c r="C165" s="147"/>
      <c r="D165" s="147"/>
      <c r="E165" s="147"/>
      <c r="F165" s="205"/>
      <c r="G165" s="147"/>
      <c r="H165" s="147"/>
      <c r="I165" s="147"/>
      <c r="J165" s="147"/>
      <c r="K165" s="147"/>
      <c r="L165" s="147"/>
      <c r="M165" s="147"/>
      <c r="N165" s="147"/>
      <c r="O165" s="147"/>
      <c r="P165" s="147"/>
      <c r="Q165" s="147"/>
      <c r="R165" s="147"/>
      <c r="S165" s="147"/>
      <c r="T165" s="147"/>
      <c r="U165" s="147"/>
      <c r="V165" s="147"/>
      <c r="W165" s="147"/>
      <c r="X165" s="147"/>
      <c r="Y165" s="147"/>
      <c r="Z165" s="147"/>
      <c r="AA165" s="147"/>
      <c r="AB165" s="147"/>
      <c r="AC165" s="147"/>
      <c r="AD165" s="147"/>
      <c r="AE165" s="147"/>
      <c r="AF165" s="147"/>
      <c r="AG165" s="147"/>
    </row>
    <row r="166">
      <c r="A166" s="147"/>
      <c r="B166" s="147"/>
      <c r="C166" s="147"/>
      <c r="D166" s="147"/>
      <c r="E166" s="147"/>
      <c r="F166" s="205"/>
      <c r="G166" s="147"/>
      <c r="H166" s="147"/>
      <c r="I166" s="147"/>
      <c r="J166" s="147"/>
      <c r="K166" s="147"/>
      <c r="L166" s="147"/>
      <c r="M166" s="147"/>
      <c r="N166" s="147"/>
      <c r="O166" s="147"/>
      <c r="P166" s="147"/>
      <c r="Q166" s="147"/>
      <c r="R166" s="147"/>
      <c r="S166" s="147"/>
      <c r="T166" s="147"/>
      <c r="U166" s="147"/>
      <c r="V166" s="147"/>
      <c r="W166" s="147"/>
      <c r="X166" s="147"/>
      <c r="Y166" s="147"/>
      <c r="Z166" s="147"/>
      <c r="AA166" s="147"/>
      <c r="AB166" s="147"/>
      <c r="AC166" s="147"/>
      <c r="AD166" s="147"/>
      <c r="AE166" s="147"/>
      <c r="AF166" s="147"/>
      <c r="AG166" s="147"/>
    </row>
    <row r="167">
      <c r="A167" s="147"/>
      <c r="B167" s="147"/>
      <c r="C167" s="147"/>
      <c r="D167" s="147"/>
      <c r="E167" s="147"/>
      <c r="F167" s="205"/>
      <c r="G167" s="147"/>
      <c r="H167" s="147"/>
      <c r="I167" s="147"/>
      <c r="J167" s="147"/>
      <c r="K167" s="147"/>
      <c r="L167" s="147"/>
      <c r="M167" s="147"/>
      <c r="N167" s="147"/>
      <c r="O167" s="147"/>
      <c r="P167" s="147"/>
      <c r="Q167" s="147"/>
      <c r="R167" s="147"/>
      <c r="S167" s="147"/>
      <c r="T167" s="147"/>
      <c r="U167" s="147"/>
      <c r="V167" s="147"/>
      <c r="W167" s="147"/>
      <c r="X167" s="147"/>
      <c r="Y167" s="147"/>
      <c r="Z167" s="147"/>
      <c r="AA167" s="147"/>
      <c r="AB167" s="147"/>
      <c r="AC167" s="147"/>
      <c r="AD167" s="147"/>
      <c r="AE167" s="147"/>
      <c r="AF167" s="147"/>
      <c r="AG167" s="147"/>
    </row>
    <row r="168">
      <c r="A168" s="147"/>
      <c r="B168" s="147"/>
      <c r="C168" s="147"/>
      <c r="D168" s="147"/>
      <c r="E168" s="147"/>
      <c r="F168" s="205"/>
      <c r="G168" s="147"/>
      <c r="H168" s="147"/>
      <c r="I168" s="147"/>
      <c r="J168" s="147"/>
      <c r="K168" s="147"/>
      <c r="L168" s="147"/>
      <c r="M168" s="147"/>
      <c r="N168" s="147"/>
      <c r="O168" s="147"/>
      <c r="P168" s="147"/>
      <c r="Q168" s="147"/>
      <c r="R168" s="147"/>
      <c r="S168" s="147"/>
      <c r="T168" s="147"/>
      <c r="U168" s="147"/>
      <c r="V168" s="147"/>
      <c r="W168" s="147"/>
      <c r="X168" s="147"/>
      <c r="Y168" s="147"/>
      <c r="Z168" s="147"/>
      <c r="AA168" s="147"/>
      <c r="AB168" s="147"/>
      <c r="AC168" s="147"/>
      <c r="AD168" s="147"/>
      <c r="AE168" s="147"/>
      <c r="AF168" s="147"/>
      <c r="AG168" s="147"/>
    </row>
    <row r="169">
      <c r="A169" s="147"/>
      <c r="B169" s="147"/>
      <c r="C169" s="147"/>
      <c r="D169" s="147"/>
      <c r="E169" s="147"/>
      <c r="F169" s="205"/>
      <c r="G169" s="147"/>
      <c r="H169" s="147"/>
      <c r="I169" s="147"/>
      <c r="J169" s="147"/>
      <c r="K169" s="147"/>
      <c r="L169" s="147"/>
      <c r="M169" s="147"/>
      <c r="N169" s="147"/>
      <c r="O169" s="147"/>
      <c r="P169" s="147"/>
      <c r="Q169" s="147"/>
      <c r="R169" s="147"/>
      <c r="S169" s="147"/>
      <c r="T169" s="147"/>
      <c r="U169" s="147"/>
      <c r="V169" s="147"/>
      <c r="W169" s="147"/>
      <c r="X169" s="147"/>
      <c r="Y169" s="147"/>
      <c r="Z169" s="147"/>
      <c r="AA169" s="147"/>
      <c r="AB169" s="147"/>
      <c r="AC169" s="147"/>
      <c r="AD169" s="147"/>
      <c r="AE169" s="147"/>
      <c r="AF169" s="147"/>
      <c r="AG169" s="147"/>
    </row>
    <row r="170">
      <c r="A170" s="147"/>
      <c r="B170" s="147"/>
      <c r="C170" s="147"/>
      <c r="D170" s="147"/>
      <c r="E170" s="147"/>
      <c r="F170" s="205"/>
      <c r="G170" s="147"/>
      <c r="H170" s="147"/>
      <c r="I170" s="147"/>
      <c r="J170" s="147"/>
      <c r="K170" s="147"/>
      <c r="L170" s="147"/>
      <c r="M170" s="147"/>
      <c r="N170" s="147"/>
      <c r="O170" s="147"/>
      <c r="P170" s="147"/>
      <c r="Q170" s="147"/>
      <c r="R170" s="147"/>
      <c r="S170" s="147"/>
      <c r="T170" s="147"/>
      <c r="U170" s="147"/>
      <c r="V170" s="147"/>
      <c r="W170" s="147"/>
      <c r="X170" s="147"/>
      <c r="Y170" s="147"/>
      <c r="Z170" s="147"/>
      <c r="AA170" s="147"/>
      <c r="AB170" s="147"/>
      <c r="AC170" s="147"/>
      <c r="AD170" s="147"/>
      <c r="AE170" s="147"/>
      <c r="AF170" s="147"/>
      <c r="AG170" s="147"/>
    </row>
    <row r="171">
      <c r="A171" s="147"/>
      <c r="B171" s="147"/>
      <c r="C171" s="147"/>
      <c r="D171" s="147"/>
      <c r="E171" s="147"/>
      <c r="F171" s="205"/>
      <c r="G171" s="147"/>
      <c r="H171" s="147"/>
      <c r="I171" s="147"/>
      <c r="J171" s="147"/>
      <c r="K171" s="147"/>
      <c r="L171" s="147"/>
      <c r="M171" s="147"/>
      <c r="N171" s="147"/>
      <c r="O171" s="147"/>
      <c r="P171" s="147"/>
      <c r="Q171" s="147"/>
      <c r="R171" s="147"/>
      <c r="S171" s="147"/>
      <c r="T171" s="147"/>
      <c r="U171" s="147"/>
      <c r="V171" s="147"/>
      <c r="W171" s="147"/>
      <c r="X171" s="147"/>
      <c r="Y171" s="147"/>
      <c r="Z171" s="147"/>
      <c r="AA171" s="147"/>
      <c r="AB171" s="147"/>
      <c r="AC171" s="147"/>
      <c r="AD171" s="147"/>
      <c r="AE171" s="147"/>
      <c r="AF171" s="147"/>
      <c r="AG171" s="147"/>
    </row>
    <row r="172">
      <c r="A172" s="147"/>
      <c r="B172" s="147"/>
      <c r="C172" s="147"/>
      <c r="D172" s="147"/>
      <c r="E172" s="147"/>
      <c r="F172" s="205"/>
      <c r="G172" s="147"/>
      <c r="H172" s="147"/>
      <c r="I172" s="147"/>
      <c r="J172" s="147"/>
      <c r="K172" s="147"/>
      <c r="L172" s="147"/>
      <c r="M172" s="147"/>
      <c r="N172" s="147"/>
      <c r="O172" s="147"/>
      <c r="P172" s="147"/>
      <c r="Q172" s="147"/>
      <c r="R172" s="147"/>
      <c r="S172" s="147"/>
      <c r="T172" s="147"/>
      <c r="U172" s="147"/>
      <c r="V172" s="147"/>
      <c r="W172" s="147"/>
      <c r="X172" s="147"/>
      <c r="Y172" s="147"/>
      <c r="Z172" s="147"/>
      <c r="AA172" s="147"/>
      <c r="AB172" s="147"/>
      <c r="AC172" s="147"/>
      <c r="AD172" s="147"/>
      <c r="AE172" s="147"/>
      <c r="AF172" s="147"/>
      <c r="AG172" s="147"/>
    </row>
    <row r="173">
      <c r="A173" s="147"/>
      <c r="B173" s="147"/>
      <c r="C173" s="147"/>
      <c r="D173" s="147"/>
      <c r="E173" s="147"/>
      <c r="F173" s="205"/>
      <c r="G173" s="147"/>
      <c r="H173" s="147"/>
      <c r="I173" s="147"/>
      <c r="J173" s="147"/>
      <c r="K173" s="147"/>
      <c r="L173" s="147"/>
      <c r="M173" s="147"/>
      <c r="N173" s="147"/>
      <c r="O173" s="147"/>
      <c r="P173" s="147"/>
      <c r="Q173" s="147"/>
      <c r="R173" s="147"/>
      <c r="S173" s="147"/>
      <c r="T173" s="147"/>
      <c r="U173" s="147"/>
      <c r="V173" s="147"/>
      <c r="W173" s="147"/>
      <c r="X173" s="147"/>
      <c r="Y173" s="147"/>
      <c r="Z173" s="147"/>
      <c r="AA173" s="147"/>
      <c r="AB173" s="147"/>
      <c r="AC173" s="147"/>
      <c r="AD173" s="147"/>
      <c r="AE173" s="147"/>
      <c r="AF173" s="147"/>
      <c r="AG173" s="147"/>
    </row>
    <row r="174">
      <c r="A174" s="147"/>
      <c r="B174" s="147"/>
      <c r="C174" s="147"/>
      <c r="D174" s="147"/>
      <c r="E174" s="147"/>
      <c r="F174" s="205"/>
      <c r="G174" s="147"/>
      <c r="H174" s="147"/>
      <c r="I174" s="147"/>
      <c r="J174" s="147"/>
      <c r="K174" s="147"/>
      <c r="L174" s="147"/>
      <c r="M174" s="147"/>
      <c r="N174" s="147"/>
      <c r="O174" s="147"/>
      <c r="P174" s="147"/>
      <c r="Q174" s="147"/>
      <c r="R174" s="147"/>
      <c r="S174" s="147"/>
      <c r="T174" s="147"/>
      <c r="U174" s="147"/>
      <c r="V174" s="147"/>
      <c r="W174" s="147"/>
      <c r="X174" s="147"/>
      <c r="Y174" s="147"/>
      <c r="Z174" s="147"/>
      <c r="AA174" s="147"/>
      <c r="AB174" s="147"/>
      <c r="AC174" s="147"/>
      <c r="AD174" s="147"/>
      <c r="AE174" s="147"/>
      <c r="AF174" s="147"/>
      <c r="AG174" s="147"/>
    </row>
    <row r="175">
      <c r="A175" s="147"/>
      <c r="B175" s="147"/>
      <c r="C175" s="147"/>
      <c r="D175" s="147"/>
      <c r="E175" s="147"/>
      <c r="F175" s="205"/>
      <c r="G175" s="147"/>
      <c r="H175" s="147"/>
      <c r="I175" s="147"/>
      <c r="J175" s="147"/>
      <c r="K175" s="147"/>
      <c r="L175" s="147"/>
      <c r="M175" s="147"/>
      <c r="N175" s="147"/>
      <c r="O175" s="147"/>
      <c r="P175" s="147"/>
      <c r="Q175" s="147"/>
      <c r="R175" s="147"/>
      <c r="S175" s="147"/>
      <c r="T175" s="147"/>
      <c r="U175" s="147"/>
      <c r="V175" s="147"/>
      <c r="W175" s="147"/>
      <c r="X175" s="147"/>
      <c r="Y175" s="147"/>
      <c r="Z175" s="147"/>
      <c r="AA175" s="147"/>
      <c r="AB175" s="147"/>
      <c r="AC175" s="147"/>
      <c r="AD175" s="147"/>
      <c r="AE175" s="147"/>
      <c r="AF175" s="147"/>
      <c r="AG175" s="147"/>
    </row>
    <row r="176">
      <c r="A176" s="147"/>
      <c r="B176" s="147"/>
      <c r="C176" s="147"/>
      <c r="D176" s="147"/>
      <c r="E176" s="147"/>
      <c r="F176" s="205"/>
      <c r="G176" s="147"/>
      <c r="H176" s="147"/>
      <c r="I176" s="147"/>
      <c r="J176" s="147"/>
      <c r="K176" s="147"/>
      <c r="L176" s="147"/>
      <c r="M176" s="147"/>
      <c r="N176" s="147"/>
      <c r="O176" s="147"/>
      <c r="P176" s="147"/>
      <c r="Q176" s="147"/>
      <c r="R176" s="147"/>
      <c r="S176" s="147"/>
      <c r="T176" s="147"/>
      <c r="U176" s="147"/>
      <c r="V176" s="147"/>
      <c r="W176" s="147"/>
      <c r="X176" s="147"/>
      <c r="Y176" s="147"/>
      <c r="Z176" s="147"/>
      <c r="AA176" s="147"/>
      <c r="AB176" s="147"/>
      <c r="AC176" s="147"/>
      <c r="AD176" s="147"/>
      <c r="AE176" s="147"/>
      <c r="AF176" s="147"/>
      <c r="AG176" s="147"/>
    </row>
    <row r="177">
      <c r="A177" s="147"/>
      <c r="B177" s="147"/>
      <c r="C177" s="147"/>
      <c r="D177" s="147"/>
      <c r="E177" s="147"/>
      <c r="F177" s="205"/>
      <c r="G177" s="147"/>
      <c r="H177" s="147"/>
      <c r="I177" s="147"/>
      <c r="J177" s="147"/>
      <c r="K177" s="147"/>
      <c r="L177" s="147"/>
      <c r="M177" s="147"/>
      <c r="N177" s="147"/>
      <c r="O177" s="147"/>
      <c r="P177" s="147"/>
      <c r="Q177" s="147"/>
      <c r="R177" s="147"/>
      <c r="S177" s="147"/>
      <c r="T177" s="147"/>
      <c r="U177" s="147"/>
      <c r="V177" s="147"/>
      <c r="W177" s="147"/>
      <c r="X177" s="147"/>
      <c r="Y177" s="147"/>
      <c r="Z177" s="147"/>
      <c r="AA177" s="147"/>
      <c r="AB177" s="147"/>
      <c r="AC177" s="147"/>
      <c r="AD177" s="147"/>
      <c r="AE177" s="147"/>
      <c r="AF177" s="147"/>
      <c r="AG177" s="147"/>
    </row>
    <row r="178">
      <c r="A178" s="147"/>
      <c r="B178" s="147"/>
      <c r="C178" s="147"/>
      <c r="D178" s="147"/>
      <c r="E178" s="147"/>
      <c r="F178" s="205"/>
      <c r="G178" s="147"/>
      <c r="H178" s="147"/>
      <c r="I178" s="147"/>
      <c r="J178" s="147"/>
      <c r="K178" s="147"/>
      <c r="L178" s="147"/>
      <c r="M178" s="147"/>
      <c r="N178" s="147"/>
      <c r="O178" s="147"/>
      <c r="P178" s="147"/>
      <c r="Q178" s="147"/>
      <c r="R178" s="147"/>
      <c r="S178" s="147"/>
      <c r="T178" s="147"/>
      <c r="U178" s="147"/>
      <c r="V178" s="147"/>
      <c r="W178" s="147"/>
      <c r="X178" s="147"/>
      <c r="Y178" s="147"/>
      <c r="Z178" s="147"/>
      <c r="AA178" s="147"/>
      <c r="AB178" s="147"/>
      <c r="AC178" s="147"/>
      <c r="AD178" s="147"/>
      <c r="AE178" s="147"/>
      <c r="AF178" s="147"/>
      <c r="AG178" s="147"/>
    </row>
    <row r="179">
      <c r="A179" s="147"/>
      <c r="B179" s="147"/>
      <c r="C179" s="147"/>
      <c r="D179" s="147"/>
      <c r="E179" s="147"/>
      <c r="F179" s="205"/>
      <c r="G179" s="147"/>
      <c r="H179" s="147"/>
      <c r="I179" s="147"/>
      <c r="J179" s="147"/>
      <c r="K179" s="147"/>
      <c r="L179" s="147"/>
      <c r="M179" s="147"/>
      <c r="N179" s="147"/>
      <c r="O179" s="147"/>
      <c r="P179" s="147"/>
      <c r="Q179" s="147"/>
      <c r="R179" s="147"/>
      <c r="S179" s="147"/>
      <c r="T179" s="147"/>
      <c r="U179" s="147"/>
      <c r="V179" s="147"/>
      <c r="W179" s="147"/>
      <c r="X179" s="147"/>
      <c r="Y179" s="147"/>
      <c r="Z179" s="147"/>
      <c r="AA179" s="147"/>
      <c r="AB179" s="147"/>
      <c r="AC179" s="147"/>
      <c r="AD179" s="147"/>
      <c r="AE179" s="147"/>
      <c r="AF179" s="147"/>
      <c r="AG179" s="147"/>
    </row>
    <row r="180">
      <c r="A180" s="147"/>
      <c r="B180" s="147"/>
      <c r="C180" s="147"/>
      <c r="D180" s="147"/>
      <c r="E180" s="147"/>
      <c r="F180" s="205"/>
      <c r="G180" s="147"/>
      <c r="H180" s="147"/>
      <c r="I180" s="147"/>
      <c r="J180" s="147"/>
      <c r="K180" s="147"/>
      <c r="L180" s="147"/>
      <c r="M180" s="147"/>
      <c r="N180" s="147"/>
      <c r="O180" s="147"/>
      <c r="P180" s="147"/>
      <c r="Q180" s="147"/>
      <c r="R180" s="147"/>
      <c r="S180" s="147"/>
      <c r="T180" s="147"/>
      <c r="U180" s="147"/>
      <c r="V180" s="147"/>
      <c r="W180" s="147"/>
      <c r="X180" s="147"/>
      <c r="Y180" s="147"/>
      <c r="Z180" s="147"/>
      <c r="AA180" s="147"/>
      <c r="AB180" s="147"/>
      <c r="AC180" s="147"/>
      <c r="AD180" s="147"/>
      <c r="AE180" s="147"/>
      <c r="AF180" s="147"/>
      <c r="AG180" s="147"/>
    </row>
    <row r="181">
      <c r="A181" s="147"/>
      <c r="B181" s="147"/>
      <c r="C181" s="147"/>
      <c r="D181" s="147"/>
      <c r="E181" s="147"/>
      <c r="F181" s="205"/>
      <c r="G181" s="147"/>
      <c r="H181" s="147"/>
      <c r="I181" s="147"/>
      <c r="J181" s="147"/>
      <c r="K181" s="147"/>
      <c r="L181" s="147"/>
      <c r="M181" s="147"/>
      <c r="N181" s="147"/>
      <c r="O181" s="147"/>
      <c r="P181" s="147"/>
      <c r="Q181" s="147"/>
      <c r="R181" s="147"/>
      <c r="S181" s="147"/>
      <c r="T181" s="147"/>
      <c r="U181" s="147"/>
      <c r="V181" s="147"/>
      <c r="W181" s="147"/>
      <c r="X181" s="147"/>
      <c r="Y181" s="147"/>
      <c r="Z181" s="147"/>
      <c r="AA181" s="147"/>
      <c r="AB181" s="147"/>
      <c r="AC181" s="147"/>
      <c r="AD181" s="147"/>
      <c r="AE181" s="147"/>
      <c r="AF181" s="147"/>
      <c r="AG181" s="147"/>
    </row>
    <row r="182">
      <c r="A182" s="147"/>
      <c r="B182" s="147"/>
      <c r="C182" s="147"/>
      <c r="D182" s="147"/>
      <c r="E182" s="147"/>
      <c r="F182" s="205"/>
      <c r="G182" s="147"/>
      <c r="H182" s="147"/>
      <c r="I182" s="147"/>
      <c r="J182" s="147"/>
      <c r="K182" s="147"/>
      <c r="L182" s="147"/>
      <c r="M182" s="147"/>
      <c r="N182" s="147"/>
      <c r="O182" s="147"/>
      <c r="P182" s="147"/>
      <c r="Q182" s="147"/>
      <c r="R182" s="147"/>
      <c r="S182" s="147"/>
      <c r="T182" s="147"/>
      <c r="U182" s="147"/>
      <c r="V182" s="147"/>
      <c r="W182" s="147"/>
      <c r="X182" s="147"/>
      <c r="Y182" s="147"/>
      <c r="Z182" s="147"/>
      <c r="AA182" s="147"/>
      <c r="AB182" s="147"/>
      <c r="AC182" s="147"/>
      <c r="AD182" s="147"/>
      <c r="AE182" s="147"/>
      <c r="AF182" s="147"/>
      <c r="AG182" s="147"/>
    </row>
    <row r="183">
      <c r="A183" s="147"/>
      <c r="B183" s="147"/>
      <c r="C183" s="147"/>
      <c r="D183" s="147"/>
      <c r="E183" s="147"/>
      <c r="F183" s="205"/>
      <c r="G183" s="147"/>
      <c r="H183" s="147"/>
      <c r="I183" s="147"/>
      <c r="J183" s="147"/>
      <c r="K183" s="147"/>
      <c r="L183" s="147"/>
      <c r="M183" s="147"/>
      <c r="N183" s="147"/>
      <c r="O183" s="147"/>
      <c r="P183" s="147"/>
      <c r="Q183" s="147"/>
      <c r="R183" s="147"/>
      <c r="S183" s="147"/>
      <c r="T183" s="147"/>
      <c r="U183" s="147"/>
      <c r="V183" s="147"/>
      <c r="W183" s="147"/>
      <c r="X183" s="147"/>
      <c r="Y183" s="147"/>
      <c r="Z183" s="147"/>
      <c r="AA183" s="147"/>
      <c r="AB183" s="147"/>
      <c r="AC183" s="147"/>
      <c r="AD183" s="147"/>
      <c r="AE183" s="147"/>
      <c r="AF183" s="147"/>
      <c r="AG183" s="147"/>
    </row>
    <row r="184">
      <c r="A184" s="147"/>
      <c r="B184" s="147"/>
      <c r="C184" s="147"/>
      <c r="D184" s="147"/>
      <c r="E184" s="147"/>
      <c r="F184" s="205"/>
      <c r="G184" s="147"/>
      <c r="H184" s="147"/>
      <c r="I184" s="147"/>
      <c r="J184" s="147"/>
      <c r="K184" s="147"/>
      <c r="L184" s="147"/>
      <c r="M184" s="147"/>
      <c r="N184" s="147"/>
      <c r="O184" s="147"/>
      <c r="P184" s="147"/>
      <c r="Q184" s="147"/>
      <c r="R184" s="147"/>
      <c r="S184" s="147"/>
      <c r="T184" s="147"/>
      <c r="U184" s="147"/>
      <c r="V184" s="147"/>
      <c r="W184" s="147"/>
      <c r="X184" s="147"/>
      <c r="Y184" s="147"/>
      <c r="Z184" s="147"/>
      <c r="AA184" s="147"/>
      <c r="AB184" s="147"/>
      <c r="AC184" s="147"/>
      <c r="AD184" s="147"/>
      <c r="AE184" s="147"/>
      <c r="AF184" s="147"/>
      <c r="AG184" s="147"/>
    </row>
    <row r="185">
      <c r="A185" s="147"/>
      <c r="B185" s="147"/>
      <c r="C185" s="147"/>
      <c r="D185" s="147"/>
      <c r="E185" s="147"/>
      <c r="F185" s="205"/>
      <c r="G185" s="147"/>
      <c r="H185" s="147"/>
      <c r="I185" s="147"/>
      <c r="J185" s="147"/>
      <c r="K185" s="147"/>
      <c r="L185" s="147"/>
      <c r="M185" s="147"/>
      <c r="N185" s="147"/>
      <c r="O185" s="147"/>
      <c r="P185" s="147"/>
      <c r="Q185" s="147"/>
      <c r="R185" s="147"/>
      <c r="S185" s="147"/>
      <c r="T185" s="147"/>
      <c r="U185" s="147"/>
      <c r="V185" s="147"/>
      <c r="W185" s="147"/>
      <c r="X185" s="147"/>
      <c r="Y185" s="147"/>
      <c r="Z185" s="147"/>
      <c r="AA185" s="147"/>
      <c r="AB185" s="147"/>
      <c r="AC185" s="147"/>
      <c r="AD185" s="147"/>
      <c r="AE185" s="147"/>
      <c r="AF185" s="147"/>
      <c r="AG185" s="147"/>
    </row>
    <row r="186">
      <c r="A186" s="147"/>
      <c r="B186" s="147"/>
      <c r="C186" s="147"/>
      <c r="D186" s="147"/>
      <c r="E186" s="147"/>
      <c r="F186" s="205"/>
      <c r="G186" s="147"/>
      <c r="H186" s="147"/>
      <c r="I186" s="147"/>
      <c r="J186" s="147"/>
      <c r="K186" s="147"/>
      <c r="L186" s="147"/>
      <c r="M186" s="147"/>
      <c r="N186" s="147"/>
      <c r="O186" s="147"/>
      <c r="P186" s="147"/>
      <c r="Q186" s="147"/>
      <c r="R186" s="147"/>
      <c r="S186" s="147"/>
      <c r="T186" s="147"/>
      <c r="U186" s="147"/>
      <c r="V186" s="147"/>
      <c r="W186" s="147"/>
      <c r="X186" s="147"/>
      <c r="Y186" s="147"/>
      <c r="Z186" s="147"/>
      <c r="AA186" s="147"/>
      <c r="AB186" s="147"/>
      <c r="AC186" s="147"/>
      <c r="AD186" s="147"/>
      <c r="AE186" s="147"/>
      <c r="AF186" s="147"/>
      <c r="AG186" s="147"/>
    </row>
    <row r="187">
      <c r="A187" s="147"/>
      <c r="B187" s="147"/>
      <c r="C187" s="147"/>
      <c r="D187" s="147"/>
      <c r="E187" s="147"/>
      <c r="F187" s="205"/>
      <c r="G187" s="147"/>
      <c r="H187" s="147"/>
      <c r="I187" s="147"/>
      <c r="J187" s="147"/>
      <c r="K187" s="147"/>
      <c r="L187" s="147"/>
      <c r="M187" s="147"/>
      <c r="N187" s="147"/>
      <c r="O187" s="147"/>
      <c r="P187" s="147"/>
      <c r="Q187" s="147"/>
      <c r="R187" s="147"/>
      <c r="S187" s="147"/>
      <c r="T187" s="147"/>
      <c r="U187" s="147"/>
      <c r="V187" s="147"/>
      <c r="W187" s="147"/>
      <c r="X187" s="147"/>
      <c r="Y187" s="147"/>
      <c r="Z187" s="147"/>
      <c r="AA187" s="147"/>
      <c r="AB187" s="147"/>
      <c r="AC187" s="147"/>
      <c r="AD187" s="147"/>
      <c r="AE187" s="147"/>
      <c r="AF187" s="147"/>
      <c r="AG187" s="147"/>
    </row>
    <row r="188">
      <c r="A188" s="147"/>
      <c r="B188" s="147"/>
      <c r="C188" s="147"/>
      <c r="D188" s="147"/>
      <c r="E188" s="147"/>
      <c r="F188" s="205"/>
      <c r="G188" s="147"/>
      <c r="H188" s="147"/>
      <c r="I188" s="147"/>
      <c r="J188" s="147"/>
      <c r="K188" s="147"/>
      <c r="L188" s="147"/>
      <c r="M188" s="147"/>
      <c r="N188" s="147"/>
      <c r="O188" s="147"/>
      <c r="P188" s="147"/>
      <c r="Q188" s="147"/>
      <c r="R188" s="147"/>
      <c r="S188" s="147"/>
      <c r="T188" s="147"/>
      <c r="U188" s="147"/>
      <c r="V188" s="147"/>
      <c r="W188" s="147"/>
      <c r="X188" s="147"/>
      <c r="Y188" s="147"/>
      <c r="Z188" s="147"/>
      <c r="AA188" s="147"/>
      <c r="AB188" s="147"/>
      <c r="AC188" s="147"/>
      <c r="AD188" s="147"/>
      <c r="AE188" s="147"/>
      <c r="AF188" s="147"/>
      <c r="AG188" s="147"/>
    </row>
    <row r="189">
      <c r="A189" s="147"/>
      <c r="B189" s="147"/>
      <c r="C189" s="147"/>
      <c r="D189" s="147"/>
      <c r="E189" s="147"/>
      <c r="F189" s="205"/>
      <c r="G189" s="147"/>
      <c r="H189" s="147"/>
      <c r="I189" s="147"/>
      <c r="J189" s="147"/>
      <c r="K189" s="147"/>
      <c r="L189" s="147"/>
      <c r="M189" s="147"/>
      <c r="N189" s="147"/>
      <c r="O189" s="147"/>
      <c r="P189" s="147"/>
      <c r="Q189" s="147"/>
      <c r="R189" s="147"/>
      <c r="S189" s="147"/>
      <c r="T189" s="147"/>
      <c r="U189" s="147"/>
      <c r="V189" s="147"/>
      <c r="W189" s="147"/>
      <c r="X189" s="147"/>
      <c r="Y189" s="147"/>
      <c r="Z189" s="147"/>
      <c r="AA189" s="147"/>
      <c r="AB189" s="147"/>
      <c r="AC189" s="147"/>
      <c r="AD189" s="147"/>
      <c r="AE189" s="147"/>
      <c r="AF189" s="147"/>
      <c r="AG189" s="147"/>
    </row>
    <row r="190">
      <c r="A190" s="147"/>
      <c r="B190" s="147"/>
      <c r="C190" s="147"/>
      <c r="D190" s="147"/>
      <c r="E190" s="147"/>
      <c r="F190" s="205"/>
      <c r="G190" s="147"/>
      <c r="H190" s="147"/>
      <c r="I190" s="147"/>
      <c r="J190" s="147"/>
      <c r="K190" s="147"/>
      <c r="L190" s="147"/>
      <c r="M190" s="147"/>
      <c r="N190" s="147"/>
      <c r="O190" s="147"/>
      <c r="P190" s="147"/>
      <c r="Q190" s="147"/>
      <c r="R190" s="147"/>
      <c r="S190" s="147"/>
      <c r="T190" s="147"/>
      <c r="U190" s="147"/>
      <c r="V190" s="147"/>
      <c r="W190" s="147"/>
      <c r="X190" s="147"/>
      <c r="Y190" s="147"/>
      <c r="Z190" s="147"/>
      <c r="AA190" s="147"/>
      <c r="AB190" s="147"/>
      <c r="AC190" s="147"/>
      <c r="AD190" s="147"/>
      <c r="AE190" s="147"/>
      <c r="AF190" s="147"/>
      <c r="AG190" s="147"/>
    </row>
    <row r="191">
      <c r="A191" s="147"/>
      <c r="B191" s="147"/>
      <c r="C191" s="147"/>
      <c r="D191" s="147"/>
      <c r="E191" s="147"/>
      <c r="F191" s="205"/>
      <c r="G191" s="147"/>
      <c r="H191" s="147"/>
      <c r="I191" s="147"/>
      <c r="J191" s="147"/>
      <c r="K191" s="147"/>
      <c r="L191" s="147"/>
      <c r="M191" s="147"/>
      <c r="N191" s="147"/>
      <c r="O191" s="147"/>
      <c r="P191" s="147"/>
      <c r="Q191" s="147"/>
      <c r="R191" s="147"/>
      <c r="S191" s="147"/>
      <c r="T191" s="147"/>
      <c r="U191" s="147"/>
      <c r="V191" s="147"/>
      <c r="W191" s="147"/>
      <c r="X191" s="147"/>
      <c r="Y191" s="147"/>
      <c r="Z191" s="147"/>
      <c r="AA191" s="147"/>
      <c r="AB191" s="147"/>
      <c r="AC191" s="147"/>
      <c r="AD191" s="147"/>
      <c r="AE191" s="147"/>
      <c r="AF191" s="147"/>
      <c r="AG191" s="147"/>
    </row>
    <row r="192">
      <c r="A192" s="147"/>
      <c r="B192" s="147"/>
      <c r="C192" s="147"/>
      <c r="D192" s="147"/>
      <c r="E192" s="147"/>
      <c r="F192" s="205"/>
      <c r="G192" s="147"/>
      <c r="H192" s="147"/>
      <c r="I192" s="147"/>
      <c r="J192" s="147"/>
      <c r="K192" s="147"/>
      <c r="L192" s="147"/>
      <c r="M192" s="147"/>
      <c r="N192" s="147"/>
      <c r="O192" s="147"/>
      <c r="P192" s="147"/>
      <c r="Q192" s="147"/>
      <c r="R192" s="147"/>
      <c r="S192" s="147"/>
      <c r="T192" s="147"/>
      <c r="U192" s="147"/>
      <c r="V192" s="147"/>
      <c r="W192" s="147"/>
      <c r="X192" s="147"/>
      <c r="Y192" s="147"/>
      <c r="Z192" s="147"/>
      <c r="AA192" s="147"/>
      <c r="AB192" s="147"/>
      <c r="AC192" s="147"/>
      <c r="AD192" s="147"/>
      <c r="AE192" s="147"/>
      <c r="AF192" s="147"/>
      <c r="AG192" s="147"/>
    </row>
    <row r="193">
      <c r="A193" s="147"/>
      <c r="B193" s="147"/>
      <c r="C193" s="147"/>
      <c r="D193" s="147"/>
      <c r="E193" s="147"/>
      <c r="F193" s="205"/>
      <c r="G193" s="147"/>
      <c r="H193" s="147"/>
      <c r="I193" s="147"/>
      <c r="J193" s="147"/>
      <c r="K193" s="147"/>
      <c r="L193" s="147"/>
      <c r="M193" s="147"/>
      <c r="N193" s="147"/>
      <c r="O193" s="147"/>
      <c r="P193" s="147"/>
      <c r="Q193" s="147"/>
      <c r="R193" s="147"/>
      <c r="S193" s="147"/>
      <c r="T193" s="147"/>
      <c r="U193" s="147"/>
      <c r="V193" s="147"/>
      <c r="W193" s="147"/>
      <c r="X193" s="147"/>
      <c r="Y193" s="147"/>
      <c r="Z193" s="147"/>
      <c r="AA193" s="147"/>
      <c r="AB193" s="147"/>
      <c r="AC193" s="147"/>
      <c r="AD193" s="147"/>
      <c r="AE193" s="147"/>
      <c r="AF193" s="147"/>
      <c r="AG193" s="147"/>
    </row>
    <row r="194">
      <c r="A194" s="147"/>
      <c r="B194" s="147"/>
      <c r="C194" s="147"/>
      <c r="D194" s="147"/>
      <c r="E194" s="147"/>
      <c r="F194" s="205"/>
      <c r="G194" s="147"/>
      <c r="H194" s="147"/>
      <c r="I194" s="147"/>
      <c r="J194" s="147"/>
      <c r="K194" s="147"/>
      <c r="L194" s="147"/>
      <c r="M194" s="147"/>
      <c r="N194" s="147"/>
      <c r="O194" s="147"/>
      <c r="P194" s="147"/>
      <c r="Q194" s="147"/>
      <c r="R194" s="147"/>
      <c r="S194" s="147"/>
      <c r="T194" s="147"/>
      <c r="U194" s="147"/>
      <c r="V194" s="147"/>
      <c r="W194" s="147"/>
      <c r="X194" s="147"/>
      <c r="Y194" s="147"/>
      <c r="Z194" s="147"/>
      <c r="AA194" s="147"/>
      <c r="AB194" s="147"/>
      <c r="AC194" s="147"/>
      <c r="AD194" s="147"/>
      <c r="AE194" s="147"/>
      <c r="AF194" s="147"/>
      <c r="AG194" s="147"/>
    </row>
    <row r="195">
      <c r="A195" s="147"/>
      <c r="B195" s="147"/>
      <c r="C195" s="147"/>
      <c r="D195" s="147"/>
      <c r="E195" s="147"/>
      <c r="F195" s="205"/>
      <c r="G195" s="147"/>
      <c r="H195" s="147"/>
      <c r="I195" s="147"/>
      <c r="J195" s="147"/>
      <c r="K195" s="147"/>
      <c r="L195" s="147"/>
      <c r="M195" s="147"/>
      <c r="N195" s="147"/>
      <c r="O195" s="147"/>
      <c r="P195" s="147"/>
      <c r="Q195" s="147"/>
      <c r="R195" s="147"/>
      <c r="S195" s="147"/>
      <c r="T195" s="147"/>
      <c r="U195" s="147"/>
      <c r="V195" s="147"/>
      <c r="W195" s="147"/>
      <c r="X195" s="147"/>
      <c r="Y195" s="147"/>
      <c r="Z195" s="147"/>
      <c r="AA195" s="147"/>
      <c r="AB195" s="147"/>
      <c r="AC195" s="147"/>
      <c r="AD195" s="147"/>
      <c r="AE195" s="147"/>
      <c r="AF195" s="147"/>
      <c r="AG195" s="147"/>
    </row>
    <row r="196">
      <c r="A196" s="147"/>
      <c r="B196" s="147"/>
      <c r="C196" s="147"/>
      <c r="D196" s="147"/>
      <c r="E196" s="147"/>
      <c r="F196" s="205"/>
      <c r="G196" s="147"/>
      <c r="H196" s="147"/>
      <c r="I196" s="147"/>
      <c r="J196" s="147"/>
      <c r="K196" s="147"/>
      <c r="L196" s="147"/>
      <c r="M196" s="147"/>
      <c r="N196" s="147"/>
      <c r="O196" s="147"/>
      <c r="P196" s="147"/>
      <c r="Q196" s="147"/>
      <c r="R196" s="147"/>
      <c r="S196" s="147"/>
      <c r="T196" s="147"/>
      <c r="U196" s="147"/>
      <c r="V196" s="147"/>
      <c r="W196" s="147"/>
      <c r="X196" s="147"/>
      <c r="Y196" s="147"/>
      <c r="Z196" s="147"/>
      <c r="AA196" s="147"/>
      <c r="AB196" s="147"/>
      <c r="AC196" s="147"/>
      <c r="AD196" s="147"/>
      <c r="AE196" s="147"/>
      <c r="AF196" s="147"/>
      <c r="AG196" s="147"/>
    </row>
    <row r="197">
      <c r="A197" s="147"/>
      <c r="B197" s="147"/>
      <c r="C197" s="147"/>
      <c r="D197" s="147"/>
      <c r="E197" s="147"/>
      <c r="F197" s="205"/>
      <c r="G197" s="147"/>
      <c r="H197" s="147"/>
      <c r="I197" s="147"/>
      <c r="J197" s="147"/>
      <c r="K197" s="147"/>
      <c r="L197" s="147"/>
      <c r="M197" s="147"/>
      <c r="N197" s="147"/>
      <c r="O197" s="147"/>
      <c r="P197" s="147"/>
      <c r="Q197" s="147"/>
      <c r="R197" s="147"/>
      <c r="S197" s="147"/>
      <c r="T197" s="147"/>
      <c r="U197" s="147"/>
      <c r="V197" s="147"/>
      <c r="W197" s="147"/>
      <c r="X197" s="147"/>
      <c r="Y197" s="147"/>
      <c r="Z197" s="147"/>
      <c r="AA197" s="147"/>
      <c r="AB197" s="147"/>
      <c r="AC197" s="147"/>
      <c r="AD197" s="147"/>
      <c r="AE197" s="147"/>
      <c r="AF197" s="147"/>
      <c r="AG197" s="147"/>
    </row>
    <row r="198">
      <c r="A198" s="147"/>
      <c r="B198" s="147"/>
      <c r="C198" s="147"/>
      <c r="D198" s="147"/>
      <c r="E198" s="147"/>
      <c r="F198" s="205"/>
      <c r="G198" s="147"/>
      <c r="H198" s="147"/>
      <c r="I198" s="147"/>
      <c r="J198" s="147"/>
      <c r="K198" s="147"/>
      <c r="L198" s="147"/>
      <c r="M198" s="147"/>
      <c r="N198" s="147"/>
      <c r="O198" s="147"/>
      <c r="P198" s="147"/>
      <c r="Q198" s="147"/>
      <c r="R198" s="147"/>
      <c r="S198" s="147"/>
      <c r="T198" s="147"/>
      <c r="U198" s="147"/>
      <c r="V198" s="147"/>
      <c r="W198" s="147"/>
      <c r="X198" s="147"/>
      <c r="Y198" s="147"/>
      <c r="Z198" s="147"/>
      <c r="AA198" s="147"/>
      <c r="AB198" s="147"/>
      <c r="AC198" s="147"/>
      <c r="AD198" s="147"/>
      <c r="AE198" s="147"/>
      <c r="AF198" s="147"/>
      <c r="AG198" s="147"/>
    </row>
    <row r="199">
      <c r="A199" s="147"/>
      <c r="B199" s="147"/>
      <c r="C199" s="147"/>
      <c r="D199" s="147"/>
      <c r="E199" s="147"/>
      <c r="F199" s="205"/>
      <c r="G199" s="147"/>
      <c r="H199" s="147"/>
      <c r="I199" s="147"/>
      <c r="J199" s="147"/>
      <c r="K199" s="147"/>
      <c r="L199" s="147"/>
      <c r="M199" s="147"/>
      <c r="N199" s="147"/>
      <c r="O199" s="147"/>
      <c r="P199" s="147"/>
      <c r="Q199" s="147"/>
      <c r="R199" s="147"/>
      <c r="S199" s="147"/>
      <c r="T199" s="147"/>
      <c r="U199" s="147"/>
      <c r="V199" s="147"/>
      <c r="W199" s="147"/>
      <c r="X199" s="147"/>
      <c r="Y199" s="147"/>
      <c r="Z199" s="147"/>
      <c r="AA199" s="147"/>
      <c r="AB199" s="147"/>
      <c r="AC199" s="147"/>
      <c r="AD199" s="147"/>
      <c r="AE199" s="147"/>
      <c r="AF199" s="147"/>
      <c r="AG199" s="147"/>
    </row>
    <row r="200">
      <c r="A200" s="147"/>
      <c r="B200" s="147"/>
      <c r="C200" s="147"/>
      <c r="D200" s="147"/>
      <c r="E200" s="147"/>
      <c r="F200" s="205"/>
      <c r="G200" s="147"/>
      <c r="H200" s="147"/>
      <c r="I200" s="147"/>
      <c r="J200" s="147"/>
      <c r="K200" s="147"/>
      <c r="L200" s="147"/>
      <c r="M200" s="147"/>
      <c r="N200" s="147"/>
      <c r="O200" s="147"/>
      <c r="P200" s="147"/>
      <c r="Q200" s="147"/>
      <c r="R200" s="147"/>
      <c r="S200" s="147"/>
      <c r="T200" s="147"/>
      <c r="U200" s="147"/>
      <c r="V200" s="147"/>
      <c r="W200" s="147"/>
      <c r="X200" s="147"/>
      <c r="Y200" s="147"/>
      <c r="Z200" s="147"/>
      <c r="AA200" s="147"/>
      <c r="AB200" s="147"/>
      <c r="AC200" s="147"/>
      <c r="AD200" s="147"/>
      <c r="AE200" s="147"/>
      <c r="AF200" s="147"/>
      <c r="AG200" s="147"/>
    </row>
    <row r="201">
      <c r="A201" s="147"/>
      <c r="B201" s="147"/>
      <c r="C201" s="147"/>
      <c r="D201" s="147"/>
      <c r="E201" s="147"/>
      <c r="F201" s="205"/>
      <c r="G201" s="147"/>
      <c r="H201" s="147"/>
      <c r="I201" s="147"/>
      <c r="J201" s="147"/>
      <c r="K201" s="147"/>
      <c r="L201" s="147"/>
      <c r="M201" s="147"/>
      <c r="N201" s="147"/>
      <c r="O201" s="147"/>
      <c r="P201" s="147"/>
      <c r="Q201" s="147"/>
      <c r="R201" s="147"/>
      <c r="S201" s="147"/>
      <c r="T201" s="147"/>
      <c r="U201" s="147"/>
      <c r="V201" s="147"/>
      <c r="W201" s="147"/>
      <c r="X201" s="147"/>
      <c r="Y201" s="147"/>
      <c r="Z201" s="147"/>
      <c r="AA201" s="147"/>
      <c r="AB201" s="147"/>
      <c r="AC201" s="147"/>
      <c r="AD201" s="147"/>
      <c r="AE201" s="147"/>
      <c r="AF201" s="147"/>
      <c r="AG201" s="147"/>
    </row>
    <row r="202">
      <c r="A202" s="147"/>
      <c r="B202" s="147"/>
      <c r="C202" s="147"/>
      <c r="D202" s="147"/>
      <c r="E202" s="147"/>
      <c r="F202" s="205"/>
      <c r="G202" s="147"/>
      <c r="H202" s="147"/>
      <c r="I202" s="147"/>
      <c r="J202" s="147"/>
      <c r="K202" s="147"/>
      <c r="L202" s="147"/>
      <c r="M202" s="147"/>
      <c r="N202" s="147"/>
      <c r="O202" s="147"/>
      <c r="P202" s="147"/>
      <c r="Q202" s="147"/>
      <c r="R202" s="147"/>
      <c r="S202" s="147"/>
      <c r="T202" s="147"/>
      <c r="U202" s="147"/>
      <c r="V202" s="147"/>
      <c r="W202" s="147"/>
      <c r="X202" s="147"/>
      <c r="Y202" s="147"/>
      <c r="Z202" s="147"/>
      <c r="AA202" s="147"/>
      <c r="AB202" s="147"/>
      <c r="AC202" s="147"/>
      <c r="AD202" s="147"/>
      <c r="AE202" s="147"/>
      <c r="AF202" s="147"/>
      <c r="AG202" s="147"/>
    </row>
    <row r="203">
      <c r="A203" s="147"/>
      <c r="B203" s="147"/>
      <c r="C203" s="147"/>
      <c r="D203" s="147"/>
      <c r="E203" s="147"/>
      <c r="F203" s="205"/>
      <c r="G203" s="147"/>
      <c r="H203" s="147"/>
      <c r="I203" s="147"/>
      <c r="J203" s="147"/>
      <c r="K203" s="147"/>
      <c r="L203" s="147"/>
      <c r="M203" s="147"/>
      <c r="N203" s="147"/>
      <c r="O203" s="147"/>
      <c r="P203" s="147"/>
      <c r="Q203" s="147"/>
      <c r="R203" s="147"/>
      <c r="S203" s="147"/>
      <c r="T203" s="147"/>
      <c r="U203" s="147"/>
      <c r="V203" s="147"/>
      <c r="W203" s="147"/>
      <c r="X203" s="147"/>
      <c r="Y203" s="147"/>
      <c r="Z203" s="147"/>
      <c r="AA203" s="147"/>
      <c r="AB203" s="147"/>
      <c r="AC203" s="147"/>
      <c r="AD203" s="147"/>
      <c r="AE203" s="147"/>
      <c r="AF203" s="147"/>
      <c r="AG203" s="147"/>
    </row>
    <row r="204">
      <c r="A204" s="147"/>
      <c r="B204" s="147"/>
      <c r="C204" s="147"/>
      <c r="D204" s="147"/>
      <c r="E204" s="147"/>
      <c r="F204" s="205"/>
      <c r="G204" s="147"/>
      <c r="H204" s="147"/>
      <c r="I204" s="147"/>
      <c r="J204" s="147"/>
      <c r="K204" s="147"/>
      <c r="L204" s="147"/>
      <c r="M204" s="147"/>
      <c r="N204" s="147"/>
      <c r="O204" s="147"/>
      <c r="P204" s="147"/>
      <c r="Q204" s="147"/>
      <c r="R204" s="147"/>
      <c r="S204" s="147"/>
      <c r="T204" s="147"/>
      <c r="U204" s="147"/>
      <c r="V204" s="147"/>
      <c r="W204" s="147"/>
      <c r="X204" s="147"/>
      <c r="Y204" s="147"/>
      <c r="Z204" s="147"/>
      <c r="AA204" s="147"/>
      <c r="AB204" s="147"/>
      <c r="AC204" s="147"/>
      <c r="AD204" s="147"/>
      <c r="AE204" s="147"/>
      <c r="AF204" s="147"/>
      <c r="AG204" s="147"/>
    </row>
    <row r="205">
      <c r="A205" s="147"/>
      <c r="B205" s="147"/>
      <c r="C205" s="147"/>
      <c r="D205" s="147"/>
      <c r="E205" s="147"/>
      <c r="F205" s="205"/>
      <c r="G205" s="147"/>
      <c r="H205" s="147"/>
      <c r="I205" s="147"/>
      <c r="J205" s="147"/>
      <c r="K205" s="147"/>
      <c r="L205" s="147"/>
      <c r="M205" s="147"/>
      <c r="N205" s="147"/>
      <c r="O205" s="147"/>
      <c r="P205" s="147"/>
      <c r="Q205" s="147"/>
      <c r="R205" s="147"/>
      <c r="S205" s="147"/>
      <c r="T205" s="147"/>
      <c r="U205" s="147"/>
      <c r="V205" s="147"/>
      <c r="W205" s="147"/>
      <c r="X205" s="147"/>
      <c r="Y205" s="147"/>
      <c r="Z205" s="147"/>
      <c r="AA205" s="147"/>
      <c r="AB205" s="147"/>
      <c r="AC205" s="147"/>
      <c r="AD205" s="147"/>
      <c r="AE205" s="147"/>
      <c r="AF205" s="147"/>
      <c r="AG205" s="147"/>
    </row>
    <row r="206">
      <c r="A206" s="147"/>
      <c r="B206" s="147"/>
      <c r="C206" s="147"/>
      <c r="D206" s="147"/>
      <c r="E206" s="147"/>
      <c r="F206" s="205"/>
      <c r="G206" s="147"/>
      <c r="H206" s="147"/>
      <c r="I206" s="147"/>
      <c r="J206" s="147"/>
      <c r="K206" s="147"/>
      <c r="L206" s="147"/>
      <c r="M206" s="147"/>
      <c r="N206" s="147"/>
      <c r="O206" s="147"/>
      <c r="P206" s="147"/>
      <c r="Q206" s="147"/>
      <c r="R206" s="147"/>
      <c r="S206" s="147"/>
      <c r="T206" s="147"/>
      <c r="U206" s="147"/>
      <c r="V206" s="147"/>
      <c r="W206" s="147"/>
      <c r="X206" s="147"/>
      <c r="Y206" s="147"/>
      <c r="Z206" s="147"/>
      <c r="AA206" s="147"/>
      <c r="AB206" s="147"/>
      <c r="AC206" s="147"/>
      <c r="AD206" s="147"/>
      <c r="AE206" s="147"/>
      <c r="AF206" s="147"/>
      <c r="AG206" s="147"/>
    </row>
    <row r="207">
      <c r="A207" s="147"/>
      <c r="B207" s="147"/>
      <c r="C207" s="147"/>
      <c r="D207" s="147"/>
      <c r="E207" s="147"/>
      <c r="F207" s="205"/>
      <c r="G207" s="147"/>
      <c r="H207" s="147"/>
      <c r="I207" s="147"/>
      <c r="J207" s="147"/>
      <c r="K207" s="147"/>
      <c r="L207" s="147"/>
      <c r="M207" s="147"/>
      <c r="N207" s="147"/>
      <c r="O207" s="147"/>
      <c r="P207" s="147"/>
      <c r="Q207" s="147"/>
      <c r="R207" s="147"/>
      <c r="S207" s="147"/>
      <c r="T207" s="147"/>
      <c r="U207" s="147"/>
      <c r="V207" s="147"/>
      <c r="W207" s="147"/>
      <c r="X207" s="147"/>
      <c r="Y207" s="147"/>
      <c r="Z207" s="147"/>
      <c r="AA207" s="147"/>
      <c r="AB207" s="147"/>
      <c r="AC207" s="147"/>
      <c r="AD207" s="147"/>
      <c r="AE207" s="147"/>
      <c r="AF207" s="147"/>
      <c r="AG207" s="147"/>
    </row>
    <row r="208">
      <c r="A208" s="147"/>
      <c r="B208" s="147"/>
      <c r="C208" s="147"/>
      <c r="D208" s="147"/>
      <c r="E208" s="147"/>
      <c r="F208" s="205"/>
      <c r="G208" s="147"/>
      <c r="H208" s="147"/>
      <c r="I208" s="147"/>
      <c r="J208" s="147"/>
      <c r="K208" s="147"/>
      <c r="L208" s="147"/>
      <c r="M208" s="147"/>
      <c r="N208" s="147"/>
      <c r="O208" s="147"/>
      <c r="P208" s="147"/>
      <c r="Q208" s="147"/>
      <c r="R208" s="147"/>
      <c r="S208" s="147"/>
      <c r="T208" s="147"/>
      <c r="U208" s="147"/>
      <c r="V208" s="147"/>
      <c r="W208" s="147"/>
      <c r="X208" s="147"/>
      <c r="Y208" s="147"/>
      <c r="Z208" s="147"/>
      <c r="AA208" s="147"/>
      <c r="AB208" s="147"/>
      <c r="AC208" s="147"/>
      <c r="AD208" s="147"/>
      <c r="AE208" s="147"/>
      <c r="AF208" s="147"/>
      <c r="AG208" s="147"/>
    </row>
    <row r="209">
      <c r="A209" s="147"/>
      <c r="B209" s="147"/>
      <c r="C209" s="147"/>
      <c r="D209" s="147"/>
      <c r="E209" s="147"/>
      <c r="F209" s="205"/>
      <c r="G209" s="147"/>
      <c r="H209" s="147"/>
      <c r="I209" s="147"/>
      <c r="J209" s="147"/>
      <c r="K209" s="147"/>
      <c r="L209" s="147"/>
      <c r="M209" s="147"/>
      <c r="N209" s="147"/>
      <c r="O209" s="147"/>
      <c r="P209" s="147"/>
      <c r="Q209" s="147"/>
      <c r="R209" s="147"/>
      <c r="S209" s="147"/>
      <c r="T209" s="147"/>
      <c r="U209" s="147"/>
      <c r="V209" s="147"/>
      <c r="W209" s="147"/>
      <c r="X209" s="147"/>
      <c r="Y209" s="147"/>
      <c r="Z209" s="147"/>
      <c r="AA209" s="147"/>
      <c r="AB209" s="147"/>
      <c r="AC209" s="147"/>
      <c r="AD209" s="147"/>
      <c r="AE209" s="147"/>
      <c r="AF209" s="147"/>
      <c r="AG209" s="147"/>
    </row>
    <row r="210">
      <c r="A210" s="147"/>
      <c r="B210" s="147"/>
      <c r="C210" s="147"/>
      <c r="D210" s="147"/>
      <c r="E210" s="147"/>
      <c r="F210" s="205"/>
      <c r="G210" s="147"/>
      <c r="H210" s="147"/>
      <c r="I210" s="147"/>
      <c r="J210" s="147"/>
      <c r="K210" s="147"/>
      <c r="L210" s="147"/>
      <c r="M210" s="147"/>
      <c r="N210" s="147"/>
      <c r="O210" s="147"/>
      <c r="P210" s="147"/>
      <c r="Q210" s="147"/>
      <c r="R210" s="147"/>
      <c r="S210" s="147"/>
      <c r="T210" s="147"/>
      <c r="U210" s="147"/>
      <c r="V210" s="147"/>
      <c r="W210" s="147"/>
      <c r="X210" s="147"/>
      <c r="Y210" s="147"/>
      <c r="Z210" s="147"/>
      <c r="AA210" s="147"/>
      <c r="AB210" s="147"/>
      <c r="AC210" s="147"/>
      <c r="AD210" s="147"/>
      <c r="AE210" s="147"/>
      <c r="AF210" s="147"/>
      <c r="AG210" s="147"/>
    </row>
    <row r="211">
      <c r="A211" s="147"/>
      <c r="B211" s="147"/>
      <c r="C211" s="147"/>
      <c r="D211" s="147"/>
      <c r="E211" s="147"/>
      <c r="F211" s="205"/>
      <c r="G211" s="147"/>
      <c r="H211" s="147"/>
      <c r="I211" s="147"/>
      <c r="J211" s="147"/>
      <c r="K211" s="147"/>
      <c r="L211" s="147"/>
      <c r="M211" s="147"/>
      <c r="N211" s="147"/>
      <c r="O211" s="147"/>
      <c r="P211" s="147"/>
      <c r="Q211" s="147"/>
      <c r="R211" s="147"/>
      <c r="S211" s="147"/>
      <c r="T211" s="147"/>
      <c r="U211" s="147"/>
      <c r="V211" s="147"/>
      <c r="W211" s="147"/>
      <c r="X211" s="147"/>
      <c r="Y211" s="147"/>
      <c r="Z211" s="147"/>
      <c r="AA211" s="147"/>
      <c r="AB211" s="147"/>
      <c r="AC211" s="147"/>
      <c r="AD211" s="147"/>
      <c r="AE211" s="147"/>
      <c r="AF211" s="147"/>
      <c r="AG211" s="147"/>
    </row>
    <row r="212">
      <c r="A212" s="147"/>
      <c r="B212" s="147"/>
      <c r="C212" s="147"/>
      <c r="D212" s="147"/>
      <c r="E212" s="147"/>
      <c r="F212" s="205"/>
      <c r="G212" s="147"/>
      <c r="H212" s="147"/>
      <c r="I212" s="147"/>
      <c r="J212" s="147"/>
      <c r="K212" s="147"/>
      <c r="L212" s="147"/>
      <c r="M212" s="147"/>
      <c r="N212" s="147"/>
      <c r="O212" s="147"/>
      <c r="P212" s="147"/>
      <c r="Q212" s="147"/>
      <c r="R212" s="147"/>
      <c r="S212" s="147"/>
      <c r="T212" s="147"/>
      <c r="U212" s="147"/>
      <c r="V212" s="147"/>
      <c r="W212" s="147"/>
      <c r="X212" s="147"/>
      <c r="Y212" s="147"/>
      <c r="Z212" s="147"/>
      <c r="AA212" s="147"/>
      <c r="AB212" s="147"/>
      <c r="AC212" s="147"/>
      <c r="AD212" s="147"/>
      <c r="AE212" s="147"/>
      <c r="AF212" s="147"/>
      <c r="AG212" s="147"/>
    </row>
    <row r="213">
      <c r="A213" s="147"/>
      <c r="B213" s="147"/>
      <c r="C213" s="147"/>
      <c r="D213" s="147"/>
      <c r="E213" s="147"/>
      <c r="F213" s="205"/>
      <c r="G213" s="147"/>
      <c r="H213" s="147"/>
      <c r="I213" s="147"/>
      <c r="J213" s="147"/>
      <c r="K213" s="147"/>
      <c r="L213" s="147"/>
      <c r="M213" s="147"/>
      <c r="N213" s="147"/>
      <c r="O213" s="147"/>
      <c r="P213" s="147"/>
      <c r="Q213" s="147"/>
      <c r="R213" s="147"/>
      <c r="S213" s="147"/>
      <c r="T213" s="147"/>
      <c r="U213" s="147"/>
      <c r="V213" s="147"/>
      <c r="W213" s="147"/>
      <c r="X213" s="147"/>
      <c r="Y213" s="147"/>
      <c r="Z213" s="147"/>
      <c r="AA213" s="147"/>
      <c r="AB213" s="147"/>
      <c r="AC213" s="147"/>
      <c r="AD213" s="147"/>
      <c r="AE213" s="147"/>
      <c r="AF213" s="147"/>
      <c r="AG213" s="147"/>
    </row>
    <row r="214">
      <c r="A214" s="147"/>
      <c r="B214" s="147"/>
      <c r="C214" s="147"/>
      <c r="D214" s="147"/>
      <c r="E214" s="147"/>
      <c r="F214" s="205"/>
      <c r="G214" s="147"/>
      <c r="H214" s="147"/>
      <c r="I214" s="147"/>
      <c r="J214" s="147"/>
      <c r="K214" s="147"/>
      <c r="L214" s="147"/>
      <c r="M214" s="147"/>
      <c r="N214" s="147"/>
      <c r="O214" s="147"/>
      <c r="P214" s="147"/>
      <c r="Q214" s="147"/>
      <c r="R214" s="147"/>
      <c r="S214" s="147"/>
      <c r="T214" s="147"/>
      <c r="U214" s="147"/>
      <c r="V214" s="147"/>
      <c r="W214" s="147"/>
      <c r="X214" s="147"/>
      <c r="Y214" s="147"/>
      <c r="Z214" s="147"/>
      <c r="AA214" s="147"/>
      <c r="AB214" s="147"/>
      <c r="AC214" s="147"/>
      <c r="AD214" s="147"/>
      <c r="AE214" s="147"/>
      <c r="AF214" s="147"/>
      <c r="AG214" s="147"/>
    </row>
    <row r="215">
      <c r="A215" s="147"/>
      <c r="B215" s="147"/>
      <c r="C215" s="147"/>
      <c r="D215" s="147"/>
      <c r="E215" s="147"/>
      <c r="F215" s="205"/>
      <c r="G215" s="147"/>
      <c r="H215" s="147"/>
      <c r="I215" s="147"/>
      <c r="J215" s="147"/>
      <c r="K215" s="147"/>
      <c r="L215" s="147"/>
      <c r="M215" s="147"/>
      <c r="N215" s="147"/>
      <c r="O215" s="147"/>
      <c r="P215" s="147"/>
      <c r="Q215" s="147"/>
      <c r="R215" s="147"/>
      <c r="S215" s="147"/>
      <c r="T215" s="147"/>
      <c r="U215" s="147"/>
      <c r="V215" s="147"/>
      <c r="W215" s="147"/>
      <c r="X215" s="147"/>
      <c r="Y215" s="147"/>
      <c r="Z215" s="147"/>
      <c r="AA215" s="147"/>
      <c r="AB215" s="147"/>
      <c r="AC215" s="147"/>
      <c r="AD215" s="147"/>
      <c r="AE215" s="147"/>
      <c r="AF215" s="147"/>
      <c r="AG215" s="147"/>
    </row>
    <row r="216">
      <c r="A216" s="147"/>
      <c r="B216" s="147"/>
      <c r="C216" s="147"/>
      <c r="D216" s="147"/>
      <c r="E216" s="147"/>
      <c r="F216" s="205"/>
      <c r="G216" s="147"/>
      <c r="H216" s="147"/>
      <c r="I216" s="147"/>
      <c r="J216" s="147"/>
      <c r="K216" s="147"/>
      <c r="L216" s="147"/>
      <c r="M216" s="147"/>
      <c r="N216" s="147"/>
      <c r="O216" s="147"/>
      <c r="P216" s="147"/>
      <c r="Q216" s="147"/>
      <c r="R216" s="147"/>
      <c r="S216" s="147"/>
      <c r="T216" s="147"/>
      <c r="U216" s="147"/>
      <c r="V216" s="147"/>
      <c r="W216" s="147"/>
      <c r="X216" s="147"/>
      <c r="Y216" s="147"/>
      <c r="Z216" s="147"/>
      <c r="AA216" s="147"/>
      <c r="AB216" s="147"/>
      <c r="AC216" s="147"/>
      <c r="AD216" s="147"/>
      <c r="AE216" s="147"/>
      <c r="AF216" s="147"/>
      <c r="AG216" s="147"/>
    </row>
    <row r="217">
      <c r="A217" s="147"/>
      <c r="B217" s="147"/>
      <c r="C217" s="147"/>
      <c r="D217" s="147"/>
      <c r="E217" s="147"/>
      <c r="F217" s="205"/>
      <c r="G217" s="147"/>
      <c r="H217" s="147"/>
      <c r="I217" s="147"/>
      <c r="J217" s="147"/>
      <c r="K217" s="147"/>
      <c r="L217" s="147"/>
      <c r="M217" s="147"/>
      <c r="N217" s="147"/>
      <c r="O217" s="147"/>
      <c r="P217" s="147"/>
      <c r="Q217" s="147"/>
      <c r="R217" s="147"/>
      <c r="S217" s="147"/>
      <c r="T217" s="147"/>
      <c r="U217" s="147"/>
      <c r="V217" s="147"/>
      <c r="W217" s="147"/>
      <c r="X217" s="147"/>
      <c r="Y217" s="147"/>
      <c r="Z217" s="147"/>
      <c r="AA217" s="147"/>
      <c r="AB217" s="147"/>
      <c r="AC217" s="147"/>
      <c r="AD217" s="147"/>
      <c r="AE217" s="147"/>
      <c r="AF217" s="147"/>
      <c r="AG217" s="147"/>
    </row>
    <row r="218">
      <c r="A218" s="147"/>
      <c r="B218" s="147"/>
      <c r="C218" s="147"/>
      <c r="D218" s="147"/>
      <c r="E218" s="147"/>
      <c r="F218" s="205"/>
      <c r="G218" s="147"/>
      <c r="H218" s="147"/>
      <c r="I218" s="147"/>
      <c r="J218" s="147"/>
      <c r="K218" s="147"/>
      <c r="L218" s="147"/>
      <c r="M218" s="147"/>
      <c r="N218" s="147"/>
      <c r="O218" s="147"/>
      <c r="P218" s="147"/>
      <c r="Q218" s="147"/>
      <c r="R218" s="147"/>
      <c r="S218" s="147"/>
      <c r="T218" s="147"/>
      <c r="U218" s="147"/>
      <c r="V218" s="147"/>
      <c r="W218" s="147"/>
      <c r="X218" s="147"/>
      <c r="Y218" s="147"/>
      <c r="Z218" s="147"/>
      <c r="AA218" s="147"/>
      <c r="AB218" s="147"/>
      <c r="AC218" s="147"/>
      <c r="AD218" s="147"/>
      <c r="AE218" s="147"/>
      <c r="AF218" s="147"/>
      <c r="AG218" s="147"/>
    </row>
    <row r="219">
      <c r="A219" s="147"/>
      <c r="B219" s="147"/>
      <c r="C219" s="147"/>
      <c r="D219" s="147"/>
      <c r="E219" s="147"/>
      <c r="F219" s="205"/>
      <c r="G219" s="147"/>
      <c r="H219" s="147"/>
      <c r="I219" s="147"/>
      <c r="J219" s="147"/>
      <c r="K219" s="147"/>
      <c r="L219" s="147"/>
      <c r="M219" s="147"/>
      <c r="N219" s="147"/>
      <c r="O219" s="147"/>
      <c r="P219" s="147"/>
      <c r="Q219" s="147"/>
      <c r="R219" s="147"/>
      <c r="S219" s="147"/>
      <c r="T219" s="147"/>
      <c r="U219" s="147"/>
      <c r="V219" s="147"/>
      <c r="W219" s="147"/>
      <c r="X219" s="147"/>
      <c r="Y219" s="147"/>
      <c r="Z219" s="147"/>
      <c r="AA219" s="147"/>
      <c r="AB219" s="147"/>
      <c r="AC219" s="147"/>
      <c r="AD219" s="147"/>
      <c r="AE219" s="147"/>
      <c r="AF219" s="147"/>
      <c r="AG219" s="147"/>
    </row>
    <row r="220">
      <c r="A220" s="147"/>
      <c r="B220" s="147"/>
      <c r="C220" s="147"/>
      <c r="D220" s="147"/>
      <c r="E220" s="147"/>
      <c r="F220" s="205"/>
      <c r="G220" s="147"/>
      <c r="H220" s="147"/>
      <c r="I220" s="147"/>
      <c r="J220" s="147"/>
      <c r="K220" s="147"/>
      <c r="L220" s="147"/>
      <c r="M220" s="147"/>
      <c r="N220" s="147"/>
      <c r="O220" s="147"/>
      <c r="P220" s="147"/>
      <c r="Q220" s="147"/>
      <c r="R220" s="147"/>
      <c r="S220" s="147"/>
      <c r="T220" s="147"/>
      <c r="U220" s="147"/>
      <c r="V220" s="147"/>
      <c r="W220" s="147"/>
      <c r="X220" s="147"/>
      <c r="Y220" s="147"/>
      <c r="Z220" s="147"/>
      <c r="AA220" s="147"/>
      <c r="AB220" s="147"/>
      <c r="AC220" s="147"/>
      <c r="AD220" s="147"/>
      <c r="AE220" s="147"/>
      <c r="AF220" s="147"/>
      <c r="AG220" s="147"/>
    </row>
    <row r="221">
      <c r="A221" s="147"/>
      <c r="B221" s="147"/>
      <c r="C221" s="147"/>
      <c r="D221" s="147"/>
      <c r="E221" s="147"/>
      <c r="F221" s="205"/>
      <c r="G221" s="147"/>
      <c r="H221" s="147"/>
      <c r="I221" s="147"/>
      <c r="J221" s="147"/>
      <c r="K221" s="147"/>
      <c r="L221" s="147"/>
      <c r="M221" s="147"/>
      <c r="N221" s="147"/>
      <c r="O221" s="147"/>
      <c r="P221" s="147"/>
      <c r="Q221" s="147"/>
      <c r="R221" s="147"/>
      <c r="S221" s="147"/>
      <c r="T221" s="147"/>
      <c r="U221" s="147"/>
      <c r="V221" s="147"/>
      <c r="W221" s="147"/>
      <c r="X221" s="147"/>
      <c r="Y221" s="147"/>
      <c r="Z221" s="147"/>
      <c r="AA221" s="147"/>
      <c r="AB221" s="147"/>
      <c r="AC221" s="147"/>
      <c r="AD221" s="147"/>
      <c r="AE221" s="147"/>
      <c r="AF221" s="147"/>
      <c r="AG221" s="147"/>
    </row>
    <row r="222">
      <c r="A222" s="147"/>
      <c r="B222" s="147"/>
      <c r="C222" s="147"/>
      <c r="D222" s="147"/>
      <c r="E222" s="147"/>
      <c r="F222" s="205"/>
      <c r="G222" s="147"/>
      <c r="H222" s="147"/>
      <c r="I222" s="147"/>
      <c r="J222" s="147"/>
      <c r="K222" s="147"/>
      <c r="L222" s="147"/>
      <c r="M222" s="147"/>
      <c r="N222" s="147"/>
      <c r="O222" s="147"/>
      <c r="P222" s="147"/>
      <c r="Q222" s="147"/>
      <c r="R222" s="147"/>
      <c r="S222" s="147"/>
      <c r="T222" s="147"/>
      <c r="U222" s="147"/>
      <c r="V222" s="147"/>
      <c r="W222" s="147"/>
      <c r="X222" s="147"/>
      <c r="Y222" s="147"/>
      <c r="Z222" s="147"/>
      <c r="AA222" s="147"/>
      <c r="AB222" s="147"/>
      <c r="AC222" s="147"/>
      <c r="AD222" s="147"/>
      <c r="AE222" s="147"/>
      <c r="AF222" s="147"/>
      <c r="AG222" s="147"/>
    </row>
    <row r="223">
      <c r="A223" s="147"/>
      <c r="B223" s="147"/>
      <c r="C223" s="147"/>
      <c r="D223" s="147"/>
      <c r="E223" s="147"/>
      <c r="F223" s="205"/>
      <c r="G223" s="147"/>
      <c r="H223" s="147"/>
      <c r="I223" s="147"/>
      <c r="J223" s="147"/>
      <c r="K223" s="147"/>
      <c r="L223" s="147"/>
      <c r="M223" s="147"/>
      <c r="N223" s="147"/>
      <c r="O223" s="147"/>
      <c r="P223" s="147"/>
      <c r="Q223" s="147"/>
      <c r="R223" s="147"/>
      <c r="S223" s="147"/>
      <c r="T223" s="147"/>
      <c r="U223" s="147"/>
      <c r="V223" s="147"/>
      <c r="W223" s="147"/>
      <c r="X223" s="147"/>
      <c r="Y223" s="147"/>
      <c r="Z223" s="147"/>
      <c r="AA223" s="147"/>
      <c r="AB223" s="147"/>
      <c r="AC223" s="147"/>
      <c r="AD223" s="147"/>
      <c r="AE223" s="147"/>
      <c r="AF223" s="147"/>
      <c r="AG223" s="147"/>
    </row>
    <row r="224">
      <c r="A224" s="147"/>
      <c r="B224" s="147"/>
      <c r="C224" s="147"/>
      <c r="D224" s="147"/>
      <c r="E224" s="147"/>
      <c r="F224" s="205"/>
      <c r="G224" s="147"/>
      <c r="H224" s="147"/>
      <c r="I224" s="147"/>
      <c r="J224" s="147"/>
      <c r="K224" s="147"/>
      <c r="L224" s="147"/>
      <c r="M224" s="147"/>
      <c r="N224" s="147"/>
      <c r="O224" s="147"/>
      <c r="P224" s="147"/>
      <c r="Q224" s="147"/>
      <c r="R224" s="147"/>
      <c r="S224" s="147"/>
      <c r="T224" s="147"/>
      <c r="U224" s="147"/>
      <c r="V224" s="147"/>
      <c r="W224" s="147"/>
      <c r="X224" s="147"/>
      <c r="Y224" s="147"/>
      <c r="Z224" s="147"/>
      <c r="AA224" s="147"/>
      <c r="AB224" s="147"/>
      <c r="AC224" s="147"/>
      <c r="AD224" s="147"/>
      <c r="AE224" s="147"/>
      <c r="AF224" s="147"/>
      <c r="AG224" s="147"/>
    </row>
    <row r="225">
      <c r="A225" s="147"/>
      <c r="B225" s="147"/>
      <c r="C225" s="147"/>
      <c r="D225" s="147"/>
      <c r="E225" s="147"/>
      <c r="F225" s="205"/>
      <c r="G225" s="147"/>
      <c r="H225" s="147"/>
      <c r="I225" s="147"/>
      <c r="J225" s="147"/>
      <c r="K225" s="147"/>
      <c r="L225" s="147"/>
      <c r="M225" s="147"/>
      <c r="N225" s="147"/>
      <c r="O225" s="147"/>
      <c r="P225" s="147"/>
      <c r="Q225" s="147"/>
      <c r="R225" s="147"/>
      <c r="S225" s="147"/>
      <c r="T225" s="147"/>
      <c r="U225" s="147"/>
      <c r="V225" s="147"/>
      <c r="W225" s="147"/>
      <c r="X225" s="147"/>
      <c r="Y225" s="147"/>
      <c r="Z225" s="147"/>
      <c r="AA225" s="147"/>
      <c r="AB225" s="147"/>
      <c r="AC225" s="147"/>
      <c r="AD225" s="147"/>
      <c r="AE225" s="147"/>
      <c r="AF225" s="147"/>
      <c r="AG225" s="147"/>
    </row>
    <row r="226">
      <c r="A226" s="147"/>
      <c r="B226" s="147"/>
      <c r="C226" s="147"/>
      <c r="D226" s="147"/>
      <c r="E226" s="147"/>
      <c r="F226" s="205"/>
      <c r="G226" s="147"/>
      <c r="H226" s="147"/>
      <c r="I226" s="147"/>
      <c r="J226" s="147"/>
      <c r="K226" s="147"/>
      <c r="L226" s="147"/>
      <c r="M226" s="147"/>
      <c r="N226" s="147"/>
      <c r="O226" s="147"/>
      <c r="P226" s="147"/>
      <c r="Q226" s="147"/>
      <c r="R226" s="147"/>
      <c r="S226" s="147"/>
      <c r="T226" s="147"/>
      <c r="U226" s="147"/>
      <c r="V226" s="147"/>
      <c r="W226" s="147"/>
      <c r="X226" s="147"/>
      <c r="Y226" s="147"/>
      <c r="Z226" s="147"/>
      <c r="AA226" s="147"/>
      <c r="AB226" s="147"/>
      <c r="AC226" s="147"/>
      <c r="AD226" s="147"/>
      <c r="AE226" s="147"/>
      <c r="AF226" s="147"/>
      <c r="AG226" s="147"/>
    </row>
    <row r="227">
      <c r="A227" s="147"/>
      <c r="B227" s="147"/>
      <c r="C227" s="147"/>
      <c r="D227" s="147"/>
      <c r="E227" s="147"/>
      <c r="F227" s="205"/>
      <c r="G227" s="147"/>
      <c r="H227" s="147"/>
      <c r="I227" s="147"/>
      <c r="J227" s="147"/>
      <c r="K227" s="147"/>
      <c r="L227" s="147"/>
      <c r="M227" s="147"/>
      <c r="N227" s="147"/>
      <c r="O227" s="147"/>
      <c r="P227" s="147"/>
      <c r="Q227" s="147"/>
      <c r="R227" s="147"/>
      <c r="S227" s="147"/>
      <c r="T227" s="147"/>
      <c r="U227" s="147"/>
      <c r="V227" s="147"/>
      <c r="W227" s="147"/>
      <c r="X227" s="147"/>
      <c r="Y227" s="147"/>
      <c r="Z227" s="147"/>
      <c r="AA227" s="147"/>
      <c r="AB227" s="147"/>
      <c r="AC227" s="147"/>
      <c r="AD227" s="147"/>
      <c r="AE227" s="147"/>
      <c r="AF227" s="147"/>
      <c r="AG227" s="147"/>
    </row>
    <row r="228">
      <c r="A228" s="147"/>
      <c r="B228" s="147"/>
      <c r="C228" s="147"/>
      <c r="D228" s="147"/>
      <c r="E228" s="147"/>
      <c r="F228" s="205"/>
      <c r="G228" s="147"/>
      <c r="H228" s="147"/>
      <c r="I228" s="147"/>
      <c r="J228" s="147"/>
      <c r="K228" s="147"/>
      <c r="L228" s="147"/>
      <c r="M228" s="147"/>
      <c r="N228" s="147"/>
      <c r="O228" s="147"/>
      <c r="P228" s="147"/>
      <c r="Q228" s="147"/>
      <c r="R228" s="147"/>
      <c r="S228" s="147"/>
      <c r="T228" s="147"/>
      <c r="U228" s="147"/>
      <c r="V228" s="147"/>
      <c r="W228" s="147"/>
      <c r="X228" s="147"/>
      <c r="Y228" s="147"/>
      <c r="Z228" s="147"/>
      <c r="AA228" s="147"/>
      <c r="AB228" s="147"/>
      <c r="AC228" s="147"/>
      <c r="AD228" s="147"/>
      <c r="AE228" s="147"/>
      <c r="AF228" s="147"/>
      <c r="AG228" s="147"/>
    </row>
    <row r="229">
      <c r="A229" s="147"/>
      <c r="B229" s="147"/>
      <c r="C229" s="147"/>
      <c r="D229" s="147"/>
      <c r="E229" s="147"/>
      <c r="F229" s="205"/>
      <c r="G229" s="147"/>
      <c r="H229" s="147"/>
      <c r="I229" s="147"/>
      <c r="J229" s="147"/>
      <c r="K229" s="147"/>
      <c r="L229" s="147"/>
      <c r="M229" s="147"/>
      <c r="N229" s="147"/>
      <c r="O229" s="147"/>
      <c r="P229" s="147"/>
      <c r="Q229" s="147"/>
      <c r="R229" s="147"/>
      <c r="S229" s="147"/>
      <c r="T229" s="147"/>
      <c r="U229" s="147"/>
      <c r="V229" s="147"/>
      <c r="W229" s="147"/>
      <c r="X229" s="147"/>
      <c r="Y229" s="147"/>
      <c r="Z229" s="147"/>
      <c r="AA229" s="147"/>
      <c r="AB229" s="147"/>
      <c r="AC229" s="147"/>
      <c r="AD229" s="147"/>
      <c r="AE229" s="147"/>
      <c r="AF229" s="147"/>
      <c r="AG229" s="147"/>
    </row>
    <row r="230">
      <c r="A230" s="147"/>
      <c r="B230" s="147"/>
      <c r="C230" s="147"/>
      <c r="D230" s="147"/>
      <c r="E230" s="147"/>
      <c r="F230" s="205"/>
      <c r="G230" s="147"/>
      <c r="H230" s="147"/>
      <c r="I230" s="147"/>
      <c r="J230" s="147"/>
      <c r="K230" s="147"/>
      <c r="L230" s="147"/>
      <c r="M230" s="147"/>
      <c r="N230" s="147"/>
      <c r="O230" s="147"/>
      <c r="P230" s="147"/>
      <c r="Q230" s="147"/>
      <c r="R230" s="147"/>
      <c r="S230" s="147"/>
      <c r="T230" s="147"/>
      <c r="U230" s="147"/>
      <c r="V230" s="147"/>
      <c r="W230" s="147"/>
      <c r="X230" s="147"/>
      <c r="Y230" s="147"/>
      <c r="Z230" s="147"/>
      <c r="AA230" s="147"/>
      <c r="AB230" s="147"/>
      <c r="AC230" s="147"/>
      <c r="AD230" s="147"/>
      <c r="AE230" s="147"/>
      <c r="AF230" s="147"/>
      <c r="AG230" s="147"/>
    </row>
    <row r="231">
      <c r="A231" s="147"/>
      <c r="B231" s="147"/>
      <c r="C231" s="147"/>
      <c r="D231" s="147"/>
      <c r="E231" s="147"/>
      <c r="F231" s="205"/>
      <c r="G231" s="147"/>
      <c r="H231" s="147"/>
      <c r="I231" s="147"/>
      <c r="J231" s="147"/>
      <c r="K231" s="147"/>
      <c r="L231" s="147"/>
      <c r="M231" s="147"/>
      <c r="N231" s="147"/>
      <c r="O231" s="147"/>
      <c r="P231" s="147"/>
      <c r="Q231" s="147"/>
      <c r="R231" s="147"/>
      <c r="S231" s="147"/>
      <c r="T231" s="147"/>
      <c r="U231" s="147"/>
      <c r="V231" s="147"/>
      <c r="W231" s="147"/>
      <c r="X231" s="147"/>
      <c r="Y231" s="147"/>
      <c r="Z231" s="147"/>
      <c r="AA231" s="147"/>
      <c r="AB231" s="147"/>
      <c r="AC231" s="147"/>
      <c r="AD231" s="147"/>
      <c r="AE231" s="147"/>
      <c r="AF231" s="147"/>
      <c r="AG231" s="147"/>
    </row>
    <row r="232">
      <c r="A232" s="147"/>
      <c r="B232" s="147"/>
      <c r="C232" s="147"/>
      <c r="D232" s="147"/>
      <c r="E232" s="147"/>
      <c r="F232" s="205"/>
      <c r="G232" s="147"/>
      <c r="H232" s="147"/>
      <c r="I232" s="147"/>
      <c r="J232" s="147"/>
      <c r="K232" s="147"/>
      <c r="L232" s="147"/>
      <c r="M232" s="147"/>
      <c r="N232" s="147"/>
      <c r="O232" s="147"/>
      <c r="P232" s="147"/>
      <c r="Q232" s="147"/>
      <c r="R232" s="147"/>
      <c r="S232" s="147"/>
      <c r="T232" s="147"/>
      <c r="U232" s="147"/>
      <c r="V232" s="147"/>
      <c r="W232" s="147"/>
      <c r="X232" s="147"/>
      <c r="Y232" s="147"/>
      <c r="Z232" s="147"/>
      <c r="AA232" s="147"/>
      <c r="AB232" s="147"/>
      <c r="AC232" s="147"/>
      <c r="AD232" s="147"/>
      <c r="AE232" s="147"/>
      <c r="AF232" s="147"/>
      <c r="AG232" s="147"/>
    </row>
    <row r="233">
      <c r="A233" s="147"/>
      <c r="B233" s="147"/>
      <c r="C233" s="147"/>
      <c r="D233" s="147"/>
      <c r="E233" s="147"/>
      <c r="F233" s="205"/>
      <c r="G233" s="147"/>
      <c r="H233" s="147"/>
      <c r="I233" s="147"/>
      <c r="J233" s="147"/>
      <c r="K233" s="147"/>
      <c r="L233" s="147"/>
      <c r="M233" s="147"/>
      <c r="N233" s="147"/>
      <c r="O233" s="147"/>
      <c r="P233" s="147"/>
      <c r="Q233" s="147"/>
      <c r="R233" s="147"/>
      <c r="S233" s="147"/>
      <c r="T233" s="147"/>
      <c r="U233" s="147"/>
      <c r="V233" s="147"/>
      <c r="W233" s="147"/>
      <c r="X233" s="147"/>
      <c r="Y233" s="147"/>
      <c r="Z233" s="147"/>
      <c r="AA233" s="147"/>
      <c r="AB233" s="147"/>
      <c r="AC233" s="147"/>
      <c r="AD233" s="147"/>
      <c r="AE233" s="147"/>
      <c r="AF233" s="147"/>
      <c r="AG233" s="147"/>
    </row>
    <row r="234">
      <c r="A234" s="147"/>
      <c r="B234" s="147"/>
      <c r="C234" s="147"/>
      <c r="D234" s="147"/>
      <c r="E234" s="147"/>
      <c r="F234" s="205"/>
      <c r="G234" s="147"/>
      <c r="H234" s="147"/>
      <c r="I234" s="147"/>
      <c r="J234" s="147"/>
      <c r="K234" s="147"/>
      <c r="L234" s="147"/>
      <c r="M234" s="147"/>
      <c r="N234" s="147"/>
      <c r="O234" s="147"/>
      <c r="P234" s="147"/>
      <c r="Q234" s="147"/>
      <c r="R234" s="147"/>
      <c r="S234" s="147"/>
      <c r="T234" s="147"/>
      <c r="U234" s="147"/>
      <c r="V234" s="147"/>
      <c r="W234" s="147"/>
      <c r="X234" s="147"/>
      <c r="Y234" s="147"/>
      <c r="Z234" s="147"/>
      <c r="AA234" s="147"/>
      <c r="AB234" s="147"/>
      <c r="AC234" s="147"/>
      <c r="AD234" s="147"/>
      <c r="AE234" s="147"/>
      <c r="AF234" s="147"/>
      <c r="AG234" s="147"/>
    </row>
    <row r="235">
      <c r="A235" s="147"/>
      <c r="B235" s="147"/>
      <c r="C235" s="147"/>
      <c r="D235" s="147"/>
      <c r="E235" s="147"/>
      <c r="F235" s="205"/>
      <c r="G235" s="147"/>
      <c r="H235" s="147"/>
      <c r="I235" s="147"/>
      <c r="J235" s="147"/>
      <c r="K235" s="147"/>
      <c r="L235" s="147"/>
      <c r="M235" s="147"/>
      <c r="N235" s="147"/>
      <c r="O235" s="147"/>
      <c r="P235" s="147"/>
      <c r="Q235" s="147"/>
      <c r="R235" s="147"/>
      <c r="S235" s="147"/>
      <c r="T235" s="147"/>
      <c r="U235" s="147"/>
      <c r="V235" s="147"/>
      <c r="W235" s="147"/>
      <c r="X235" s="147"/>
      <c r="Y235" s="147"/>
      <c r="Z235" s="147"/>
      <c r="AA235" s="147"/>
      <c r="AB235" s="147"/>
      <c r="AC235" s="147"/>
      <c r="AD235" s="147"/>
      <c r="AE235" s="147"/>
      <c r="AF235" s="147"/>
      <c r="AG235" s="147"/>
    </row>
    <row r="236">
      <c r="A236" s="147"/>
      <c r="B236" s="147"/>
      <c r="C236" s="147"/>
      <c r="D236" s="147"/>
      <c r="E236" s="147"/>
      <c r="F236" s="205"/>
      <c r="G236" s="147"/>
      <c r="H236" s="147"/>
      <c r="I236" s="147"/>
      <c r="J236" s="147"/>
      <c r="K236" s="147"/>
      <c r="L236" s="147"/>
      <c r="M236" s="147"/>
      <c r="N236" s="147"/>
      <c r="O236" s="147"/>
      <c r="P236" s="147"/>
      <c r="Q236" s="147"/>
      <c r="R236" s="147"/>
      <c r="S236" s="147"/>
      <c r="T236" s="147"/>
      <c r="U236" s="147"/>
      <c r="V236" s="147"/>
      <c r="W236" s="147"/>
      <c r="X236" s="147"/>
      <c r="Y236" s="147"/>
      <c r="Z236" s="147"/>
      <c r="AA236" s="147"/>
      <c r="AB236" s="147"/>
      <c r="AC236" s="147"/>
      <c r="AD236" s="147"/>
      <c r="AE236" s="147"/>
      <c r="AF236" s="147"/>
      <c r="AG236" s="147"/>
    </row>
    <row r="237">
      <c r="A237" s="147"/>
      <c r="B237" s="147"/>
      <c r="C237" s="147"/>
      <c r="D237" s="147"/>
      <c r="E237" s="147"/>
      <c r="F237" s="205"/>
      <c r="G237" s="147"/>
      <c r="H237" s="147"/>
      <c r="I237" s="147"/>
      <c r="J237" s="147"/>
      <c r="K237" s="147"/>
      <c r="L237" s="147"/>
      <c r="M237" s="147"/>
      <c r="N237" s="147"/>
      <c r="O237" s="147"/>
      <c r="P237" s="147"/>
      <c r="Q237" s="147"/>
      <c r="R237" s="147"/>
      <c r="S237" s="147"/>
      <c r="T237" s="147"/>
      <c r="U237" s="147"/>
      <c r="V237" s="147"/>
      <c r="W237" s="147"/>
      <c r="X237" s="147"/>
      <c r="Y237" s="147"/>
      <c r="Z237" s="147"/>
      <c r="AA237" s="147"/>
      <c r="AB237" s="147"/>
      <c r="AC237" s="147"/>
      <c r="AD237" s="147"/>
      <c r="AE237" s="147"/>
      <c r="AF237" s="147"/>
      <c r="AG237" s="147"/>
    </row>
    <row r="238">
      <c r="A238" s="147"/>
      <c r="B238" s="147"/>
      <c r="C238" s="147"/>
      <c r="D238" s="147"/>
      <c r="E238" s="147"/>
      <c r="F238" s="205"/>
      <c r="G238" s="147"/>
      <c r="H238" s="147"/>
      <c r="I238" s="147"/>
      <c r="J238" s="147"/>
      <c r="K238" s="147"/>
      <c r="L238" s="147"/>
      <c r="M238" s="147"/>
      <c r="N238" s="147"/>
      <c r="O238" s="147"/>
      <c r="P238" s="147"/>
      <c r="Q238" s="147"/>
      <c r="R238" s="147"/>
      <c r="S238" s="147"/>
      <c r="T238" s="147"/>
      <c r="U238" s="147"/>
      <c r="V238" s="147"/>
      <c r="W238" s="147"/>
      <c r="X238" s="147"/>
      <c r="Y238" s="147"/>
      <c r="Z238" s="147"/>
      <c r="AA238" s="147"/>
      <c r="AB238" s="147"/>
      <c r="AC238" s="147"/>
      <c r="AD238" s="147"/>
      <c r="AE238" s="147"/>
      <c r="AF238" s="147"/>
      <c r="AG238" s="147"/>
    </row>
    <row r="239">
      <c r="A239" s="147"/>
      <c r="B239" s="147"/>
      <c r="C239" s="147"/>
      <c r="D239" s="147"/>
      <c r="E239" s="147"/>
      <c r="F239" s="205"/>
      <c r="G239" s="147"/>
      <c r="H239" s="147"/>
      <c r="I239" s="147"/>
      <c r="J239" s="147"/>
      <c r="K239" s="147"/>
      <c r="L239" s="147"/>
      <c r="M239" s="147"/>
      <c r="N239" s="147"/>
      <c r="O239" s="147"/>
      <c r="P239" s="147"/>
      <c r="Q239" s="147"/>
      <c r="R239" s="147"/>
      <c r="S239" s="147"/>
      <c r="T239" s="147"/>
      <c r="U239" s="147"/>
      <c r="V239" s="147"/>
      <c r="W239" s="147"/>
      <c r="X239" s="147"/>
      <c r="Y239" s="147"/>
      <c r="Z239" s="147"/>
      <c r="AA239" s="147"/>
      <c r="AB239" s="147"/>
      <c r="AC239" s="147"/>
      <c r="AD239" s="147"/>
      <c r="AE239" s="147"/>
      <c r="AF239" s="147"/>
      <c r="AG239" s="147"/>
    </row>
    <row r="240">
      <c r="A240" s="147"/>
      <c r="B240" s="147"/>
      <c r="C240" s="147"/>
      <c r="D240" s="147"/>
      <c r="E240" s="147"/>
      <c r="F240" s="205"/>
      <c r="G240" s="147"/>
      <c r="H240" s="147"/>
      <c r="I240" s="147"/>
      <c r="J240" s="147"/>
      <c r="K240" s="147"/>
      <c r="L240" s="147"/>
      <c r="M240" s="147"/>
      <c r="N240" s="147"/>
      <c r="O240" s="147"/>
      <c r="P240" s="147"/>
      <c r="Q240" s="147"/>
      <c r="R240" s="147"/>
      <c r="S240" s="147"/>
      <c r="T240" s="147"/>
      <c r="U240" s="147"/>
      <c r="V240" s="147"/>
      <c r="W240" s="147"/>
      <c r="X240" s="147"/>
      <c r="Y240" s="147"/>
      <c r="Z240" s="147"/>
      <c r="AA240" s="147"/>
      <c r="AB240" s="147"/>
      <c r="AC240" s="147"/>
      <c r="AD240" s="147"/>
      <c r="AE240" s="147"/>
      <c r="AF240" s="147"/>
      <c r="AG240" s="147"/>
    </row>
    <row r="241">
      <c r="A241" s="147"/>
      <c r="B241" s="147"/>
      <c r="C241" s="147"/>
      <c r="D241" s="147"/>
      <c r="E241" s="147"/>
      <c r="F241" s="205"/>
      <c r="G241" s="147"/>
      <c r="H241" s="147"/>
      <c r="I241" s="147"/>
      <c r="J241" s="147"/>
      <c r="K241" s="147"/>
      <c r="L241" s="147"/>
      <c r="M241" s="147"/>
      <c r="N241" s="147"/>
      <c r="O241" s="147"/>
      <c r="P241" s="147"/>
      <c r="Q241" s="147"/>
      <c r="R241" s="147"/>
      <c r="S241" s="147"/>
      <c r="T241" s="147"/>
      <c r="U241" s="147"/>
      <c r="V241" s="147"/>
      <c r="W241" s="147"/>
      <c r="X241" s="147"/>
      <c r="Y241" s="147"/>
      <c r="Z241" s="147"/>
      <c r="AA241" s="147"/>
      <c r="AB241" s="147"/>
      <c r="AC241" s="147"/>
      <c r="AD241" s="147"/>
      <c r="AE241" s="147"/>
      <c r="AF241" s="147"/>
      <c r="AG241" s="147"/>
    </row>
    <row r="242">
      <c r="A242" s="147"/>
      <c r="B242" s="147"/>
      <c r="C242" s="147"/>
      <c r="D242" s="147"/>
      <c r="E242" s="147"/>
      <c r="F242" s="205"/>
      <c r="G242" s="147"/>
      <c r="H242" s="147"/>
      <c r="I242" s="147"/>
      <c r="J242" s="147"/>
      <c r="K242" s="147"/>
      <c r="L242" s="147"/>
      <c r="M242" s="147"/>
      <c r="N242" s="147"/>
      <c r="O242" s="147"/>
      <c r="P242" s="147"/>
      <c r="Q242" s="147"/>
      <c r="R242" s="147"/>
      <c r="S242" s="147"/>
      <c r="T242" s="147"/>
      <c r="U242" s="147"/>
      <c r="V242" s="147"/>
      <c r="W242" s="147"/>
      <c r="X242" s="147"/>
      <c r="Y242" s="147"/>
      <c r="Z242" s="147"/>
      <c r="AA242" s="147"/>
      <c r="AB242" s="147"/>
      <c r="AC242" s="147"/>
      <c r="AD242" s="147"/>
      <c r="AE242" s="147"/>
      <c r="AF242" s="147"/>
      <c r="AG242" s="147"/>
    </row>
    <row r="243">
      <c r="A243" s="147"/>
      <c r="B243" s="147"/>
      <c r="C243" s="147"/>
      <c r="D243" s="147"/>
      <c r="E243" s="147"/>
      <c r="F243" s="205"/>
      <c r="G243" s="147"/>
      <c r="H243" s="147"/>
      <c r="I243" s="147"/>
      <c r="J243" s="147"/>
      <c r="K243" s="147"/>
      <c r="L243" s="147"/>
      <c r="M243" s="147"/>
      <c r="N243" s="147"/>
      <c r="O243" s="147"/>
      <c r="P243" s="147"/>
      <c r="Q243" s="147"/>
      <c r="R243" s="147"/>
      <c r="S243" s="147"/>
      <c r="T243" s="147"/>
      <c r="U243" s="147"/>
      <c r="V243" s="147"/>
      <c r="W243" s="147"/>
      <c r="X243" s="147"/>
      <c r="Y243" s="147"/>
      <c r="Z243" s="147"/>
      <c r="AA243" s="147"/>
      <c r="AB243" s="147"/>
      <c r="AC243" s="147"/>
      <c r="AD243" s="147"/>
      <c r="AE243" s="147"/>
      <c r="AF243" s="147"/>
      <c r="AG243" s="147"/>
    </row>
    <row r="244">
      <c r="A244" s="147"/>
      <c r="B244" s="147"/>
      <c r="C244" s="147"/>
      <c r="D244" s="147"/>
      <c r="E244" s="147"/>
      <c r="F244" s="205"/>
      <c r="G244" s="147"/>
      <c r="H244" s="147"/>
      <c r="I244" s="147"/>
      <c r="J244" s="147"/>
      <c r="K244" s="147"/>
      <c r="L244" s="147"/>
      <c r="M244" s="147"/>
      <c r="N244" s="147"/>
      <c r="O244" s="147"/>
      <c r="P244" s="147"/>
      <c r="Q244" s="147"/>
      <c r="R244" s="147"/>
      <c r="S244" s="147"/>
      <c r="T244" s="147"/>
      <c r="U244" s="147"/>
      <c r="V244" s="147"/>
      <c r="W244" s="147"/>
      <c r="X244" s="147"/>
      <c r="Y244" s="147"/>
      <c r="Z244" s="147"/>
      <c r="AA244" s="147"/>
      <c r="AB244" s="147"/>
      <c r="AC244" s="147"/>
      <c r="AD244" s="147"/>
      <c r="AE244" s="147"/>
      <c r="AF244" s="147"/>
      <c r="AG244" s="147"/>
    </row>
    <row r="245">
      <c r="A245" s="147"/>
      <c r="B245" s="147"/>
      <c r="C245" s="147"/>
      <c r="D245" s="147"/>
      <c r="E245" s="147"/>
      <c r="F245" s="205"/>
      <c r="G245" s="147"/>
      <c r="H245" s="147"/>
      <c r="I245" s="147"/>
      <c r="J245" s="147"/>
      <c r="K245" s="147"/>
      <c r="L245" s="147"/>
      <c r="M245" s="147"/>
      <c r="N245" s="147"/>
      <c r="O245" s="147"/>
      <c r="P245" s="147"/>
      <c r="Q245" s="147"/>
      <c r="R245" s="147"/>
      <c r="S245" s="147"/>
      <c r="T245" s="147"/>
      <c r="U245" s="147"/>
      <c r="V245" s="147"/>
      <c r="W245" s="147"/>
      <c r="X245" s="147"/>
      <c r="Y245" s="147"/>
      <c r="Z245" s="147"/>
      <c r="AA245" s="147"/>
      <c r="AB245" s="147"/>
      <c r="AC245" s="147"/>
      <c r="AD245" s="147"/>
      <c r="AE245" s="147"/>
      <c r="AF245" s="147"/>
      <c r="AG245" s="147"/>
    </row>
    <row r="246">
      <c r="A246" s="147"/>
      <c r="B246" s="147"/>
      <c r="C246" s="147"/>
      <c r="D246" s="147"/>
      <c r="E246" s="147"/>
      <c r="F246" s="205"/>
      <c r="G246" s="147"/>
      <c r="H246" s="147"/>
      <c r="I246" s="147"/>
      <c r="J246" s="147"/>
      <c r="K246" s="147"/>
      <c r="L246" s="147"/>
      <c r="M246" s="147"/>
      <c r="N246" s="147"/>
      <c r="O246" s="147"/>
      <c r="P246" s="147"/>
      <c r="Q246" s="147"/>
      <c r="R246" s="147"/>
      <c r="S246" s="147"/>
      <c r="T246" s="147"/>
      <c r="U246" s="147"/>
      <c r="V246" s="147"/>
      <c r="W246" s="147"/>
      <c r="X246" s="147"/>
      <c r="Y246" s="147"/>
      <c r="Z246" s="147"/>
      <c r="AA246" s="147"/>
      <c r="AB246" s="147"/>
      <c r="AC246" s="147"/>
      <c r="AD246" s="147"/>
      <c r="AE246" s="147"/>
      <c r="AF246" s="147"/>
      <c r="AG246" s="147"/>
    </row>
    <row r="247">
      <c r="A247" s="147"/>
      <c r="B247" s="147"/>
      <c r="C247" s="147"/>
      <c r="D247" s="147"/>
      <c r="E247" s="147"/>
      <c r="F247" s="205"/>
      <c r="G247" s="147"/>
      <c r="H247" s="147"/>
      <c r="I247" s="147"/>
      <c r="J247" s="147"/>
      <c r="K247" s="147"/>
      <c r="L247" s="147"/>
      <c r="M247" s="147"/>
      <c r="N247" s="147"/>
      <c r="O247" s="147"/>
      <c r="P247" s="147"/>
      <c r="Q247" s="147"/>
      <c r="R247" s="147"/>
      <c r="S247" s="147"/>
      <c r="T247" s="147"/>
      <c r="U247" s="147"/>
      <c r="V247" s="147"/>
      <c r="W247" s="147"/>
      <c r="X247" s="147"/>
      <c r="Y247" s="147"/>
      <c r="Z247" s="147"/>
      <c r="AA247" s="147"/>
      <c r="AB247" s="147"/>
      <c r="AC247" s="147"/>
      <c r="AD247" s="147"/>
      <c r="AE247" s="147"/>
      <c r="AF247" s="147"/>
      <c r="AG247" s="147"/>
    </row>
    <row r="248">
      <c r="A248" s="147"/>
      <c r="B248" s="147"/>
      <c r="C248" s="147"/>
      <c r="D248" s="147"/>
      <c r="E248" s="147"/>
      <c r="F248" s="205"/>
      <c r="G248" s="147"/>
      <c r="H248" s="147"/>
      <c r="I248" s="147"/>
      <c r="J248" s="147"/>
      <c r="K248" s="147"/>
      <c r="L248" s="147"/>
      <c r="M248" s="147"/>
      <c r="N248" s="147"/>
      <c r="O248" s="147"/>
      <c r="P248" s="147"/>
      <c r="Q248" s="147"/>
      <c r="R248" s="147"/>
      <c r="S248" s="147"/>
      <c r="T248" s="147"/>
      <c r="U248" s="147"/>
      <c r="V248" s="147"/>
      <c r="W248" s="147"/>
      <c r="X248" s="147"/>
      <c r="Y248" s="147"/>
      <c r="Z248" s="147"/>
      <c r="AA248" s="147"/>
      <c r="AB248" s="147"/>
      <c r="AC248" s="147"/>
      <c r="AD248" s="147"/>
      <c r="AE248" s="147"/>
      <c r="AF248" s="147"/>
      <c r="AG248" s="147"/>
    </row>
    <row r="249">
      <c r="A249" s="147"/>
      <c r="B249" s="147"/>
      <c r="C249" s="147"/>
      <c r="D249" s="147"/>
      <c r="E249" s="147"/>
      <c r="F249" s="205"/>
      <c r="G249" s="147"/>
      <c r="H249" s="147"/>
      <c r="I249" s="147"/>
      <c r="J249" s="147"/>
      <c r="K249" s="147"/>
      <c r="L249" s="147"/>
      <c r="M249" s="147"/>
      <c r="N249" s="147"/>
      <c r="O249" s="147"/>
      <c r="P249" s="147"/>
      <c r="Q249" s="147"/>
      <c r="R249" s="147"/>
      <c r="S249" s="147"/>
      <c r="T249" s="147"/>
      <c r="U249" s="147"/>
      <c r="V249" s="147"/>
      <c r="W249" s="147"/>
      <c r="X249" s="147"/>
      <c r="Y249" s="147"/>
      <c r="Z249" s="147"/>
      <c r="AA249" s="147"/>
      <c r="AB249" s="147"/>
      <c r="AC249" s="147"/>
      <c r="AD249" s="147"/>
      <c r="AE249" s="147"/>
      <c r="AF249" s="147"/>
      <c r="AG249" s="147"/>
    </row>
    <row r="250">
      <c r="A250" s="147"/>
      <c r="B250" s="147"/>
      <c r="C250" s="147"/>
      <c r="D250" s="147"/>
      <c r="E250" s="147"/>
      <c r="F250" s="205"/>
      <c r="G250" s="147"/>
      <c r="H250" s="147"/>
      <c r="I250" s="147"/>
      <c r="J250" s="147"/>
      <c r="K250" s="147"/>
      <c r="L250" s="147"/>
      <c r="M250" s="147"/>
      <c r="N250" s="147"/>
      <c r="O250" s="147"/>
      <c r="P250" s="147"/>
      <c r="Q250" s="147"/>
      <c r="R250" s="147"/>
      <c r="S250" s="147"/>
      <c r="T250" s="147"/>
      <c r="U250" s="147"/>
      <c r="V250" s="147"/>
      <c r="W250" s="147"/>
      <c r="X250" s="147"/>
      <c r="Y250" s="147"/>
      <c r="Z250" s="147"/>
      <c r="AA250" s="147"/>
      <c r="AB250" s="147"/>
      <c r="AC250" s="147"/>
      <c r="AD250" s="147"/>
      <c r="AE250" s="147"/>
      <c r="AF250" s="147"/>
      <c r="AG250" s="147"/>
    </row>
    <row r="251">
      <c r="A251" s="147"/>
      <c r="B251" s="147"/>
      <c r="C251" s="147"/>
      <c r="D251" s="147"/>
      <c r="E251" s="147"/>
      <c r="F251" s="205"/>
      <c r="G251" s="147"/>
      <c r="H251" s="147"/>
      <c r="I251" s="147"/>
      <c r="J251" s="147"/>
      <c r="K251" s="147"/>
      <c r="L251" s="147"/>
      <c r="M251" s="147"/>
      <c r="N251" s="147"/>
      <c r="O251" s="147"/>
      <c r="P251" s="147"/>
      <c r="Q251" s="147"/>
      <c r="R251" s="147"/>
      <c r="S251" s="147"/>
      <c r="T251" s="147"/>
      <c r="U251" s="147"/>
      <c r="V251" s="147"/>
      <c r="W251" s="147"/>
      <c r="X251" s="147"/>
      <c r="Y251" s="147"/>
      <c r="Z251" s="147"/>
      <c r="AA251" s="147"/>
      <c r="AB251" s="147"/>
      <c r="AC251" s="147"/>
      <c r="AD251" s="147"/>
      <c r="AE251" s="147"/>
      <c r="AF251" s="147"/>
      <c r="AG251" s="147"/>
    </row>
    <row r="252">
      <c r="A252" s="147"/>
      <c r="B252" s="147"/>
      <c r="C252" s="147"/>
      <c r="D252" s="147"/>
      <c r="E252" s="147"/>
      <c r="F252" s="205"/>
      <c r="G252" s="147"/>
      <c r="H252" s="147"/>
      <c r="I252" s="147"/>
      <c r="J252" s="147"/>
      <c r="K252" s="147"/>
      <c r="L252" s="147"/>
      <c r="M252" s="147"/>
      <c r="N252" s="147"/>
      <c r="O252" s="147"/>
      <c r="P252" s="147"/>
      <c r="Q252" s="147"/>
      <c r="R252" s="147"/>
      <c r="S252" s="147"/>
      <c r="T252" s="147"/>
      <c r="U252" s="147"/>
      <c r="V252" s="147"/>
      <c r="W252" s="147"/>
      <c r="X252" s="147"/>
      <c r="Y252" s="147"/>
      <c r="Z252" s="147"/>
      <c r="AA252" s="147"/>
      <c r="AB252" s="147"/>
      <c r="AC252" s="147"/>
      <c r="AD252" s="147"/>
      <c r="AE252" s="147"/>
      <c r="AF252" s="147"/>
      <c r="AG252" s="147"/>
    </row>
    <row r="253">
      <c r="A253" s="147"/>
      <c r="B253" s="147"/>
      <c r="C253" s="147"/>
      <c r="D253" s="147"/>
      <c r="E253" s="147"/>
      <c r="F253" s="205"/>
      <c r="G253" s="147"/>
      <c r="H253" s="147"/>
      <c r="I253" s="147"/>
      <c r="J253" s="147"/>
      <c r="K253" s="147"/>
      <c r="L253" s="147"/>
      <c r="M253" s="147"/>
      <c r="N253" s="147"/>
      <c r="O253" s="147"/>
      <c r="P253" s="147"/>
      <c r="Q253" s="147"/>
      <c r="R253" s="147"/>
      <c r="S253" s="147"/>
      <c r="T253" s="147"/>
      <c r="U253" s="147"/>
      <c r="V253" s="147"/>
      <c r="W253" s="147"/>
      <c r="X253" s="147"/>
      <c r="Y253" s="147"/>
      <c r="Z253" s="147"/>
      <c r="AA253" s="147"/>
      <c r="AB253" s="147"/>
      <c r="AC253" s="147"/>
      <c r="AD253" s="147"/>
      <c r="AE253" s="147"/>
      <c r="AF253" s="147"/>
      <c r="AG253" s="147"/>
    </row>
    <row r="254">
      <c r="A254" s="147"/>
      <c r="B254" s="147"/>
      <c r="C254" s="147"/>
      <c r="D254" s="147"/>
      <c r="E254" s="147"/>
      <c r="F254" s="205"/>
      <c r="G254" s="147"/>
      <c r="H254" s="147"/>
      <c r="I254" s="147"/>
      <c r="J254" s="147"/>
      <c r="K254" s="147"/>
      <c r="L254" s="147"/>
      <c r="M254" s="147"/>
      <c r="N254" s="147"/>
      <c r="O254" s="147"/>
      <c r="P254" s="147"/>
      <c r="Q254" s="147"/>
      <c r="R254" s="147"/>
      <c r="S254" s="147"/>
      <c r="T254" s="147"/>
      <c r="U254" s="147"/>
      <c r="V254" s="147"/>
      <c r="W254" s="147"/>
      <c r="X254" s="147"/>
      <c r="Y254" s="147"/>
      <c r="Z254" s="147"/>
      <c r="AA254" s="147"/>
      <c r="AB254" s="147"/>
      <c r="AC254" s="147"/>
      <c r="AD254" s="147"/>
      <c r="AE254" s="147"/>
      <c r="AF254" s="147"/>
      <c r="AG254" s="147"/>
    </row>
    <row r="255">
      <c r="A255" s="147"/>
      <c r="B255" s="147"/>
      <c r="C255" s="147"/>
      <c r="D255" s="147"/>
      <c r="E255" s="147"/>
      <c r="F255" s="205"/>
      <c r="G255" s="147"/>
      <c r="H255" s="147"/>
      <c r="I255" s="147"/>
      <c r="J255" s="147"/>
      <c r="K255" s="147"/>
      <c r="L255" s="147"/>
      <c r="M255" s="147"/>
      <c r="N255" s="147"/>
      <c r="O255" s="147"/>
      <c r="P255" s="147"/>
      <c r="Q255" s="147"/>
      <c r="R255" s="147"/>
      <c r="S255" s="147"/>
      <c r="T255" s="147"/>
      <c r="U255" s="147"/>
      <c r="V255" s="147"/>
      <c r="W255" s="147"/>
      <c r="X255" s="147"/>
      <c r="Y255" s="147"/>
      <c r="Z255" s="147"/>
      <c r="AA255" s="147"/>
      <c r="AB255" s="147"/>
      <c r="AC255" s="147"/>
      <c r="AD255" s="147"/>
      <c r="AE255" s="147"/>
      <c r="AF255" s="147"/>
      <c r="AG255" s="147"/>
    </row>
    <row r="256">
      <c r="A256" s="147"/>
      <c r="B256" s="147"/>
      <c r="C256" s="147"/>
      <c r="D256" s="147"/>
      <c r="E256" s="147"/>
      <c r="F256" s="205"/>
      <c r="G256" s="147"/>
      <c r="H256" s="147"/>
      <c r="I256" s="147"/>
      <c r="J256" s="147"/>
      <c r="K256" s="147"/>
      <c r="L256" s="147"/>
      <c r="M256" s="147"/>
      <c r="N256" s="147"/>
      <c r="O256" s="147"/>
      <c r="P256" s="147"/>
      <c r="Q256" s="147"/>
      <c r="R256" s="147"/>
      <c r="S256" s="147"/>
      <c r="T256" s="147"/>
      <c r="U256" s="147"/>
      <c r="V256" s="147"/>
      <c r="W256" s="147"/>
      <c r="X256" s="147"/>
      <c r="Y256" s="147"/>
      <c r="Z256" s="147"/>
      <c r="AA256" s="147"/>
      <c r="AB256" s="147"/>
      <c r="AC256" s="147"/>
      <c r="AD256" s="147"/>
      <c r="AE256" s="147"/>
      <c r="AF256" s="147"/>
      <c r="AG256" s="147"/>
    </row>
    <row r="257">
      <c r="A257" s="147"/>
      <c r="B257" s="147"/>
      <c r="C257" s="147"/>
      <c r="D257" s="147"/>
      <c r="E257" s="147"/>
      <c r="F257" s="205"/>
      <c r="G257" s="147"/>
      <c r="H257" s="147"/>
      <c r="I257" s="147"/>
      <c r="J257" s="147"/>
      <c r="K257" s="147"/>
      <c r="L257" s="147"/>
      <c r="M257" s="147"/>
      <c r="N257" s="147"/>
      <c r="O257" s="147"/>
      <c r="P257" s="147"/>
      <c r="Q257" s="147"/>
      <c r="R257" s="147"/>
      <c r="S257" s="147"/>
      <c r="T257" s="147"/>
      <c r="U257" s="147"/>
      <c r="V257" s="147"/>
      <c r="W257" s="147"/>
      <c r="X257" s="147"/>
      <c r="Y257" s="147"/>
      <c r="Z257" s="147"/>
      <c r="AA257" s="147"/>
      <c r="AB257" s="147"/>
      <c r="AC257" s="147"/>
      <c r="AD257" s="147"/>
      <c r="AE257" s="147"/>
      <c r="AF257" s="147"/>
      <c r="AG257" s="147"/>
    </row>
    <row r="258">
      <c r="A258" s="147"/>
      <c r="B258" s="147"/>
      <c r="C258" s="147"/>
      <c r="D258" s="147"/>
      <c r="E258" s="147"/>
      <c r="F258" s="205"/>
      <c r="G258" s="147"/>
      <c r="H258" s="147"/>
      <c r="I258" s="147"/>
      <c r="J258" s="147"/>
      <c r="K258" s="147"/>
      <c r="L258" s="147"/>
      <c r="M258" s="147"/>
      <c r="N258" s="147"/>
      <c r="O258" s="147"/>
      <c r="P258" s="147"/>
      <c r="Q258" s="147"/>
      <c r="R258" s="147"/>
      <c r="S258" s="147"/>
      <c r="T258" s="147"/>
      <c r="U258" s="147"/>
      <c r="V258" s="147"/>
      <c r="W258" s="147"/>
      <c r="X258" s="147"/>
      <c r="Y258" s="147"/>
      <c r="Z258" s="147"/>
      <c r="AA258" s="147"/>
      <c r="AB258" s="147"/>
      <c r="AC258" s="147"/>
      <c r="AD258" s="147"/>
      <c r="AE258" s="147"/>
      <c r="AF258" s="147"/>
      <c r="AG258" s="147"/>
    </row>
    <row r="259">
      <c r="A259" s="147"/>
      <c r="B259" s="147"/>
      <c r="C259" s="147"/>
      <c r="D259" s="147"/>
      <c r="E259" s="147"/>
      <c r="F259" s="205"/>
      <c r="G259" s="147"/>
      <c r="H259" s="147"/>
      <c r="I259" s="147"/>
      <c r="J259" s="147"/>
      <c r="K259" s="147"/>
      <c r="L259" s="147"/>
      <c r="M259" s="147"/>
      <c r="N259" s="147"/>
      <c r="O259" s="147"/>
      <c r="P259" s="147"/>
      <c r="Q259" s="147"/>
      <c r="R259" s="147"/>
      <c r="S259" s="147"/>
      <c r="T259" s="147"/>
      <c r="U259" s="147"/>
      <c r="V259" s="147"/>
      <c r="W259" s="147"/>
      <c r="X259" s="147"/>
      <c r="Y259" s="147"/>
      <c r="Z259" s="147"/>
      <c r="AA259" s="147"/>
      <c r="AB259" s="147"/>
      <c r="AC259" s="147"/>
      <c r="AD259" s="147"/>
      <c r="AE259" s="147"/>
      <c r="AF259" s="147"/>
      <c r="AG259" s="147"/>
    </row>
    <row r="260">
      <c r="A260" s="147"/>
      <c r="B260" s="147"/>
      <c r="C260" s="147"/>
      <c r="D260" s="147"/>
      <c r="E260" s="147"/>
      <c r="F260" s="205"/>
      <c r="G260" s="147"/>
      <c r="H260" s="147"/>
      <c r="I260" s="147"/>
      <c r="J260" s="147"/>
      <c r="K260" s="147"/>
      <c r="L260" s="147"/>
      <c r="M260" s="147"/>
      <c r="N260" s="147"/>
      <c r="O260" s="147"/>
      <c r="P260" s="147"/>
      <c r="Q260" s="147"/>
      <c r="R260" s="147"/>
      <c r="S260" s="147"/>
      <c r="T260" s="147"/>
      <c r="U260" s="147"/>
      <c r="V260" s="147"/>
      <c r="W260" s="147"/>
      <c r="X260" s="147"/>
      <c r="Y260" s="147"/>
      <c r="Z260" s="147"/>
      <c r="AA260" s="147"/>
      <c r="AB260" s="147"/>
      <c r="AC260" s="147"/>
      <c r="AD260" s="147"/>
      <c r="AE260" s="147"/>
      <c r="AF260" s="147"/>
      <c r="AG260" s="147"/>
    </row>
    <row r="261">
      <c r="A261" s="147"/>
      <c r="B261" s="147"/>
      <c r="C261" s="147"/>
      <c r="D261" s="147"/>
      <c r="E261" s="147"/>
      <c r="F261" s="205"/>
      <c r="G261" s="147"/>
      <c r="H261" s="147"/>
      <c r="I261" s="147"/>
      <c r="J261" s="147"/>
      <c r="K261" s="147"/>
      <c r="L261" s="147"/>
      <c r="M261" s="147"/>
      <c r="N261" s="147"/>
      <c r="O261" s="147"/>
      <c r="P261" s="147"/>
      <c r="Q261" s="147"/>
      <c r="R261" s="147"/>
      <c r="S261" s="147"/>
      <c r="T261" s="147"/>
      <c r="U261" s="147"/>
      <c r="V261" s="147"/>
      <c r="W261" s="147"/>
      <c r="X261" s="147"/>
      <c r="Y261" s="147"/>
      <c r="Z261" s="147"/>
      <c r="AA261" s="147"/>
      <c r="AB261" s="147"/>
      <c r="AC261" s="147"/>
      <c r="AD261" s="147"/>
      <c r="AE261" s="147"/>
      <c r="AF261" s="147"/>
      <c r="AG261" s="147"/>
    </row>
    <row r="262">
      <c r="A262" s="147"/>
      <c r="B262" s="147"/>
      <c r="C262" s="147"/>
      <c r="D262" s="147"/>
      <c r="E262" s="147"/>
      <c r="F262" s="205"/>
      <c r="G262" s="147"/>
      <c r="H262" s="147"/>
      <c r="I262" s="147"/>
      <c r="J262" s="147"/>
      <c r="K262" s="147"/>
      <c r="L262" s="147"/>
      <c r="M262" s="147"/>
      <c r="N262" s="147"/>
      <c r="O262" s="147"/>
      <c r="P262" s="147"/>
      <c r="Q262" s="147"/>
      <c r="R262" s="147"/>
      <c r="S262" s="147"/>
      <c r="T262" s="147"/>
      <c r="U262" s="147"/>
      <c r="V262" s="147"/>
      <c r="W262" s="147"/>
      <c r="X262" s="147"/>
      <c r="Y262" s="147"/>
      <c r="Z262" s="147"/>
      <c r="AA262" s="147"/>
      <c r="AB262" s="147"/>
      <c r="AC262" s="147"/>
      <c r="AD262" s="147"/>
      <c r="AE262" s="147"/>
      <c r="AF262" s="147"/>
      <c r="AG262" s="147"/>
    </row>
    <row r="263">
      <c r="A263" s="147"/>
      <c r="B263" s="147"/>
      <c r="C263" s="147"/>
      <c r="D263" s="147"/>
      <c r="E263" s="147"/>
      <c r="F263" s="205"/>
      <c r="G263" s="147"/>
      <c r="H263" s="147"/>
      <c r="I263" s="147"/>
      <c r="J263" s="147"/>
      <c r="K263" s="147"/>
      <c r="L263" s="147"/>
      <c r="M263" s="147"/>
      <c r="N263" s="147"/>
      <c r="O263" s="147"/>
      <c r="P263" s="147"/>
      <c r="Q263" s="147"/>
      <c r="R263" s="147"/>
      <c r="S263" s="147"/>
      <c r="T263" s="147"/>
      <c r="U263" s="147"/>
      <c r="V263" s="147"/>
      <c r="W263" s="147"/>
      <c r="X263" s="147"/>
      <c r="Y263" s="147"/>
      <c r="Z263" s="147"/>
      <c r="AA263" s="147"/>
      <c r="AB263" s="147"/>
      <c r="AC263" s="147"/>
      <c r="AD263" s="147"/>
      <c r="AE263" s="147"/>
      <c r="AF263" s="147"/>
      <c r="AG263" s="147"/>
    </row>
    <row r="264">
      <c r="A264" s="147"/>
      <c r="B264" s="147"/>
      <c r="C264" s="147"/>
      <c r="D264" s="147"/>
      <c r="E264" s="147"/>
      <c r="F264" s="205"/>
      <c r="G264" s="147"/>
      <c r="H264" s="147"/>
      <c r="I264" s="147"/>
      <c r="J264" s="147"/>
      <c r="K264" s="147"/>
      <c r="L264" s="147"/>
      <c r="M264" s="147"/>
      <c r="N264" s="147"/>
      <c r="O264" s="147"/>
      <c r="P264" s="147"/>
      <c r="Q264" s="147"/>
      <c r="R264" s="147"/>
      <c r="S264" s="147"/>
      <c r="T264" s="147"/>
      <c r="U264" s="147"/>
      <c r="V264" s="147"/>
      <c r="W264" s="147"/>
      <c r="X264" s="147"/>
      <c r="Y264" s="147"/>
      <c r="Z264" s="147"/>
      <c r="AA264" s="147"/>
      <c r="AB264" s="147"/>
      <c r="AC264" s="147"/>
      <c r="AD264" s="147"/>
      <c r="AE264" s="147"/>
      <c r="AF264" s="147"/>
      <c r="AG264" s="147"/>
    </row>
    <row r="265">
      <c r="A265" s="147"/>
      <c r="B265" s="147"/>
      <c r="C265" s="147"/>
      <c r="D265" s="147"/>
      <c r="E265" s="147"/>
      <c r="F265" s="205"/>
      <c r="G265" s="147"/>
      <c r="H265" s="147"/>
      <c r="I265" s="147"/>
      <c r="J265" s="147"/>
      <c r="K265" s="147"/>
      <c r="L265" s="147"/>
      <c r="M265" s="147"/>
      <c r="N265" s="147"/>
      <c r="O265" s="147"/>
      <c r="P265" s="147"/>
      <c r="Q265" s="147"/>
      <c r="R265" s="147"/>
      <c r="S265" s="147"/>
      <c r="T265" s="147"/>
      <c r="U265" s="147"/>
      <c r="V265" s="147"/>
      <c r="W265" s="147"/>
      <c r="X265" s="147"/>
      <c r="Y265" s="147"/>
      <c r="Z265" s="147"/>
      <c r="AA265" s="147"/>
      <c r="AB265" s="147"/>
      <c r="AC265" s="147"/>
      <c r="AD265" s="147"/>
      <c r="AE265" s="147"/>
      <c r="AF265" s="147"/>
      <c r="AG265" s="147"/>
    </row>
    <row r="266">
      <c r="A266" s="147"/>
      <c r="B266" s="147"/>
      <c r="C266" s="147"/>
      <c r="D266" s="147"/>
      <c r="E266" s="147"/>
      <c r="F266" s="205"/>
      <c r="G266" s="147"/>
      <c r="H266" s="147"/>
      <c r="I266" s="147"/>
      <c r="J266" s="147"/>
      <c r="K266" s="147"/>
      <c r="L266" s="147"/>
      <c r="M266" s="147"/>
      <c r="N266" s="147"/>
      <c r="O266" s="147"/>
      <c r="P266" s="147"/>
      <c r="Q266" s="147"/>
      <c r="R266" s="147"/>
      <c r="S266" s="147"/>
      <c r="T266" s="147"/>
      <c r="U266" s="147"/>
      <c r="V266" s="147"/>
      <c r="W266" s="147"/>
      <c r="X266" s="147"/>
      <c r="Y266" s="147"/>
      <c r="Z266" s="147"/>
      <c r="AA266" s="147"/>
      <c r="AB266" s="147"/>
      <c r="AC266" s="147"/>
      <c r="AD266" s="147"/>
      <c r="AE266" s="147"/>
      <c r="AF266" s="147"/>
      <c r="AG266" s="147"/>
    </row>
    <row r="267">
      <c r="A267" s="147"/>
      <c r="B267" s="147"/>
      <c r="C267" s="147"/>
      <c r="D267" s="147"/>
      <c r="E267" s="147"/>
      <c r="F267" s="205"/>
      <c r="G267" s="147"/>
      <c r="H267" s="147"/>
      <c r="I267" s="147"/>
      <c r="J267" s="147"/>
      <c r="K267" s="147"/>
      <c r="L267" s="147"/>
      <c r="M267" s="147"/>
      <c r="N267" s="147"/>
      <c r="O267" s="147"/>
      <c r="P267" s="147"/>
      <c r="Q267" s="147"/>
      <c r="R267" s="147"/>
      <c r="S267" s="147"/>
      <c r="T267" s="147"/>
      <c r="U267" s="147"/>
      <c r="V267" s="147"/>
      <c r="W267" s="147"/>
      <c r="X267" s="147"/>
      <c r="Y267" s="147"/>
      <c r="Z267" s="147"/>
      <c r="AA267" s="147"/>
      <c r="AB267" s="147"/>
      <c r="AC267" s="147"/>
      <c r="AD267" s="147"/>
      <c r="AE267" s="147"/>
      <c r="AF267" s="147"/>
      <c r="AG267" s="147"/>
    </row>
    <row r="268">
      <c r="A268" s="147"/>
      <c r="B268" s="147"/>
      <c r="C268" s="147"/>
      <c r="D268" s="147"/>
      <c r="E268" s="147"/>
      <c r="F268" s="205"/>
      <c r="G268" s="147"/>
      <c r="H268" s="147"/>
      <c r="I268" s="147"/>
      <c r="J268" s="147"/>
      <c r="K268" s="147"/>
      <c r="L268" s="147"/>
      <c r="M268" s="147"/>
      <c r="N268" s="147"/>
      <c r="O268" s="147"/>
      <c r="P268" s="147"/>
      <c r="Q268" s="147"/>
      <c r="R268" s="147"/>
      <c r="S268" s="147"/>
      <c r="T268" s="147"/>
      <c r="U268" s="147"/>
      <c r="V268" s="147"/>
      <c r="W268" s="147"/>
      <c r="X268" s="147"/>
      <c r="Y268" s="147"/>
      <c r="Z268" s="147"/>
      <c r="AA268" s="147"/>
      <c r="AB268" s="147"/>
      <c r="AC268" s="147"/>
      <c r="AD268" s="147"/>
      <c r="AE268" s="147"/>
      <c r="AF268" s="147"/>
      <c r="AG268" s="147"/>
    </row>
    <row r="269">
      <c r="A269" s="147"/>
      <c r="B269" s="147"/>
      <c r="C269" s="147"/>
      <c r="D269" s="147"/>
      <c r="E269" s="147"/>
      <c r="F269" s="205"/>
      <c r="G269" s="147"/>
      <c r="H269" s="147"/>
      <c r="I269" s="147"/>
      <c r="J269" s="147"/>
      <c r="K269" s="147"/>
      <c r="L269" s="147"/>
      <c r="M269" s="147"/>
      <c r="N269" s="147"/>
      <c r="O269" s="147"/>
      <c r="P269" s="147"/>
      <c r="Q269" s="147"/>
      <c r="R269" s="147"/>
      <c r="S269" s="147"/>
      <c r="T269" s="147"/>
      <c r="U269" s="147"/>
      <c r="V269" s="147"/>
      <c r="W269" s="147"/>
      <c r="X269" s="147"/>
      <c r="Y269" s="147"/>
      <c r="Z269" s="147"/>
      <c r="AA269" s="147"/>
      <c r="AB269" s="147"/>
      <c r="AC269" s="147"/>
      <c r="AD269" s="147"/>
      <c r="AE269" s="147"/>
      <c r="AF269" s="147"/>
      <c r="AG269" s="147"/>
    </row>
    <row r="270">
      <c r="A270" s="147"/>
      <c r="B270" s="147"/>
      <c r="C270" s="147"/>
      <c r="D270" s="147"/>
      <c r="E270" s="147"/>
      <c r="F270" s="205"/>
      <c r="G270" s="147"/>
      <c r="H270" s="147"/>
      <c r="I270" s="147"/>
      <c r="J270" s="147"/>
      <c r="K270" s="147"/>
      <c r="L270" s="147"/>
      <c r="M270" s="147"/>
      <c r="N270" s="147"/>
      <c r="O270" s="147"/>
      <c r="P270" s="147"/>
      <c r="Q270" s="147"/>
      <c r="R270" s="147"/>
      <c r="S270" s="147"/>
      <c r="T270" s="147"/>
      <c r="U270" s="147"/>
      <c r="V270" s="147"/>
      <c r="W270" s="147"/>
      <c r="X270" s="147"/>
      <c r="Y270" s="147"/>
      <c r="Z270" s="147"/>
      <c r="AA270" s="147"/>
      <c r="AB270" s="147"/>
      <c r="AC270" s="147"/>
      <c r="AD270" s="147"/>
      <c r="AE270" s="147"/>
      <c r="AF270" s="147"/>
      <c r="AG270" s="147"/>
    </row>
    <row r="271">
      <c r="A271" s="147"/>
      <c r="B271" s="147"/>
      <c r="C271" s="147"/>
      <c r="D271" s="147"/>
      <c r="E271" s="147"/>
      <c r="F271" s="205"/>
      <c r="G271" s="147"/>
      <c r="H271" s="147"/>
      <c r="I271" s="147"/>
      <c r="J271" s="147"/>
      <c r="K271" s="147"/>
      <c r="L271" s="147"/>
      <c r="M271" s="147"/>
      <c r="N271" s="147"/>
      <c r="O271" s="147"/>
      <c r="P271" s="147"/>
      <c r="Q271" s="147"/>
      <c r="R271" s="147"/>
      <c r="S271" s="147"/>
      <c r="T271" s="147"/>
      <c r="U271" s="147"/>
      <c r="V271" s="147"/>
      <c r="W271" s="147"/>
      <c r="X271" s="147"/>
      <c r="Y271" s="147"/>
      <c r="Z271" s="147"/>
      <c r="AA271" s="147"/>
      <c r="AB271" s="147"/>
      <c r="AC271" s="147"/>
      <c r="AD271" s="147"/>
      <c r="AE271" s="147"/>
      <c r="AF271" s="147"/>
      <c r="AG271" s="147"/>
    </row>
    <row r="272">
      <c r="A272" s="147"/>
      <c r="B272" s="147"/>
      <c r="C272" s="147"/>
      <c r="D272" s="147"/>
      <c r="E272" s="147"/>
      <c r="F272" s="205"/>
      <c r="G272" s="147"/>
      <c r="H272" s="147"/>
      <c r="I272" s="147"/>
      <c r="J272" s="147"/>
      <c r="K272" s="147"/>
      <c r="L272" s="147"/>
      <c r="M272" s="147"/>
      <c r="N272" s="147"/>
      <c r="O272" s="147"/>
      <c r="P272" s="147"/>
      <c r="Q272" s="147"/>
      <c r="R272" s="147"/>
      <c r="S272" s="147"/>
      <c r="T272" s="147"/>
      <c r="U272" s="147"/>
      <c r="V272" s="147"/>
      <c r="W272" s="147"/>
      <c r="X272" s="147"/>
      <c r="Y272" s="147"/>
      <c r="Z272" s="147"/>
      <c r="AA272" s="147"/>
      <c r="AB272" s="147"/>
      <c r="AC272" s="147"/>
      <c r="AD272" s="147"/>
      <c r="AE272" s="147"/>
      <c r="AF272" s="147"/>
      <c r="AG272" s="147"/>
    </row>
    <row r="273">
      <c r="A273" s="147"/>
      <c r="B273" s="147"/>
      <c r="C273" s="147"/>
      <c r="D273" s="147"/>
      <c r="E273" s="147"/>
      <c r="F273" s="205"/>
      <c r="G273" s="147"/>
      <c r="H273" s="147"/>
      <c r="I273" s="147"/>
      <c r="J273" s="147"/>
      <c r="K273" s="147"/>
      <c r="L273" s="147"/>
      <c r="M273" s="147"/>
      <c r="N273" s="147"/>
      <c r="O273" s="147"/>
      <c r="P273" s="147"/>
      <c r="Q273" s="147"/>
      <c r="R273" s="147"/>
      <c r="S273" s="147"/>
      <c r="T273" s="147"/>
      <c r="U273" s="147"/>
      <c r="V273" s="147"/>
      <c r="W273" s="147"/>
      <c r="X273" s="147"/>
      <c r="Y273" s="147"/>
      <c r="Z273" s="147"/>
      <c r="AA273" s="147"/>
      <c r="AB273" s="147"/>
      <c r="AC273" s="147"/>
      <c r="AD273" s="147"/>
      <c r="AE273" s="147"/>
      <c r="AF273" s="147"/>
      <c r="AG273" s="147"/>
    </row>
    <row r="274">
      <c r="A274" s="147"/>
      <c r="B274" s="147"/>
      <c r="C274" s="147"/>
      <c r="D274" s="147"/>
      <c r="E274" s="147"/>
      <c r="F274" s="205"/>
      <c r="G274" s="147"/>
      <c r="H274" s="147"/>
      <c r="I274" s="147"/>
      <c r="J274" s="147"/>
      <c r="K274" s="147"/>
      <c r="L274" s="147"/>
      <c r="M274" s="147"/>
      <c r="N274" s="147"/>
      <c r="O274" s="147"/>
      <c r="P274" s="147"/>
      <c r="Q274" s="147"/>
      <c r="R274" s="147"/>
      <c r="S274" s="147"/>
      <c r="T274" s="147"/>
      <c r="U274" s="147"/>
      <c r="V274" s="147"/>
      <c r="W274" s="147"/>
      <c r="X274" s="147"/>
      <c r="Y274" s="147"/>
      <c r="Z274" s="147"/>
      <c r="AA274" s="147"/>
      <c r="AB274" s="147"/>
      <c r="AC274" s="147"/>
      <c r="AD274" s="147"/>
      <c r="AE274" s="147"/>
      <c r="AF274" s="147"/>
      <c r="AG274" s="147"/>
    </row>
    <row r="275">
      <c r="A275" s="147"/>
      <c r="B275" s="147"/>
      <c r="C275" s="147"/>
      <c r="D275" s="147"/>
      <c r="E275" s="147"/>
      <c r="F275" s="205"/>
      <c r="G275" s="147"/>
      <c r="H275" s="147"/>
      <c r="I275" s="147"/>
      <c r="J275" s="147"/>
      <c r="K275" s="147"/>
      <c r="L275" s="147"/>
      <c r="M275" s="147"/>
      <c r="N275" s="147"/>
      <c r="O275" s="147"/>
      <c r="P275" s="147"/>
      <c r="Q275" s="147"/>
      <c r="R275" s="147"/>
      <c r="S275" s="147"/>
      <c r="T275" s="147"/>
      <c r="U275" s="147"/>
      <c r="V275" s="147"/>
      <c r="W275" s="147"/>
      <c r="X275" s="147"/>
      <c r="Y275" s="147"/>
      <c r="Z275" s="147"/>
      <c r="AA275" s="147"/>
      <c r="AB275" s="147"/>
      <c r="AC275" s="147"/>
      <c r="AD275" s="147"/>
      <c r="AE275" s="147"/>
      <c r="AF275" s="147"/>
      <c r="AG275" s="147"/>
    </row>
    <row r="276">
      <c r="A276" s="147"/>
      <c r="B276" s="147"/>
      <c r="C276" s="147"/>
      <c r="D276" s="147"/>
      <c r="E276" s="147"/>
      <c r="F276" s="205"/>
      <c r="G276" s="147"/>
      <c r="H276" s="147"/>
      <c r="I276" s="147"/>
      <c r="J276" s="147"/>
      <c r="K276" s="147"/>
      <c r="L276" s="147"/>
      <c r="M276" s="147"/>
      <c r="N276" s="147"/>
      <c r="O276" s="147"/>
      <c r="P276" s="147"/>
      <c r="Q276" s="147"/>
      <c r="R276" s="147"/>
      <c r="S276" s="147"/>
      <c r="T276" s="147"/>
      <c r="U276" s="147"/>
      <c r="V276" s="147"/>
      <c r="W276" s="147"/>
      <c r="X276" s="147"/>
      <c r="Y276" s="147"/>
      <c r="Z276" s="147"/>
      <c r="AA276" s="147"/>
      <c r="AB276" s="147"/>
      <c r="AC276" s="147"/>
      <c r="AD276" s="147"/>
      <c r="AE276" s="147"/>
      <c r="AF276" s="147"/>
      <c r="AG276" s="147"/>
    </row>
    <row r="277">
      <c r="A277" s="147"/>
      <c r="B277" s="147"/>
      <c r="C277" s="147"/>
      <c r="D277" s="147"/>
      <c r="E277" s="147"/>
      <c r="F277" s="205"/>
      <c r="G277" s="147"/>
      <c r="H277" s="147"/>
      <c r="I277" s="147"/>
      <c r="J277" s="147"/>
      <c r="K277" s="147"/>
      <c r="L277" s="147"/>
      <c r="M277" s="147"/>
      <c r="N277" s="147"/>
      <c r="O277" s="147"/>
      <c r="P277" s="147"/>
      <c r="Q277" s="147"/>
      <c r="R277" s="147"/>
      <c r="S277" s="147"/>
      <c r="T277" s="147"/>
      <c r="U277" s="147"/>
      <c r="V277" s="147"/>
      <c r="W277" s="147"/>
      <c r="X277" s="147"/>
      <c r="Y277" s="147"/>
      <c r="Z277" s="147"/>
      <c r="AA277" s="147"/>
      <c r="AB277" s="147"/>
      <c r="AC277" s="147"/>
      <c r="AD277" s="147"/>
      <c r="AE277" s="147"/>
      <c r="AF277" s="147"/>
      <c r="AG277" s="147"/>
    </row>
    <row r="278">
      <c r="A278" s="147"/>
      <c r="B278" s="147"/>
      <c r="C278" s="147"/>
      <c r="D278" s="147"/>
      <c r="E278" s="147"/>
      <c r="F278" s="205"/>
      <c r="G278" s="147"/>
      <c r="H278" s="147"/>
      <c r="I278" s="147"/>
      <c r="J278" s="147"/>
      <c r="K278" s="147"/>
      <c r="L278" s="147"/>
      <c r="M278" s="147"/>
      <c r="N278" s="147"/>
      <c r="O278" s="147"/>
      <c r="P278" s="147"/>
      <c r="Q278" s="147"/>
      <c r="R278" s="147"/>
      <c r="S278" s="147"/>
      <c r="T278" s="147"/>
      <c r="U278" s="147"/>
      <c r="V278" s="147"/>
      <c r="W278" s="147"/>
      <c r="X278" s="147"/>
      <c r="Y278" s="147"/>
      <c r="Z278" s="147"/>
      <c r="AA278" s="147"/>
      <c r="AB278" s="147"/>
      <c r="AC278" s="147"/>
      <c r="AD278" s="147"/>
      <c r="AE278" s="147"/>
      <c r="AF278" s="147"/>
      <c r="AG278" s="147"/>
    </row>
    <row r="279">
      <c r="A279" s="147"/>
      <c r="B279" s="147"/>
      <c r="C279" s="147"/>
      <c r="D279" s="147"/>
      <c r="E279" s="147"/>
      <c r="F279" s="205"/>
      <c r="G279" s="147"/>
      <c r="H279" s="147"/>
      <c r="I279" s="147"/>
      <c r="J279" s="147"/>
      <c r="K279" s="147"/>
      <c r="L279" s="147"/>
      <c r="M279" s="147"/>
      <c r="N279" s="147"/>
      <c r="O279" s="147"/>
      <c r="P279" s="147"/>
      <c r="Q279" s="147"/>
      <c r="R279" s="147"/>
      <c r="S279" s="147"/>
      <c r="T279" s="147"/>
      <c r="U279" s="147"/>
      <c r="V279" s="147"/>
      <c r="W279" s="147"/>
      <c r="X279" s="147"/>
      <c r="Y279" s="147"/>
      <c r="Z279" s="147"/>
      <c r="AA279" s="147"/>
      <c r="AB279" s="147"/>
      <c r="AC279" s="147"/>
      <c r="AD279" s="147"/>
      <c r="AE279" s="147"/>
      <c r="AF279" s="147"/>
      <c r="AG279" s="147"/>
    </row>
    <row r="280">
      <c r="A280" s="147"/>
      <c r="B280" s="147"/>
      <c r="C280" s="147"/>
      <c r="D280" s="147"/>
      <c r="E280" s="147"/>
      <c r="F280" s="205"/>
      <c r="G280" s="147"/>
      <c r="H280" s="147"/>
      <c r="I280" s="147"/>
      <c r="J280" s="147"/>
      <c r="K280" s="147"/>
      <c r="L280" s="147"/>
      <c r="M280" s="147"/>
      <c r="N280" s="147"/>
      <c r="O280" s="147"/>
      <c r="P280" s="147"/>
      <c r="Q280" s="147"/>
      <c r="R280" s="147"/>
      <c r="S280" s="147"/>
      <c r="T280" s="147"/>
      <c r="U280" s="147"/>
      <c r="V280" s="147"/>
      <c r="W280" s="147"/>
      <c r="X280" s="147"/>
      <c r="Y280" s="147"/>
      <c r="Z280" s="147"/>
      <c r="AA280" s="147"/>
      <c r="AB280" s="147"/>
      <c r="AC280" s="147"/>
      <c r="AD280" s="147"/>
      <c r="AE280" s="147"/>
      <c r="AF280" s="147"/>
      <c r="AG280" s="147"/>
    </row>
    <row r="281">
      <c r="A281" s="147"/>
      <c r="B281" s="147"/>
      <c r="C281" s="147"/>
      <c r="D281" s="147"/>
      <c r="E281" s="147"/>
      <c r="F281" s="205"/>
      <c r="G281" s="147"/>
      <c r="H281" s="147"/>
      <c r="I281" s="147"/>
      <c r="J281" s="147"/>
      <c r="K281" s="147"/>
      <c r="L281" s="147"/>
      <c r="M281" s="147"/>
      <c r="N281" s="147"/>
      <c r="O281" s="147"/>
      <c r="P281" s="147"/>
      <c r="Q281" s="147"/>
      <c r="R281" s="147"/>
      <c r="S281" s="147"/>
      <c r="T281" s="147"/>
      <c r="U281" s="147"/>
      <c r="V281" s="147"/>
      <c r="W281" s="147"/>
      <c r="X281" s="147"/>
      <c r="Y281" s="147"/>
      <c r="Z281" s="147"/>
      <c r="AA281" s="147"/>
      <c r="AB281" s="147"/>
      <c r="AC281" s="147"/>
      <c r="AD281" s="147"/>
      <c r="AE281" s="147"/>
      <c r="AF281" s="147"/>
      <c r="AG281" s="147"/>
    </row>
    <row r="282">
      <c r="A282" s="147"/>
      <c r="B282" s="147"/>
      <c r="C282" s="147"/>
      <c r="D282" s="147"/>
      <c r="E282" s="147"/>
      <c r="F282" s="205"/>
      <c r="G282" s="147"/>
      <c r="H282" s="147"/>
      <c r="I282" s="147"/>
      <c r="J282" s="147"/>
      <c r="K282" s="147"/>
      <c r="L282" s="147"/>
      <c r="M282" s="147"/>
      <c r="N282" s="147"/>
      <c r="O282" s="147"/>
      <c r="P282" s="147"/>
      <c r="Q282" s="147"/>
      <c r="R282" s="147"/>
      <c r="S282" s="147"/>
      <c r="T282" s="147"/>
      <c r="U282" s="147"/>
      <c r="V282" s="147"/>
      <c r="W282" s="147"/>
      <c r="X282" s="147"/>
      <c r="Y282" s="147"/>
      <c r="Z282" s="147"/>
      <c r="AA282" s="147"/>
      <c r="AB282" s="147"/>
      <c r="AC282" s="147"/>
      <c r="AD282" s="147"/>
      <c r="AE282" s="147"/>
      <c r="AF282" s="147"/>
      <c r="AG282" s="147"/>
    </row>
    <row r="283">
      <c r="A283" s="147"/>
      <c r="B283" s="147"/>
      <c r="C283" s="147"/>
      <c r="D283" s="147"/>
      <c r="E283" s="147"/>
      <c r="F283" s="205"/>
      <c r="G283" s="147"/>
      <c r="H283" s="147"/>
      <c r="I283" s="147"/>
      <c r="J283" s="147"/>
      <c r="K283" s="147"/>
      <c r="L283" s="147"/>
      <c r="M283" s="147"/>
      <c r="N283" s="147"/>
      <c r="O283" s="147"/>
      <c r="P283" s="147"/>
      <c r="Q283" s="147"/>
      <c r="R283" s="147"/>
      <c r="S283" s="147"/>
      <c r="T283" s="147"/>
      <c r="U283" s="147"/>
      <c r="V283" s="147"/>
      <c r="W283" s="147"/>
      <c r="X283" s="147"/>
      <c r="Y283" s="147"/>
      <c r="Z283" s="147"/>
      <c r="AA283" s="147"/>
      <c r="AB283" s="147"/>
      <c r="AC283" s="147"/>
      <c r="AD283" s="147"/>
      <c r="AE283" s="147"/>
      <c r="AF283" s="147"/>
      <c r="AG283" s="147"/>
    </row>
    <row r="284">
      <c r="A284" s="147"/>
      <c r="B284" s="147"/>
      <c r="C284" s="147"/>
      <c r="D284" s="147"/>
      <c r="E284" s="147"/>
      <c r="F284" s="205"/>
      <c r="G284" s="147"/>
      <c r="H284" s="147"/>
      <c r="I284" s="147"/>
      <c r="J284" s="147"/>
      <c r="K284" s="147"/>
      <c r="L284" s="147"/>
      <c r="M284" s="147"/>
      <c r="N284" s="147"/>
      <c r="O284" s="147"/>
      <c r="P284" s="147"/>
      <c r="Q284" s="147"/>
      <c r="R284" s="147"/>
      <c r="S284" s="147"/>
      <c r="T284" s="147"/>
      <c r="U284" s="147"/>
      <c r="V284" s="147"/>
      <c r="W284" s="147"/>
      <c r="X284" s="147"/>
      <c r="Y284" s="147"/>
      <c r="Z284" s="147"/>
      <c r="AA284" s="147"/>
      <c r="AB284" s="147"/>
      <c r="AC284" s="147"/>
      <c r="AD284" s="147"/>
      <c r="AE284" s="147"/>
      <c r="AF284" s="147"/>
      <c r="AG284" s="147"/>
    </row>
    <row r="285">
      <c r="A285" s="147"/>
      <c r="B285" s="147"/>
      <c r="C285" s="147"/>
      <c r="D285" s="147"/>
      <c r="E285" s="147"/>
      <c r="F285" s="205"/>
      <c r="G285" s="147"/>
      <c r="H285" s="147"/>
      <c r="I285" s="147"/>
      <c r="J285" s="147"/>
      <c r="K285" s="147"/>
      <c r="L285" s="147"/>
      <c r="M285" s="147"/>
      <c r="N285" s="147"/>
      <c r="O285" s="147"/>
      <c r="P285" s="147"/>
      <c r="Q285" s="147"/>
      <c r="R285" s="147"/>
      <c r="S285" s="147"/>
      <c r="T285" s="147"/>
      <c r="U285" s="147"/>
      <c r="V285" s="147"/>
      <c r="W285" s="147"/>
      <c r="X285" s="147"/>
      <c r="Y285" s="147"/>
      <c r="Z285" s="147"/>
      <c r="AA285" s="147"/>
      <c r="AB285" s="147"/>
      <c r="AC285" s="147"/>
      <c r="AD285" s="147"/>
      <c r="AE285" s="147"/>
      <c r="AF285" s="147"/>
      <c r="AG285" s="147"/>
    </row>
    <row r="286">
      <c r="A286" s="147"/>
      <c r="B286" s="147"/>
      <c r="C286" s="147"/>
      <c r="D286" s="147"/>
      <c r="E286" s="147"/>
      <c r="F286" s="205"/>
      <c r="G286" s="147"/>
      <c r="H286" s="147"/>
      <c r="I286" s="147"/>
      <c r="J286" s="147"/>
      <c r="K286" s="147"/>
      <c r="L286" s="147"/>
      <c r="M286" s="147"/>
      <c r="N286" s="147"/>
      <c r="O286" s="147"/>
      <c r="P286" s="147"/>
      <c r="Q286" s="147"/>
      <c r="R286" s="147"/>
      <c r="S286" s="147"/>
      <c r="T286" s="147"/>
      <c r="U286" s="147"/>
      <c r="V286" s="147"/>
      <c r="W286" s="147"/>
      <c r="X286" s="147"/>
      <c r="Y286" s="147"/>
      <c r="Z286" s="147"/>
      <c r="AA286" s="147"/>
      <c r="AB286" s="147"/>
      <c r="AC286" s="147"/>
      <c r="AD286" s="147"/>
      <c r="AE286" s="147"/>
      <c r="AF286" s="147"/>
      <c r="AG286" s="147"/>
    </row>
    <row r="287">
      <c r="A287" s="147"/>
      <c r="B287" s="147"/>
      <c r="C287" s="147"/>
      <c r="D287" s="147"/>
      <c r="E287" s="147"/>
      <c r="F287" s="205"/>
      <c r="G287" s="147"/>
      <c r="H287" s="147"/>
      <c r="I287" s="147"/>
      <c r="J287" s="147"/>
      <c r="K287" s="147"/>
      <c r="L287" s="147"/>
      <c r="M287" s="147"/>
      <c r="N287" s="147"/>
      <c r="O287" s="147"/>
      <c r="P287" s="147"/>
      <c r="Q287" s="147"/>
      <c r="R287" s="147"/>
      <c r="S287" s="147"/>
      <c r="T287" s="147"/>
      <c r="U287" s="147"/>
      <c r="V287" s="147"/>
      <c r="W287" s="147"/>
      <c r="X287" s="147"/>
      <c r="Y287" s="147"/>
      <c r="Z287" s="147"/>
      <c r="AA287" s="147"/>
      <c r="AB287" s="147"/>
      <c r="AC287" s="147"/>
      <c r="AD287" s="147"/>
      <c r="AE287" s="147"/>
      <c r="AF287" s="147"/>
      <c r="AG287" s="147"/>
    </row>
    <row r="288">
      <c r="A288" s="147"/>
      <c r="B288" s="147"/>
      <c r="C288" s="147"/>
      <c r="D288" s="147"/>
      <c r="E288" s="147"/>
      <c r="F288" s="205"/>
      <c r="G288" s="147"/>
      <c r="H288" s="147"/>
      <c r="I288" s="147"/>
      <c r="J288" s="147"/>
      <c r="K288" s="147"/>
      <c r="L288" s="147"/>
      <c r="M288" s="147"/>
      <c r="N288" s="147"/>
      <c r="O288" s="147"/>
      <c r="P288" s="147"/>
      <c r="Q288" s="147"/>
      <c r="R288" s="147"/>
      <c r="S288" s="147"/>
      <c r="T288" s="147"/>
      <c r="U288" s="147"/>
      <c r="V288" s="147"/>
      <c r="W288" s="147"/>
      <c r="X288" s="147"/>
      <c r="Y288" s="147"/>
      <c r="Z288" s="147"/>
      <c r="AA288" s="147"/>
      <c r="AB288" s="147"/>
      <c r="AC288" s="147"/>
      <c r="AD288" s="147"/>
      <c r="AE288" s="147"/>
      <c r="AF288" s="147"/>
      <c r="AG288" s="147"/>
    </row>
    <row r="289">
      <c r="A289" s="147"/>
      <c r="B289" s="147"/>
      <c r="C289" s="147"/>
      <c r="D289" s="147"/>
      <c r="E289" s="147"/>
      <c r="F289" s="205"/>
      <c r="G289" s="147"/>
      <c r="H289" s="147"/>
      <c r="I289" s="147"/>
      <c r="J289" s="147"/>
      <c r="K289" s="147"/>
      <c r="L289" s="147"/>
      <c r="M289" s="147"/>
      <c r="N289" s="147"/>
      <c r="O289" s="147"/>
      <c r="P289" s="147"/>
      <c r="Q289" s="147"/>
      <c r="R289" s="147"/>
      <c r="S289" s="147"/>
      <c r="T289" s="147"/>
      <c r="U289" s="147"/>
      <c r="V289" s="147"/>
      <c r="W289" s="147"/>
      <c r="X289" s="147"/>
      <c r="Y289" s="147"/>
      <c r="Z289" s="147"/>
      <c r="AA289" s="147"/>
      <c r="AB289" s="147"/>
      <c r="AC289" s="147"/>
      <c r="AD289" s="147"/>
      <c r="AE289" s="147"/>
      <c r="AF289" s="147"/>
      <c r="AG289" s="147"/>
    </row>
    <row r="290">
      <c r="A290" s="147"/>
      <c r="B290" s="147"/>
      <c r="C290" s="147"/>
      <c r="D290" s="147"/>
      <c r="E290" s="147"/>
      <c r="F290" s="205"/>
      <c r="G290" s="147"/>
      <c r="H290" s="147"/>
      <c r="I290" s="147"/>
      <c r="J290" s="147"/>
      <c r="K290" s="147"/>
      <c r="L290" s="147"/>
      <c r="M290" s="147"/>
      <c r="N290" s="147"/>
      <c r="O290" s="147"/>
      <c r="P290" s="147"/>
      <c r="Q290" s="147"/>
      <c r="R290" s="147"/>
      <c r="S290" s="147"/>
      <c r="T290" s="147"/>
      <c r="U290" s="147"/>
      <c r="V290" s="147"/>
      <c r="W290" s="147"/>
      <c r="X290" s="147"/>
      <c r="Y290" s="147"/>
      <c r="Z290" s="147"/>
      <c r="AA290" s="147"/>
      <c r="AB290" s="147"/>
      <c r="AC290" s="147"/>
      <c r="AD290" s="147"/>
      <c r="AE290" s="147"/>
      <c r="AF290" s="147"/>
      <c r="AG290" s="147"/>
    </row>
    <row r="291">
      <c r="A291" s="147"/>
      <c r="B291" s="147"/>
      <c r="C291" s="147"/>
      <c r="D291" s="147"/>
      <c r="E291" s="147"/>
      <c r="F291" s="205"/>
      <c r="G291" s="147"/>
      <c r="H291" s="147"/>
      <c r="I291" s="147"/>
      <c r="J291" s="147"/>
      <c r="K291" s="147"/>
      <c r="L291" s="147"/>
      <c r="M291" s="147"/>
      <c r="N291" s="147"/>
      <c r="O291" s="147"/>
      <c r="P291" s="147"/>
      <c r="Q291" s="147"/>
      <c r="R291" s="147"/>
      <c r="S291" s="147"/>
      <c r="T291" s="147"/>
      <c r="U291" s="147"/>
      <c r="V291" s="147"/>
      <c r="W291" s="147"/>
      <c r="X291" s="147"/>
      <c r="Y291" s="147"/>
      <c r="Z291" s="147"/>
      <c r="AA291" s="147"/>
      <c r="AB291" s="147"/>
      <c r="AC291" s="147"/>
      <c r="AD291" s="147"/>
      <c r="AE291" s="147"/>
      <c r="AF291" s="147"/>
      <c r="AG291" s="147"/>
    </row>
    <row r="292">
      <c r="A292" s="147"/>
      <c r="B292" s="147"/>
      <c r="C292" s="147"/>
      <c r="D292" s="147"/>
      <c r="E292" s="147"/>
      <c r="F292" s="205"/>
      <c r="G292" s="147"/>
      <c r="H292" s="147"/>
      <c r="I292" s="147"/>
      <c r="J292" s="147"/>
      <c r="K292" s="147"/>
      <c r="L292" s="147"/>
      <c r="M292" s="147"/>
      <c r="N292" s="147"/>
      <c r="O292" s="147"/>
      <c r="P292" s="147"/>
      <c r="Q292" s="147"/>
      <c r="R292" s="147"/>
      <c r="S292" s="147"/>
      <c r="T292" s="147"/>
      <c r="U292" s="147"/>
      <c r="V292" s="147"/>
      <c r="W292" s="147"/>
      <c r="X292" s="147"/>
      <c r="Y292" s="147"/>
      <c r="Z292" s="147"/>
      <c r="AA292" s="147"/>
      <c r="AB292" s="147"/>
      <c r="AC292" s="147"/>
      <c r="AD292" s="147"/>
      <c r="AE292" s="147"/>
      <c r="AF292" s="147"/>
      <c r="AG292" s="147"/>
    </row>
    <row r="293">
      <c r="A293" s="147"/>
      <c r="B293" s="147"/>
      <c r="C293" s="147"/>
      <c r="D293" s="147"/>
      <c r="E293" s="147"/>
      <c r="F293" s="205"/>
      <c r="G293" s="147"/>
      <c r="H293" s="147"/>
      <c r="I293" s="147"/>
      <c r="J293" s="147"/>
      <c r="K293" s="147"/>
      <c r="L293" s="147"/>
      <c r="M293" s="147"/>
      <c r="N293" s="147"/>
      <c r="O293" s="147"/>
      <c r="P293" s="147"/>
      <c r="Q293" s="147"/>
      <c r="R293" s="147"/>
      <c r="S293" s="147"/>
      <c r="T293" s="147"/>
      <c r="U293" s="147"/>
      <c r="V293" s="147"/>
      <c r="W293" s="147"/>
      <c r="X293" s="147"/>
      <c r="Y293" s="147"/>
      <c r="Z293" s="147"/>
      <c r="AA293" s="147"/>
      <c r="AB293" s="147"/>
      <c r="AC293" s="147"/>
      <c r="AD293" s="147"/>
      <c r="AE293" s="147"/>
      <c r="AF293" s="147"/>
      <c r="AG293" s="147"/>
    </row>
    <row r="294">
      <c r="A294" s="147"/>
      <c r="B294" s="147"/>
      <c r="C294" s="147"/>
      <c r="D294" s="147"/>
      <c r="E294" s="147"/>
      <c r="F294" s="205"/>
      <c r="G294" s="147"/>
      <c r="H294" s="147"/>
      <c r="I294" s="147"/>
      <c r="J294" s="147"/>
      <c r="K294" s="147"/>
      <c r="L294" s="147"/>
      <c r="M294" s="147"/>
      <c r="N294" s="147"/>
      <c r="O294" s="147"/>
      <c r="P294" s="147"/>
      <c r="Q294" s="147"/>
      <c r="R294" s="147"/>
      <c r="S294" s="147"/>
      <c r="T294" s="147"/>
      <c r="U294" s="147"/>
      <c r="V294" s="147"/>
      <c r="W294" s="147"/>
      <c r="X294" s="147"/>
      <c r="Y294" s="147"/>
      <c r="Z294" s="147"/>
      <c r="AA294" s="147"/>
      <c r="AB294" s="147"/>
      <c r="AC294" s="147"/>
      <c r="AD294" s="147"/>
      <c r="AE294" s="147"/>
      <c r="AF294" s="147"/>
      <c r="AG294" s="147"/>
    </row>
    <row r="295">
      <c r="A295" s="147"/>
      <c r="B295" s="147"/>
      <c r="C295" s="147"/>
      <c r="D295" s="147"/>
      <c r="E295" s="147"/>
      <c r="F295" s="205"/>
      <c r="G295" s="147"/>
      <c r="H295" s="147"/>
      <c r="I295" s="147"/>
      <c r="J295" s="147"/>
      <c r="K295" s="147"/>
      <c r="L295" s="147"/>
      <c r="M295" s="147"/>
      <c r="N295" s="147"/>
      <c r="O295" s="147"/>
      <c r="P295" s="147"/>
      <c r="Q295" s="147"/>
      <c r="R295" s="147"/>
      <c r="S295" s="147"/>
      <c r="T295" s="147"/>
      <c r="U295" s="147"/>
      <c r="V295" s="147"/>
      <c r="W295" s="147"/>
      <c r="X295" s="147"/>
      <c r="Y295" s="147"/>
      <c r="Z295" s="147"/>
      <c r="AA295" s="147"/>
      <c r="AB295" s="147"/>
      <c r="AC295" s="147"/>
      <c r="AD295" s="147"/>
      <c r="AE295" s="147"/>
      <c r="AF295" s="147"/>
      <c r="AG295" s="147"/>
    </row>
    <row r="296">
      <c r="A296" s="147"/>
      <c r="B296" s="147"/>
      <c r="C296" s="147"/>
      <c r="D296" s="147"/>
      <c r="E296" s="147"/>
      <c r="F296" s="205"/>
      <c r="G296" s="147"/>
      <c r="H296" s="147"/>
      <c r="I296" s="147"/>
      <c r="J296" s="147"/>
      <c r="K296" s="147"/>
      <c r="L296" s="147"/>
      <c r="M296" s="147"/>
      <c r="N296" s="147"/>
      <c r="O296" s="147"/>
      <c r="P296" s="147"/>
      <c r="Q296" s="147"/>
      <c r="R296" s="147"/>
      <c r="S296" s="147"/>
      <c r="T296" s="147"/>
      <c r="U296" s="147"/>
      <c r="V296" s="147"/>
      <c r="W296" s="147"/>
      <c r="X296" s="147"/>
      <c r="Y296" s="147"/>
      <c r="Z296" s="147"/>
      <c r="AA296" s="147"/>
      <c r="AB296" s="147"/>
      <c r="AC296" s="147"/>
      <c r="AD296" s="147"/>
      <c r="AE296" s="147"/>
      <c r="AF296" s="147"/>
      <c r="AG296" s="147"/>
    </row>
    <row r="297">
      <c r="A297" s="147"/>
      <c r="B297" s="147"/>
      <c r="C297" s="147"/>
      <c r="D297" s="147"/>
      <c r="E297" s="147"/>
      <c r="F297" s="205"/>
      <c r="G297" s="147"/>
      <c r="H297" s="147"/>
      <c r="I297" s="147"/>
      <c r="J297" s="147"/>
      <c r="K297" s="147"/>
      <c r="L297" s="147"/>
      <c r="M297" s="147"/>
      <c r="N297" s="147"/>
      <c r="O297" s="147"/>
      <c r="P297" s="147"/>
      <c r="Q297" s="147"/>
      <c r="R297" s="147"/>
      <c r="S297" s="147"/>
      <c r="T297" s="147"/>
      <c r="U297" s="147"/>
      <c r="V297" s="147"/>
      <c r="W297" s="147"/>
      <c r="X297" s="147"/>
      <c r="Y297" s="147"/>
      <c r="Z297" s="147"/>
      <c r="AA297" s="147"/>
      <c r="AB297" s="147"/>
      <c r="AC297" s="147"/>
      <c r="AD297" s="147"/>
      <c r="AE297" s="147"/>
      <c r="AF297" s="147"/>
      <c r="AG297" s="147"/>
    </row>
    <row r="298">
      <c r="A298" s="147"/>
      <c r="B298" s="147"/>
      <c r="C298" s="147"/>
      <c r="D298" s="147"/>
      <c r="E298" s="147"/>
      <c r="F298" s="205"/>
      <c r="G298" s="147"/>
      <c r="H298" s="147"/>
      <c r="I298" s="147"/>
      <c r="J298" s="147"/>
      <c r="K298" s="147"/>
      <c r="L298" s="147"/>
      <c r="M298" s="147"/>
      <c r="N298" s="147"/>
      <c r="O298" s="147"/>
      <c r="P298" s="147"/>
      <c r="Q298" s="147"/>
      <c r="R298" s="147"/>
      <c r="S298" s="147"/>
      <c r="T298" s="147"/>
      <c r="U298" s="147"/>
      <c r="V298" s="147"/>
      <c r="W298" s="147"/>
      <c r="X298" s="147"/>
      <c r="Y298" s="147"/>
      <c r="Z298" s="147"/>
      <c r="AA298" s="147"/>
      <c r="AB298" s="147"/>
      <c r="AC298" s="147"/>
      <c r="AD298" s="147"/>
      <c r="AE298" s="147"/>
      <c r="AF298" s="147"/>
      <c r="AG298" s="147"/>
    </row>
    <row r="299">
      <c r="A299" s="147"/>
      <c r="B299" s="147"/>
      <c r="C299" s="147"/>
      <c r="D299" s="147"/>
      <c r="E299" s="147"/>
      <c r="F299" s="205"/>
      <c r="G299" s="147"/>
      <c r="H299" s="147"/>
      <c r="I299" s="147"/>
      <c r="J299" s="147"/>
      <c r="K299" s="147"/>
      <c r="L299" s="147"/>
      <c r="M299" s="147"/>
      <c r="N299" s="147"/>
      <c r="O299" s="147"/>
      <c r="P299" s="147"/>
      <c r="Q299" s="147"/>
      <c r="R299" s="147"/>
      <c r="S299" s="147"/>
      <c r="T299" s="147"/>
      <c r="U299" s="147"/>
      <c r="V299" s="147"/>
      <c r="W299" s="147"/>
      <c r="X299" s="147"/>
      <c r="Y299" s="147"/>
      <c r="Z299" s="147"/>
      <c r="AA299" s="147"/>
      <c r="AB299" s="147"/>
      <c r="AC299" s="147"/>
      <c r="AD299" s="147"/>
      <c r="AE299" s="147"/>
      <c r="AF299" s="147"/>
      <c r="AG299" s="147"/>
    </row>
    <row r="300">
      <c r="A300" s="147"/>
      <c r="B300" s="147"/>
      <c r="C300" s="147"/>
      <c r="D300" s="147"/>
      <c r="E300" s="147"/>
      <c r="F300" s="205"/>
      <c r="G300" s="147"/>
      <c r="H300" s="147"/>
      <c r="I300" s="147"/>
      <c r="J300" s="147"/>
      <c r="K300" s="147"/>
      <c r="L300" s="147"/>
      <c r="M300" s="147"/>
      <c r="N300" s="147"/>
      <c r="O300" s="147"/>
      <c r="P300" s="147"/>
      <c r="Q300" s="147"/>
      <c r="R300" s="147"/>
      <c r="S300" s="147"/>
      <c r="T300" s="147"/>
      <c r="U300" s="147"/>
      <c r="V300" s="147"/>
      <c r="W300" s="147"/>
      <c r="X300" s="147"/>
      <c r="Y300" s="147"/>
      <c r="Z300" s="147"/>
      <c r="AA300" s="147"/>
      <c r="AB300" s="147"/>
      <c r="AC300" s="147"/>
      <c r="AD300" s="147"/>
      <c r="AE300" s="147"/>
      <c r="AF300" s="147"/>
      <c r="AG300" s="147"/>
    </row>
    <row r="301">
      <c r="A301" s="147"/>
      <c r="B301" s="147"/>
      <c r="C301" s="147"/>
      <c r="D301" s="147"/>
      <c r="E301" s="147"/>
      <c r="F301" s="205"/>
      <c r="G301" s="147"/>
      <c r="H301" s="147"/>
      <c r="I301" s="147"/>
      <c r="J301" s="147"/>
      <c r="K301" s="147"/>
      <c r="L301" s="147"/>
      <c r="M301" s="147"/>
      <c r="N301" s="147"/>
      <c r="O301" s="147"/>
      <c r="P301" s="147"/>
      <c r="Q301" s="147"/>
      <c r="R301" s="147"/>
      <c r="S301" s="147"/>
      <c r="T301" s="147"/>
      <c r="U301" s="147"/>
      <c r="V301" s="147"/>
      <c r="W301" s="147"/>
      <c r="X301" s="147"/>
      <c r="Y301" s="147"/>
      <c r="Z301" s="147"/>
      <c r="AA301" s="147"/>
      <c r="AB301" s="147"/>
      <c r="AC301" s="147"/>
      <c r="AD301" s="147"/>
      <c r="AE301" s="147"/>
      <c r="AF301" s="147"/>
      <c r="AG301" s="147"/>
    </row>
    <row r="302">
      <c r="A302" s="147"/>
      <c r="B302" s="147"/>
      <c r="C302" s="147"/>
      <c r="D302" s="147"/>
      <c r="E302" s="147"/>
      <c r="F302" s="205"/>
      <c r="G302" s="147"/>
      <c r="H302" s="147"/>
      <c r="I302" s="147"/>
      <c r="J302" s="147"/>
      <c r="K302" s="147"/>
      <c r="L302" s="147"/>
      <c r="M302" s="147"/>
      <c r="N302" s="147"/>
      <c r="O302" s="147"/>
      <c r="P302" s="147"/>
      <c r="Q302" s="147"/>
      <c r="R302" s="147"/>
      <c r="S302" s="147"/>
      <c r="T302" s="147"/>
      <c r="U302" s="147"/>
      <c r="V302" s="147"/>
      <c r="W302" s="147"/>
      <c r="X302" s="147"/>
      <c r="Y302" s="147"/>
      <c r="Z302" s="147"/>
      <c r="AA302" s="147"/>
      <c r="AB302" s="147"/>
      <c r="AC302" s="147"/>
      <c r="AD302" s="147"/>
      <c r="AE302" s="147"/>
      <c r="AF302" s="147"/>
      <c r="AG302" s="147"/>
    </row>
    <row r="303">
      <c r="A303" s="147"/>
      <c r="B303" s="147"/>
      <c r="C303" s="147"/>
      <c r="D303" s="147"/>
      <c r="E303" s="147"/>
      <c r="F303" s="205"/>
      <c r="G303" s="147"/>
      <c r="H303" s="147"/>
      <c r="I303" s="147"/>
      <c r="J303" s="147"/>
      <c r="K303" s="147"/>
      <c r="L303" s="147"/>
      <c r="M303" s="147"/>
      <c r="N303" s="147"/>
      <c r="O303" s="147"/>
      <c r="P303" s="147"/>
      <c r="Q303" s="147"/>
      <c r="R303" s="147"/>
      <c r="S303" s="147"/>
      <c r="T303" s="147"/>
      <c r="U303" s="147"/>
      <c r="V303" s="147"/>
      <c r="W303" s="147"/>
      <c r="X303" s="147"/>
      <c r="Y303" s="147"/>
      <c r="Z303" s="147"/>
      <c r="AA303" s="147"/>
      <c r="AB303" s="147"/>
      <c r="AC303" s="147"/>
      <c r="AD303" s="147"/>
      <c r="AE303" s="147"/>
      <c r="AF303" s="147"/>
      <c r="AG303" s="147"/>
    </row>
    <row r="304">
      <c r="A304" s="147"/>
      <c r="B304" s="147"/>
      <c r="C304" s="147"/>
      <c r="D304" s="147"/>
      <c r="E304" s="147"/>
      <c r="F304" s="205"/>
      <c r="G304" s="147"/>
      <c r="H304" s="147"/>
      <c r="I304" s="147"/>
      <c r="J304" s="147"/>
      <c r="K304" s="147"/>
      <c r="L304" s="147"/>
      <c r="M304" s="147"/>
      <c r="N304" s="147"/>
      <c r="O304" s="147"/>
      <c r="P304" s="147"/>
      <c r="Q304" s="147"/>
      <c r="R304" s="147"/>
      <c r="S304" s="147"/>
      <c r="T304" s="147"/>
      <c r="U304" s="147"/>
      <c r="V304" s="147"/>
      <c r="W304" s="147"/>
      <c r="X304" s="147"/>
      <c r="Y304" s="147"/>
      <c r="Z304" s="147"/>
      <c r="AA304" s="147"/>
      <c r="AB304" s="147"/>
      <c r="AC304" s="147"/>
      <c r="AD304" s="147"/>
      <c r="AE304" s="147"/>
      <c r="AF304" s="147"/>
      <c r="AG304" s="147"/>
    </row>
    <row r="305">
      <c r="A305" s="147"/>
      <c r="B305" s="147"/>
      <c r="C305" s="147"/>
      <c r="D305" s="147"/>
      <c r="E305" s="147"/>
      <c r="F305" s="205"/>
      <c r="G305" s="147"/>
      <c r="H305" s="147"/>
      <c r="I305" s="147"/>
      <c r="J305" s="147"/>
      <c r="K305" s="147"/>
      <c r="L305" s="147"/>
      <c r="M305" s="147"/>
      <c r="N305" s="147"/>
      <c r="O305" s="147"/>
      <c r="P305" s="147"/>
      <c r="Q305" s="147"/>
      <c r="R305" s="147"/>
      <c r="S305" s="147"/>
      <c r="T305" s="147"/>
      <c r="U305" s="147"/>
      <c r="V305" s="147"/>
      <c r="W305" s="147"/>
      <c r="X305" s="147"/>
      <c r="Y305" s="147"/>
      <c r="Z305" s="147"/>
      <c r="AA305" s="147"/>
      <c r="AB305" s="147"/>
      <c r="AC305" s="147"/>
      <c r="AD305" s="147"/>
      <c r="AE305" s="147"/>
      <c r="AF305" s="147"/>
      <c r="AG305" s="147"/>
    </row>
    <row r="306">
      <c r="A306" s="147"/>
      <c r="B306" s="147"/>
      <c r="C306" s="147"/>
      <c r="D306" s="147"/>
      <c r="E306" s="147"/>
      <c r="F306" s="205"/>
      <c r="G306" s="147"/>
      <c r="H306" s="147"/>
      <c r="I306" s="147"/>
      <c r="J306" s="147"/>
      <c r="K306" s="147"/>
      <c r="L306" s="147"/>
      <c r="M306" s="147"/>
      <c r="N306" s="147"/>
      <c r="O306" s="147"/>
      <c r="P306" s="147"/>
      <c r="Q306" s="147"/>
      <c r="R306" s="147"/>
      <c r="S306" s="147"/>
      <c r="T306" s="147"/>
      <c r="U306" s="147"/>
      <c r="V306" s="147"/>
      <c r="W306" s="147"/>
      <c r="X306" s="147"/>
      <c r="Y306" s="147"/>
      <c r="Z306" s="147"/>
      <c r="AA306" s="147"/>
      <c r="AB306" s="147"/>
      <c r="AC306" s="147"/>
      <c r="AD306" s="147"/>
      <c r="AE306" s="147"/>
      <c r="AF306" s="147"/>
      <c r="AG306" s="147"/>
    </row>
    <row r="307">
      <c r="A307" s="147"/>
      <c r="B307" s="147"/>
      <c r="C307" s="147"/>
      <c r="D307" s="147"/>
      <c r="E307" s="147"/>
      <c r="F307" s="205"/>
      <c r="G307" s="147"/>
      <c r="H307" s="147"/>
      <c r="I307" s="147"/>
      <c r="J307" s="147"/>
      <c r="K307" s="147"/>
      <c r="L307" s="147"/>
      <c r="M307" s="147"/>
      <c r="N307" s="147"/>
      <c r="O307" s="147"/>
      <c r="P307" s="147"/>
      <c r="Q307" s="147"/>
      <c r="R307" s="147"/>
      <c r="S307" s="147"/>
      <c r="T307" s="147"/>
      <c r="U307" s="147"/>
      <c r="V307" s="147"/>
      <c r="W307" s="147"/>
      <c r="X307" s="147"/>
      <c r="Y307" s="147"/>
      <c r="Z307" s="147"/>
      <c r="AA307" s="147"/>
      <c r="AB307" s="147"/>
      <c r="AC307" s="147"/>
      <c r="AD307" s="147"/>
      <c r="AE307" s="147"/>
      <c r="AF307" s="147"/>
      <c r="AG307" s="147"/>
    </row>
    <row r="308">
      <c r="A308" s="147"/>
      <c r="B308" s="147"/>
      <c r="C308" s="147"/>
      <c r="D308" s="147"/>
      <c r="E308" s="147"/>
      <c r="F308" s="205"/>
      <c r="G308" s="147"/>
      <c r="H308" s="147"/>
      <c r="I308" s="147"/>
      <c r="J308" s="147"/>
      <c r="K308" s="147"/>
      <c r="L308" s="147"/>
      <c r="M308" s="147"/>
      <c r="N308" s="147"/>
      <c r="O308" s="147"/>
      <c r="P308" s="147"/>
      <c r="Q308" s="147"/>
      <c r="R308" s="147"/>
      <c r="S308" s="147"/>
      <c r="T308" s="147"/>
      <c r="U308" s="147"/>
      <c r="V308" s="147"/>
      <c r="W308" s="147"/>
      <c r="X308" s="147"/>
      <c r="Y308" s="147"/>
      <c r="Z308" s="147"/>
      <c r="AA308" s="147"/>
      <c r="AB308" s="147"/>
      <c r="AC308" s="147"/>
      <c r="AD308" s="147"/>
      <c r="AE308" s="147"/>
      <c r="AF308" s="147"/>
      <c r="AG308" s="147"/>
    </row>
    <row r="309">
      <c r="A309" s="147"/>
      <c r="B309" s="147"/>
      <c r="C309" s="147"/>
      <c r="D309" s="147"/>
      <c r="E309" s="147"/>
      <c r="F309" s="205"/>
      <c r="G309" s="147"/>
      <c r="H309" s="147"/>
      <c r="I309" s="147"/>
      <c r="J309" s="147"/>
      <c r="K309" s="147"/>
      <c r="L309" s="147"/>
      <c r="M309" s="147"/>
      <c r="N309" s="147"/>
      <c r="O309" s="147"/>
      <c r="P309" s="147"/>
      <c r="Q309" s="147"/>
      <c r="R309" s="147"/>
      <c r="S309" s="147"/>
      <c r="T309" s="147"/>
      <c r="U309" s="147"/>
      <c r="V309" s="147"/>
      <c r="W309" s="147"/>
      <c r="X309" s="147"/>
      <c r="Y309" s="147"/>
      <c r="Z309" s="147"/>
      <c r="AA309" s="147"/>
      <c r="AB309" s="147"/>
      <c r="AC309" s="147"/>
      <c r="AD309" s="147"/>
      <c r="AE309" s="147"/>
      <c r="AF309" s="147"/>
      <c r="AG309" s="147"/>
    </row>
    <row r="310">
      <c r="A310" s="147"/>
      <c r="B310" s="147"/>
      <c r="C310" s="147"/>
      <c r="D310" s="147"/>
      <c r="E310" s="147"/>
      <c r="F310" s="205"/>
      <c r="G310" s="147"/>
      <c r="H310" s="147"/>
      <c r="I310" s="147"/>
      <c r="J310" s="147"/>
      <c r="K310" s="147"/>
      <c r="L310" s="147"/>
      <c r="M310" s="147"/>
      <c r="N310" s="147"/>
      <c r="O310" s="147"/>
      <c r="P310" s="147"/>
      <c r="Q310" s="147"/>
      <c r="R310" s="147"/>
      <c r="S310" s="147"/>
      <c r="T310" s="147"/>
      <c r="U310" s="147"/>
      <c r="V310" s="147"/>
      <c r="W310" s="147"/>
      <c r="X310" s="147"/>
      <c r="Y310" s="147"/>
      <c r="Z310" s="147"/>
      <c r="AA310" s="147"/>
      <c r="AB310" s="147"/>
      <c r="AC310" s="147"/>
      <c r="AD310" s="147"/>
      <c r="AE310" s="147"/>
      <c r="AF310" s="147"/>
      <c r="AG310" s="147"/>
    </row>
    <row r="311">
      <c r="A311" s="147"/>
      <c r="B311" s="147"/>
      <c r="C311" s="147"/>
      <c r="D311" s="147"/>
      <c r="E311" s="147"/>
      <c r="F311" s="205"/>
      <c r="G311" s="147"/>
      <c r="H311" s="147"/>
      <c r="I311" s="147"/>
      <c r="J311" s="147"/>
      <c r="K311" s="147"/>
      <c r="L311" s="147"/>
      <c r="M311" s="147"/>
      <c r="N311" s="147"/>
      <c r="O311" s="147"/>
      <c r="P311" s="147"/>
      <c r="Q311" s="147"/>
      <c r="R311" s="147"/>
      <c r="S311" s="147"/>
      <c r="T311" s="147"/>
      <c r="U311" s="147"/>
      <c r="V311" s="147"/>
      <c r="W311" s="147"/>
      <c r="X311" s="147"/>
      <c r="Y311" s="147"/>
      <c r="Z311" s="147"/>
      <c r="AA311" s="147"/>
      <c r="AB311" s="147"/>
      <c r="AC311" s="147"/>
      <c r="AD311" s="147"/>
      <c r="AE311" s="147"/>
      <c r="AF311" s="147"/>
      <c r="AG311" s="147"/>
    </row>
    <row r="312">
      <c r="A312" s="147"/>
      <c r="B312" s="147"/>
      <c r="C312" s="147"/>
      <c r="D312" s="147"/>
      <c r="E312" s="147"/>
      <c r="F312" s="205"/>
      <c r="G312" s="147"/>
      <c r="H312" s="147"/>
      <c r="I312" s="147"/>
      <c r="J312" s="147"/>
      <c r="K312" s="147"/>
      <c r="L312" s="147"/>
      <c r="M312" s="147"/>
      <c r="N312" s="147"/>
      <c r="O312" s="147"/>
      <c r="P312" s="147"/>
      <c r="Q312" s="147"/>
      <c r="R312" s="147"/>
      <c r="S312" s="147"/>
      <c r="T312" s="147"/>
      <c r="U312" s="147"/>
      <c r="V312" s="147"/>
      <c r="W312" s="147"/>
      <c r="X312" s="147"/>
      <c r="Y312" s="147"/>
      <c r="Z312" s="147"/>
      <c r="AA312" s="147"/>
      <c r="AB312" s="147"/>
      <c r="AC312" s="147"/>
      <c r="AD312" s="147"/>
      <c r="AE312" s="147"/>
      <c r="AF312" s="147"/>
      <c r="AG312" s="147"/>
    </row>
    <row r="313">
      <c r="A313" s="147"/>
      <c r="B313" s="147"/>
      <c r="C313" s="147"/>
      <c r="D313" s="147"/>
      <c r="E313" s="147"/>
      <c r="F313" s="205"/>
      <c r="G313" s="147"/>
      <c r="H313" s="147"/>
      <c r="I313" s="147"/>
      <c r="J313" s="147"/>
      <c r="K313" s="147"/>
      <c r="L313" s="147"/>
      <c r="M313" s="147"/>
      <c r="N313" s="147"/>
      <c r="O313" s="147"/>
      <c r="P313" s="147"/>
      <c r="Q313" s="147"/>
      <c r="R313" s="147"/>
      <c r="S313" s="147"/>
      <c r="T313" s="147"/>
      <c r="U313" s="147"/>
      <c r="V313" s="147"/>
      <c r="W313" s="147"/>
      <c r="X313" s="147"/>
      <c r="Y313" s="147"/>
      <c r="Z313" s="147"/>
      <c r="AA313" s="147"/>
      <c r="AB313" s="147"/>
      <c r="AC313" s="147"/>
      <c r="AD313" s="147"/>
      <c r="AE313" s="147"/>
      <c r="AF313" s="147"/>
      <c r="AG313" s="147"/>
    </row>
    <row r="314">
      <c r="A314" s="147"/>
      <c r="B314" s="147"/>
      <c r="C314" s="147"/>
      <c r="D314" s="147"/>
      <c r="E314" s="147"/>
      <c r="F314" s="205"/>
      <c r="G314" s="147"/>
      <c r="H314" s="147"/>
      <c r="I314" s="147"/>
      <c r="J314" s="147"/>
      <c r="K314" s="147"/>
      <c r="L314" s="147"/>
      <c r="M314" s="147"/>
      <c r="N314" s="147"/>
      <c r="O314" s="147"/>
      <c r="P314" s="147"/>
      <c r="Q314" s="147"/>
      <c r="R314" s="147"/>
      <c r="S314" s="147"/>
      <c r="T314" s="147"/>
      <c r="U314" s="147"/>
      <c r="V314" s="147"/>
      <c r="W314" s="147"/>
      <c r="X314" s="147"/>
      <c r="Y314" s="147"/>
      <c r="Z314" s="147"/>
      <c r="AA314" s="147"/>
      <c r="AB314" s="147"/>
      <c r="AC314" s="147"/>
      <c r="AD314" s="147"/>
      <c r="AE314" s="147"/>
      <c r="AF314" s="147"/>
      <c r="AG314" s="147"/>
    </row>
    <row r="315">
      <c r="A315" s="147"/>
      <c r="B315" s="147"/>
      <c r="C315" s="147"/>
      <c r="D315" s="147"/>
      <c r="E315" s="147"/>
      <c r="F315" s="205"/>
      <c r="G315" s="147"/>
      <c r="H315" s="147"/>
      <c r="I315" s="147"/>
      <c r="J315" s="147"/>
      <c r="K315" s="147"/>
      <c r="L315" s="147"/>
      <c r="M315" s="147"/>
      <c r="N315" s="147"/>
      <c r="O315" s="147"/>
      <c r="P315" s="147"/>
      <c r="Q315" s="147"/>
      <c r="R315" s="147"/>
      <c r="S315" s="147"/>
      <c r="T315" s="147"/>
      <c r="U315" s="147"/>
      <c r="V315" s="147"/>
      <c r="W315" s="147"/>
      <c r="X315" s="147"/>
      <c r="Y315" s="147"/>
      <c r="Z315" s="147"/>
      <c r="AA315" s="147"/>
      <c r="AB315" s="147"/>
      <c r="AC315" s="147"/>
      <c r="AD315" s="147"/>
      <c r="AE315" s="147"/>
      <c r="AF315" s="147"/>
      <c r="AG315" s="147"/>
    </row>
    <row r="316">
      <c r="A316" s="147"/>
      <c r="B316" s="147"/>
      <c r="C316" s="147"/>
      <c r="D316" s="147"/>
      <c r="E316" s="147"/>
      <c r="F316" s="205"/>
      <c r="G316" s="147"/>
      <c r="H316" s="147"/>
      <c r="I316" s="147"/>
      <c r="J316" s="147"/>
      <c r="K316" s="147"/>
      <c r="L316" s="147"/>
      <c r="M316" s="147"/>
      <c r="N316" s="147"/>
      <c r="O316" s="147"/>
      <c r="P316" s="147"/>
      <c r="Q316" s="147"/>
      <c r="R316" s="147"/>
      <c r="S316" s="147"/>
      <c r="T316" s="147"/>
      <c r="U316" s="147"/>
      <c r="V316" s="147"/>
      <c r="W316" s="147"/>
      <c r="X316" s="147"/>
      <c r="Y316" s="147"/>
      <c r="Z316" s="147"/>
      <c r="AA316" s="147"/>
      <c r="AB316" s="147"/>
      <c r="AC316" s="147"/>
      <c r="AD316" s="147"/>
      <c r="AE316" s="147"/>
      <c r="AF316" s="147"/>
      <c r="AG316" s="147"/>
    </row>
    <row r="317">
      <c r="A317" s="147"/>
      <c r="B317" s="147"/>
      <c r="C317" s="147"/>
      <c r="D317" s="147"/>
      <c r="E317" s="147"/>
      <c r="F317" s="205"/>
      <c r="G317" s="147"/>
      <c r="H317" s="147"/>
      <c r="I317" s="147"/>
      <c r="J317" s="147"/>
      <c r="K317" s="147"/>
      <c r="L317" s="147"/>
      <c r="M317" s="147"/>
      <c r="N317" s="147"/>
      <c r="O317" s="147"/>
      <c r="P317" s="147"/>
      <c r="Q317" s="147"/>
      <c r="R317" s="147"/>
      <c r="S317" s="147"/>
      <c r="T317" s="147"/>
      <c r="U317" s="147"/>
      <c r="V317" s="147"/>
      <c r="W317" s="147"/>
      <c r="X317" s="147"/>
      <c r="Y317" s="147"/>
      <c r="Z317" s="147"/>
      <c r="AA317" s="147"/>
      <c r="AB317" s="147"/>
      <c r="AC317" s="147"/>
      <c r="AD317" s="147"/>
      <c r="AE317" s="147"/>
      <c r="AF317" s="147"/>
      <c r="AG317" s="147"/>
    </row>
    <row r="318">
      <c r="A318" s="147"/>
      <c r="B318" s="147"/>
      <c r="C318" s="147"/>
      <c r="D318" s="147"/>
      <c r="E318" s="147"/>
      <c r="F318" s="205"/>
      <c r="G318" s="147"/>
      <c r="H318" s="147"/>
      <c r="I318" s="147"/>
      <c r="J318" s="147"/>
      <c r="K318" s="147"/>
      <c r="L318" s="147"/>
      <c r="M318" s="147"/>
      <c r="N318" s="147"/>
      <c r="O318" s="147"/>
      <c r="P318" s="147"/>
      <c r="Q318" s="147"/>
      <c r="R318" s="147"/>
      <c r="S318" s="147"/>
      <c r="T318" s="147"/>
      <c r="U318" s="147"/>
      <c r="V318" s="147"/>
      <c r="W318" s="147"/>
      <c r="X318" s="147"/>
      <c r="Y318" s="147"/>
      <c r="Z318" s="147"/>
      <c r="AA318" s="147"/>
      <c r="AB318" s="147"/>
      <c r="AC318" s="147"/>
      <c r="AD318" s="147"/>
      <c r="AE318" s="147"/>
      <c r="AF318" s="147"/>
      <c r="AG318" s="147"/>
    </row>
    <row r="319">
      <c r="A319" s="147"/>
      <c r="B319" s="147"/>
      <c r="C319" s="147"/>
      <c r="D319" s="147"/>
      <c r="E319" s="147"/>
      <c r="F319" s="205"/>
      <c r="G319" s="147"/>
      <c r="H319" s="147"/>
      <c r="I319" s="147"/>
      <c r="J319" s="147"/>
      <c r="K319" s="147"/>
      <c r="L319" s="147"/>
      <c r="M319" s="147"/>
      <c r="N319" s="147"/>
      <c r="O319" s="147"/>
      <c r="P319" s="147"/>
      <c r="Q319" s="147"/>
      <c r="R319" s="147"/>
      <c r="S319" s="147"/>
      <c r="T319" s="147"/>
      <c r="U319" s="147"/>
      <c r="V319" s="147"/>
      <c r="W319" s="147"/>
      <c r="X319" s="147"/>
      <c r="Y319" s="147"/>
      <c r="Z319" s="147"/>
      <c r="AA319" s="147"/>
      <c r="AB319" s="147"/>
      <c r="AC319" s="147"/>
      <c r="AD319" s="147"/>
      <c r="AE319" s="147"/>
      <c r="AF319" s="147"/>
      <c r="AG319" s="147"/>
    </row>
    <row r="320">
      <c r="A320" s="147"/>
      <c r="B320" s="147"/>
      <c r="C320" s="147"/>
      <c r="D320" s="147"/>
      <c r="E320" s="147"/>
      <c r="F320" s="205"/>
      <c r="G320" s="147"/>
      <c r="H320" s="147"/>
      <c r="I320" s="147"/>
      <c r="J320" s="147"/>
      <c r="K320" s="147"/>
      <c r="L320" s="147"/>
      <c r="M320" s="147"/>
      <c r="N320" s="147"/>
      <c r="O320" s="147"/>
      <c r="P320" s="147"/>
      <c r="Q320" s="147"/>
      <c r="R320" s="147"/>
      <c r="S320" s="147"/>
      <c r="T320" s="147"/>
      <c r="U320" s="147"/>
      <c r="V320" s="147"/>
      <c r="W320" s="147"/>
      <c r="X320" s="147"/>
      <c r="Y320" s="147"/>
      <c r="Z320" s="147"/>
      <c r="AA320" s="147"/>
      <c r="AB320" s="147"/>
      <c r="AC320" s="147"/>
      <c r="AD320" s="147"/>
      <c r="AE320" s="147"/>
      <c r="AF320" s="147"/>
      <c r="AG320" s="147"/>
    </row>
    <row r="321">
      <c r="A321" s="147"/>
      <c r="B321" s="147"/>
      <c r="C321" s="147"/>
      <c r="D321" s="147"/>
      <c r="E321" s="147"/>
      <c r="F321" s="205"/>
      <c r="G321" s="147"/>
      <c r="H321" s="147"/>
      <c r="I321" s="147"/>
      <c r="J321" s="147"/>
      <c r="K321" s="147"/>
      <c r="L321" s="147"/>
      <c r="M321" s="147"/>
      <c r="N321" s="147"/>
      <c r="O321" s="147"/>
      <c r="P321" s="147"/>
      <c r="Q321" s="147"/>
      <c r="R321" s="147"/>
      <c r="S321" s="147"/>
      <c r="T321" s="147"/>
      <c r="U321" s="147"/>
      <c r="V321" s="147"/>
      <c r="W321" s="147"/>
      <c r="X321" s="147"/>
      <c r="Y321" s="147"/>
      <c r="Z321" s="147"/>
      <c r="AA321" s="147"/>
      <c r="AB321" s="147"/>
      <c r="AC321" s="147"/>
      <c r="AD321" s="147"/>
      <c r="AE321" s="147"/>
      <c r="AF321" s="147"/>
      <c r="AG321" s="147"/>
    </row>
    <row r="322">
      <c r="A322" s="147"/>
      <c r="B322" s="147"/>
      <c r="C322" s="147"/>
      <c r="D322" s="147"/>
      <c r="E322" s="147"/>
      <c r="F322" s="205"/>
      <c r="G322" s="147"/>
      <c r="H322" s="147"/>
      <c r="I322" s="147"/>
      <c r="J322" s="147"/>
      <c r="K322" s="147"/>
      <c r="L322" s="147"/>
      <c r="M322" s="147"/>
      <c r="N322" s="147"/>
      <c r="O322" s="147"/>
      <c r="P322" s="147"/>
      <c r="Q322" s="147"/>
      <c r="R322" s="147"/>
      <c r="S322" s="147"/>
      <c r="T322" s="147"/>
      <c r="U322" s="147"/>
      <c r="V322" s="147"/>
      <c r="W322" s="147"/>
      <c r="X322" s="147"/>
      <c r="Y322" s="147"/>
      <c r="Z322" s="147"/>
      <c r="AA322" s="147"/>
      <c r="AB322" s="147"/>
      <c r="AC322" s="147"/>
      <c r="AD322" s="147"/>
      <c r="AE322" s="147"/>
      <c r="AF322" s="147"/>
      <c r="AG322" s="147"/>
    </row>
    <row r="323">
      <c r="A323" s="147"/>
      <c r="B323" s="147"/>
      <c r="C323" s="147"/>
      <c r="D323" s="147"/>
      <c r="E323" s="147"/>
      <c r="F323" s="205"/>
      <c r="G323" s="147"/>
      <c r="H323" s="147"/>
      <c r="I323" s="147"/>
      <c r="J323" s="147"/>
      <c r="K323" s="147"/>
      <c r="L323" s="147"/>
      <c r="M323" s="147"/>
      <c r="N323" s="147"/>
      <c r="O323" s="147"/>
      <c r="P323" s="147"/>
      <c r="Q323" s="147"/>
      <c r="R323" s="147"/>
      <c r="S323" s="147"/>
      <c r="T323" s="147"/>
      <c r="U323" s="147"/>
      <c r="V323" s="147"/>
      <c r="W323" s="147"/>
      <c r="X323" s="147"/>
      <c r="Y323" s="147"/>
      <c r="Z323" s="147"/>
      <c r="AA323" s="147"/>
      <c r="AB323" s="147"/>
      <c r="AC323" s="147"/>
      <c r="AD323" s="147"/>
      <c r="AE323" s="147"/>
      <c r="AF323" s="147"/>
      <c r="AG323" s="147"/>
    </row>
    <row r="324">
      <c r="A324" s="147"/>
      <c r="B324" s="147"/>
      <c r="C324" s="147"/>
      <c r="D324" s="147"/>
      <c r="E324" s="147"/>
      <c r="F324" s="205"/>
      <c r="G324" s="147"/>
      <c r="H324" s="147"/>
      <c r="I324" s="147"/>
      <c r="J324" s="147"/>
      <c r="K324" s="147"/>
      <c r="L324" s="147"/>
      <c r="M324" s="147"/>
      <c r="N324" s="147"/>
      <c r="O324" s="147"/>
      <c r="P324" s="147"/>
      <c r="Q324" s="147"/>
      <c r="R324" s="147"/>
      <c r="S324" s="147"/>
      <c r="T324" s="147"/>
      <c r="U324" s="147"/>
      <c r="V324" s="147"/>
      <c r="W324" s="147"/>
      <c r="X324" s="147"/>
      <c r="Y324" s="147"/>
      <c r="Z324" s="147"/>
      <c r="AA324" s="147"/>
      <c r="AB324" s="147"/>
      <c r="AC324" s="147"/>
      <c r="AD324" s="147"/>
      <c r="AE324" s="147"/>
      <c r="AF324" s="147"/>
      <c r="AG324" s="147"/>
    </row>
    <row r="325">
      <c r="A325" s="147"/>
      <c r="B325" s="147"/>
      <c r="C325" s="147"/>
      <c r="D325" s="147"/>
      <c r="E325" s="147"/>
      <c r="F325" s="205"/>
      <c r="G325" s="147"/>
      <c r="H325" s="147"/>
      <c r="I325" s="147"/>
      <c r="J325" s="147"/>
      <c r="K325" s="147"/>
      <c r="L325" s="147"/>
      <c r="M325" s="147"/>
      <c r="N325" s="147"/>
      <c r="O325" s="147"/>
      <c r="P325" s="147"/>
      <c r="Q325" s="147"/>
      <c r="R325" s="147"/>
      <c r="S325" s="147"/>
      <c r="T325" s="147"/>
      <c r="U325" s="147"/>
      <c r="V325" s="147"/>
      <c r="W325" s="147"/>
      <c r="X325" s="147"/>
      <c r="Y325" s="147"/>
      <c r="Z325" s="147"/>
      <c r="AA325" s="147"/>
      <c r="AB325" s="147"/>
      <c r="AC325" s="147"/>
      <c r="AD325" s="147"/>
      <c r="AE325" s="147"/>
      <c r="AF325" s="147"/>
      <c r="AG325" s="147"/>
    </row>
    <row r="326">
      <c r="A326" s="147"/>
      <c r="B326" s="147"/>
      <c r="C326" s="147"/>
      <c r="D326" s="147"/>
      <c r="E326" s="147"/>
      <c r="F326" s="205"/>
      <c r="G326" s="147"/>
      <c r="H326" s="147"/>
      <c r="I326" s="147"/>
      <c r="J326" s="147"/>
      <c r="K326" s="147"/>
      <c r="L326" s="147"/>
      <c r="M326" s="147"/>
      <c r="N326" s="147"/>
      <c r="O326" s="147"/>
      <c r="P326" s="147"/>
      <c r="Q326" s="147"/>
      <c r="R326" s="147"/>
      <c r="S326" s="147"/>
      <c r="T326" s="147"/>
      <c r="U326" s="147"/>
      <c r="V326" s="147"/>
      <c r="W326" s="147"/>
      <c r="X326" s="147"/>
      <c r="Y326" s="147"/>
      <c r="Z326" s="147"/>
      <c r="AA326" s="147"/>
      <c r="AB326" s="147"/>
      <c r="AC326" s="147"/>
      <c r="AD326" s="147"/>
      <c r="AE326" s="147"/>
      <c r="AF326" s="147"/>
      <c r="AG326" s="147"/>
    </row>
    <row r="327">
      <c r="A327" s="147"/>
      <c r="B327" s="147"/>
      <c r="C327" s="147"/>
      <c r="D327" s="147"/>
      <c r="E327" s="147"/>
      <c r="F327" s="205"/>
      <c r="G327" s="147"/>
      <c r="H327" s="147"/>
      <c r="I327" s="147"/>
      <c r="J327" s="147"/>
      <c r="K327" s="147"/>
      <c r="L327" s="147"/>
      <c r="M327" s="147"/>
      <c r="N327" s="147"/>
      <c r="O327" s="147"/>
      <c r="P327" s="147"/>
      <c r="Q327" s="147"/>
      <c r="R327" s="147"/>
      <c r="S327" s="147"/>
      <c r="T327" s="147"/>
      <c r="U327" s="147"/>
      <c r="V327" s="147"/>
      <c r="W327" s="147"/>
      <c r="X327" s="147"/>
      <c r="Y327" s="147"/>
      <c r="Z327" s="147"/>
      <c r="AA327" s="147"/>
      <c r="AB327" s="147"/>
      <c r="AC327" s="147"/>
      <c r="AD327" s="147"/>
      <c r="AE327" s="147"/>
      <c r="AF327" s="147"/>
      <c r="AG327" s="147"/>
    </row>
    <row r="328">
      <c r="A328" s="147"/>
      <c r="B328" s="147"/>
      <c r="C328" s="147"/>
      <c r="D328" s="147"/>
      <c r="E328" s="147"/>
      <c r="F328" s="205"/>
      <c r="G328" s="147"/>
      <c r="H328" s="147"/>
      <c r="I328" s="147"/>
      <c r="J328" s="147"/>
      <c r="K328" s="147"/>
      <c r="L328" s="147"/>
      <c r="M328" s="147"/>
      <c r="N328" s="147"/>
      <c r="O328" s="147"/>
      <c r="P328" s="147"/>
      <c r="Q328" s="147"/>
      <c r="R328" s="147"/>
      <c r="S328" s="147"/>
      <c r="T328" s="147"/>
      <c r="U328" s="147"/>
      <c r="V328" s="147"/>
      <c r="W328" s="147"/>
      <c r="X328" s="147"/>
      <c r="Y328" s="147"/>
      <c r="Z328" s="147"/>
      <c r="AA328" s="147"/>
      <c r="AB328" s="147"/>
      <c r="AC328" s="147"/>
      <c r="AD328" s="147"/>
      <c r="AE328" s="147"/>
      <c r="AF328" s="147"/>
      <c r="AG328" s="147"/>
    </row>
    <row r="329">
      <c r="A329" s="147"/>
      <c r="B329" s="147"/>
      <c r="C329" s="147"/>
      <c r="D329" s="147"/>
      <c r="E329" s="147"/>
      <c r="F329" s="205"/>
      <c r="G329" s="147"/>
      <c r="H329" s="147"/>
      <c r="I329" s="147"/>
      <c r="J329" s="147"/>
      <c r="K329" s="147"/>
      <c r="L329" s="147"/>
      <c r="M329" s="147"/>
      <c r="N329" s="147"/>
      <c r="O329" s="147"/>
      <c r="P329" s="147"/>
      <c r="Q329" s="147"/>
      <c r="R329" s="147"/>
      <c r="S329" s="147"/>
      <c r="T329" s="147"/>
      <c r="U329" s="147"/>
      <c r="V329" s="147"/>
      <c r="W329" s="147"/>
      <c r="X329" s="147"/>
      <c r="Y329" s="147"/>
      <c r="Z329" s="147"/>
      <c r="AA329" s="147"/>
      <c r="AB329" s="147"/>
      <c r="AC329" s="147"/>
      <c r="AD329" s="147"/>
      <c r="AE329" s="147"/>
      <c r="AF329" s="147"/>
      <c r="AG329" s="147"/>
    </row>
    <row r="330">
      <c r="A330" s="147"/>
      <c r="B330" s="147"/>
      <c r="C330" s="147"/>
      <c r="D330" s="147"/>
      <c r="E330" s="147"/>
      <c r="F330" s="205"/>
      <c r="G330" s="147"/>
      <c r="H330" s="147"/>
      <c r="I330" s="147"/>
      <c r="J330" s="147"/>
      <c r="K330" s="147"/>
      <c r="L330" s="147"/>
      <c r="M330" s="147"/>
      <c r="N330" s="147"/>
      <c r="O330" s="147"/>
      <c r="P330" s="147"/>
      <c r="Q330" s="147"/>
      <c r="R330" s="147"/>
      <c r="S330" s="147"/>
      <c r="T330" s="147"/>
      <c r="U330" s="147"/>
      <c r="V330" s="147"/>
      <c r="W330" s="147"/>
      <c r="X330" s="147"/>
      <c r="Y330" s="147"/>
      <c r="Z330" s="147"/>
      <c r="AA330" s="147"/>
      <c r="AB330" s="147"/>
      <c r="AC330" s="147"/>
      <c r="AD330" s="147"/>
      <c r="AE330" s="147"/>
      <c r="AF330" s="147"/>
      <c r="AG330" s="147"/>
    </row>
    <row r="331">
      <c r="A331" s="147"/>
      <c r="B331" s="147"/>
      <c r="C331" s="147"/>
      <c r="D331" s="147"/>
      <c r="E331" s="147"/>
      <c r="F331" s="205"/>
      <c r="G331" s="147"/>
      <c r="H331" s="147"/>
      <c r="I331" s="147"/>
      <c r="J331" s="147"/>
      <c r="K331" s="147"/>
      <c r="L331" s="147"/>
      <c r="M331" s="147"/>
      <c r="N331" s="147"/>
      <c r="O331" s="147"/>
      <c r="P331" s="147"/>
      <c r="Q331" s="147"/>
      <c r="R331" s="147"/>
      <c r="S331" s="147"/>
      <c r="T331" s="147"/>
      <c r="U331" s="147"/>
      <c r="V331" s="147"/>
      <c r="W331" s="147"/>
      <c r="X331" s="147"/>
      <c r="Y331" s="147"/>
      <c r="Z331" s="147"/>
      <c r="AA331" s="147"/>
      <c r="AB331" s="147"/>
      <c r="AC331" s="147"/>
      <c r="AD331" s="147"/>
      <c r="AE331" s="147"/>
      <c r="AF331" s="147"/>
      <c r="AG331" s="147"/>
    </row>
    <row r="332">
      <c r="A332" s="147"/>
      <c r="B332" s="147"/>
      <c r="C332" s="147"/>
      <c r="D332" s="147"/>
      <c r="E332" s="147"/>
      <c r="F332" s="205"/>
      <c r="G332" s="147"/>
      <c r="H332" s="147"/>
      <c r="I332" s="147"/>
      <c r="J332" s="147"/>
      <c r="K332" s="147"/>
      <c r="L332" s="147"/>
      <c r="M332" s="147"/>
      <c r="N332" s="147"/>
      <c r="O332" s="147"/>
      <c r="P332" s="147"/>
      <c r="Q332" s="147"/>
      <c r="R332" s="147"/>
      <c r="S332" s="147"/>
      <c r="T332" s="147"/>
      <c r="U332" s="147"/>
      <c r="V332" s="147"/>
      <c r="W332" s="147"/>
      <c r="X332" s="147"/>
      <c r="Y332" s="147"/>
      <c r="Z332" s="147"/>
      <c r="AA332" s="147"/>
      <c r="AB332" s="147"/>
      <c r="AC332" s="147"/>
      <c r="AD332" s="147"/>
      <c r="AE332" s="147"/>
      <c r="AF332" s="147"/>
      <c r="AG332" s="147"/>
    </row>
    <row r="333">
      <c r="A333" s="147"/>
      <c r="B333" s="147"/>
      <c r="C333" s="147"/>
      <c r="D333" s="147"/>
      <c r="E333" s="147"/>
      <c r="F333" s="205"/>
      <c r="G333" s="147"/>
      <c r="H333" s="147"/>
      <c r="I333" s="147"/>
      <c r="J333" s="147"/>
      <c r="K333" s="147"/>
      <c r="L333" s="147"/>
      <c r="M333" s="147"/>
      <c r="N333" s="147"/>
      <c r="O333" s="147"/>
      <c r="P333" s="147"/>
      <c r="Q333" s="147"/>
      <c r="R333" s="147"/>
      <c r="S333" s="147"/>
      <c r="T333" s="147"/>
      <c r="U333" s="147"/>
      <c r="V333" s="147"/>
      <c r="W333" s="147"/>
      <c r="X333" s="147"/>
      <c r="Y333" s="147"/>
      <c r="Z333" s="147"/>
      <c r="AA333" s="147"/>
      <c r="AB333" s="147"/>
      <c r="AC333" s="147"/>
      <c r="AD333" s="147"/>
      <c r="AE333" s="147"/>
      <c r="AF333" s="147"/>
      <c r="AG333" s="147"/>
    </row>
    <row r="334">
      <c r="A334" s="147"/>
      <c r="B334" s="147"/>
      <c r="C334" s="147"/>
      <c r="D334" s="147"/>
      <c r="E334" s="147"/>
      <c r="F334" s="205"/>
      <c r="G334" s="147"/>
      <c r="H334" s="147"/>
      <c r="I334" s="147"/>
      <c r="J334" s="147"/>
      <c r="K334" s="147"/>
      <c r="L334" s="147"/>
      <c r="M334" s="147"/>
      <c r="N334" s="147"/>
      <c r="O334" s="147"/>
      <c r="P334" s="147"/>
      <c r="Q334" s="147"/>
      <c r="R334" s="147"/>
      <c r="S334" s="147"/>
      <c r="T334" s="147"/>
      <c r="U334" s="147"/>
      <c r="V334" s="147"/>
      <c r="W334" s="147"/>
      <c r="X334" s="147"/>
      <c r="Y334" s="147"/>
      <c r="Z334" s="147"/>
      <c r="AA334" s="147"/>
      <c r="AB334" s="147"/>
      <c r="AC334" s="147"/>
      <c r="AD334" s="147"/>
      <c r="AE334" s="147"/>
      <c r="AF334" s="147"/>
      <c r="AG334" s="147"/>
    </row>
    <row r="335">
      <c r="A335" s="147"/>
      <c r="B335" s="147"/>
      <c r="C335" s="147"/>
      <c r="D335" s="147"/>
      <c r="E335" s="147"/>
      <c r="F335" s="205"/>
      <c r="G335" s="147"/>
      <c r="H335" s="147"/>
      <c r="I335" s="147"/>
      <c r="J335" s="147"/>
      <c r="K335" s="147"/>
      <c r="L335" s="147"/>
      <c r="M335" s="147"/>
      <c r="N335" s="147"/>
      <c r="O335" s="147"/>
      <c r="P335" s="147"/>
      <c r="Q335" s="147"/>
      <c r="R335" s="147"/>
      <c r="S335" s="147"/>
      <c r="T335" s="147"/>
      <c r="U335" s="147"/>
      <c r="V335" s="147"/>
      <c r="W335" s="147"/>
      <c r="X335" s="147"/>
      <c r="Y335" s="147"/>
      <c r="Z335" s="147"/>
      <c r="AA335" s="147"/>
      <c r="AB335" s="147"/>
      <c r="AC335" s="147"/>
      <c r="AD335" s="147"/>
      <c r="AE335" s="147"/>
      <c r="AF335" s="147"/>
      <c r="AG335" s="147"/>
    </row>
    <row r="336">
      <c r="A336" s="147"/>
      <c r="B336" s="147"/>
      <c r="C336" s="147"/>
      <c r="D336" s="147"/>
      <c r="E336" s="147"/>
      <c r="F336" s="205"/>
      <c r="G336" s="147"/>
      <c r="H336" s="147"/>
      <c r="I336" s="147"/>
      <c r="J336" s="147"/>
      <c r="K336" s="147"/>
      <c r="L336" s="147"/>
      <c r="M336" s="147"/>
      <c r="N336" s="147"/>
      <c r="O336" s="147"/>
      <c r="P336" s="147"/>
      <c r="Q336" s="147"/>
      <c r="R336" s="147"/>
      <c r="S336" s="147"/>
      <c r="T336" s="147"/>
      <c r="U336" s="147"/>
      <c r="V336" s="147"/>
      <c r="W336" s="147"/>
      <c r="X336" s="147"/>
      <c r="Y336" s="147"/>
      <c r="Z336" s="147"/>
      <c r="AA336" s="147"/>
      <c r="AB336" s="147"/>
      <c r="AC336" s="147"/>
      <c r="AD336" s="147"/>
      <c r="AE336" s="147"/>
      <c r="AF336" s="147"/>
      <c r="AG336" s="147"/>
    </row>
    <row r="337">
      <c r="A337" s="147"/>
      <c r="B337" s="147"/>
      <c r="C337" s="147"/>
      <c r="D337" s="147"/>
      <c r="E337" s="147"/>
      <c r="F337" s="205"/>
      <c r="G337" s="147"/>
      <c r="H337" s="147"/>
      <c r="I337" s="147"/>
      <c r="J337" s="147"/>
      <c r="K337" s="147"/>
      <c r="L337" s="147"/>
      <c r="M337" s="147"/>
      <c r="N337" s="147"/>
      <c r="O337" s="147"/>
      <c r="P337" s="147"/>
      <c r="Q337" s="147"/>
      <c r="R337" s="147"/>
      <c r="S337" s="147"/>
      <c r="T337" s="147"/>
      <c r="U337" s="147"/>
      <c r="V337" s="147"/>
      <c r="W337" s="147"/>
      <c r="X337" s="147"/>
      <c r="Y337" s="147"/>
      <c r="Z337" s="147"/>
      <c r="AA337" s="147"/>
      <c r="AB337" s="147"/>
      <c r="AC337" s="147"/>
      <c r="AD337" s="147"/>
      <c r="AE337" s="147"/>
      <c r="AF337" s="147"/>
      <c r="AG337" s="147"/>
    </row>
    <row r="338">
      <c r="A338" s="147"/>
      <c r="B338" s="147"/>
      <c r="C338" s="147"/>
      <c r="D338" s="147"/>
      <c r="E338" s="147"/>
      <c r="F338" s="205"/>
      <c r="G338" s="147"/>
      <c r="H338" s="147"/>
      <c r="I338" s="147"/>
      <c r="J338" s="147"/>
      <c r="K338" s="147"/>
      <c r="L338" s="147"/>
      <c r="M338" s="147"/>
      <c r="N338" s="147"/>
      <c r="O338" s="147"/>
      <c r="P338" s="147"/>
      <c r="Q338" s="147"/>
      <c r="R338" s="147"/>
      <c r="S338" s="147"/>
      <c r="T338" s="147"/>
      <c r="U338" s="147"/>
      <c r="V338" s="147"/>
      <c r="W338" s="147"/>
      <c r="X338" s="147"/>
      <c r="Y338" s="147"/>
      <c r="Z338" s="147"/>
      <c r="AA338" s="147"/>
      <c r="AB338" s="147"/>
      <c r="AC338" s="147"/>
      <c r="AD338" s="147"/>
      <c r="AE338" s="147"/>
      <c r="AF338" s="147"/>
      <c r="AG338" s="147"/>
    </row>
    <row r="339">
      <c r="A339" s="147"/>
      <c r="B339" s="147"/>
      <c r="C339" s="147"/>
      <c r="D339" s="147"/>
      <c r="E339" s="147"/>
      <c r="F339" s="205"/>
      <c r="G339" s="147"/>
      <c r="H339" s="147"/>
      <c r="I339" s="147"/>
      <c r="J339" s="147"/>
      <c r="K339" s="147"/>
      <c r="L339" s="147"/>
      <c r="M339" s="147"/>
      <c r="N339" s="147"/>
      <c r="O339" s="147"/>
      <c r="P339" s="147"/>
      <c r="Q339" s="147"/>
      <c r="R339" s="147"/>
      <c r="S339" s="147"/>
      <c r="T339" s="147"/>
      <c r="U339" s="147"/>
      <c r="V339" s="147"/>
      <c r="W339" s="147"/>
      <c r="X339" s="147"/>
      <c r="Y339" s="147"/>
      <c r="Z339" s="147"/>
      <c r="AA339" s="147"/>
      <c r="AB339" s="147"/>
      <c r="AC339" s="147"/>
      <c r="AD339" s="147"/>
      <c r="AE339" s="147"/>
      <c r="AF339" s="147"/>
      <c r="AG339" s="147"/>
    </row>
    <row r="340">
      <c r="A340" s="147"/>
      <c r="B340" s="147"/>
      <c r="C340" s="147"/>
      <c r="D340" s="147"/>
      <c r="E340" s="147"/>
      <c r="F340" s="205"/>
      <c r="G340" s="147"/>
      <c r="H340" s="147"/>
      <c r="I340" s="147"/>
      <c r="J340" s="147"/>
      <c r="K340" s="147"/>
      <c r="L340" s="147"/>
      <c r="M340" s="147"/>
      <c r="N340" s="147"/>
      <c r="O340" s="147"/>
      <c r="P340" s="147"/>
      <c r="Q340" s="147"/>
      <c r="R340" s="147"/>
      <c r="S340" s="147"/>
      <c r="T340" s="147"/>
      <c r="U340" s="147"/>
      <c r="V340" s="147"/>
      <c r="W340" s="147"/>
      <c r="X340" s="147"/>
      <c r="Y340" s="147"/>
      <c r="Z340" s="147"/>
      <c r="AA340" s="147"/>
      <c r="AB340" s="147"/>
      <c r="AC340" s="147"/>
      <c r="AD340" s="147"/>
      <c r="AE340" s="147"/>
      <c r="AF340" s="147"/>
      <c r="AG340" s="147"/>
    </row>
    <row r="341">
      <c r="A341" s="147"/>
      <c r="B341" s="147"/>
      <c r="C341" s="147"/>
      <c r="D341" s="147"/>
      <c r="E341" s="147"/>
      <c r="F341" s="205"/>
      <c r="G341" s="147"/>
      <c r="H341" s="147"/>
      <c r="I341" s="147"/>
      <c r="J341" s="147"/>
      <c r="K341" s="147"/>
      <c r="L341" s="147"/>
      <c r="M341" s="147"/>
      <c r="N341" s="147"/>
      <c r="O341" s="147"/>
      <c r="P341" s="147"/>
      <c r="Q341" s="147"/>
      <c r="R341" s="147"/>
      <c r="S341" s="147"/>
      <c r="T341" s="147"/>
      <c r="U341" s="147"/>
      <c r="V341" s="147"/>
      <c r="W341" s="147"/>
      <c r="X341" s="147"/>
      <c r="Y341" s="147"/>
      <c r="Z341" s="147"/>
      <c r="AA341" s="147"/>
      <c r="AB341" s="147"/>
      <c r="AC341" s="147"/>
      <c r="AD341" s="147"/>
      <c r="AE341" s="147"/>
      <c r="AF341" s="147"/>
      <c r="AG341" s="147"/>
    </row>
    <row r="342">
      <c r="A342" s="147"/>
      <c r="B342" s="147"/>
      <c r="C342" s="147"/>
      <c r="D342" s="147"/>
      <c r="E342" s="147"/>
      <c r="F342" s="205"/>
      <c r="G342" s="147"/>
      <c r="H342" s="147"/>
      <c r="I342" s="147"/>
      <c r="J342" s="147"/>
      <c r="K342" s="147"/>
      <c r="L342" s="147"/>
      <c r="M342" s="147"/>
      <c r="N342" s="147"/>
      <c r="O342" s="147"/>
      <c r="P342" s="147"/>
      <c r="Q342" s="147"/>
      <c r="R342" s="147"/>
      <c r="S342" s="147"/>
      <c r="T342" s="147"/>
      <c r="U342" s="147"/>
      <c r="V342" s="147"/>
      <c r="W342" s="147"/>
      <c r="X342" s="147"/>
      <c r="Y342" s="147"/>
      <c r="Z342" s="147"/>
      <c r="AA342" s="147"/>
      <c r="AB342" s="147"/>
      <c r="AC342" s="147"/>
      <c r="AD342" s="147"/>
      <c r="AE342" s="147"/>
      <c r="AF342" s="147"/>
      <c r="AG342" s="147"/>
    </row>
    <row r="343">
      <c r="A343" s="147"/>
      <c r="B343" s="147"/>
      <c r="C343" s="147"/>
      <c r="D343" s="147"/>
      <c r="E343" s="147"/>
      <c r="F343" s="205"/>
      <c r="G343" s="147"/>
      <c r="H343" s="147"/>
      <c r="I343" s="147"/>
      <c r="J343" s="147"/>
      <c r="K343" s="147"/>
      <c r="L343" s="147"/>
      <c r="M343" s="147"/>
      <c r="N343" s="147"/>
      <c r="O343" s="147"/>
      <c r="P343" s="147"/>
      <c r="Q343" s="147"/>
      <c r="R343" s="147"/>
      <c r="S343" s="147"/>
      <c r="T343" s="147"/>
      <c r="U343" s="147"/>
      <c r="V343" s="147"/>
      <c r="W343" s="147"/>
      <c r="X343" s="147"/>
      <c r="Y343" s="147"/>
      <c r="Z343" s="147"/>
      <c r="AA343" s="147"/>
      <c r="AB343" s="147"/>
      <c r="AC343" s="147"/>
      <c r="AD343" s="147"/>
      <c r="AE343" s="147"/>
      <c r="AF343" s="147"/>
      <c r="AG343" s="147"/>
    </row>
    <row r="344">
      <c r="A344" s="147"/>
      <c r="B344" s="147"/>
      <c r="C344" s="147"/>
      <c r="D344" s="147"/>
      <c r="E344" s="147"/>
      <c r="F344" s="205"/>
      <c r="G344" s="147"/>
      <c r="H344" s="147"/>
      <c r="I344" s="147"/>
      <c r="J344" s="147"/>
      <c r="K344" s="147"/>
      <c r="L344" s="147"/>
      <c r="M344" s="147"/>
      <c r="N344" s="147"/>
      <c r="O344" s="147"/>
      <c r="P344" s="147"/>
      <c r="Q344" s="147"/>
      <c r="R344" s="147"/>
      <c r="S344" s="147"/>
      <c r="T344" s="147"/>
      <c r="U344" s="147"/>
      <c r="V344" s="147"/>
      <c r="W344" s="147"/>
      <c r="X344" s="147"/>
      <c r="Y344" s="147"/>
      <c r="Z344" s="147"/>
      <c r="AA344" s="147"/>
      <c r="AB344" s="147"/>
      <c r="AC344" s="147"/>
      <c r="AD344" s="147"/>
      <c r="AE344" s="147"/>
      <c r="AF344" s="147"/>
      <c r="AG344" s="147"/>
    </row>
    <row r="345">
      <c r="A345" s="147"/>
      <c r="B345" s="147"/>
      <c r="C345" s="147"/>
      <c r="D345" s="147"/>
      <c r="E345" s="147"/>
      <c r="F345" s="205"/>
      <c r="G345" s="147"/>
      <c r="H345" s="147"/>
      <c r="I345" s="147"/>
      <c r="J345" s="147"/>
      <c r="K345" s="147"/>
      <c r="L345" s="147"/>
      <c r="M345" s="147"/>
      <c r="N345" s="147"/>
      <c r="O345" s="147"/>
      <c r="P345" s="147"/>
      <c r="Q345" s="147"/>
      <c r="R345" s="147"/>
      <c r="S345" s="147"/>
      <c r="T345" s="147"/>
      <c r="U345" s="147"/>
      <c r="V345" s="147"/>
      <c r="W345" s="147"/>
      <c r="X345" s="147"/>
      <c r="Y345" s="147"/>
      <c r="Z345" s="147"/>
      <c r="AA345" s="147"/>
      <c r="AB345" s="147"/>
      <c r="AC345" s="147"/>
      <c r="AD345" s="147"/>
      <c r="AE345" s="147"/>
      <c r="AF345" s="147"/>
      <c r="AG345" s="147"/>
    </row>
    <row r="346">
      <c r="A346" s="147"/>
      <c r="B346" s="147"/>
      <c r="C346" s="147"/>
      <c r="D346" s="147"/>
      <c r="E346" s="147"/>
      <c r="F346" s="205"/>
      <c r="G346" s="147"/>
      <c r="H346" s="147"/>
      <c r="I346" s="147"/>
      <c r="J346" s="147"/>
      <c r="K346" s="147"/>
      <c r="L346" s="147"/>
      <c r="M346" s="147"/>
      <c r="N346" s="147"/>
      <c r="O346" s="147"/>
      <c r="P346" s="147"/>
      <c r="Q346" s="147"/>
      <c r="R346" s="147"/>
      <c r="S346" s="147"/>
      <c r="T346" s="147"/>
      <c r="U346" s="147"/>
      <c r="V346" s="147"/>
      <c r="W346" s="147"/>
      <c r="X346" s="147"/>
      <c r="Y346" s="147"/>
      <c r="Z346" s="147"/>
      <c r="AA346" s="147"/>
      <c r="AB346" s="147"/>
      <c r="AC346" s="147"/>
      <c r="AD346" s="147"/>
      <c r="AE346" s="147"/>
      <c r="AF346" s="147"/>
      <c r="AG346" s="147"/>
    </row>
    <row r="347">
      <c r="A347" s="147"/>
      <c r="B347" s="147"/>
      <c r="C347" s="147"/>
      <c r="D347" s="147"/>
      <c r="E347" s="147"/>
      <c r="F347" s="205"/>
      <c r="G347" s="147"/>
      <c r="H347" s="147"/>
      <c r="I347" s="147"/>
      <c r="J347" s="147"/>
      <c r="K347" s="147"/>
      <c r="L347" s="147"/>
      <c r="M347" s="147"/>
      <c r="N347" s="147"/>
      <c r="O347" s="147"/>
      <c r="P347" s="147"/>
      <c r="Q347" s="147"/>
      <c r="R347" s="147"/>
      <c r="S347" s="147"/>
      <c r="T347" s="147"/>
      <c r="U347" s="147"/>
      <c r="V347" s="147"/>
      <c r="W347" s="147"/>
      <c r="X347" s="147"/>
      <c r="Y347" s="147"/>
      <c r="Z347" s="147"/>
      <c r="AA347" s="147"/>
      <c r="AB347" s="147"/>
      <c r="AC347" s="147"/>
      <c r="AD347" s="147"/>
      <c r="AE347" s="147"/>
      <c r="AF347" s="147"/>
      <c r="AG347" s="147"/>
    </row>
    <row r="348">
      <c r="A348" s="147"/>
      <c r="B348" s="147"/>
      <c r="C348" s="147"/>
      <c r="D348" s="147"/>
      <c r="E348" s="147"/>
      <c r="F348" s="205"/>
      <c r="G348" s="147"/>
      <c r="H348" s="147"/>
      <c r="I348" s="147"/>
      <c r="J348" s="147"/>
      <c r="K348" s="147"/>
      <c r="L348" s="147"/>
      <c r="M348" s="147"/>
      <c r="N348" s="147"/>
      <c r="O348" s="147"/>
      <c r="P348" s="147"/>
      <c r="Q348" s="147"/>
      <c r="R348" s="147"/>
      <c r="S348" s="147"/>
      <c r="T348" s="147"/>
      <c r="U348" s="147"/>
      <c r="V348" s="147"/>
      <c r="W348" s="147"/>
      <c r="X348" s="147"/>
      <c r="Y348" s="147"/>
      <c r="Z348" s="147"/>
      <c r="AA348" s="147"/>
      <c r="AB348" s="147"/>
      <c r="AC348" s="147"/>
      <c r="AD348" s="147"/>
      <c r="AE348" s="147"/>
      <c r="AF348" s="147"/>
      <c r="AG348" s="147"/>
    </row>
    <row r="349">
      <c r="A349" s="147"/>
      <c r="B349" s="147"/>
      <c r="C349" s="147"/>
      <c r="D349" s="147"/>
      <c r="E349" s="147"/>
      <c r="F349" s="205"/>
      <c r="G349" s="147"/>
      <c r="H349" s="147"/>
      <c r="I349" s="147"/>
      <c r="J349" s="147"/>
      <c r="K349" s="147"/>
      <c r="L349" s="147"/>
      <c r="M349" s="147"/>
      <c r="N349" s="147"/>
      <c r="O349" s="147"/>
      <c r="P349" s="147"/>
      <c r="Q349" s="147"/>
      <c r="R349" s="147"/>
      <c r="S349" s="147"/>
      <c r="T349" s="147"/>
      <c r="U349" s="147"/>
      <c r="V349" s="147"/>
      <c r="W349" s="147"/>
      <c r="X349" s="147"/>
      <c r="Y349" s="147"/>
      <c r="Z349" s="147"/>
      <c r="AA349" s="147"/>
      <c r="AB349" s="147"/>
      <c r="AC349" s="147"/>
      <c r="AD349" s="147"/>
      <c r="AE349" s="147"/>
      <c r="AF349" s="147"/>
      <c r="AG349" s="147"/>
    </row>
    <row r="350">
      <c r="A350" s="147"/>
      <c r="B350" s="147"/>
      <c r="C350" s="147"/>
      <c r="D350" s="147"/>
      <c r="E350" s="147"/>
      <c r="F350" s="205"/>
      <c r="G350" s="147"/>
      <c r="H350" s="147"/>
      <c r="I350" s="147"/>
      <c r="J350" s="147"/>
      <c r="K350" s="147"/>
      <c r="L350" s="147"/>
      <c r="M350" s="147"/>
      <c r="N350" s="147"/>
      <c r="O350" s="147"/>
      <c r="P350" s="147"/>
      <c r="Q350" s="147"/>
      <c r="R350" s="147"/>
      <c r="S350" s="147"/>
      <c r="T350" s="147"/>
      <c r="U350" s="147"/>
      <c r="V350" s="147"/>
      <c r="W350" s="147"/>
      <c r="X350" s="147"/>
      <c r="Y350" s="147"/>
      <c r="Z350" s="147"/>
      <c r="AA350" s="147"/>
      <c r="AB350" s="147"/>
      <c r="AC350" s="147"/>
      <c r="AD350" s="147"/>
      <c r="AE350" s="147"/>
      <c r="AF350" s="147"/>
      <c r="AG350" s="147"/>
    </row>
    <row r="351">
      <c r="A351" s="147"/>
      <c r="B351" s="147"/>
      <c r="C351" s="147"/>
      <c r="D351" s="147"/>
      <c r="E351" s="147"/>
      <c r="F351" s="205"/>
      <c r="G351" s="147"/>
      <c r="H351" s="147"/>
      <c r="I351" s="147"/>
      <c r="J351" s="147"/>
      <c r="K351" s="147"/>
      <c r="L351" s="147"/>
      <c r="M351" s="147"/>
      <c r="N351" s="147"/>
      <c r="O351" s="147"/>
      <c r="P351" s="147"/>
      <c r="Q351" s="147"/>
      <c r="R351" s="147"/>
      <c r="S351" s="147"/>
      <c r="T351" s="147"/>
      <c r="U351" s="147"/>
      <c r="V351" s="147"/>
      <c r="W351" s="147"/>
      <c r="X351" s="147"/>
      <c r="Y351" s="147"/>
      <c r="Z351" s="147"/>
      <c r="AA351" s="147"/>
      <c r="AB351" s="147"/>
      <c r="AC351" s="147"/>
      <c r="AD351" s="147"/>
      <c r="AE351" s="147"/>
      <c r="AF351" s="147"/>
      <c r="AG351" s="147"/>
    </row>
    <row r="352">
      <c r="A352" s="147"/>
      <c r="B352" s="147"/>
      <c r="C352" s="147"/>
      <c r="D352" s="147"/>
      <c r="E352" s="147"/>
      <c r="F352" s="205"/>
      <c r="G352" s="147"/>
      <c r="H352" s="147"/>
      <c r="I352" s="147"/>
      <c r="J352" s="147"/>
      <c r="K352" s="147"/>
      <c r="L352" s="147"/>
      <c r="M352" s="147"/>
      <c r="N352" s="147"/>
      <c r="O352" s="147"/>
      <c r="P352" s="147"/>
      <c r="Q352" s="147"/>
      <c r="R352" s="147"/>
      <c r="S352" s="147"/>
      <c r="T352" s="147"/>
      <c r="U352" s="147"/>
      <c r="V352" s="147"/>
      <c r="W352" s="147"/>
      <c r="X352" s="147"/>
      <c r="Y352" s="147"/>
      <c r="Z352" s="147"/>
      <c r="AA352" s="147"/>
      <c r="AB352" s="147"/>
      <c r="AC352" s="147"/>
      <c r="AD352" s="147"/>
      <c r="AE352" s="147"/>
      <c r="AF352" s="147"/>
      <c r="AG352" s="147"/>
    </row>
    <row r="353">
      <c r="A353" s="147"/>
      <c r="B353" s="147"/>
      <c r="C353" s="147"/>
      <c r="D353" s="147"/>
      <c r="E353" s="147"/>
      <c r="F353" s="205"/>
      <c r="G353" s="147"/>
      <c r="H353" s="147"/>
      <c r="I353" s="147"/>
      <c r="J353" s="147"/>
      <c r="K353" s="147"/>
      <c r="L353" s="147"/>
      <c r="M353" s="147"/>
      <c r="N353" s="147"/>
      <c r="O353" s="147"/>
      <c r="P353" s="147"/>
      <c r="Q353" s="147"/>
      <c r="R353" s="147"/>
      <c r="S353" s="147"/>
      <c r="T353" s="147"/>
      <c r="U353" s="147"/>
      <c r="V353" s="147"/>
      <c r="W353" s="147"/>
      <c r="X353" s="147"/>
      <c r="Y353" s="147"/>
      <c r="Z353" s="147"/>
      <c r="AA353" s="147"/>
      <c r="AB353" s="147"/>
      <c r="AC353" s="147"/>
      <c r="AD353" s="147"/>
      <c r="AE353" s="147"/>
      <c r="AF353" s="147"/>
      <c r="AG353" s="147"/>
    </row>
    <row r="354">
      <c r="A354" s="147"/>
      <c r="B354" s="147"/>
      <c r="C354" s="147"/>
      <c r="D354" s="147"/>
      <c r="E354" s="147"/>
      <c r="F354" s="205"/>
      <c r="G354" s="147"/>
      <c r="H354" s="147"/>
      <c r="I354" s="147"/>
      <c r="J354" s="147"/>
      <c r="K354" s="147"/>
      <c r="L354" s="147"/>
      <c r="M354" s="147"/>
      <c r="N354" s="147"/>
      <c r="O354" s="147"/>
      <c r="P354" s="147"/>
      <c r="Q354" s="147"/>
      <c r="R354" s="147"/>
      <c r="S354" s="147"/>
      <c r="T354" s="147"/>
      <c r="U354" s="147"/>
      <c r="V354" s="147"/>
      <c r="W354" s="147"/>
      <c r="X354" s="147"/>
      <c r="Y354" s="147"/>
      <c r="Z354" s="147"/>
      <c r="AA354" s="147"/>
      <c r="AB354" s="147"/>
      <c r="AC354" s="147"/>
      <c r="AD354" s="147"/>
      <c r="AE354" s="147"/>
      <c r="AF354" s="147"/>
      <c r="AG354" s="147"/>
    </row>
    <row r="355">
      <c r="A355" s="147"/>
      <c r="B355" s="147"/>
      <c r="C355" s="147"/>
      <c r="D355" s="147"/>
      <c r="E355" s="147"/>
      <c r="F355" s="205"/>
      <c r="G355" s="147"/>
      <c r="H355" s="147"/>
      <c r="I355" s="147"/>
      <c r="J355" s="147"/>
      <c r="K355" s="147"/>
      <c r="L355" s="147"/>
      <c r="M355" s="147"/>
      <c r="N355" s="147"/>
      <c r="O355" s="147"/>
      <c r="P355" s="147"/>
      <c r="Q355" s="147"/>
      <c r="R355" s="147"/>
      <c r="S355" s="147"/>
      <c r="T355" s="147"/>
      <c r="U355" s="147"/>
      <c r="V355" s="147"/>
      <c r="W355" s="147"/>
      <c r="X355" s="147"/>
      <c r="Y355" s="147"/>
      <c r="Z355" s="147"/>
      <c r="AA355" s="147"/>
      <c r="AB355" s="147"/>
      <c r="AC355" s="147"/>
      <c r="AD355" s="147"/>
      <c r="AE355" s="147"/>
      <c r="AF355" s="147"/>
      <c r="AG355" s="147"/>
    </row>
    <row r="356">
      <c r="A356" s="147"/>
      <c r="B356" s="147"/>
      <c r="C356" s="147"/>
      <c r="D356" s="147"/>
      <c r="E356" s="147"/>
      <c r="F356" s="205"/>
      <c r="G356" s="147"/>
      <c r="H356" s="147"/>
      <c r="I356" s="147"/>
      <c r="J356" s="147"/>
      <c r="K356" s="147"/>
      <c r="L356" s="147"/>
      <c r="M356" s="147"/>
      <c r="N356" s="147"/>
      <c r="O356" s="147"/>
      <c r="P356" s="147"/>
      <c r="Q356" s="147"/>
      <c r="R356" s="147"/>
      <c r="S356" s="147"/>
      <c r="T356" s="147"/>
      <c r="U356" s="147"/>
      <c r="V356" s="147"/>
      <c r="W356" s="147"/>
      <c r="X356" s="147"/>
      <c r="Y356" s="147"/>
      <c r="Z356" s="147"/>
      <c r="AA356" s="147"/>
      <c r="AB356" s="147"/>
      <c r="AC356" s="147"/>
      <c r="AD356" s="147"/>
      <c r="AE356" s="147"/>
      <c r="AF356" s="147"/>
      <c r="AG356" s="147"/>
    </row>
    <row r="357">
      <c r="A357" s="147"/>
      <c r="B357" s="147"/>
      <c r="C357" s="147"/>
      <c r="D357" s="147"/>
      <c r="E357" s="147"/>
      <c r="F357" s="205"/>
      <c r="G357" s="147"/>
      <c r="H357" s="147"/>
      <c r="I357" s="147"/>
      <c r="J357" s="147"/>
      <c r="K357" s="147"/>
      <c r="L357" s="147"/>
      <c r="M357" s="147"/>
      <c r="N357" s="147"/>
      <c r="O357" s="147"/>
      <c r="P357" s="147"/>
      <c r="Q357" s="147"/>
      <c r="R357" s="147"/>
      <c r="S357" s="147"/>
      <c r="T357" s="147"/>
      <c r="U357" s="147"/>
      <c r="V357" s="147"/>
      <c r="W357" s="147"/>
      <c r="X357" s="147"/>
      <c r="Y357" s="147"/>
      <c r="Z357" s="147"/>
      <c r="AA357" s="147"/>
      <c r="AB357" s="147"/>
      <c r="AC357" s="147"/>
      <c r="AD357" s="147"/>
      <c r="AE357" s="147"/>
      <c r="AF357" s="147"/>
      <c r="AG357" s="147"/>
    </row>
    <row r="358">
      <c r="A358" s="147"/>
      <c r="B358" s="147"/>
      <c r="C358" s="147"/>
      <c r="D358" s="147"/>
      <c r="E358" s="147"/>
      <c r="F358" s="205"/>
      <c r="G358" s="147"/>
      <c r="H358" s="147"/>
      <c r="I358" s="147"/>
      <c r="J358" s="147"/>
      <c r="K358" s="147"/>
      <c r="L358" s="147"/>
      <c r="M358" s="147"/>
      <c r="N358" s="147"/>
      <c r="O358" s="147"/>
      <c r="P358" s="147"/>
      <c r="Q358" s="147"/>
      <c r="R358" s="147"/>
      <c r="S358" s="147"/>
      <c r="T358" s="147"/>
      <c r="U358" s="147"/>
      <c r="V358" s="147"/>
      <c r="W358" s="147"/>
      <c r="X358" s="147"/>
      <c r="Y358" s="147"/>
      <c r="Z358" s="147"/>
      <c r="AA358" s="147"/>
      <c r="AB358" s="147"/>
      <c r="AC358" s="147"/>
      <c r="AD358" s="147"/>
      <c r="AE358" s="147"/>
      <c r="AF358" s="147"/>
      <c r="AG358" s="147"/>
    </row>
    <row r="359">
      <c r="A359" s="147"/>
      <c r="B359" s="147"/>
      <c r="C359" s="147"/>
      <c r="D359" s="147"/>
      <c r="E359" s="147"/>
      <c r="F359" s="205"/>
      <c r="G359" s="147"/>
      <c r="H359" s="147"/>
      <c r="I359" s="147"/>
      <c r="J359" s="147"/>
      <c r="K359" s="147"/>
      <c r="L359" s="147"/>
      <c r="M359" s="147"/>
      <c r="N359" s="147"/>
      <c r="O359" s="147"/>
      <c r="P359" s="147"/>
      <c r="Q359" s="147"/>
      <c r="R359" s="147"/>
      <c r="S359" s="147"/>
      <c r="T359" s="147"/>
      <c r="U359" s="147"/>
      <c r="V359" s="147"/>
      <c r="W359" s="147"/>
      <c r="X359" s="147"/>
      <c r="Y359" s="147"/>
      <c r="Z359" s="147"/>
      <c r="AA359" s="147"/>
      <c r="AB359" s="147"/>
      <c r="AC359" s="147"/>
      <c r="AD359" s="147"/>
      <c r="AE359" s="147"/>
      <c r="AF359" s="147"/>
      <c r="AG359" s="147"/>
    </row>
    <row r="360">
      <c r="A360" s="147"/>
      <c r="B360" s="147"/>
      <c r="C360" s="147"/>
      <c r="D360" s="147"/>
      <c r="E360" s="147"/>
      <c r="F360" s="205"/>
      <c r="G360" s="147"/>
      <c r="H360" s="147"/>
      <c r="I360" s="147"/>
      <c r="J360" s="147"/>
      <c r="K360" s="147"/>
      <c r="L360" s="147"/>
      <c r="M360" s="147"/>
      <c r="N360" s="147"/>
      <c r="O360" s="147"/>
      <c r="P360" s="147"/>
      <c r="Q360" s="147"/>
      <c r="R360" s="147"/>
      <c r="S360" s="147"/>
      <c r="T360" s="147"/>
      <c r="U360" s="147"/>
      <c r="V360" s="147"/>
      <c r="W360" s="147"/>
      <c r="X360" s="147"/>
      <c r="Y360" s="147"/>
      <c r="Z360" s="147"/>
      <c r="AA360" s="147"/>
      <c r="AB360" s="147"/>
      <c r="AC360" s="147"/>
      <c r="AD360" s="147"/>
      <c r="AE360" s="147"/>
      <c r="AF360" s="147"/>
      <c r="AG360" s="147"/>
    </row>
    <row r="361">
      <c r="A361" s="147"/>
      <c r="B361" s="147"/>
      <c r="C361" s="147"/>
      <c r="D361" s="147"/>
      <c r="E361" s="147"/>
      <c r="F361" s="205"/>
      <c r="G361" s="147"/>
      <c r="H361" s="147"/>
      <c r="I361" s="147"/>
      <c r="J361" s="147"/>
      <c r="K361" s="147"/>
      <c r="L361" s="147"/>
      <c r="M361" s="147"/>
      <c r="N361" s="147"/>
      <c r="O361" s="147"/>
      <c r="P361" s="147"/>
      <c r="Q361" s="147"/>
      <c r="R361" s="147"/>
      <c r="S361" s="147"/>
      <c r="T361" s="147"/>
      <c r="U361" s="147"/>
      <c r="V361" s="147"/>
      <c r="W361" s="147"/>
      <c r="X361" s="147"/>
      <c r="Y361" s="147"/>
      <c r="Z361" s="147"/>
      <c r="AA361" s="147"/>
      <c r="AB361" s="147"/>
      <c r="AC361" s="147"/>
      <c r="AD361" s="147"/>
      <c r="AE361" s="147"/>
      <c r="AF361" s="147"/>
      <c r="AG361" s="147"/>
    </row>
    <row r="362">
      <c r="A362" s="147"/>
      <c r="B362" s="147"/>
      <c r="C362" s="147"/>
      <c r="D362" s="147"/>
      <c r="E362" s="147"/>
      <c r="F362" s="205"/>
      <c r="G362" s="147"/>
      <c r="H362" s="147"/>
      <c r="I362" s="147"/>
      <c r="J362" s="147"/>
      <c r="K362" s="147"/>
      <c r="L362" s="147"/>
      <c r="M362" s="147"/>
      <c r="N362" s="147"/>
      <c r="O362" s="147"/>
      <c r="P362" s="147"/>
      <c r="Q362" s="147"/>
      <c r="R362" s="147"/>
      <c r="S362" s="147"/>
      <c r="T362" s="147"/>
      <c r="U362" s="147"/>
      <c r="V362" s="147"/>
      <c r="W362" s="147"/>
      <c r="X362" s="147"/>
      <c r="Y362" s="147"/>
      <c r="Z362" s="147"/>
      <c r="AA362" s="147"/>
      <c r="AB362" s="147"/>
      <c r="AC362" s="147"/>
      <c r="AD362" s="147"/>
      <c r="AE362" s="147"/>
      <c r="AF362" s="147"/>
      <c r="AG362" s="147"/>
    </row>
    <row r="363">
      <c r="A363" s="147"/>
      <c r="B363" s="147"/>
      <c r="C363" s="147"/>
      <c r="D363" s="147"/>
      <c r="E363" s="147"/>
      <c r="F363" s="205"/>
      <c r="G363" s="147"/>
      <c r="H363" s="147"/>
      <c r="I363" s="147"/>
      <c r="J363" s="147"/>
      <c r="K363" s="147"/>
      <c r="L363" s="147"/>
      <c r="M363" s="147"/>
      <c r="N363" s="147"/>
      <c r="O363" s="147"/>
      <c r="P363" s="147"/>
      <c r="Q363" s="147"/>
      <c r="R363" s="147"/>
      <c r="S363" s="147"/>
      <c r="T363" s="147"/>
      <c r="U363" s="147"/>
      <c r="V363" s="147"/>
      <c r="W363" s="147"/>
      <c r="X363" s="147"/>
      <c r="Y363" s="147"/>
      <c r="Z363" s="147"/>
      <c r="AA363" s="147"/>
      <c r="AB363" s="147"/>
      <c r="AC363" s="147"/>
      <c r="AD363" s="147"/>
      <c r="AE363" s="147"/>
      <c r="AF363" s="147"/>
      <c r="AG363" s="147"/>
    </row>
    <row r="364">
      <c r="A364" s="147"/>
      <c r="B364" s="147"/>
      <c r="C364" s="147"/>
      <c r="D364" s="147"/>
      <c r="E364" s="147"/>
      <c r="F364" s="205"/>
      <c r="G364" s="147"/>
      <c r="H364" s="147"/>
      <c r="I364" s="147"/>
      <c r="J364" s="147"/>
      <c r="K364" s="147"/>
      <c r="L364" s="147"/>
      <c r="M364" s="147"/>
      <c r="N364" s="147"/>
      <c r="O364" s="147"/>
      <c r="P364" s="147"/>
      <c r="Q364" s="147"/>
      <c r="R364" s="147"/>
      <c r="S364" s="147"/>
      <c r="T364" s="147"/>
      <c r="U364" s="147"/>
      <c r="V364" s="147"/>
      <c r="W364" s="147"/>
      <c r="X364" s="147"/>
      <c r="Y364" s="147"/>
      <c r="Z364" s="147"/>
      <c r="AA364" s="147"/>
      <c r="AB364" s="147"/>
      <c r="AC364" s="147"/>
      <c r="AD364" s="147"/>
      <c r="AE364" s="147"/>
      <c r="AF364" s="147"/>
      <c r="AG364" s="147"/>
    </row>
    <row r="365">
      <c r="A365" s="147"/>
      <c r="B365" s="147"/>
      <c r="C365" s="147"/>
      <c r="D365" s="147"/>
      <c r="E365" s="147"/>
      <c r="F365" s="205"/>
      <c r="G365" s="147"/>
      <c r="H365" s="147"/>
      <c r="I365" s="147"/>
      <c r="J365" s="147"/>
      <c r="K365" s="147"/>
      <c r="L365" s="147"/>
      <c r="M365" s="147"/>
      <c r="N365" s="147"/>
      <c r="O365" s="147"/>
      <c r="P365" s="147"/>
      <c r="Q365" s="147"/>
      <c r="R365" s="147"/>
      <c r="S365" s="147"/>
      <c r="T365" s="147"/>
      <c r="U365" s="147"/>
      <c r="V365" s="147"/>
      <c r="W365" s="147"/>
      <c r="X365" s="147"/>
      <c r="Y365" s="147"/>
      <c r="Z365" s="147"/>
      <c r="AA365" s="147"/>
      <c r="AB365" s="147"/>
      <c r="AC365" s="147"/>
      <c r="AD365" s="147"/>
      <c r="AE365" s="147"/>
      <c r="AF365" s="147"/>
      <c r="AG365" s="147"/>
    </row>
    <row r="366">
      <c r="A366" s="147"/>
      <c r="B366" s="147"/>
      <c r="C366" s="147"/>
      <c r="D366" s="147"/>
      <c r="E366" s="147"/>
      <c r="F366" s="205"/>
      <c r="G366" s="147"/>
      <c r="H366" s="147"/>
      <c r="I366" s="147"/>
      <c r="J366" s="147"/>
      <c r="K366" s="147"/>
      <c r="L366" s="147"/>
      <c r="M366" s="147"/>
      <c r="N366" s="147"/>
      <c r="O366" s="147"/>
      <c r="P366" s="147"/>
      <c r="Q366" s="147"/>
      <c r="R366" s="147"/>
      <c r="S366" s="147"/>
      <c r="T366" s="147"/>
      <c r="U366" s="147"/>
      <c r="V366" s="147"/>
      <c r="W366" s="147"/>
      <c r="X366" s="147"/>
      <c r="Y366" s="147"/>
      <c r="Z366" s="147"/>
      <c r="AA366" s="147"/>
      <c r="AB366" s="147"/>
      <c r="AC366" s="147"/>
      <c r="AD366" s="147"/>
      <c r="AE366" s="147"/>
      <c r="AF366" s="147"/>
      <c r="AG366" s="147"/>
    </row>
    <row r="367">
      <c r="A367" s="147"/>
      <c r="B367" s="147"/>
      <c r="C367" s="147"/>
      <c r="D367" s="147"/>
      <c r="E367" s="147"/>
      <c r="F367" s="205"/>
      <c r="G367" s="147"/>
      <c r="H367" s="147"/>
      <c r="I367" s="147"/>
      <c r="J367" s="147"/>
      <c r="K367" s="147"/>
      <c r="L367" s="147"/>
      <c r="M367" s="147"/>
      <c r="N367" s="147"/>
      <c r="O367" s="147"/>
      <c r="P367" s="147"/>
      <c r="Q367" s="147"/>
      <c r="R367" s="147"/>
      <c r="S367" s="147"/>
      <c r="T367" s="147"/>
      <c r="U367" s="147"/>
      <c r="V367" s="147"/>
      <c r="W367" s="147"/>
      <c r="X367" s="147"/>
      <c r="Y367" s="147"/>
      <c r="Z367" s="147"/>
      <c r="AA367" s="147"/>
      <c r="AB367" s="147"/>
      <c r="AC367" s="147"/>
      <c r="AD367" s="147"/>
      <c r="AE367" s="147"/>
      <c r="AF367" s="147"/>
      <c r="AG367" s="147"/>
    </row>
    <row r="368">
      <c r="A368" s="147"/>
      <c r="B368" s="147"/>
      <c r="C368" s="147"/>
      <c r="D368" s="147"/>
      <c r="E368" s="147"/>
      <c r="F368" s="205"/>
      <c r="G368" s="147"/>
      <c r="H368" s="147"/>
      <c r="I368" s="147"/>
      <c r="J368" s="147"/>
      <c r="K368" s="147"/>
      <c r="L368" s="147"/>
      <c r="M368" s="147"/>
      <c r="N368" s="147"/>
      <c r="O368" s="147"/>
      <c r="P368" s="147"/>
      <c r="Q368" s="147"/>
      <c r="R368" s="147"/>
      <c r="S368" s="147"/>
      <c r="T368" s="147"/>
      <c r="U368" s="147"/>
      <c r="V368" s="147"/>
      <c r="W368" s="147"/>
      <c r="X368" s="147"/>
      <c r="Y368" s="147"/>
      <c r="Z368" s="147"/>
      <c r="AA368" s="147"/>
      <c r="AB368" s="147"/>
      <c r="AC368" s="147"/>
      <c r="AD368" s="147"/>
      <c r="AE368" s="147"/>
      <c r="AF368" s="147"/>
      <c r="AG368" s="147"/>
    </row>
    <row r="369">
      <c r="A369" s="147"/>
      <c r="B369" s="147"/>
      <c r="C369" s="147"/>
      <c r="D369" s="147"/>
      <c r="E369" s="147"/>
      <c r="F369" s="205"/>
      <c r="G369" s="147"/>
      <c r="H369" s="147"/>
      <c r="I369" s="147"/>
      <c r="J369" s="147"/>
      <c r="K369" s="147"/>
      <c r="L369" s="147"/>
      <c r="M369" s="147"/>
      <c r="N369" s="147"/>
      <c r="O369" s="147"/>
      <c r="P369" s="147"/>
      <c r="Q369" s="147"/>
      <c r="R369" s="147"/>
      <c r="S369" s="147"/>
      <c r="T369" s="147"/>
      <c r="U369" s="147"/>
      <c r="V369" s="147"/>
      <c r="W369" s="147"/>
      <c r="X369" s="147"/>
      <c r="Y369" s="147"/>
      <c r="Z369" s="147"/>
      <c r="AA369" s="147"/>
      <c r="AB369" s="147"/>
      <c r="AC369" s="147"/>
      <c r="AD369" s="147"/>
      <c r="AE369" s="147"/>
      <c r="AF369" s="147"/>
      <c r="AG369" s="147"/>
    </row>
    <row r="370">
      <c r="A370" s="147"/>
      <c r="B370" s="147"/>
      <c r="C370" s="147"/>
      <c r="D370" s="147"/>
      <c r="E370" s="147"/>
      <c r="F370" s="205"/>
      <c r="G370" s="147"/>
      <c r="H370" s="147"/>
      <c r="I370" s="147"/>
      <c r="J370" s="147"/>
      <c r="K370" s="147"/>
      <c r="L370" s="147"/>
      <c r="M370" s="147"/>
      <c r="N370" s="147"/>
      <c r="O370" s="147"/>
      <c r="P370" s="147"/>
      <c r="Q370" s="147"/>
      <c r="R370" s="147"/>
      <c r="S370" s="147"/>
      <c r="T370" s="147"/>
      <c r="U370" s="147"/>
      <c r="V370" s="147"/>
      <c r="W370" s="147"/>
      <c r="X370" s="147"/>
      <c r="Y370" s="147"/>
      <c r="Z370" s="147"/>
      <c r="AA370" s="147"/>
      <c r="AB370" s="147"/>
      <c r="AC370" s="147"/>
      <c r="AD370" s="147"/>
      <c r="AE370" s="147"/>
      <c r="AF370" s="147"/>
      <c r="AG370" s="147"/>
    </row>
    <row r="371">
      <c r="A371" s="147"/>
      <c r="B371" s="147"/>
      <c r="C371" s="147"/>
      <c r="D371" s="147"/>
      <c r="E371" s="147"/>
      <c r="F371" s="205"/>
      <c r="G371" s="147"/>
      <c r="H371" s="147"/>
      <c r="I371" s="147"/>
      <c r="J371" s="147"/>
      <c r="K371" s="147"/>
      <c r="L371" s="147"/>
      <c r="M371" s="147"/>
      <c r="N371" s="147"/>
      <c r="O371" s="147"/>
      <c r="P371" s="147"/>
      <c r="Q371" s="147"/>
      <c r="R371" s="147"/>
      <c r="S371" s="147"/>
      <c r="T371" s="147"/>
      <c r="U371" s="147"/>
      <c r="V371" s="147"/>
      <c r="W371" s="147"/>
      <c r="X371" s="147"/>
      <c r="Y371" s="147"/>
      <c r="Z371" s="147"/>
      <c r="AA371" s="147"/>
      <c r="AB371" s="147"/>
      <c r="AC371" s="147"/>
      <c r="AD371" s="147"/>
      <c r="AE371" s="147"/>
      <c r="AF371" s="147"/>
      <c r="AG371" s="147"/>
    </row>
    <row r="372">
      <c r="A372" s="147"/>
      <c r="B372" s="147"/>
      <c r="C372" s="147"/>
      <c r="D372" s="147"/>
      <c r="E372" s="147"/>
      <c r="F372" s="205"/>
      <c r="G372" s="147"/>
      <c r="H372" s="147"/>
      <c r="I372" s="147"/>
      <c r="J372" s="147"/>
      <c r="K372" s="147"/>
      <c r="L372" s="147"/>
      <c r="M372" s="147"/>
      <c r="N372" s="147"/>
      <c r="O372" s="147"/>
      <c r="P372" s="147"/>
      <c r="Q372" s="147"/>
      <c r="R372" s="147"/>
      <c r="S372" s="147"/>
      <c r="T372" s="147"/>
      <c r="U372" s="147"/>
      <c r="V372" s="147"/>
      <c r="W372" s="147"/>
      <c r="X372" s="147"/>
      <c r="Y372" s="147"/>
      <c r="Z372" s="147"/>
      <c r="AA372" s="147"/>
      <c r="AB372" s="147"/>
      <c r="AC372" s="147"/>
      <c r="AD372" s="147"/>
      <c r="AE372" s="147"/>
      <c r="AF372" s="147"/>
      <c r="AG372" s="147"/>
    </row>
    <row r="373">
      <c r="A373" s="147"/>
      <c r="B373" s="147"/>
      <c r="C373" s="147"/>
      <c r="D373" s="147"/>
      <c r="E373" s="147"/>
      <c r="F373" s="205"/>
      <c r="G373" s="147"/>
      <c r="H373" s="147"/>
      <c r="I373" s="147"/>
      <c r="J373" s="147"/>
      <c r="K373" s="147"/>
      <c r="L373" s="147"/>
      <c r="M373" s="147"/>
      <c r="N373" s="147"/>
      <c r="O373" s="147"/>
      <c r="P373" s="147"/>
      <c r="Q373" s="147"/>
      <c r="R373" s="147"/>
      <c r="S373" s="147"/>
      <c r="T373" s="147"/>
      <c r="U373" s="147"/>
      <c r="V373" s="147"/>
      <c r="W373" s="147"/>
      <c r="X373" s="147"/>
      <c r="Y373" s="147"/>
      <c r="Z373" s="147"/>
      <c r="AA373" s="147"/>
      <c r="AB373" s="147"/>
      <c r="AC373" s="147"/>
      <c r="AD373" s="147"/>
      <c r="AE373" s="147"/>
      <c r="AF373" s="147"/>
      <c r="AG373" s="147"/>
    </row>
    <row r="374">
      <c r="A374" s="147"/>
      <c r="B374" s="147"/>
      <c r="C374" s="147"/>
      <c r="D374" s="147"/>
      <c r="E374" s="147"/>
      <c r="F374" s="205"/>
      <c r="G374" s="147"/>
      <c r="H374" s="147"/>
      <c r="I374" s="147"/>
      <c r="J374" s="147"/>
      <c r="K374" s="147"/>
      <c r="L374" s="147"/>
      <c r="M374" s="147"/>
      <c r="N374" s="147"/>
      <c r="O374" s="147"/>
      <c r="P374" s="147"/>
      <c r="Q374" s="147"/>
      <c r="R374" s="147"/>
      <c r="S374" s="147"/>
      <c r="T374" s="147"/>
      <c r="U374" s="147"/>
      <c r="V374" s="147"/>
      <c r="W374" s="147"/>
      <c r="X374" s="147"/>
      <c r="Y374" s="147"/>
      <c r="Z374" s="147"/>
      <c r="AA374" s="147"/>
      <c r="AB374" s="147"/>
      <c r="AC374" s="147"/>
      <c r="AD374" s="147"/>
      <c r="AE374" s="147"/>
      <c r="AF374" s="147"/>
      <c r="AG374" s="147"/>
    </row>
    <row r="375">
      <c r="A375" s="147"/>
      <c r="B375" s="147"/>
      <c r="C375" s="147"/>
      <c r="D375" s="147"/>
      <c r="E375" s="147"/>
      <c r="F375" s="205"/>
      <c r="G375" s="147"/>
      <c r="H375" s="147"/>
      <c r="I375" s="147"/>
      <c r="J375" s="147"/>
      <c r="K375" s="147"/>
      <c r="L375" s="147"/>
      <c r="M375" s="147"/>
      <c r="N375" s="147"/>
      <c r="O375" s="147"/>
      <c r="P375" s="147"/>
      <c r="Q375" s="147"/>
      <c r="R375" s="147"/>
      <c r="S375" s="147"/>
      <c r="T375" s="147"/>
      <c r="U375" s="147"/>
      <c r="V375" s="147"/>
      <c r="W375" s="147"/>
      <c r="X375" s="147"/>
      <c r="Y375" s="147"/>
      <c r="Z375" s="147"/>
      <c r="AA375" s="147"/>
      <c r="AB375" s="147"/>
      <c r="AC375" s="147"/>
      <c r="AD375" s="147"/>
      <c r="AE375" s="147"/>
      <c r="AF375" s="147"/>
      <c r="AG375" s="147"/>
    </row>
    <row r="376">
      <c r="A376" s="147"/>
      <c r="B376" s="147"/>
      <c r="C376" s="147"/>
      <c r="D376" s="147"/>
      <c r="E376" s="147"/>
      <c r="F376" s="205"/>
      <c r="G376" s="147"/>
      <c r="H376" s="147"/>
      <c r="I376" s="147"/>
      <c r="J376" s="147"/>
      <c r="K376" s="147"/>
      <c r="L376" s="147"/>
      <c r="M376" s="147"/>
      <c r="N376" s="147"/>
      <c r="O376" s="147"/>
      <c r="P376" s="147"/>
      <c r="Q376" s="147"/>
      <c r="R376" s="147"/>
      <c r="S376" s="147"/>
      <c r="T376" s="147"/>
      <c r="U376" s="147"/>
      <c r="V376" s="147"/>
      <c r="W376" s="147"/>
      <c r="X376" s="147"/>
      <c r="Y376" s="147"/>
      <c r="Z376" s="147"/>
      <c r="AA376" s="147"/>
      <c r="AB376" s="147"/>
      <c r="AC376" s="147"/>
      <c r="AD376" s="147"/>
      <c r="AE376" s="147"/>
      <c r="AF376" s="147"/>
      <c r="AG376" s="147"/>
    </row>
    <row r="377">
      <c r="A377" s="147"/>
      <c r="B377" s="147"/>
      <c r="C377" s="147"/>
      <c r="D377" s="147"/>
      <c r="E377" s="147"/>
      <c r="F377" s="205"/>
      <c r="G377" s="147"/>
      <c r="H377" s="147"/>
      <c r="I377" s="147"/>
      <c r="J377" s="147"/>
      <c r="K377" s="147"/>
      <c r="L377" s="147"/>
      <c r="M377" s="147"/>
      <c r="N377" s="147"/>
      <c r="O377" s="147"/>
      <c r="P377" s="147"/>
      <c r="Q377" s="147"/>
      <c r="R377" s="147"/>
      <c r="S377" s="147"/>
      <c r="T377" s="147"/>
      <c r="U377" s="147"/>
      <c r="V377" s="147"/>
      <c r="W377" s="147"/>
      <c r="X377" s="147"/>
      <c r="Y377" s="147"/>
      <c r="Z377" s="147"/>
      <c r="AA377" s="147"/>
      <c r="AB377" s="147"/>
      <c r="AC377" s="147"/>
      <c r="AD377" s="147"/>
      <c r="AE377" s="147"/>
      <c r="AF377" s="147"/>
      <c r="AG377" s="147"/>
    </row>
    <row r="378">
      <c r="A378" s="147"/>
      <c r="B378" s="147"/>
      <c r="C378" s="147"/>
      <c r="D378" s="147"/>
      <c r="E378" s="147"/>
      <c r="F378" s="205"/>
      <c r="G378" s="147"/>
      <c r="H378" s="147"/>
      <c r="I378" s="147"/>
      <c r="J378" s="147"/>
      <c r="K378" s="147"/>
      <c r="L378" s="147"/>
      <c r="M378" s="147"/>
      <c r="N378" s="147"/>
      <c r="O378" s="147"/>
      <c r="P378" s="147"/>
      <c r="Q378" s="147"/>
      <c r="R378" s="147"/>
      <c r="S378" s="147"/>
      <c r="T378" s="147"/>
      <c r="U378" s="147"/>
      <c r="V378" s="147"/>
      <c r="W378" s="147"/>
      <c r="X378" s="147"/>
      <c r="Y378" s="147"/>
      <c r="Z378" s="147"/>
      <c r="AA378" s="147"/>
      <c r="AB378" s="147"/>
      <c r="AC378" s="147"/>
      <c r="AD378" s="147"/>
      <c r="AE378" s="147"/>
      <c r="AF378" s="147"/>
      <c r="AG378" s="147"/>
    </row>
    <row r="379">
      <c r="A379" s="147"/>
      <c r="B379" s="147"/>
      <c r="C379" s="147"/>
      <c r="D379" s="147"/>
      <c r="E379" s="147"/>
      <c r="F379" s="205"/>
      <c r="G379" s="147"/>
      <c r="H379" s="147"/>
      <c r="I379" s="147"/>
      <c r="J379" s="147"/>
      <c r="K379" s="147"/>
      <c r="L379" s="147"/>
      <c r="M379" s="147"/>
      <c r="N379" s="147"/>
      <c r="O379" s="147"/>
      <c r="P379" s="147"/>
      <c r="Q379" s="147"/>
      <c r="R379" s="147"/>
      <c r="S379" s="147"/>
      <c r="T379" s="147"/>
      <c r="U379" s="147"/>
      <c r="V379" s="147"/>
      <c r="W379" s="147"/>
      <c r="X379" s="147"/>
      <c r="Y379" s="147"/>
      <c r="Z379" s="147"/>
      <c r="AA379" s="147"/>
      <c r="AB379" s="147"/>
      <c r="AC379" s="147"/>
      <c r="AD379" s="147"/>
      <c r="AE379" s="147"/>
      <c r="AF379" s="147"/>
      <c r="AG379" s="147"/>
    </row>
    <row r="380">
      <c r="A380" s="147"/>
      <c r="B380" s="147"/>
      <c r="C380" s="147"/>
      <c r="D380" s="147"/>
      <c r="E380" s="147"/>
      <c r="F380" s="205"/>
      <c r="G380" s="147"/>
      <c r="H380" s="147"/>
      <c r="I380" s="147"/>
      <c r="J380" s="147"/>
      <c r="K380" s="147"/>
      <c r="L380" s="147"/>
      <c r="M380" s="147"/>
      <c r="N380" s="147"/>
      <c r="O380" s="147"/>
      <c r="P380" s="147"/>
      <c r="Q380" s="147"/>
      <c r="R380" s="147"/>
      <c r="S380" s="147"/>
      <c r="T380" s="147"/>
      <c r="U380" s="147"/>
      <c r="V380" s="147"/>
      <c r="W380" s="147"/>
      <c r="X380" s="147"/>
      <c r="Y380" s="147"/>
      <c r="Z380" s="147"/>
      <c r="AA380" s="147"/>
      <c r="AB380" s="147"/>
      <c r="AC380" s="147"/>
      <c r="AD380" s="147"/>
      <c r="AE380" s="147"/>
      <c r="AF380" s="147"/>
      <c r="AG380" s="147"/>
    </row>
    <row r="381">
      <c r="A381" s="147"/>
      <c r="B381" s="147"/>
      <c r="C381" s="147"/>
      <c r="D381" s="147"/>
      <c r="E381" s="147"/>
      <c r="F381" s="205"/>
      <c r="G381" s="147"/>
      <c r="H381" s="147"/>
      <c r="I381" s="147"/>
      <c r="J381" s="147"/>
      <c r="K381" s="147"/>
      <c r="L381" s="147"/>
      <c r="M381" s="147"/>
      <c r="N381" s="147"/>
      <c r="O381" s="147"/>
      <c r="P381" s="147"/>
      <c r="Q381" s="147"/>
      <c r="R381" s="147"/>
      <c r="S381" s="147"/>
      <c r="T381" s="147"/>
      <c r="U381" s="147"/>
      <c r="V381" s="147"/>
      <c r="W381" s="147"/>
      <c r="X381" s="147"/>
      <c r="Y381" s="147"/>
      <c r="Z381" s="147"/>
      <c r="AA381" s="147"/>
      <c r="AB381" s="147"/>
      <c r="AC381" s="147"/>
      <c r="AD381" s="147"/>
      <c r="AE381" s="147"/>
      <c r="AF381" s="147"/>
      <c r="AG381" s="147"/>
    </row>
    <row r="382">
      <c r="A382" s="147"/>
      <c r="B382" s="147"/>
      <c r="C382" s="147"/>
      <c r="D382" s="147"/>
      <c r="E382" s="147"/>
      <c r="F382" s="205"/>
      <c r="G382" s="147"/>
      <c r="H382" s="147"/>
      <c r="I382" s="147"/>
      <c r="J382" s="147"/>
      <c r="K382" s="147"/>
      <c r="L382" s="147"/>
      <c r="M382" s="147"/>
      <c r="N382" s="147"/>
      <c r="O382" s="147"/>
      <c r="P382" s="147"/>
      <c r="Q382" s="147"/>
      <c r="R382" s="147"/>
      <c r="S382" s="147"/>
      <c r="T382" s="147"/>
      <c r="U382" s="147"/>
      <c r="V382" s="147"/>
      <c r="W382" s="147"/>
      <c r="X382" s="147"/>
      <c r="Y382" s="147"/>
      <c r="Z382" s="147"/>
      <c r="AA382" s="147"/>
      <c r="AB382" s="147"/>
      <c r="AC382" s="147"/>
      <c r="AD382" s="147"/>
      <c r="AE382" s="147"/>
      <c r="AF382" s="147"/>
      <c r="AG382" s="147"/>
    </row>
    <row r="383">
      <c r="A383" s="147"/>
      <c r="B383" s="147"/>
      <c r="C383" s="147"/>
      <c r="D383" s="147"/>
      <c r="E383" s="147"/>
      <c r="F383" s="205"/>
      <c r="G383" s="147"/>
      <c r="H383" s="147"/>
      <c r="I383" s="147"/>
      <c r="J383" s="147"/>
      <c r="K383" s="147"/>
      <c r="L383" s="147"/>
      <c r="M383" s="147"/>
      <c r="N383" s="147"/>
      <c r="O383" s="147"/>
      <c r="P383" s="147"/>
      <c r="Q383" s="147"/>
      <c r="R383" s="147"/>
      <c r="S383" s="147"/>
      <c r="T383" s="147"/>
      <c r="U383" s="147"/>
      <c r="V383" s="147"/>
      <c r="W383" s="147"/>
      <c r="X383" s="147"/>
      <c r="Y383" s="147"/>
      <c r="Z383" s="147"/>
      <c r="AA383" s="147"/>
      <c r="AB383" s="147"/>
      <c r="AC383" s="147"/>
      <c r="AD383" s="147"/>
      <c r="AE383" s="147"/>
      <c r="AF383" s="147"/>
      <c r="AG383" s="147"/>
    </row>
    <row r="384">
      <c r="A384" s="147"/>
      <c r="B384" s="147"/>
      <c r="C384" s="147"/>
      <c r="D384" s="147"/>
      <c r="E384" s="147"/>
      <c r="F384" s="205"/>
      <c r="G384" s="147"/>
      <c r="H384" s="147"/>
      <c r="I384" s="147"/>
      <c r="J384" s="147"/>
      <c r="K384" s="147"/>
      <c r="L384" s="147"/>
      <c r="M384" s="147"/>
      <c r="N384" s="147"/>
      <c r="O384" s="147"/>
      <c r="P384" s="147"/>
      <c r="Q384" s="147"/>
      <c r="R384" s="147"/>
      <c r="S384" s="147"/>
      <c r="T384" s="147"/>
      <c r="U384" s="147"/>
      <c r="V384" s="147"/>
      <c r="W384" s="147"/>
      <c r="X384" s="147"/>
      <c r="Y384" s="147"/>
      <c r="Z384" s="147"/>
      <c r="AA384" s="147"/>
      <c r="AB384" s="147"/>
      <c r="AC384" s="147"/>
      <c r="AD384" s="147"/>
      <c r="AE384" s="147"/>
      <c r="AF384" s="147"/>
      <c r="AG384" s="147"/>
    </row>
    <row r="385">
      <c r="A385" s="147"/>
      <c r="B385" s="147"/>
      <c r="C385" s="147"/>
      <c r="D385" s="147"/>
      <c r="E385" s="147"/>
      <c r="F385" s="205"/>
      <c r="G385" s="147"/>
      <c r="H385" s="147"/>
      <c r="I385" s="147"/>
      <c r="J385" s="147"/>
      <c r="K385" s="147"/>
      <c r="L385" s="147"/>
      <c r="M385" s="147"/>
      <c r="N385" s="147"/>
      <c r="O385" s="147"/>
      <c r="P385" s="147"/>
      <c r="Q385" s="147"/>
      <c r="R385" s="147"/>
      <c r="S385" s="147"/>
      <c r="T385" s="147"/>
      <c r="U385" s="147"/>
      <c r="V385" s="147"/>
      <c r="W385" s="147"/>
      <c r="X385" s="147"/>
      <c r="Y385" s="147"/>
      <c r="Z385" s="147"/>
      <c r="AA385" s="147"/>
      <c r="AB385" s="147"/>
      <c r="AC385" s="147"/>
      <c r="AD385" s="147"/>
      <c r="AE385" s="147"/>
      <c r="AF385" s="147"/>
      <c r="AG385" s="147"/>
    </row>
    <row r="386">
      <c r="A386" s="147"/>
      <c r="B386" s="147"/>
      <c r="C386" s="147"/>
      <c r="D386" s="147"/>
      <c r="E386" s="147"/>
      <c r="F386" s="205"/>
      <c r="G386" s="147"/>
      <c r="H386" s="147"/>
      <c r="I386" s="147"/>
      <c r="J386" s="147"/>
      <c r="K386" s="147"/>
      <c r="L386" s="147"/>
      <c r="M386" s="147"/>
      <c r="N386" s="147"/>
      <c r="O386" s="147"/>
      <c r="P386" s="147"/>
      <c r="Q386" s="147"/>
      <c r="R386" s="147"/>
      <c r="S386" s="147"/>
      <c r="T386" s="147"/>
      <c r="U386" s="147"/>
      <c r="V386" s="147"/>
      <c r="W386" s="147"/>
      <c r="X386" s="147"/>
      <c r="Y386" s="147"/>
      <c r="Z386" s="147"/>
      <c r="AA386" s="147"/>
      <c r="AB386" s="147"/>
      <c r="AC386" s="147"/>
      <c r="AD386" s="147"/>
      <c r="AE386" s="147"/>
      <c r="AF386" s="147"/>
      <c r="AG386" s="147"/>
    </row>
    <row r="387">
      <c r="A387" s="147"/>
      <c r="B387" s="147"/>
      <c r="C387" s="147"/>
      <c r="D387" s="147"/>
      <c r="E387" s="147"/>
      <c r="F387" s="205"/>
      <c r="G387" s="147"/>
      <c r="H387" s="147"/>
      <c r="I387" s="147"/>
      <c r="J387" s="147"/>
      <c r="K387" s="147"/>
      <c r="L387" s="147"/>
      <c r="M387" s="147"/>
      <c r="N387" s="147"/>
      <c r="O387" s="147"/>
      <c r="P387" s="147"/>
      <c r="Q387" s="147"/>
      <c r="R387" s="147"/>
      <c r="S387" s="147"/>
      <c r="T387" s="147"/>
      <c r="U387" s="147"/>
      <c r="V387" s="147"/>
      <c r="W387" s="147"/>
      <c r="X387" s="147"/>
      <c r="Y387" s="147"/>
      <c r="Z387" s="147"/>
      <c r="AA387" s="147"/>
      <c r="AB387" s="147"/>
      <c r="AC387" s="147"/>
      <c r="AD387" s="147"/>
      <c r="AE387" s="147"/>
      <c r="AF387" s="147"/>
      <c r="AG387" s="147"/>
    </row>
    <row r="388">
      <c r="A388" s="147"/>
      <c r="B388" s="147"/>
      <c r="C388" s="147"/>
      <c r="D388" s="147"/>
      <c r="E388" s="147"/>
      <c r="F388" s="205"/>
      <c r="G388" s="147"/>
      <c r="H388" s="147"/>
      <c r="I388" s="147"/>
      <c r="J388" s="147"/>
      <c r="K388" s="147"/>
      <c r="L388" s="147"/>
      <c r="M388" s="147"/>
      <c r="N388" s="147"/>
      <c r="O388" s="147"/>
      <c r="P388" s="147"/>
      <c r="Q388" s="147"/>
      <c r="R388" s="147"/>
      <c r="S388" s="147"/>
      <c r="T388" s="147"/>
      <c r="U388" s="147"/>
      <c r="V388" s="147"/>
      <c r="W388" s="147"/>
      <c r="X388" s="147"/>
      <c r="Y388" s="147"/>
      <c r="Z388" s="147"/>
      <c r="AA388" s="147"/>
      <c r="AB388" s="147"/>
      <c r="AC388" s="147"/>
      <c r="AD388" s="147"/>
      <c r="AE388" s="147"/>
      <c r="AF388" s="147"/>
      <c r="AG388" s="147"/>
    </row>
    <row r="389">
      <c r="A389" s="147"/>
      <c r="B389" s="147"/>
      <c r="C389" s="147"/>
      <c r="D389" s="147"/>
      <c r="E389" s="147"/>
      <c r="F389" s="205"/>
      <c r="G389" s="147"/>
      <c r="H389" s="147"/>
      <c r="I389" s="147"/>
      <c r="J389" s="147"/>
      <c r="K389" s="147"/>
      <c r="L389" s="147"/>
      <c r="M389" s="147"/>
      <c r="N389" s="147"/>
      <c r="O389" s="147"/>
      <c r="P389" s="147"/>
      <c r="Q389" s="147"/>
      <c r="R389" s="147"/>
      <c r="S389" s="147"/>
      <c r="T389" s="147"/>
      <c r="U389" s="147"/>
      <c r="V389" s="147"/>
      <c r="W389" s="147"/>
      <c r="X389" s="147"/>
      <c r="Y389" s="147"/>
      <c r="Z389" s="147"/>
      <c r="AA389" s="147"/>
      <c r="AB389" s="147"/>
      <c r="AC389" s="147"/>
      <c r="AD389" s="147"/>
      <c r="AE389" s="147"/>
      <c r="AF389" s="147"/>
      <c r="AG389" s="147"/>
    </row>
    <row r="390">
      <c r="A390" s="147"/>
      <c r="B390" s="147"/>
      <c r="C390" s="147"/>
      <c r="D390" s="147"/>
      <c r="E390" s="147"/>
      <c r="F390" s="205"/>
      <c r="G390" s="147"/>
      <c r="H390" s="147"/>
      <c r="I390" s="147"/>
      <c r="J390" s="147"/>
      <c r="K390" s="147"/>
      <c r="L390" s="147"/>
      <c r="M390" s="147"/>
      <c r="N390" s="147"/>
      <c r="O390" s="147"/>
      <c r="P390" s="147"/>
      <c r="Q390" s="147"/>
      <c r="R390" s="147"/>
      <c r="S390" s="147"/>
      <c r="T390" s="147"/>
      <c r="U390" s="147"/>
      <c r="V390" s="147"/>
      <c r="W390" s="147"/>
      <c r="X390" s="147"/>
      <c r="Y390" s="147"/>
      <c r="Z390" s="147"/>
      <c r="AA390" s="147"/>
      <c r="AB390" s="147"/>
      <c r="AC390" s="147"/>
      <c r="AD390" s="147"/>
      <c r="AE390" s="147"/>
      <c r="AF390" s="147"/>
      <c r="AG390" s="147"/>
    </row>
    <row r="391">
      <c r="A391" s="147"/>
      <c r="B391" s="147"/>
      <c r="C391" s="147"/>
      <c r="D391" s="147"/>
      <c r="E391" s="147"/>
      <c r="F391" s="205"/>
      <c r="G391" s="147"/>
      <c r="H391" s="147"/>
      <c r="I391" s="147"/>
      <c r="J391" s="147"/>
      <c r="K391" s="147"/>
      <c r="L391" s="147"/>
      <c r="M391" s="147"/>
      <c r="N391" s="147"/>
      <c r="O391" s="147"/>
      <c r="P391" s="147"/>
      <c r="Q391" s="147"/>
      <c r="R391" s="147"/>
      <c r="S391" s="147"/>
      <c r="T391" s="147"/>
      <c r="U391" s="147"/>
      <c r="V391" s="147"/>
      <c r="W391" s="147"/>
      <c r="X391" s="147"/>
      <c r="Y391" s="147"/>
      <c r="Z391" s="147"/>
      <c r="AA391" s="147"/>
      <c r="AB391" s="147"/>
      <c r="AC391" s="147"/>
      <c r="AD391" s="147"/>
      <c r="AE391" s="147"/>
      <c r="AF391" s="147"/>
      <c r="AG391" s="147"/>
    </row>
    <row r="392">
      <c r="A392" s="147"/>
      <c r="B392" s="147"/>
      <c r="C392" s="147"/>
      <c r="D392" s="147"/>
      <c r="E392" s="147"/>
      <c r="F392" s="205"/>
      <c r="G392" s="147"/>
      <c r="H392" s="147"/>
      <c r="I392" s="147"/>
      <c r="J392" s="147"/>
      <c r="K392" s="147"/>
      <c r="L392" s="147"/>
      <c r="M392" s="147"/>
      <c r="N392" s="147"/>
      <c r="O392" s="147"/>
      <c r="P392" s="147"/>
      <c r="Q392" s="147"/>
      <c r="R392" s="147"/>
      <c r="S392" s="147"/>
      <c r="T392" s="147"/>
      <c r="U392" s="147"/>
      <c r="V392" s="147"/>
      <c r="W392" s="147"/>
      <c r="X392" s="147"/>
      <c r="Y392" s="147"/>
      <c r="Z392" s="147"/>
      <c r="AA392" s="147"/>
      <c r="AB392" s="147"/>
      <c r="AC392" s="147"/>
      <c r="AD392" s="147"/>
      <c r="AE392" s="147"/>
      <c r="AF392" s="147"/>
      <c r="AG392" s="147"/>
    </row>
    <row r="393">
      <c r="A393" s="147"/>
      <c r="B393" s="147"/>
      <c r="C393" s="147"/>
      <c r="D393" s="147"/>
      <c r="E393" s="147"/>
      <c r="F393" s="205"/>
      <c r="G393" s="147"/>
      <c r="H393" s="147"/>
      <c r="I393" s="147"/>
      <c r="J393" s="147"/>
      <c r="K393" s="147"/>
      <c r="L393" s="147"/>
      <c r="M393" s="147"/>
      <c r="N393" s="147"/>
      <c r="O393" s="147"/>
      <c r="P393" s="147"/>
      <c r="Q393" s="147"/>
      <c r="R393" s="147"/>
      <c r="S393" s="147"/>
      <c r="T393" s="147"/>
      <c r="U393" s="147"/>
      <c r="V393" s="147"/>
      <c r="W393" s="147"/>
      <c r="X393" s="147"/>
      <c r="Y393" s="147"/>
      <c r="Z393" s="147"/>
      <c r="AA393" s="147"/>
      <c r="AB393" s="147"/>
      <c r="AC393" s="147"/>
      <c r="AD393" s="147"/>
      <c r="AE393" s="147"/>
      <c r="AF393" s="147"/>
      <c r="AG393" s="147"/>
    </row>
    <row r="394">
      <c r="A394" s="147"/>
      <c r="B394" s="147"/>
      <c r="C394" s="147"/>
      <c r="D394" s="147"/>
      <c r="E394" s="147"/>
      <c r="F394" s="205"/>
      <c r="G394" s="147"/>
      <c r="H394" s="147"/>
      <c r="I394" s="147"/>
      <c r="J394" s="147"/>
      <c r="K394" s="147"/>
      <c r="L394" s="147"/>
      <c r="M394" s="147"/>
      <c r="N394" s="147"/>
      <c r="O394" s="147"/>
      <c r="P394" s="147"/>
      <c r="Q394" s="147"/>
      <c r="R394" s="147"/>
      <c r="S394" s="147"/>
      <c r="T394" s="147"/>
      <c r="U394" s="147"/>
      <c r="V394" s="147"/>
      <c r="W394" s="147"/>
      <c r="X394" s="147"/>
      <c r="Y394" s="147"/>
      <c r="Z394" s="147"/>
      <c r="AA394" s="147"/>
      <c r="AB394" s="147"/>
      <c r="AC394" s="147"/>
      <c r="AD394" s="147"/>
      <c r="AE394" s="147"/>
      <c r="AF394" s="147"/>
      <c r="AG394" s="147"/>
    </row>
    <row r="395">
      <c r="A395" s="147"/>
      <c r="B395" s="147"/>
      <c r="C395" s="147"/>
      <c r="D395" s="147"/>
      <c r="E395" s="147"/>
      <c r="F395" s="205"/>
      <c r="G395" s="147"/>
      <c r="H395" s="147"/>
      <c r="I395" s="147"/>
      <c r="J395" s="147"/>
      <c r="K395" s="147"/>
      <c r="L395" s="147"/>
      <c r="M395" s="147"/>
      <c r="N395" s="147"/>
      <c r="O395" s="147"/>
      <c r="P395" s="147"/>
      <c r="Q395" s="147"/>
      <c r="R395" s="147"/>
      <c r="S395" s="147"/>
      <c r="T395" s="147"/>
      <c r="U395" s="147"/>
      <c r="V395" s="147"/>
      <c r="W395" s="147"/>
      <c r="X395" s="147"/>
      <c r="Y395" s="147"/>
      <c r="Z395" s="147"/>
      <c r="AA395" s="147"/>
      <c r="AB395" s="147"/>
      <c r="AC395" s="147"/>
      <c r="AD395" s="147"/>
      <c r="AE395" s="147"/>
      <c r="AF395" s="147"/>
      <c r="AG395" s="147"/>
    </row>
    <row r="396">
      <c r="A396" s="147"/>
      <c r="B396" s="147"/>
      <c r="C396" s="147"/>
      <c r="D396" s="147"/>
      <c r="E396" s="147"/>
      <c r="F396" s="205"/>
      <c r="G396" s="147"/>
      <c r="H396" s="147"/>
      <c r="I396" s="147"/>
      <c r="J396" s="147"/>
      <c r="K396" s="147"/>
      <c r="L396" s="147"/>
      <c r="M396" s="147"/>
      <c r="N396" s="147"/>
      <c r="O396" s="147"/>
      <c r="P396" s="147"/>
      <c r="Q396" s="147"/>
      <c r="R396" s="147"/>
      <c r="S396" s="147"/>
      <c r="T396" s="147"/>
      <c r="U396" s="147"/>
      <c r="V396" s="147"/>
      <c r="W396" s="147"/>
      <c r="X396" s="147"/>
      <c r="Y396" s="147"/>
      <c r="Z396" s="147"/>
      <c r="AA396" s="147"/>
      <c r="AB396" s="147"/>
      <c r="AC396" s="147"/>
      <c r="AD396" s="147"/>
      <c r="AE396" s="147"/>
      <c r="AF396" s="147"/>
      <c r="AG396" s="147"/>
    </row>
    <row r="397">
      <c r="A397" s="147"/>
      <c r="B397" s="147"/>
      <c r="C397" s="147"/>
      <c r="D397" s="147"/>
      <c r="E397" s="147"/>
      <c r="F397" s="205"/>
      <c r="G397" s="147"/>
      <c r="H397" s="147"/>
      <c r="I397" s="147"/>
      <c r="J397" s="147"/>
      <c r="K397" s="147"/>
      <c r="L397" s="147"/>
      <c r="M397" s="147"/>
      <c r="N397" s="147"/>
      <c r="O397" s="147"/>
      <c r="P397" s="147"/>
      <c r="Q397" s="147"/>
      <c r="R397" s="147"/>
      <c r="S397" s="147"/>
      <c r="T397" s="147"/>
      <c r="U397" s="147"/>
      <c r="V397" s="147"/>
      <c r="W397" s="147"/>
      <c r="X397" s="147"/>
      <c r="Y397" s="147"/>
      <c r="Z397" s="147"/>
      <c r="AA397" s="147"/>
      <c r="AB397" s="147"/>
      <c r="AC397" s="147"/>
      <c r="AD397" s="147"/>
      <c r="AE397" s="147"/>
      <c r="AF397" s="147"/>
      <c r="AG397" s="147"/>
    </row>
    <row r="398">
      <c r="A398" s="147"/>
      <c r="B398" s="147"/>
      <c r="C398" s="147"/>
      <c r="D398" s="147"/>
      <c r="E398" s="147"/>
      <c r="F398" s="205"/>
      <c r="G398" s="147"/>
      <c r="H398" s="147"/>
      <c r="I398" s="147"/>
      <c r="J398" s="147"/>
      <c r="K398" s="147"/>
      <c r="L398" s="147"/>
      <c r="M398" s="147"/>
      <c r="N398" s="147"/>
      <c r="O398" s="147"/>
      <c r="P398" s="147"/>
      <c r="Q398" s="147"/>
      <c r="R398" s="147"/>
      <c r="S398" s="147"/>
      <c r="T398" s="147"/>
      <c r="U398" s="147"/>
      <c r="V398" s="147"/>
      <c r="W398" s="147"/>
      <c r="X398" s="147"/>
      <c r="Y398" s="147"/>
      <c r="Z398" s="147"/>
      <c r="AA398" s="147"/>
      <c r="AB398" s="147"/>
      <c r="AC398" s="147"/>
      <c r="AD398" s="147"/>
      <c r="AE398" s="147"/>
      <c r="AF398" s="147"/>
      <c r="AG398" s="147"/>
    </row>
    <row r="399">
      <c r="A399" s="147"/>
      <c r="B399" s="147"/>
      <c r="C399" s="147"/>
      <c r="D399" s="147"/>
      <c r="E399" s="147"/>
      <c r="F399" s="205"/>
      <c r="G399" s="147"/>
      <c r="H399" s="147"/>
      <c r="I399" s="147"/>
      <c r="J399" s="147"/>
      <c r="K399" s="147"/>
      <c r="L399" s="147"/>
      <c r="M399" s="147"/>
      <c r="N399" s="147"/>
      <c r="O399" s="147"/>
      <c r="P399" s="147"/>
      <c r="Q399" s="147"/>
      <c r="R399" s="147"/>
      <c r="S399" s="147"/>
      <c r="T399" s="147"/>
      <c r="U399" s="147"/>
      <c r="V399" s="147"/>
      <c r="W399" s="147"/>
      <c r="X399" s="147"/>
      <c r="Y399" s="147"/>
      <c r="Z399" s="147"/>
      <c r="AA399" s="147"/>
      <c r="AB399" s="147"/>
      <c r="AC399" s="147"/>
      <c r="AD399" s="147"/>
      <c r="AE399" s="147"/>
      <c r="AF399" s="147"/>
      <c r="AG399" s="147"/>
    </row>
    <row r="400">
      <c r="A400" s="147"/>
      <c r="B400" s="147"/>
      <c r="C400" s="147"/>
      <c r="D400" s="147"/>
      <c r="E400" s="147"/>
      <c r="F400" s="205"/>
      <c r="G400" s="147"/>
      <c r="H400" s="147"/>
      <c r="I400" s="147"/>
      <c r="J400" s="147"/>
      <c r="K400" s="147"/>
      <c r="L400" s="147"/>
      <c r="M400" s="147"/>
      <c r="N400" s="147"/>
      <c r="O400" s="147"/>
      <c r="P400" s="147"/>
      <c r="Q400" s="147"/>
      <c r="R400" s="147"/>
      <c r="S400" s="147"/>
      <c r="T400" s="147"/>
      <c r="U400" s="147"/>
      <c r="V400" s="147"/>
      <c r="W400" s="147"/>
      <c r="X400" s="147"/>
      <c r="Y400" s="147"/>
      <c r="Z400" s="147"/>
      <c r="AA400" s="147"/>
      <c r="AB400" s="147"/>
      <c r="AC400" s="147"/>
      <c r="AD400" s="147"/>
      <c r="AE400" s="147"/>
      <c r="AF400" s="147"/>
      <c r="AG400" s="147"/>
    </row>
    <row r="401">
      <c r="A401" s="147"/>
      <c r="B401" s="147"/>
      <c r="C401" s="147"/>
      <c r="D401" s="147"/>
      <c r="E401" s="147"/>
      <c r="F401" s="205"/>
      <c r="G401" s="147"/>
      <c r="H401" s="147"/>
      <c r="I401" s="147"/>
      <c r="J401" s="147"/>
      <c r="K401" s="147"/>
      <c r="L401" s="147"/>
      <c r="M401" s="147"/>
      <c r="N401" s="147"/>
      <c r="O401" s="147"/>
      <c r="P401" s="147"/>
      <c r="Q401" s="147"/>
      <c r="R401" s="147"/>
      <c r="S401" s="147"/>
      <c r="T401" s="147"/>
      <c r="U401" s="147"/>
      <c r="V401" s="147"/>
      <c r="W401" s="147"/>
      <c r="X401" s="147"/>
      <c r="Y401" s="147"/>
      <c r="Z401" s="147"/>
      <c r="AA401" s="147"/>
      <c r="AB401" s="147"/>
      <c r="AC401" s="147"/>
      <c r="AD401" s="147"/>
      <c r="AE401" s="147"/>
      <c r="AF401" s="147"/>
      <c r="AG401" s="147"/>
    </row>
    <row r="402">
      <c r="A402" s="147"/>
      <c r="B402" s="147"/>
      <c r="C402" s="147"/>
      <c r="D402" s="147"/>
      <c r="E402" s="147"/>
      <c r="F402" s="205"/>
      <c r="G402" s="147"/>
      <c r="H402" s="147"/>
      <c r="I402" s="147"/>
      <c r="J402" s="147"/>
      <c r="K402" s="147"/>
      <c r="L402" s="147"/>
      <c r="M402" s="147"/>
      <c r="N402" s="147"/>
      <c r="O402" s="147"/>
      <c r="P402" s="147"/>
      <c r="Q402" s="147"/>
      <c r="R402" s="147"/>
      <c r="S402" s="147"/>
      <c r="T402" s="147"/>
      <c r="U402" s="147"/>
      <c r="V402" s="147"/>
      <c r="W402" s="147"/>
      <c r="X402" s="147"/>
      <c r="Y402" s="147"/>
      <c r="Z402" s="147"/>
      <c r="AA402" s="147"/>
      <c r="AB402" s="147"/>
      <c r="AC402" s="147"/>
      <c r="AD402" s="147"/>
      <c r="AE402" s="147"/>
      <c r="AF402" s="147"/>
      <c r="AG402" s="147"/>
    </row>
    <row r="403">
      <c r="A403" s="147"/>
      <c r="B403" s="147"/>
      <c r="C403" s="147"/>
      <c r="D403" s="147"/>
      <c r="E403" s="147"/>
      <c r="F403" s="205"/>
      <c r="G403" s="147"/>
      <c r="H403" s="147"/>
      <c r="I403" s="147"/>
      <c r="J403" s="147"/>
      <c r="K403" s="147"/>
      <c r="L403" s="147"/>
      <c r="M403" s="147"/>
      <c r="N403" s="147"/>
      <c r="O403" s="147"/>
      <c r="P403" s="147"/>
      <c r="Q403" s="147"/>
      <c r="R403" s="147"/>
      <c r="S403" s="147"/>
      <c r="T403" s="147"/>
      <c r="U403" s="147"/>
      <c r="V403" s="147"/>
      <c r="W403" s="147"/>
      <c r="X403" s="147"/>
      <c r="Y403" s="147"/>
      <c r="Z403" s="147"/>
      <c r="AA403" s="147"/>
      <c r="AB403" s="147"/>
      <c r="AC403" s="147"/>
      <c r="AD403" s="147"/>
      <c r="AE403" s="147"/>
      <c r="AF403" s="147"/>
      <c r="AG403" s="147"/>
    </row>
    <row r="404">
      <c r="A404" s="147"/>
      <c r="B404" s="147"/>
      <c r="C404" s="147"/>
      <c r="D404" s="147"/>
      <c r="E404" s="147"/>
      <c r="F404" s="205"/>
      <c r="G404" s="147"/>
      <c r="H404" s="147"/>
      <c r="I404" s="147"/>
      <c r="J404" s="147"/>
      <c r="K404" s="147"/>
      <c r="L404" s="147"/>
      <c r="M404" s="147"/>
      <c r="N404" s="147"/>
      <c r="O404" s="147"/>
      <c r="P404" s="147"/>
      <c r="Q404" s="147"/>
      <c r="R404" s="147"/>
      <c r="S404" s="147"/>
      <c r="T404" s="147"/>
      <c r="U404" s="147"/>
      <c r="V404" s="147"/>
      <c r="W404" s="147"/>
      <c r="X404" s="147"/>
      <c r="Y404" s="147"/>
      <c r="Z404" s="147"/>
      <c r="AA404" s="147"/>
      <c r="AB404" s="147"/>
      <c r="AC404" s="147"/>
      <c r="AD404" s="147"/>
      <c r="AE404" s="147"/>
      <c r="AF404" s="147"/>
      <c r="AG404" s="147"/>
    </row>
    <row r="405">
      <c r="A405" s="147"/>
      <c r="B405" s="147"/>
      <c r="C405" s="147"/>
      <c r="D405" s="147"/>
      <c r="E405" s="147"/>
      <c r="F405" s="205"/>
      <c r="G405" s="147"/>
      <c r="H405" s="147"/>
      <c r="I405" s="147"/>
      <c r="J405" s="147"/>
      <c r="K405" s="147"/>
      <c r="L405" s="147"/>
      <c r="M405" s="147"/>
      <c r="N405" s="147"/>
      <c r="O405" s="147"/>
      <c r="P405" s="147"/>
      <c r="Q405" s="147"/>
      <c r="R405" s="147"/>
      <c r="S405" s="147"/>
      <c r="T405" s="147"/>
      <c r="U405" s="147"/>
      <c r="V405" s="147"/>
      <c r="W405" s="147"/>
      <c r="X405" s="147"/>
      <c r="Y405" s="147"/>
      <c r="Z405" s="147"/>
      <c r="AA405" s="147"/>
      <c r="AB405" s="147"/>
      <c r="AC405" s="147"/>
      <c r="AD405" s="147"/>
      <c r="AE405" s="147"/>
      <c r="AF405" s="147"/>
      <c r="AG405" s="147"/>
    </row>
    <row r="406">
      <c r="A406" s="147"/>
      <c r="B406" s="147"/>
      <c r="C406" s="147"/>
      <c r="D406" s="147"/>
      <c r="E406" s="147"/>
      <c r="F406" s="205"/>
      <c r="G406" s="147"/>
      <c r="H406" s="147"/>
      <c r="I406" s="147"/>
      <c r="J406" s="147"/>
      <c r="K406" s="147"/>
      <c r="L406" s="147"/>
      <c r="M406" s="147"/>
      <c r="N406" s="147"/>
      <c r="O406" s="147"/>
      <c r="P406" s="147"/>
      <c r="Q406" s="147"/>
      <c r="R406" s="147"/>
      <c r="S406" s="147"/>
      <c r="T406" s="147"/>
      <c r="U406" s="147"/>
      <c r="V406" s="147"/>
      <c r="W406" s="147"/>
      <c r="X406" s="147"/>
      <c r="Y406" s="147"/>
      <c r="Z406" s="147"/>
      <c r="AA406" s="147"/>
      <c r="AB406" s="147"/>
      <c r="AC406" s="147"/>
      <c r="AD406" s="147"/>
      <c r="AE406" s="147"/>
      <c r="AF406" s="147"/>
      <c r="AG406" s="147"/>
    </row>
    <row r="407">
      <c r="A407" s="147"/>
      <c r="B407" s="147"/>
      <c r="C407" s="147"/>
      <c r="D407" s="147"/>
      <c r="E407" s="147"/>
      <c r="F407" s="205"/>
      <c r="G407" s="147"/>
      <c r="H407" s="147"/>
      <c r="I407" s="147"/>
      <c r="J407" s="147"/>
      <c r="K407" s="147"/>
      <c r="L407" s="147"/>
      <c r="M407" s="147"/>
      <c r="N407" s="147"/>
      <c r="O407" s="147"/>
      <c r="P407" s="147"/>
      <c r="Q407" s="147"/>
      <c r="R407" s="147"/>
      <c r="S407" s="147"/>
      <c r="T407" s="147"/>
      <c r="U407" s="147"/>
      <c r="V407" s="147"/>
      <c r="W407" s="147"/>
      <c r="X407" s="147"/>
      <c r="Y407" s="147"/>
      <c r="Z407" s="147"/>
      <c r="AA407" s="147"/>
      <c r="AB407" s="147"/>
      <c r="AC407" s="147"/>
      <c r="AD407" s="147"/>
      <c r="AE407" s="147"/>
      <c r="AF407" s="147"/>
      <c r="AG407" s="147"/>
    </row>
    <row r="408">
      <c r="A408" s="147"/>
      <c r="B408" s="147"/>
      <c r="C408" s="147"/>
      <c r="D408" s="147"/>
      <c r="E408" s="147"/>
      <c r="F408" s="205"/>
      <c r="G408" s="147"/>
      <c r="H408" s="147"/>
      <c r="I408" s="147"/>
      <c r="J408" s="147"/>
      <c r="K408" s="147"/>
      <c r="L408" s="147"/>
      <c r="M408" s="147"/>
      <c r="N408" s="147"/>
      <c r="O408" s="147"/>
      <c r="P408" s="147"/>
      <c r="Q408" s="147"/>
      <c r="R408" s="147"/>
      <c r="S408" s="147"/>
      <c r="T408" s="147"/>
      <c r="U408" s="147"/>
      <c r="V408" s="147"/>
      <c r="W408" s="147"/>
      <c r="X408" s="147"/>
      <c r="Y408" s="147"/>
      <c r="Z408" s="147"/>
      <c r="AA408" s="147"/>
      <c r="AB408" s="147"/>
      <c r="AC408" s="147"/>
      <c r="AD408" s="147"/>
      <c r="AE408" s="147"/>
      <c r="AF408" s="147"/>
      <c r="AG408" s="147"/>
    </row>
    <row r="409">
      <c r="A409" s="147"/>
      <c r="B409" s="147"/>
      <c r="C409" s="147"/>
      <c r="D409" s="147"/>
      <c r="E409" s="147"/>
      <c r="F409" s="205"/>
      <c r="G409" s="147"/>
      <c r="H409" s="147"/>
      <c r="I409" s="147"/>
      <c r="J409" s="147"/>
      <c r="K409" s="147"/>
      <c r="L409" s="147"/>
      <c r="M409" s="147"/>
      <c r="N409" s="147"/>
      <c r="O409" s="147"/>
      <c r="P409" s="147"/>
      <c r="Q409" s="147"/>
      <c r="R409" s="147"/>
      <c r="S409" s="147"/>
      <c r="T409" s="147"/>
      <c r="U409" s="147"/>
      <c r="V409" s="147"/>
      <c r="W409" s="147"/>
      <c r="X409" s="147"/>
      <c r="Y409" s="147"/>
      <c r="Z409" s="147"/>
      <c r="AA409" s="147"/>
      <c r="AB409" s="147"/>
      <c r="AC409" s="147"/>
      <c r="AD409" s="147"/>
      <c r="AE409" s="147"/>
      <c r="AF409" s="147"/>
      <c r="AG409" s="147"/>
    </row>
    <row r="410">
      <c r="A410" s="147"/>
      <c r="B410" s="147"/>
      <c r="C410" s="147"/>
      <c r="D410" s="147"/>
      <c r="E410" s="147"/>
      <c r="F410" s="205"/>
      <c r="G410" s="147"/>
      <c r="H410" s="147"/>
      <c r="I410" s="147"/>
      <c r="J410" s="147"/>
      <c r="K410" s="147"/>
      <c r="L410" s="147"/>
      <c r="M410" s="147"/>
      <c r="N410" s="147"/>
      <c r="O410" s="147"/>
      <c r="P410" s="147"/>
      <c r="Q410" s="147"/>
      <c r="R410" s="147"/>
      <c r="S410" s="147"/>
      <c r="T410" s="147"/>
      <c r="U410" s="147"/>
      <c r="V410" s="147"/>
      <c r="W410" s="147"/>
      <c r="X410" s="147"/>
      <c r="Y410" s="147"/>
      <c r="Z410" s="147"/>
      <c r="AA410" s="147"/>
      <c r="AB410" s="147"/>
      <c r="AC410" s="147"/>
      <c r="AD410" s="147"/>
      <c r="AE410" s="147"/>
      <c r="AF410" s="147"/>
      <c r="AG410" s="147"/>
    </row>
    <row r="411">
      <c r="A411" s="147"/>
      <c r="B411" s="147"/>
      <c r="C411" s="147"/>
      <c r="D411" s="147"/>
      <c r="E411" s="147"/>
      <c r="F411" s="205"/>
      <c r="G411" s="147"/>
      <c r="H411" s="147"/>
      <c r="I411" s="147"/>
      <c r="J411" s="147"/>
      <c r="K411" s="147"/>
      <c r="L411" s="147"/>
      <c r="M411" s="147"/>
      <c r="N411" s="147"/>
      <c r="O411" s="147"/>
      <c r="P411" s="147"/>
      <c r="Q411" s="147"/>
      <c r="R411" s="147"/>
      <c r="S411" s="147"/>
      <c r="T411" s="147"/>
      <c r="U411" s="147"/>
      <c r="V411" s="147"/>
      <c r="W411" s="147"/>
      <c r="X411" s="147"/>
      <c r="Y411" s="147"/>
      <c r="Z411" s="147"/>
      <c r="AA411" s="147"/>
      <c r="AB411" s="147"/>
      <c r="AC411" s="147"/>
      <c r="AD411" s="147"/>
      <c r="AE411" s="147"/>
      <c r="AF411" s="147"/>
      <c r="AG411" s="147"/>
    </row>
    <row r="412">
      <c r="A412" s="147"/>
      <c r="B412" s="147"/>
      <c r="C412" s="147"/>
      <c r="D412" s="147"/>
      <c r="E412" s="147"/>
      <c r="F412" s="205"/>
      <c r="G412" s="147"/>
      <c r="H412" s="147"/>
      <c r="I412" s="147"/>
      <c r="J412" s="147"/>
      <c r="K412" s="147"/>
      <c r="L412" s="147"/>
      <c r="M412" s="147"/>
      <c r="N412" s="147"/>
      <c r="O412" s="147"/>
      <c r="P412" s="147"/>
      <c r="Q412" s="147"/>
      <c r="R412" s="147"/>
      <c r="S412" s="147"/>
      <c r="T412" s="147"/>
      <c r="U412" s="147"/>
      <c r="V412" s="147"/>
      <c r="W412" s="147"/>
      <c r="X412" s="147"/>
      <c r="Y412" s="147"/>
      <c r="Z412" s="147"/>
      <c r="AA412" s="147"/>
      <c r="AB412" s="147"/>
      <c r="AC412" s="147"/>
      <c r="AD412" s="147"/>
      <c r="AE412" s="147"/>
      <c r="AF412" s="147"/>
      <c r="AG412" s="147"/>
    </row>
    <row r="413">
      <c r="A413" s="147"/>
      <c r="B413" s="147"/>
      <c r="C413" s="147"/>
      <c r="D413" s="147"/>
      <c r="E413" s="147"/>
      <c r="F413" s="205"/>
      <c r="G413" s="147"/>
      <c r="H413" s="147"/>
      <c r="I413" s="147"/>
      <c r="J413" s="147"/>
      <c r="K413" s="147"/>
      <c r="L413" s="147"/>
      <c r="M413" s="147"/>
      <c r="N413" s="147"/>
      <c r="O413" s="147"/>
      <c r="P413" s="147"/>
      <c r="Q413" s="147"/>
      <c r="R413" s="147"/>
      <c r="S413" s="147"/>
      <c r="T413" s="147"/>
      <c r="U413" s="147"/>
      <c r="V413" s="147"/>
      <c r="W413" s="147"/>
      <c r="X413" s="147"/>
      <c r="Y413" s="147"/>
      <c r="Z413" s="147"/>
      <c r="AA413" s="147"/>
      <c r="AB413" s="147"/>
      <c r="AC413" s="147"/>
      <c r="AD413" s="147"/>
      <c r="AE413" s="147"/>
      <c r="AF413" s="147"/>
      <c r="AG413" s="147"/>
    </row>
    <row r="414">
      <c r="A414" s="147"/>
      <c r="B414" s="147"/>
      <c r="C414" s="147"/>
      <c r="D414" s="147"/>
      <c r="E414" s="147"/>
      <c r="F414" s="205"/>
      <c r="G414" s="147"/>
      <c r="H414" s="147"/>
      <c r="I414" s="147"/>
      <c r="J414" s="147"/>
      <c r="K414" s="147"/>
      <c r="L414" s="147"/>
      <c r="M414" s="147"/>
      <c r="N414" s="147"/>
      <c r="O414" s="147"/>
      <c r="P414" s="147"/>
      <c r="Q414" s="147"/>
      <c r="R414" s="147"/>
      <c r="S414" s="147"/>
      <c r="T414" s="147"/>
      <c r="U414" s="147"/>
      <c r="V414" s="147"/>
      <c r="W414" s="147"/>
      <c r="X414" s="147"/>
      <c r="Y414" s="147"/>
      <c r="Z414" s="147"/>
      <c r="AA414" s="147"/>
      <c r="AB414" s="147"/>
      <c r="AC414" s="147"/>
      <c r="AD414" s="147"/>
      <c r="AE414" s="147"/>
      <c r="AF414" s="147"/>
      <c r="AG414" s="147"/>
    </row>
    <row r="415">
      <c r="A415" s="147"/>
      <c r="B415" s="147"/>
      <c r="C415" s="147"/>
      <c r="D415" s="147"/>
      <c r="E415" s="147"/>
      <c r="F415" s="205"/>
      <c r="G415" s="147"/>
      <c r="H415" s="147"/>
      <c r="I415" s="147"/>
      <c r="J415" s="147"/>
      <c r="K415" s="147"/>
      <c r="L415" s="147"/>
      <c r="M415" s="147"/>
      <c r="N415" s="147"/>
      <c r="O415" s="147"/>
      <c r="P415" s="147"/>
      <c r="Q415" s="147"/>
      <c r="R415" s="147"/>
      <c r="S415" s="147"/>
      <c r="T415" s="147"/>
      <c r="U415" s="147"/>
      <c r="V415" s="147"/>
      <c r="W415" s="147"/>
      <c r="X415" s="147"/>
      <c r="Y415" s="147"/>
      <c r="Z415" s="147"/>
      <c r="AA415" s="147"/>
      <c r="AB415" s="147"/>
      <c r="AC415" s="147"/>
      <c r="AD415" s="147"/>
      <c r="AE415" s="147"/>
      <c r="AF415" s="147"/>
      <c r="AG415" s="147"/>
    </row>
    <row r="416">
      <c r="A416" s="147"/>
      <c r="B416" s="147"/>
      <c r="C416" s="147"/>
      <c r="D416" s="147"/>
      <c r="E416" s="147"/>
      <c r="F416" s="205"/>
      <c r="G416" s="147"/>
      <c r="H416" s="147"/>
      <c r="I416" s="147"/>
      <c r="J416" s="147"/>
      <c r="K416" s="147"/>
      <c r="L416" s="147"/>
      <c r="M416" s="147"/>
      <c r="N416" s="147"/>
      <c r="O416" s="147"/>
      <c r="P416" s="147"/>
      <c r="Q416" s="147"/>
      <c r="R416" s="147"/>
      <c r="S416" s="147"/>
      <c r="T416" s="147"/>
      <c r="U416" s="147"/>
      <c r="V416" s="147"/>
      <c r="W416" s="147"/>
      <c r="X416" s="147"/>
      <c r="Y416" s="147"/>
      <c r="Z416" s="147"/>
      <c r="AA416" s="147"/>
      <c r="AB416" s="147"/>
      <c r="AC416" s="147"/>
      <c r="AD416" s="147"/>
      <c r="AE416" s="147"/>
      <c r="AF416" s="147"/>
      <c r="AG416" s="147"/>
    </row>
    <row r="417">
      <c r="A417" s="147"/>
      <c r="B417" s="147"/>
      <c r="C417" s="147"/>
      <c r="D417" s="147"/>
      <c r="E417" s="147"/>
      <c r="F417" s="205"/>
      <c r="G417" s="147"/>
      <c r="H417" s="147"/>
      <c r="I417" s="147"/>
      <c r="J417" s="147"/>
      <c r="K417" s="147"/>
      <c r="L417" s="147"/>
      <c r="M417" s="147"/>
      <c r="N417" s="147"/>
      <c r="O417" s="147"/>
      <c r="P417" s="147"/>
      <c r="Q417" s="147"/>
      <c r="R417" s="147"/>
      <c r="S417" s="147"/>
      <c r="T417" s="147"/>
      <c r="U417" s="147"/>
      <c r="V417" s="147"/>
      <c r="W417" s="147"/>
      <c r="X417" s="147"/>
      <c r="Y417" s="147"/>
      <c r="Z417" s="147"/>
      <c r="AA417" s="147"/>
      <c r="AB417" s="147"/>
      <c r="AC417" s="147"/>
      <c r="AD417" s="147"/>
      <c r="AE417" s="147"/>
      <c r="AF417" s="147"/>
      <c r="AG417" s="147"/>
    </row>
    <row r="418">
      <c r="A418" s="147"/>
      <c r="B418" s="147"/>
      <c r="C418" s="147"/>
      <c r="D418" s="147"/>
      <c r="E418" s="147"/>
      <c r="F418" s="205"/>
      <c r="G418" s="147"/>
      <c r="H418" s="147"/>
      <c r="I418" s="147"/>
      <c r="J418" s="147"/>
      <c r="K418" s="147"/>
      <c r="L418" s="147"/>
      <c r="M418" s="147"/>
      <c r="N418" s="147"/>
      <c r="O418" s="147"/>
      <c r="P418" s="147"/>
      <c r="Q418" s="147"/>
      <c r="R418" s="147"/>
      <c r="S418" s="147"/>
      <c r="T418" s="147"/>
      <c r="U418" s="147"/>
      <c r="V418" s="147"/>
      <c r="W418" s="147"/>
      <c r="X418" s="147"/>
      <c r="Y418" s="147"/>
      <c r="Z418" s="147"/>
      <c r="AA418" s="147"/>
      <c r="AB418" s="147"/>
      <c r="AC418" s="147"/>
      <c r="AD418" s="147"/>
      <c r="AE418" s="147"/>
      <c r="AF418" s="147"/>
      <c r="AG418" s="147"/>
    </row>
    <row r="419">
      <c r="A419" s="147"/>
      <c r="B419" s="147"/>
      <c r="C419" s="147"/>
      <c r="D419" s="147"/>
      <c r="E419" s="147"/>
      <c r="F419" s="205"/>
      <c r="G419" s="147"/>
      <c r="H419" s="147"/>
      <c r="I419" s="147"/>
      <c r="J419" s="147"/>
      <c r="K419" s="147"/>
      <c r="L419" s="147"/>
      <c r="M419" s="147"/>
      <c r="N419" s="147"/>
      <c r="O419" s="147"/>
      <c r="P419" s="147"/>
      <c r="Q419" s="147"/>
      <c r="R419" s="147"/>
      <c r="S419" s="147"/>
      <c r="T419" s="147"/>
      <c r="U419" s="147"/>
      <c r="V419" s="147"/>
      <c r="W419" s="147"/>
      <c r="X419" s="147"/>
      <c r="Y419" s="147"/>
      <c r="Z419" s="147"/>
      <c r="AA419" s="147"/>
      <c r="AB419" s="147"/>
      <c r="AC419" s="147"/>
      <c r="AD419" s="147"/>
      <c r="AE419" s="147"/>
      <c r="AF419" s="147"/>
      <c r="AG419" s="147"/>
    </row>
    <row r="420">
      <c r="A420" s="147"/>
      <c r="B420" s="147"/>
      <c r="C420" s="147"/>
      <c r="D420" s="147"/>
      <c r="E420" s="147"/>
      <c r="F420" s="205"/>
      <c r="G420" s="147"/>
      <c r="H420" s="147"/>
      <c r="I420" s="147"/>
      <c r="J420" s="147"/>
      <c r="K420" s="147"/>
      <c r="L420" s="147"/>
      <c r="M420" s="147"/>
      <c r="N420" s="147"/>
      <c r="O420" s="147"/>
      <c r="P420" s="147"/>
      <c r="Q420" s="147"/>
      <c r="R420" s="147"/>
      <c r="S420" s="147"/>
      <c r="T420" s="147"/>
      <c r="U420" s="147"/>
      <c r="V420" s="147"/>
      <c r="W420" s="147"/>
      <c r="X420" s="147"/>
      <c r="Y420" s="147"/>
      <c r="Z420" s="147"/>
      <c r="AA420" s="147"/>
      <c r="AB420" s="147"/>
      <c r="AC420" s="147"/>
      <c r="AD420" s="147"/>
      <c r="AE420" s="147"/>
      <c r="AF420" s="147"/>
      <c r="AG420" s="147"/>
    </row>
    <row r="421">
      <c r="A421" s="147"/>
      <c r="B421" s="147"/>
      <c r="C421" s="147"/>
      <c r="D421" s="147"/>
      <c r="E421" s="147"/>
      <c r="F421" s="205"/>
      <c r="G421" s="147"/>
      <c r="H421" s="147"/>
      <c r="I421" s="147"/>
      <c r="J421" s="147"/>
      <c r="K421" s="147"/>
      <c r="L421" s="147"/>
      <c r="M421" s="147"/>
      <c r="N421" s="147"/>
      <c r="O421" s="147"/>
      <c r="P421" s="147"/>
      <c r="Q421" s="147"/>
      <c r="R421" s="147"/>
      <c r="S421" s="147"/>
      <c r="T421" s="147"/>
      <c r="U421" s="147"/>
      <c r="V421" s="147"/>
      <c r="W421" s="147"/>
      <c r="X421" s="147"/>
      <c r="Y421" s="147"/>
      <c r="Z421" s="147"/>
      <c r="AA421" s="147"/>
      <c r="AB421" s="147"/>
      <c r="AC421" s="147"/>
      <c r="AD421" s="147"/>
      <c r="AE421" s="147"/>
      <c r="AF421" s="147"/>
      <c r="AG421" s="147"/>
    </row>
    <row r="422">
      <c r="A422" s="147"/>
      <c r="B422" s="147"/>
      <c r="C422" s="147"/>
      <c r="D422" s="147"/>
      <c r="E422" s="147"/>
      <c r="F422" s="205"/>
      <c r="G422" s="147"/>
      <c r="H422" s="147"/>
      <c r="I422" s="147"/>
      <c r="J422" s="147"/>
      <c r="K422" s="147"/>
      <c r="L422" s="147"/>
      <c r="M422" s="147"/>
      <c r="N422" s="147"/>
      <c r="O422" s="147"/>
      <c r="P422" s="147"/>
      <c r="Q422" s="147"/>
      <c r="R422" s="147"/>
      <c r="S422" s="147"/>
      <c r="T422" s="147"/>
      <c r="U422" s="147"/>
      <c r="V422" s="147"/>
      <c r="W422" s="147"/>
      <c r="X422" s="147"/>
      <c r="Y422" s="147"/>
      <c r="Z422" s="147"/>
      <c r="AA422" s="147"/>
      <c r="AB422" s="147"/>
      <c r="AC422" s="147"/>
      <c r="AD422" s="147"/>
      <c r="AE422" s="147"/>
      <c r="AF422" s="147"/>
      <c r="AG422" s="147"/>
    </row>
    <row r="423">
      <c r="A423" s="147"/>
      <c r="B423" s="147"/>
      <c r="C423" s="147"/>
      <c r="D423" s="147"/>
      <c r="E423" s="147"/>
      <c r="F423" s="205"/>
      <c r="G423" s="147"/>
      <c r="H423" s="147"/>
      <c r="I423" s="147"/>
      <c r="J423" s="147"/>
      <c r="K423" s="147"/>
      <c r="L423" s="147"/>
      <c r="M423" s="147"/>
      <c r="N423" s="147"/>
      <c r="O423" s="147"/>
      <c r="P423" s="147"/>
      <c r="Q423" s="147"/>
      <c r="R423" s="147"/>
      <c r="S423" s="147"/>
      <c r="T423" s="147"/>
      <c r="U423" s="147"/>
      <c r="V423" s="147"/>
      <c r="W423" s="147"/>
      <c r="X423" s="147"/>
      <c r="Y423" s="147"/>
      <c r="Z423" s="147"/>
      <c r="AA423" s="147"/>
      <c r="AB423" s="147"/>
      <c r="AC423" s="147"/>
      <c r="AD423" s="147"/>
      <c r="AE423" s="147"/>
      <c r="AF423" s="147"/>
      <c r="AG423" s="147"/>
    </row>
    <row r="424">
      <c r="A424" s="147"/>
      <c r="B424" s="147"/>
      <c r="C424" s="147"/>
      <c r="D424" s="147"/>
      <c r="E424" s="147"/>
      <c r="F424" s="205"/>
      <c r="G424" s="147"/>
      <c r="H424" s="147"/>
      <c r="I424" s="147"/>
      <c r="J424" s="147"/>
      <c r="K424" s="147"/>
      <c r="L424" s="147"/>
      <c r="M424" s="147"/>
      <c r="N424" s="147"/>
      <c r="O424" s="147"/>
      <c r="P424" s="147"/>
      <c r="Q424" s="147"/>
      <c r="R424" s="147"/>
      <c r="S424" s="147"/>
      <c r="T424" s="147"/>
      <c r="U424" s="147"/>
      <c r="V424" s="147"/>
      <c r="W424" s="147"/>
      <c r="X424" s="147"/>
      <c r="Y424" s="147"/>
      <c r="Z424" s="147"/>
      <c r="AA424" s="147"/>
      <c r="AB424" s="147"/>
      <c r="AC424" s="147"/>
      <c r="AD424" s="147"/>
      <c r="AE424" s="147"/>
      <c r="AF424" s="147"/>
      <c r="AG424" s="147"/>
    </row>
    <row r="425">
      <c r="A425" s="147"/>
      <c r="B425" s="147"/>
      <c r="C425" s="147"/>
      <c r="D425" s="147"/>
      <c r="E425" s="147"/>
      <c r="F425" s="205"/>
      <c r="G425" s="147"/>
      <c r="H425" s="147"/>
      <c r="I425" s="147"/>
      <c r="J425" s="147"/>
      <c r="K425" s="147"/>
      <c r="L425" s="147"/>
      <c r="M425" s="147"/>
      <c r="N425" s="147"/>
      <c r="O425" s="147"/>
      <c r="P425" s="147"/>
      <c r="Q425" s="147"/>
      <c r="R425" s="147"/>
      <c r="S425" s="147"/>
      <c r="T425" s="147"/>
      <c r="U425" s="147"/>
      <c r="V425" s="147"/>
      <c r="W425" s="147"/>
      <c r="X425" s="147"/>
      <c r="Y425" s="147"/>
      <c r="Z425" s="147"/>
      <c r="AA425" s="147"/>
      <c r="AB425" s="147"/>
      <c r="AC425" s="147"/>
      <c r="AD425" s="147"/>
      <c r="AE425" s="147"/>
      <c r="AF425" s="147"/>
      <c r="AG425" s="147"/>
    </row>
    <row r="426">
      <c r="A426" s="147"/>
      <c r="B426" s="147"/>
      <c r="C426" s="147"/>
      <c r="D426" s="147"/>
      <c r="E426" s="147"/>
      <c r="F426" s="205"/>
      <c r="G426" s="147"/>
      <c r="H426" s="147"/>
      <c r="I426" s="147"/>
      <c r="J426" s="147"/>
      <c r="K426" s="147"/>
      <c r="L426" s="147"/>
      <c r="M426" s="147"/>
      <c r="N426" s="147"/>
      <c r="O426" s="147"/>
      <c r="P426" s="147"/>
      <c r="Q426" s="147"/>
      <c r="R426" s="147"/>
      <c r="S426" s="147"/>
      <c r="T426" s="147"/>
      <c r="U426" s="147"/>
      <c r="V426" s="147"/>
      <c r="W426" s="147"/>
      <c r="X426" s="147"/>
      <c r="Y426" s="147"/>
      <c r="Z426" s="147"/>
      <c r="AA426" s="147"/>
      <c r="AB426" s="147"/>
      <c r="AC426" s="147"/>
      <c r="AD426" s="147"/>
      <c r="AE426" s="147"/>
      <c r="AF426" s="147"/>
      <c r="AG426" s="147"/>
    </row>
    <row r="427">
      <c r="A427" s="147"/>
      <c r="B427" s="147"/>
      <c r="C427" s="147"/>
      <c r="D427" s="147"/>
      <c r="E427" s="147"/>
      <c r="F427" s="205"/>
      <c r="G427" s="147"/>
      <c r="H427" s="147"/>
      <c r="I427" s="147"/>
      <c r="J427" s="147"/>
      <c r="K427" s="147"/>
      <c r="L427" s="147"/>
      <c r="M427" s="147"/>
      <c r="N427" s="147"/>
      <c r="O427" s="147"/>
      <c r="P427" s="147"/>
      <c r="Q427" s="147"/>
      <c r="R427" s="147"/>
      <c r="S427" s="147"/>
      <c r="T427" s="147"/>
      <c r="U427" s="147"/>
      <c r="V427" s="147"/>
      <c r="W427" s="147"/>
      <c r="X427" s="147"/>
      <c r="Y427" s="147"/>
      <c r="Z427" s="147"/>
      <c r="AA427" s="147"/>
      <c r="AB427" s="147"/>
      <c r="AC427" s="147"/>
      <c r="AD427" s="147"/>
      <c r="AE427" s="147"/>
      <c r="AF427" s="147"/>
      <c r="AG427" s="147"/>
    </row>
    <row r="428">
      <c r="A428" s="147"/>
      <c r="B428" s="147"/>
      <c r="C428" s="147"/>
      <c r="D428" s="147"/>
      <c r="E428" s="147"/>
      <c r="F428" s="205"/>
      <c r="G428" s="147"/>
      <c r="H428" s="147"/>
      <c r="I428" s="147"/>
      <c r="J428" s="147"/>
      <c r="K428" s="147"/>
      <c r="L428" s="147"/>
      <c r="M428" s="147"/>
      <c r="N428" s="147"/>
      <c r="O428" s="147"/>
      <c r="P428" s="147"/>
      <c r="Q428" s="147"/>
      <c r="R428" s="147"/>
      <c r="S428" s="147"/>
      <c r="T428" s="147"/>
      <c r="U428" s="147"/>
      <c r="V428" s="147"/>
      <c r="W428" s="147"/>
      <c r="X428" s="147"/>
      <c r="Y428" s="147"/>
      <c r="Z428" s="147"/>
      <c r="AA428" s="147"/>
      <c r="AB428" s="147"/>
      <c r="AC428" s="147"/>
      <c r="AD428" s="147"/>
      <c r="AE428" s="147"/>
      <c r="AF428" s="147"/>
      <c r="AG428" s="147"/>
    </row>
    <row r="429">
      <c r="A429" s="147"/>
      <c r="B429" s="147"/>
      <c r="C429" s="147"/>
      <c r="D429" s="147"/>
      <c r="E429" s="147"/>
      <c r="F429" s="205"/>
      <c r="G429" s="147"/>
      <c r="H429" s="147"/>
      <c r="I429" s="147"/>
      <c r="J429" s="147"/>
      <c r="K429" s="147"/>
      <c r="L429" s="147"/>
      <c r="M429" s="147"/>
      <c r="N429" s="147"/>
      <c r="O429" s="147"/>
      <c r="P429" s="147"/>
      <c r="Q429" s="147"/>
      <c r="R429" s="147"/>
      <c r="S429" s="147"/>
      <c r="T429" s="147"/>
      <c r="U429" s="147"/>
      <c r="V429" s="147"/>
      <c r="W429" s="147"/>
      <c r="X429" s="147"/>
      <c r="Y429" s="147"/>
      <c r="Z429" s="147"/>
      <c r="AA429" s="147"/>
      <c r="AB429" s="147"/>
      <c r="AC429" s="147"/>
      <c r="AD429" s="147"/>
      <c r="AE429" s="147"/>
      <c r="AF429" s="147"/>
      <c r="AG429" s="147"/>
    </row>
    <row r="430">
      <c r="A430" s="147"/>
      <c r="B430" s="147"/>
      <c r="C430" s="147"/>
      <c r="D430" s="147"/>
      <c r="E430" s="147"/>
      <c r="F430" s="205"/>
      <c r="G430" s="147"/>
      <c r="H430" s="147"/>
      <c r="I430" s="147"/>
      <c r="J430" s="147"/>
      <c r="K430" s="147"/>
      <c r="L430" s="147"/>
      <c r="M430" s="147"/>
      <c r="N430" s="147"/>
      <c r="O430" s="147"/>
      <c r="P430" s="147"/>
      <c r="Q430" s="147"/>
      <c r="R430" s="147"/>
      <c r="S430" s="147"/>
      <c r="T430" s="147"/>
      <c r="U430" s="147"/>
      <c r="V430" s="147"/>
      <c r="W430" s="147"/>
      <c r="X430" s="147"/>
      <c r="Y430" s="147"/>
      <c r="Z430" s="147"/>
      <c r="AA430" s="147"/>
      <c r="AB430" s="147"/>
      <c r="AC430" s="147"/>
      <c r="AD430" s="147"/>
      <c r="AE430" s="147"/>
      <c r="AF430" s="147"/>
      <c r="AG430" s="147"/>
    </row>
    <row r="431">
      <c r="A431" s="147"/>
      <c r="B431" s="147"/>
      <c r="C431" s="147"/>
      <c r="D431" s="147"/>
      <c r="E431" s="147"/>
      <c r="F431" s="205"/>
      <c r="G431" s="147"/>
      <c r="H431" s="147"/>
      <c r="I431" s="147"/>
      <c r="J431" s="147"/>
      <c r="K431" s="147"/>
      <c r="L431" s="147"/>
      <c r="M431" s="147"/>
      <c r="N431" s="147"/>
      <c r="O431" s="147"/>
      <c r="P431" s="147"/>
      <c r="Q431" s="147"/>
      <c r="R431" s="147"/>
      <c r="S431" s="147"/>
      <c r="T431" s="147"/>
      <c r="U431" s="147"/>
      <c r="V431" s="147"/>
      <c r="W431" s="147"/>
      <c r="X431" s="147"/>
      <c r="Y431" s="147"/>
      <c r="Z431" s="147"/>
      <c r="AA431" s="147"/>
      <c r="AB431" s="147"/>
      <c r="AC431" s="147"/>
      <c r="AD431" s="147"/>
      <c r="AE431" s="147"/>
      <c r="AF431" s="147"/>
      <c r="AG431" s="147"/>
    </row>
    <row r="432">
      <c r="A432" s="147"/>
      <c r="B432" s="147"/>
      <c r="C432" s="147"/>
      <c r="D432" s="147"/>
      <c r="E432" s="147"/>
      <c r="F432" s="205"/>
      <c r="G432" s="147"/>
      <c r="H432" s="147"/>
      <c r="I432" s="147"/>
      <c r="J432" s="147"/>
      <c r="K432" s="147"/>
      <c r="L432" s="147"/>
      <c r="M432" s="147"/>
      <c r="N432" s="147"/>
      <c r="O432" s="147"/>
      <c r="P432" s="147"/>
      <c r="Q432" s="147"/>
      <c r="R432" s="147"/>
      <c r="S432" s="147"/>
      <c r="T432" s="147"/>
      <c r="U432" s="147"/>
      <c r="V432" s="147"/>
      <c r="W432" s="147"/>
      <c r="X432" s="147"/>
      <c r="Y432" s="147"/>
      <c r="Z432" s="147"/>
      <c r="AA432" s="147"/>
      <c r="AB432" s="147"/>
      <c r="AC432" s="147"/>
      <c r="AD432" s="147"/>
      <c r="AE432" s="147"/>
      <c r="AF432" s="147"/>
      <c r="AG432" s="147"/>
    </row>
    <row r="433">
      <c r="A433" s="147"/>
      <c r="B433" s="147"/>
      <c r="C433" s="147"/>
      <c r="D433" s="147"/>
      <c r="E433" s="147"/>
      <c r="F433" s="205"/>
      <c r="G433" s="147"/>
      <c r="H433" s="147"/>
      <c r="I433" s="147"/>
      <c r="J433" s="147"/>
      <c r="K433" s="147"/>
      <c r="L433" s="147"/>
      <c r="M433" s="147"/>
      <c r="N433" s="147"/>
      <c r="O433" s="147"/>
      <c r="P433" s="147"/>
      <c r="Q433" s="147"/>
      <c r="R433" s="147"/>
      <c r="S433" s="147"/>
      <c r="T433" s="147"/>
      <c r="U433" s="147"/>
      <c r="V433" s="147"/>
      <c r="W433" s="147"/>
      <c r="X433" s="147"/>
      <c r="Y433" s="147"/>
      <c r="Z433" s="147"/>
      <c r="AA433" s="147"/>
      <c r="AB433" s="147"/>
      <c r="AC433" s="147"/>
      <c r="AD433" s="147"/>
      <c r="AE433" s="147"/>
      <c r="AF433" s="147"/>
      <c r="AG433" s="147"/>
    </row>
    <row r="434">
      <c r="A434" s="147"/>
      <c r="B434" s="147"/>
      <c r="C434" s="147"/>
      <c r="D434" s="147"/>
      <c r="E434" s="147"/>
      <c r="F434" s="205"/>
      <c r="G434" s="147"/>
      <c r="H434" s="147"/>
      <c r="I434" s="147"/>
      <c r="J434" s="147"/>
      <c r="K434" s="147"/>
      <c r="L434" s="147"/>
      <c r="M434" s="147"/>
      <c r="N434" s="147"/>
      <c r="O434" s="147"/>
      <c r="P434" s="147"/>
      <c r="Q434" s="147"/>
      <c r="R434" s="147"/>
      <c r="S434" s="147"/>
      <c r="T434" s="147"/>
      <c r="U434" s="147"/>
      <c r="V434" s="147"/>
      <c r="W434" s="147"/>
      <c r="X434" s="147"/>
      <c r="Y434" s="147"/>
      <c r="Z434" s="147"/>
      <c r="AA434" s="147"/>
      <c r="AB434" s="147"/>
      <c r="AC434" s="147"/>
      <c r="AD434" s="147"/>
      <c r="AE434" s="147"/>
      <c r="AF434" s="147"/>
      <c r="AG434" s="147"/>
    </row>
    <row r="435">
      <c r="A435" s="147"/>
      <c r="B435" s="147"/>
      <c r="C435" s="147"/>
      <c r="D435" s="147"/>
      <c r="E435" s="147"/>
      <c r="F435" s="205"/>
      <c r="G435" s="147"/>
      <c r="H435" s="147"/>
      <c r="I435" s="147"/>
      <c r="J435" s="147"/>
      <c r="K435" s="147"/>
      <c r="L435" s="147"/>
      <c r="M435" s="147"/>
      <c r="N435" s="147"/>
      <c r="O435" s="147"/>
      <c r="P435" s="147"/>
      <c r="Q435" s="147"/>
      <c r="R435" s="147"/>
      <c r="S435" s="147"/>
      <c r="T435" s="147"/>
      <c r="U435" s="147"/>
      <c r="V435" s="147"/>
      <c r="W435" s="147"/>
      <c r="X435" s="147"/>
      <c r="Y435" s="147"/>
      <c r="Z435" s="147"/>
      <c r="AA435" s="147"/>
      <c r="AB435" s="147"/>
      <c r="AC435" s="147"/>
      <c r="AD435" s="147"/>
      <c r="AE435" s="147"/>
      <c r="AF435" s="147"/>
      <c r="AG435" s="147"/>
    </row>
    <row r="436">
      <c r="A436" s="147"/>
      <c r="B436" s="147"/>
      <c r="C436" s="147"/>
      <c r="D436" s="147"/>
      <c r="E436" s="147"/>
      <c r="F436" s="205"/>
      <c r="G436" s="147"/>
      <c r="H436" s="147"/>
      <c r="I436" s="147"/>
      <c r="J436" s="147"/>
      <c r="K436" s="147"/>
      <c r="L436" s="147"/>
      <c r="M436" s="147"/>
      <c r="N436" s="147"/>
      <c r="O436" s="147"/>
      <c r="P436" s="147"/>
      <c r="Q436" s="147"/>
      <c r="R436" s="147"/>
      <c r="S436" s="147"/>
      <c r="T436" s="147"/>
      <c r="U436" s="147"/>
      <c r="V436" s="147"/>
      <c r="W436" s="147"/>
      <c r="X436" s="147"/>
      <c r="Y436" s="147"/>
      <c r="Z436" s="147"/>
      <c r="AA436" s="147"/>
      <c r="AB436" s="147"/>
      <c r="AC436" s="147"/>
      <c r="AD436" s="147"/>
      <c r="AE436" s="147"/>
      <c r="AF436" s="147"/>
      <c r="AG436" s="147"/>
    </row>
    <row r="437">
      <c r="A437" s="147"/>
      <c r="B437" s="147"/>
      <c r="C437" s="147"/>
      <c r="D437" s="147"/>
      <c r="E437" s="147"/>
      <c r="F437" s="205"/>
      <c r="G437" s="147"/>
      <c r="H437" s="147"/>
      <c r="I437" s="147"/>
      <c r="J437" s="147"/>
      <c r="K437" s="147"/>
      <c r="L437" s="147"/>
      <c r="M437" s="147"/>
      <c r="N437" s="147"/>
      <c r="O437" s="147"/>
      <c r="P437" s="147"/>
      <c r="Q437" s="147"/>
      <c r="R437" s="147"/>
      <c r="S437" s="147"/>
      <c r="T437" s="147"/>
      <c r="U437" s="147"/>
      <c r="V437" s="147"/>
      <c r="W437" s="147"/>
      <c r="X437" s="147"/>
      <c r="Y437" s="147"/>
      <c r="Z437" s="147"/>
      <c r="AA437" s="147"/>
      <c r="AB437" s="147"/>
      <c r="AC437" s="147"/>
      <c r="AD437" s="147"/>
      <c r="AE437" s="147"/>
      <c r="AF437" s="147"/>
      <c r="AG437" s="147"/>
    </row>
    <row r="438">
      <c r="A438" s="147"/>
      <c r="B438" s="147"/>
      <c r="C438" s="147"/>
      <c r="D438" s="147"/>
      <c r="E438" s="147"/>
      <c r="F438" s="205"/>
      <c r="G438" s="147"/>
      <c r="H438" s="147"/>
      <c r="I438" s="147"/>
      <c r="J438" s="147"/>
      <c r="K438" s="147"/>
      <c r="L438" s="147"/>
      <c r="M438" s="147"/>
      <c r="N438" s="147"/>
      <c r="O438" s="147"/>
      <c r="P438" s="147"/>
      <c r="Q438" s="147"/>
      <c r="R438" s="147"/>
      <c r="S438" s="147"/>
      <c r="T438" s="147"/>
      <c r="U438" s="147"/>
      <c r="V438" s="147"/>
      <c r="W438" s="147"/>
      <c r="X438" s="147"/>
      <c r="Y438" s="147"/>
      <c r="Z438" s="147"/>
      <c r="AA438" s="147"/>
      <c r="AB438" s="147"/>
      <c r="AC438" s="147"/>
      <c r="AD438" s="147"/>
      <c r="AE438" s="147"/>
      <c r="AF438" s="147"/>
      <c r="AG438" s="147"/>
    </row>
    <row r="439">
      <c r="A439" s="147"/>
      <c r="B439" s="147"/>
      <c r="C439" s="147"/>
      <c r="D439" s="147"/>
      <c r="E439" s="147"/>
      <c r="F439" s="205"/>
      <c r="G439" s="147"/>
      <c r="H439" s="147"/>
      <c r="I439" s="147"/>
      <c r="J439" s="147"/>
      <c r="K439" s="147"/>
      <c r="L439" s="147"/>
      <c r="M439" s="147"/>
      <c r="N439" s="147"/>
      <c r="O439" s="147"/>
      <c r="P439" s="147"/>
      <c r="Q439" s="147"/>
      <c r="R439" s="147"/>
      <c r="S439" s="147"/>
      <c r="T439" s="147"/>
      <c r="U439" s="147"/>
      <c r="V439" s="147"/>
      <c r="W439" s="147"/>
      <c r="X439" s="147"/>
      <c r="Y439" s="147"/>
      <c r="Z439" s="147"/>
      <c r="AA439" s="147"/>
      <c r="AB439" s="147"/>
      <c r="AC439" s="147"/>
      <c r="AD439" s="147"/>
      <c r="AE439" s="147"/>
      <c r="AF439" s="147"/>
      <c r="AG439" s="147"/>
    </row>
    <row r="440">
      <c r="A440" s="147"/>
      <c r="B440" s="147"/>
      <c r="C440" s="147"/>
      <c r="D440" s="147"/>
      <c r="E440" s="147"/>
      <c r="F440" s="205"/>
      <c r="G440" s="147"/>
      <c r="H440" s="147"/>
      <c r="I440" s="147"/>
      <c r="J440" s="147"/>
      <c r="K440" s="147"/>
      <c r="L440" s="147"/>
      <c r="M440" s="147"/>
      <c r="N440" s="147"/>
      <c r="O440" s="147"/>
      <c r="P440" s="147"/>
      <c r="Q440" s="147"/>
      <c r="R440" s="147"/>
      <c r="S440" s="147"/>
      <c r="T440" s="147"/>
      <c r="U440" s="147"/>
      <c r="V440" s="147"/>
      <c r="W440" s="147"/>
      <c r="X440" s="147"/>
      <c r="Y440" s="147"/>
      <c r="Z440" s="147"/>
      <c r="AA440" s="147"/>
      <c r="AB440" s="147"/>
      <c r="AC440" s="147"/>
      <c r="AD440" s="147"/>
      <c r="AE440" s="147"/>
      <c r="AF440" s="147"/>
      <c r="AG440" s="147"/>
    </row>
    <row r="441">
      <c r="A441" s="147"/>
      <c r="B441" s="147"/>
      <c r="C441" s="147"/>
      <c r="D441" s="147"/>
      <c r="E441" s="147"/>
      <c r="F441" s="205"/>
      <c r="G441" s="147"/>
      <c r="H441" s="147"/>
      <c r="I441" s="147"/>
      <c r="J441" s="147"/>
      <c r="K441" s="147"/>
      <c r="L441" s="147"/>
      <c r="M441" s="147"/>
      <c r="N441" s="147"/>
      <c r="O441" s="147"/>
      <c r="P441" s="147"/>
      <c r="Q441" s="147"/>
      <c r="R441" s="147"/>
      <c r="S441" s="147"/>
      <c r="T441" s="147"/>
      <c r="U441" s="147"/>
      <c r="V441" s="147"/>
      <c r="W441" s="147"/>
      <c r="X441" s="147"/>
      <c r="Y441" s="147"/>
      <c r="Z441" s="147"/>
      <c r="AA441" s="147"/>
      <c r="AB441" s="147"/>
      <c r="AC441" s="147"/>
      <c r="AD441" s="147"/>
      <c r="AE441" s="147"/>
      <c r="AF441" s="147"/>
      <c r="AG441" s="147"/>
    </row>
    <row r="442">
      <c r="A442" s="147"/>
      <c r="B442" s="147"/>
      <c r="C442" s="147"/>
      <c r="D442" s="147"/>
      <c r="E442" s="147"/>
      <c r="F442" s="205"/>
      <c r="G442" s="147"/>
      <c r="H442" s="147"/>
      <c r="I442" s="147"/>
      <c r="J442" s="147"/>
      <c r="K442" s="147"/>
      <c r="L442" s="147"/>
      <c r="M442" s="147"/>
      <c r="N442" s="147"/>
      <c r="O442" s="147"/>
      <c r="P442" s="147"/>
      <c r="Q442" s="147"/>
      <c r="R442" s="147"/>
      <c r="S442" s="147"/>
      <c r="T442" s="147"/>
      <c r="U442" s="147"/>
      <c r="V442" s="147"/>
      <c r="W442" s="147"/>
      <c r="X442" s="147"/>
      <c r="Y442" s="147"/>
      <c r="Z442" s="147"/>
      <c r="AA442" s="147"/>
      <c r="AB442" s="147"/>
      <c r="AC442" s="147"/>
      <c r="AD442" s="147"/>
      <c r="AE442" s="147"/>
      <c r="AF442" s="147"/>
      <c r="AG442" s="147"/>
    </row>
    <row r="443">
      <c r="A443" s="147"/>
      <c r="B443" s="147"/>
      <c r="C443" s="147"/>
      <c r="D443" s="147"/>
      <c r="E443" s="147"/>
      <c r="F443" s="205"/>
      <c r="G443" s="147"/>
      <c r="H443" s="147"/>
      <c r="I443" s="147"/>
      <c r="J443" s="147"/>
      <c r="K443" s="147"/>
      <c r="L443" s="147"/>
      <c r="M443" s="147"/>
      <c r="N443" s="147"/>
      <c r="O443" s="147"/>
      <c r="P443" s="147"/>
      <c r="Q443" s="147"/>
      <c r="R443" s="147"/>
      <c r="S443" s="147"/>
      <c r="T443" s="147"/>
      <c r="U443" s="147"/>
      <c r="V443" s="147"/>
      <c r="W443" s="147"/>
      <c r="X443" s="147"/>
      <c r="Y443" s="147"/>
      <c r="Z443" s="147"/>
      <c r="AA443" s="147"/>
      <c r="AB443" s="147"/>
      <c r="AC443" s="147"/>
      <c r="AD443" s="147"/>
      <c r="AE443" s="147"/>
      <c r="AF443" s="147"/>
      <c r="AG443" s="147"/>
    </row>
    <row r="444">
      <c r="A444" s="147"/>
      <c r="B444" s="147"/>
      <c r="C444" s="147"/>
      <c r="D444" s="147"/>
      <c r="E444" s="147"/>
      <c r="F444" s="205"/>
      <c r="G444" s="147"/>
      <c r="H444" s="147"/>
      <c r="I444" s="147"/>
      <c r="J444" s="147"/>
      <c r="K444" s="147"/>
      <c r="L444" s="147"/>
      <c r="M444" s="147"/>
      <c r="N444" s="147"/>
      <c r="O444" s="147"/>
      <c r="P444" s="147"/>
      <c r="Q444" s="147"/>
      <c r="R444" s="147"/>
      <c r="S444" s="147"/>
      <c r="T444" s="147"/>
      <c r="U444" s="147"/>
      <c r="V444" s="147"/>
      <c r="W444" s="147"/>
      <c r="X444" s="147"/>
      <c r="Y444" s="147"/>
      <c r="Z444" s="147"/>
      <c r="AA444" s="147"/>
      <c r="AB444" s="147"/>
      <c r="AC444" s="147"/>
      <c r="AD444" s="147"/>
      <c r="AE444" s="147"/>
      <c r="AF444" s="147"/>
      <c r="AG444" s="147"/>
    </row>
    <row r="445">
      <c r="A445" s="147"/>
      <c r="B445" s="147"/>
      <c r="C445" s="147"/>
      <c r="D445" s="147"/>
      <c r="E445" s="147"/>
      <c r="F445" s="205"/>
      <c r="G445" s="147"/>
      <c r="H445" s="147"/>
      <c r="I445" s="147"/>
      <c r="J445" s="147"/>
      <c r="K445" s="147"/>
      <c r="L445" s="147"/>
      <c r="M445" s="147"/>
      <c r="N445" s="147"/>
      <c r="O445" s="147"/>
      <c r="P445" s="147"/>
      <c r="Q445" s="147"/>
      <c r="R445" s="147"/>
      <c r="S445" s="147"/>
      <c r="T445" s="147"/>
      <c r="U445" s="147"/>
      <c r="V445" s="147"/>
      <c r="W445" s="147"/>
      <c r="X445" s="147"/>
      <c r="Y445" s="147"/>
      <c r="Z445" s="147"/>
      <c r="AA445" s="147"/>
      <c r="AB445" s="147"/>
      <c r="AC445" s="147"/>
      <c r="AD445" s="147"/>
      <c r="AE445" s="147"/>
      <c r="AF445" s="147"/>
      <c r="AG445" s="147"/>
    </row>
    <row r="446">
      <c r="A446" s="147"/>
      <c r="B446" s="147"/>
      <c r="C446" s="147"/>
      <c r="D446" s="147"/>
      <c r="E446" s="147"/>
      <c r="F446" s="205"/>
      <c r="G446" s="147"/>
      <c r="H446" s="147"/>
      <c r="I446" s="147"/>
      <c r="J446" s="147"/>
      <c r="K446" s="147"/>
      <c r="L446" s="147"/>
      <c r="M446" s="147"/>
      <c r="N446" s="147"/>
      <c r="O446" s="147"/>
      <c r="P446" s="147"/>
      <c r="Q446" s="147"/>
      <c r="R446" s="147"/>
      <c r="S446" s="147"/>
      <c r="T446" s="147"/>
      <c r="U446" s="147"/>
      <c r="V446" s="147"/>
      <c r="W446" s="147"/>
      <c r="X446" s="147"/>
      <c r="Y446" s="147"/>
      <c r="Z446" s="147"/>
      <c r="AA446" s="147"/>
      <c r="AB446" s="147"/>
      <c r="AC446" s="147"/>
      <c r="AD446" s="147"/>
      <c r="AE446" s="147"/>
      <c r="AF446" s="147"/>
      <c r="AG446" s="147"/>
    </row>
    <row r="447">
      <c r="A447" s="147"/>
      <c r="B447" s="147"/>
      <c r="C447" s="147"/>
      <c r="D447" s="147"/>
      <c r="E447" s="147"/>
      <c r="F447" s="205"/>
      <c r="G447" s="147"/>
      <c r="H447" s="147"/>
      <c r="I447" s="147"/>
      <c r="J447" s="147"/>
      <c r="K447" s="147"/>
      <c r="L447" s="147"/>
      <c r="M447" s="147"/>
      <c r="N447" s="147"/>
      <c r="O447" s="147"/>
      <c r="P447" s="147"/>
      <c r="Q447" s="147"/>
      <c r="R447" s="147"/>
      <c r="S447" s="147"/>
      <c r="T447" s="147"/>
      <c r="U447" s="147"/>
      <c r="V447" s="147"/>
      <c r="W447" s="147"/>
      <c r="X447" s="147"/>
      <c r="Y447" s="147"/>
      <c r="Z447" s="147"/>
      <c r="AA447" s="147"/>
      <c r="AB447" s="147"/>
      <c r="AC447" s="147"/>
      <c r="AD447" s="147"/>
      <c r="AE447" s="147"/>
      <c r="AF447" s="147"/>
      <c r="AG447" s="147"/>
    </row>
    <row r="448">
      <c r="A448" s="147"/>
      <c r="B448" s="147"/>
      <c r="C448" s="147"/>
      <c r="D448" s="147"/>
      <c r="E448" s="147"/>
      <c r="F448" s="205"/>
      <c r="G448" s="147"/>
      <c r="H448" s="147"/>
      <c r="I448" s="147"/>
      <c r="J448" s="147"/>
      <c r="K448" s="147"/>
      <c r="L448" s="147"/>
      <c r="M448" s="147"/>
      <c r="N448" s="147"/>
      <c r="O448" s="147"/>
      <c r="P448" s="147"/>
      <c r="Q448" s="147"/>
      <c r="R448" s="147"/>
      <c r="S448" s="147"/>
      <c r="T448" s="147"/>
      <c r="U448" s="147"/>
      <c r="V448" s="147"/>
      <c r="W448" s="147"/>
      <c r="X448" s="147"/>
      <c r="Y448" s="147"/>
      <c r="Z448" s="147"/>
      <c r="AA448" s="147"/>
      <c r="AB448" s="147"/>
      <c r="AC448" s="147"/>
      <c r="AD448" s="147"/>
      <c r="AE448" s="147"/>
      <c r="AF448" s="147"/>
      <c r="AG448" s="147"/>
    </row>
    <row r="449">
      <c r="A449" s="147"/>
      <c r="B449" s="147"/>
      <c r="C449" s="147"/>
      <c r="D449" s="147"/>
      <c r="E449" s="147"/>
      <c r="F449" s="205"/>
      <c r="G449" s="147"/>
      <c r="H449" s="147"/>
      <c r="I449" s="147"/>
      <c r="J449" s="147"/>
      <c r="K449" s="147"/>
      <c r="L449" s="147"/>
      <c r="M449" s="147"/>
      <c r="N449" s="147"/>
      <c r="O449" s="147"/>
      <c r="P449" s="147"/>
      <c r="Q449" s="147"/>
      <c r="R449" s="147"/>
      <c r="S449" s="147"/>
      <c r="T449" s="147"/>
      <c r="U449" s="147"/>
      <c r="V449" s="147"/>
      <c r="W449" s="147"/>
      <c r="X449" s="147"/>
      <c r="Y449" s="147"/>
      <c r="Z449" s="147"/>
      <c r="AA449" s="147"/>
      <c r="AB449" s="147"/>
      <c r="AC449" s="147"/>
      <c r="AD449" s="147"/>
      <c r="AE449" s="147"/>
      <c r="AF449" s="147"/>
      <c r="AG449" s="147"/>
    </row>
    <row r="450">
      <c r="A450" s="147"/>
      <c r="B450" s="147"/>
      <c r="C450" s="147"/>
      <c r="D450" s="147"/>
      <c r="E450" s="147"/>
      <c r="F450" s="205"/>
      <c r="G450" s="147"/>
      <c r="H450" s="147"/>
      <c r="I450" s="147"/>
      <c r="J450" s="147"/>
      <c r="K450" s="147"/>
      <c r="L450" s="147"/>
      <c r="M450" s="147"/>
      <c r="N450" s="147"/>
      <c r="O450" s="147"/>
      <c r="P450" s="147"/>
      <c r="Q450" s="147"/>
      <c r="R450" s="147"/>
      <c r="S450" s="147"/>
      <c r="T450" s="147"/>
      <c r="U450" s="147"/>
      <c r="V450" s="147"/>
      <c r="W450" s="147"/>
      <c r="X450" s="147"/>
      <c r="Y450" s="147"/>
      <c r="Z450" s="147"/>
      <c r="AA450" s="147"/>
      <c r="AB450" s="147"/>
      <c r="AC450" s="147"/>
      <c r="AD450" s="147"/>
      <c r="AE450" s="147"/>
      <c r="AF450" s="147"/>
      <c r="AG450" s="147"/>
    </row>
    <row r="451">
      <c r="A451" s="147"/>
      <c r="B451" s="147"/>
      <c r="C451" s="147"/>
      <c r="D451" s="147"/>
      <c r="E451" s="147"/>
      <c r="F451" s="205"/>
      <c r="G451" s="147"/>
      <c r="H451" s="147"/>
      <c r="I451" s="147"/>
      <c r="J451" s="147"/>
      <c r="K451" s="147"/>
      <c r="L451" s="147"/>
      <c r="M451" s="147"/>
      <c r="N451" s="147"/>
      <c r="O451" s="147"/>
      <c r="P451" s="147"/>
      <c r="Q451" s="147"/>
      <c r="R451" s="147"/>
      <c r="S451" s="147"/>
      <c r="T451" s="147"/>
      <c r="U451" s="147"/>
      <c r="V451" s="147"/>
      <c r="W451" s="147"/>
      <c r="X451" s="147"/>
      <c r="Y451" s="147"/>
      <c r="Z451" s="147"/>
      <c r="AA451" s="147"/>
      <c r="AB451" s="147"/>
      <c r="AC451" s="147"/>
      <c r="AD451" s="147"/>
      <c r="AE451" s="147"/>
      <c r="AF451" s="147"/>
      <c r="AG451" s="147"/>
    </row>
    <row r="452">
      <c r="A452" s="147"/>
      <c r="B452" s="147"/>
      <c r="C452" s="147"/>
      <c r="D452" s="147"/>
      <c r="E452" s="147"/>
      <c r="F452" s="205"/>
      <c r="G452" s="147"/>
      <c r="H452" s="147"/>
      <c r="I452" s="147"/>
      <c r="J452" s="147"/>
      <c r="K452" s="147"/>
      <c r="L452" s="147"/>
      <c r="M452" s="147"/>
      <c r="N452" s="147"/>
      <c r="O452" s="147"/>
      <c r="P452" s="147"/>
      <c r="Q452" s="147"/>
      <c r="R452" s="147"/>
      <c r="S452" s="147"/>
      <c r="T452" s="147"/>
      <c r="U452" s="147"/>
      <c r="V452" s="147"/>
      <c r="W452" s="147"/>
      <c r="X452" s="147"/>
      <c r="Y452" s="147"/>
      <c r="Z452" s="147"/>
      <c r="AA452" s="147"/>
      <c r="AB452" s="147"/>
      <c r="AC452" s="147"/>
      <c r="AD452" s="147"/>
      <c r="AE452" s="147"/>
      <c r="AF452" s="147"/>
      <c r="AG452" s="147"/>
    </row>
    <row r="453">
      <c r="A453" s="147"/>
      <c r="B453" s="147"/>
      <c r="C453" s="147"/>
      <c r="D453" s="147"/>
      <c r="E453" s="147"/>
      <c r="F453" s="205"/>
      <c r="G453" s="147"/>
      <c r="H453" s="147"/>
      <c r="I453" s="147"/>
      <c r="J453" s="147"/>
      <c r="K453" s="147"/>
      <c r="L453" s="147"/>
      <c r="M453" s="147"/>
      <c r="N453" s="147"/>
      <c r="O453" s="147"/>
      <c r="P453" s="147"/>
      <c r="Q453" s="147"/>
      <c r="R453" s="147"/>
      <c r="S453" s="147"/>
      <c r="T453" s="147"/>
      <c r="U453" s="147"/>
      <c r="V453" s="147"/>
      <c r="W453" s="147"/>
      <c r="X453" s="147"/>
      <c r="Y453" s="147"/>
      <c r="Z453" s="147"/>
      <c r="AA453" s="147"/>
      <c r="AB453" s="147"/>
      <c r="AC453" s="147"/>
      <c r="AD453" s="147"/>
      <c r="AE453" s="147"/>
      <c r="AF453" s="147"/>
      <c r="AG453" s="147"/>
    </row>
    <row r="454">
      <c r="A454" s="147"/>
      <c r="B454" s="147"/>
      <c r="C454" s="147"/>
      <c r="D454" s="147"/>
      <c r="E454" s="147"/>
      <c r="F454" s="205"/>
      <c r="G454" s="147"/>
      <c r="H454" s="147"/>
      <c r="I454" s="147"/>
      <c r="J454" s="147"/>
      <c r="K454" s="147"/>
      <c r="L454" s="147"/>
      <c r="M454" s="147"/>
      <c r="N454" s="147"/>
      <c r="O454" s="147"/>
      <c r="P454" s="147"/>
      <c r="Q454" s="147"/>
      <c r="R454" s="147"/>
      <c r="S454" s="147"/>
      <c r="T454" s="147"/>
      <c r="U454" s="147"/>
      <c r="V454" s="147"/>
      <c r="W454" s="147"/>
      <c r="X454" s="147"/>
      <c r="Y454" s="147"/>
      <c r="Z454" s="147"/>
      <c r="AA454" s="147"/>
      <c r="AB454" s="147"/>
      <c r="AC454" s="147"/>
      <c r="AD454" s="147"/>
      <c r="AE454" s="147"/>
      <c r="AF454" s="147"/>
      <c r="AG454" s="147"/>
    </row>
    <row r="455">
      <c r="A455" s="147"/>
      <c r="B455" s="147"/>
      <c r="C455" s="147"/>
      <c r="D455" s="147"/>
      <c r="E455" s="147"/>
      <c r="F455" s="205"/>
      <c r="G455" s="147"/>
      <c r="H455" s="147"/>
      <c r="I455" s="147"/>
      <c r="J455" s="147"/>
      <c r="K455" s="147"/>
      <c r="L455" s="147"/>
      <c r="M455" s="147"/>
      <c r="N455" s="147"/>
      <c r="O455" s="147"/>
      <c r="P455" s="147"/>
      <c r="Q455" s="147"/>
      <c r="R455" s="147"/>
      <c r="S455" s="147"/>
      <c r="T455" s="147"/>
      <c r="U455" s="147"/>
      <c r="V455" s="147"/>
      <c r="W455" s="147"/>
      <c r="X455" s="147"/>
      <c r="Y455" s="147"/>
      <c r="Z455" s="147"/>
      <c r="AA455" s="147"/>
      <c r="AB455" s="147"/>
      <c r="AC455" s="147"/>
      <c r="AD455" s="147"/>
      <c r="AE455" s="147"/>
      <c r="AF455" s="147"/>
      <c r="AG455" s="147"/>
    </row>
    <row r="456">
      <c r="A456" s="147"/>
      <c r="B456" s="147"/>
      <c r="C456" s="147"/>
      <c r="D456" s="147"/>
      <c r="E456" s="147"/>
      <c r="F456" s="205"/>
      <c r="G456" s="147"/>
      <c r="H456" s="147"/>
      <c r="I456" s="147"/>
      <c r="J456" s="147"/>
      <c r="K456" s="147"/>
      <c r="L456" s="147"/>
      <c r="M456" s="147"/>
      <c r="N456" s="147"/>
      <c r="O456" s="147"/>
      <c r="P456" s="147"/>
      <c r="Q456" s="147"/>
      <c r="R456" s="147"/>
      <c r="S456" s="147"/>
      <c r="T456" s="147"/>
      <c r="U456" s="147"/>
      <c r="V456" s="147"/>
      <c r="W456" s="147"/>
      <c r="X456" s="147"/>
      <c r="Y456" s="147"/>
      <c r="Z456" s="147"/>
      <c r="AA456" s="147"/>
      <c r="AB456" s="147"/>
      <c r="AC456" s="147"/>
      <c r="AD456" s="147"/>
      <c r="AE456" s="147"/>
      <c r="AF456" s="147"/>
      <c r="AG456" s="147"/>
    </row>
    <row r="457">
      <c r="A457" s="147"/>
      <c r="B457" s="147"/>
      <c r="C457" s="147"/>
      <c r="D457" s="147"/>
      <c r="E457" s="147"/>
      <c r="F457" s="205"/>
      <c r="G457" s="147"/>
      <c r="H457" s="147"/>
      <c r="I457" s="147"/>
      <c r="J457" s="147"/>
      <c r="K457" s="147"/>
      <c r="L457" s="147"/>
      <c r="M457" s="147"/>
      <c r="N457" s="147"/>
      <c r="O457" s="147"/>
      <c r="P457" s="147"/>
      <c r="Q457" s="147"/>
      <c r="R457" s="147"/>
      <c r="S457" s="147"/>
      <c r="T457" s="147"/>
      <c r="U457" s="147"/>
      <c r="V457" s="147"/>
      <c r="W457" s="147"/>
      <c r="X457" s="147"/>
      <c r="Y457" s="147"/>
      <c r="Z457" s="147"/>
      <c r="AA457" s="147"/>
      <c r="AB457" s="147"/>
      <c r="AC457" s="147"/>
      <c r="AD457" s="147"/>
      <c r="AE457" s="147"/>
      <c r="AF457" s="147"/>
      <c r="AG457" s="147"/>
    </row>
    <row r="458">
      <c r="A458" s="147"/>
      <c r="B458" s="147"/>
      <c r="C458" s="147"/>
      <c r="D458" s="147"/>
      <c r="E458" s="147"/>
      <c r="F458" s="205"/>
      <c r="G458" s="147"/>
      <c r="H458" s="147"/>
      <c r="I458" s="147"/>
      <c r="J458" s="147"/>
      <c r="K458" s="147"/>
      <c r="L458" s="147"/>
      <c r="M458" s="147"/>
      <c r="N458" s="147"/>
      <c r="O458" s="147"/>
      <c r="P458" s="147"/>
      <c r="Q458" s="147"/>
      <c r="R458" s="147"/>
      <c r="S458" s="147"/>
      <c r="T458" s="147"/>
      <c r="U458" s="147"/>
      <c r="V458" s="147"/>
      <c r="W458" s="147"/>
      <c r="X458" s="147"/>
      <c r="Y458" s="147"/>
      <c r="Z458" s="147"/>
      <c r="AA458" s="147"/>
      <c r="AB458" s="147"/>
      <c r="AC458" s="147"/>
      <c r="AD458" s="147"/>
      <c r="AE458" s="147"/>
      <c r="AF458" s="147"/>
      <c r="AG458" s="147"/>
    </row>
    <row r="459">
      <c r="A459" s="147"/>
      <c r="B459" s="147"/>
      <c r="C459" s="147"/>
      <c r="D459" s="147"/>
      <c r="E459" s="147"/>
      <c r="F459" s="205"/>
      <c r="G459" s="147"/>
      <c r="H459" s="147"/>
      <c r="I459" s="147"/>
      <c r="J459" s="147"/>
      <c r="K459" s="147"/>
      <c r="L459" s="147"/>
      <c r="M459" s="147"/>
      <c r="N459" s="147"/>
      <c r="O459" s="147"/>
      <c r="P459" s="147"/>
      <c r="Q459" s="147"/>
      <c r="R459" s="147"/>
      <c r="S459" s="147"/>
      <c r="T459" s="147"/>
      <c r="U459" s="147"/>
      <c r="V459" s="147"/>
      <c r="W459" s="147"/>
      <c r="X459" s="147"/>
      <c r="Y459" s="147"/>
      <c r="Z459" s="147"/>
      <c r="AA459" s="147"/>
      <c r="AB459" s="147"/>
      <c r="AC459" s="147"/>
      <c r="AD459" s="147"/>
      <c r="AE459" s="147"/>
      <c r="AF459" s="147"/>
      <c r="AG459" s="147"/>
    </row>
    <row r="460">
      <c r="A460" s="147"/>
      <c r="B460" s="147"/>
      <c r="C460" s="147"/>
      <c r="D460" s="147"/>
      <c r="E460" s="147"/>
      <c r="F460" s="205"/>
      <c r="G460" s="147"/>
      <c r="H460" s="147"/>
      <c r="I460" s="147"/>
      <c r="J460" s="147"/>
      <c r="K460" s="147"/>
      <c r="L460" s="147"/>
      <c r="M460" s="147"/>
      <c r="N460" s="147"/>
      <c r="O460" s="147"/>
      <c r="P460" s="147"/>
      <c r="Q460" s="147"/>
      <c r="R460" s="147"/>
      <c r="S460" s="147"/>
      <c r="T460" s="147"/>
      <c r="U460" s="147"/>
      <c r="V460" s="147"/>
      <c r="W460" s="147"/>
      <c r="X460" s="147"/>
      <c r="Y460" s="147"/>
      <c r="Z460" s="147"/>
      <c r="AA460" s="147"/>
      <c r="AB460" s="147"/>
      <c r="AC460" s="147"/>
      <c r="AD460" s="147"/>
      <c r="AE460" s="147"/>
      <c r="AF460" s="147"/>
      <c r="AG460" s="147"/>
    </row>
    <row r="461">
      <c r="A461" s="147"/>
      <c r="B461" s="147"/>
      <c r="C461" s="147"/>
      <c r="D461" s="147"/>
      <c r="E461" s="147"/>
      <c r="F461" s="205"/>
      <c r="G461" s="147"/>
      <c r="H461" s="147"/>
      <c r="I461" s="147"/>
      <c r="J461" s="147"/>
      <c r="K461" s="147"/>
      <c r="L461" s="147"/>
      <c r="M461" s="147"/>
      <c r="N461" s="147"/>
      <c r="O461" s="147"/>
      <c r="P461" s="147"/>
      <c r="Q461" s="147"/>
      <c r="R461" s="147"/>
      <c r="S461" s="147"/>
      <c r="T461" s="147"/>
      <c r="U461" s="147"/>
      <c r="V461" s="147"/>
      <c r="W461" s="147"/>
      <c r="X461" s="147"/>
      <c r="Y461" s="147"/>
      <c r="Z461" s="147"/>
      <c r="AA461" s="147"/>
      <c r="AB461" s="147"/>
      <c r="AC461" s="147"/>
      <c r="AD461" s="147"/>
      <c r="AE461" s="147"/>
      <c r="AF461" s="147"/>
      <c r="AG461" s="147"/>
    </row>
    <row r="462">
      <c r="A462" s="147"/>
      <c r="B462" s="147"/>
      <c r="C462" s="147"/>
      <c r="D462" s="147"/>
      <c r="E462" s="147"/>
      <c r="F462" s="205"/>
      <c r="G462" s="147"/>
      <c r="H462" s="147"/>
      <c r="I462" s="147"/>
      <c r="J462" s="147"/>
      <c r="K462" s="147"/>
      <c r="L462" s="147"/>
      <c r="M462" s="147"/>
      <c r="N462" s="147"/>
      <c r="O462" s="147"/>
      <c r="P462" s="147"/>
      <c r="Q462" s="147"/>
      <c r="R462" s="147"/>
      <c r="S462" s="147"/>
      <c r="T462" s="147"/>
      <c r="U462" s="147"/>
      <c r="V462" s="147"/>
      <c r="W462" s="147"/>
      <c r="X462" s="147"/>
      <c r="Y462" s="147"/>
      <c r="Z462" s="147"/>
      <c r="AA462" s="147"/>
      <c r="AB462" s="147"/>
      <c r="AC462" s="147"/>
      <c r="AD462" s="147"/>
      <c r="AE462" s="147"/>
      <c r="AF462" s="147"/>
      <c r="AG462" s="147"/>
    </row>
    <row r="463">
      <c r="A463" s="147"/>
      <c r="B463" s="147"/>
      <c r="C463" s="147"/>
      <c r="D463" s="147"/>
      <c r="E463" s="147"/>
      <c r="F463" s="205"/>
      <c r="G463" s="147"/>
      <c r="H463" s="147"/>
      <c r="I463" s="147"/>
      <c r="J463" s="147"/>
      <c r="K463" s="147"/>
      <c r="L463" s="147"/>
      <c r="M463" s="147"/>
      <c r="N463" s="147"/>
      <c r="O463" s="147"/>
      <c r="P463" s="147"/>
      <c r="Q463" s="147"/>
      <c r="R463" s="147"/>
      <c r="S463" s="147"/>
      <c r="T463" s="147"/>
      <c r="U463" s="147"/>
      <c r="V463" s="147"/>
      <c r="W463" s="147"/>
      <c r="X463" s="147"/>
      <c r="Y463" s="147"/>
      <c r="Z463" s="147"/>
      <c r="AA463" s="147"/>
      <c r="AB463" s="147"/>
      <c r="AC463" s="147"/>
      <c r="AD463" s="147"/>
      <c r="AE463" s="147"/>
      <c r="AF463" s="147"/>
      <c r="AG463" s="147"/>
    </row>
    <row r="464">
      <c r="A464" s="147"/>
      <c r="B464" s="147"/>
      <c r="C464" s="147"/>
      <c r="D464" s="147"/>
      <c r="E464" s="147"/>
      <c r="F464" s="205"/>
      <c r="G464" s="147"/>
      <c r="H464" s="147"/>
      <c r="I464" s="147"/>
      <c r="J464" s="147"/>
      <c r="K464" s="147"/>
      <c r="L464" s="147"/>
      <c r="M464" s="147"/>
      <c r="N464" s="147"/>
      <c r="O464" s="147"/>
      <c r="P464" s="147"/>
      <c r="Q464" s="147"/>
      <c r="R464" s="147"/>
      <c r="S464" s="147"/>
      <c r="T464" s="147"/>
      <c r="U464" s="147"/>
      <c r="V464" s="147"/>
      <c r="W464" s="147"/>
      <c r="X464" s="147"/>
      <c r="Y464" s="147"/>
      <c r="Z464" s="147"/>
      <c r="AA464" s="147"/>
      <c r="AB464" s="147"/>
      <c r="AC464" s="147"/>
      <c r="AD464" s="147"/>
      <c r="AE464" s="147"/>
      <c r="AF464" s="147"/>
      <c r="AG464" s="147"/>
    </row>
    <row r="465">
      <c r="A465" s="147"/>
      <c r="B465" s="147"/>
      <c r="C465" s="147"/>
      <c r="D465" s="147"/>
      <c r="E465" s="147"/>
      <c r="F465" s="205"/>
      <c r="G465" s="147"/>
      <c r="H465" s="147"/>
      <c r="I465" s="147"/>
      <c r="J465" s="147"/>
      <c r="K465" s="147"/>
      <c r="L465" s="147"/>
      <c r="M465" s="147"/>
      <c r="N465" s="147"/>
      <c r="O465" s="147"/>
      <c r="P465" s="147"/>
      <c r="Q465" s="147"/>
      <c r="R465" s="147"/>
      <c r="S465" s="147"/>
      <c r="T465" s="147"/>
      <c r="U465" s="147"/>
      <c r="V465" s="147"/>
      <c r="W465" s="147"/>
      <c r="X465" s="147"/>
      <c r="Y465" s="147"/>
      <c r="Z465" s="147"/>
      <c r="AA465" s="147"/>
      <c r="AB465" s="147"/>
      <c r="AC465" s="147"/>
      <c r="AD465" s="147"/>
      <c r="AE465" s="147"/>
      <c r="AF465" s="147"/>
      <c r="AG465" s="147"/>
    </row>
    <row r="466">
      <c r="A466" s="147"/>
      <c r="B466" s="147"/>
      <c r="C466" s="147"/>
      <c r="D466" s="147"/>
      <c r="E466" s="147"/>
      <c r="F466" s="205"/>
      <c r="G466" s="147"/>
      <c r="H466" s="147"/>
      <c r="I466" s="147"/>
      <c r="J466" s="147"/>
      <c r="K466" s="147"/>
      <c r="L466" s="147"/>
      <c r="M466" s="147"/>
      <c r="N466" s="147"/>
      <c r="O466" s="147"/>
      <c r="P466" s="147"/>
      <c r="Q466" s="147"/>
      <c r="R466" s="147"/>
      <c r="S466" s="147"/>
      <c r="T466" s="147"/>
      <c r="U466" s="147"/>
      <c r="V466" s="147"/>
      <c r="W466" s="147"/>
      <c r="X466" s="147"/>
      <c r="Y466" s="147"/>
      <c r="Z466" s="147"/>
      <c r="AA466" s="147"/>
      <c r="AB466" s="147"/>
      <c r="AC466" s="147"/>
      <c r="AD466" s="147"/>
      <c r="AE466" s="147"/>
      <c r="AF466" s="147"/>
      <c r="AG466" s="147"/>
    </row>
    <row r="467">
      <c r="A467" s="147"/>
      <c r="B467" s="147"/>
      <c r="C467" s="147"/>
      <c r="D467" s="147"/>
      <c r="E467" s="147"/>
      <c r="F467" s="205"/>
      <c r="G467" s="147"/>
      <c r="H467" s="147"/>
      <c r="I467" s="147"/>
      <c r="J467" s="147"/>
      <c r="K467" s="147"/>
      <c r="L467" s="147"/>
      <c r="M467" s="147"/>
      <c r="N467" s="147"/>
      <c r="O467" s="147"/>
      <c r="P467" s="147"/>
      <c r="Q467" s="147"/>
      <c r="R467" s="147"/>
      <c r="S467" s="147"/>
      <c r="T467" s="147"/>
      <c r="U467" s="147"/>
      <c r="V467" s="147"/>
      <c r="W467" s="147"/>
      <c r="X467" s="147"/>
      <c r="Y467" s="147"/>
      <c r="Z467" s="147"/>
      <c r="AA467" s="147"/>
      <c r="AB467" s="147"/>
      <c r="AC467" s="147"/>
      <c r="AD467" s="147"/>
      <c r="AE467" s="147"/>
      <c r="AF467" s="147"/>
      <c r="AG467" s="147"/>
    </row>
    <row r="468">
      <c r="A468" s="147"/>
      <c r="B468" s="147"/>
      <c r="C468" s="147"/>
      <c r="D468" s="147"/>
      <c r="E468" s="147"/>
      <c r="F468" s="205"/>
      <c r="G468" s="147"/>
      <c r="H468" s="147"/>
      <c r="I468" s="147"/>
      <c r="J468" s="147"/>
      <c r="K468" s="147"/>
      <c r="L468" s="147"/>
      <c r="M468" s="147"/>
      <c r="N468" s="147"/>
      <c r="O468" s="147"/>
      <c r="P468" s="147"/>
      <c r="Q468" s="147"/>
      <c r="R468" s="147"/>
      <c r="S468" s="147"/>
      <c r="T468" s="147"/>
      <c r="U468" s="147"/>
      <c r="V468" s="147"/>
      <c r="W468" s="147"/>
      <c r="X468" s="147"/>
      <c r="Y468" s="147"/>
      <c r="Z468" s="147"/>
      <c r="AA468" s="147"/>
      <c r="AB468" s="147"/>
      <c r="AC468" s="147"/>
      <c r="AD468" s="147"/>
      <c r="AE468" s="147"/>
      <c r="AF468" s="147"/>
      <c r="AG468" s="147"/>
    </row>
    <row r="469">
      <c r="A469" s="147"/>
      <c r="B469" s="147"/>
      <c r="C469" s="147"/>
      <c r="D469" s="147"/>
      <c r="E469" s="147"/>
      <c r="F469" s="205"/>
      <c r="G469" s="147"/>
      <c r="H469" s="147"/>
      <c r="I469" s="147"/>
      <c r="J469" s="147"/>
      <c r="K469" s="147"/>
      <c r="L469" s="147"/>
      <c r="M469" s="147"/>
      <c r="N469" s="147"/>
      <c r="O469" s="147"/>
      <c r="P469" s="147"/>
      <c r="Q469" s="147"/>
      <c r="R469" s="147"/>
      <c r="S469" s="147"/>
      <c r="T469" s="147"/>
      <c r="U469" s="147"/>
      <c r="V469" s="147"/>
      <c r="W469" s="147"/>
      <c r="X469" s="147"/>
      <c r="Y469" s="147"/>
      <c r="Z469" s="147"/>
      <c r="AA469" s="147"/>
      <c r="AB469" s="147"/>
      <c r="AC469" s="147"/>
      <c r="AD469" s="147"/>
      <c r="AE469" s="147"/>
      <c r="AF469" s="147"/>
      <c r="AG469" s="147"/>
    </row>
    <row r="470">
      <c r="A470" s="147"/>
      <c r="B470" s="147"/>
      <c r="C470" s="147"/>
      <c r="D470" s="147"/>
      <c r="E470" s="147"/>
      <c r="F470" s="205"/>
      <c r="G470" s="147"/>
      <c r="H470" s="147"/>
      <c r="I470" s="147"/>
      <c r="J470" s="147"/>
      <c r="K470" s="147"/>
      <c r="L470" s="147"/>
      <c r="M470" s="147"/>
      <c r="N470" s="147"/>
      <c r="O470" s="147"/>
      <c r="P470" s="147"/>
      <c r="Q470" s="147"/>
      <c r="R470" s="147"/>
      <c r="S470" s="147"/>
      <c r="T470" s="147"/>
      <c r="U470" s="147"/>
      <c r="V470" s="147"/>
      <c r="W470" s="147"/>
      <c r="X470" s="147"/>
      <c r="Y470" s="147"/>
      <c r="Z470" s="147"/>
      <c r="AA470" s="147"/>
      <c r="AB470" s="147"/>
      <c r="AC470" s="147"/>
      <c r="AD470" s="147"/>
      <c r="AE470" s="147"/>
      <c r="AF470" s="147"/>
      <c r="AG470" s="147"/>
    </row>
    <row r="471">
      <c r="A471" s="147"/>
      <c r="B471" s="147"/>
      <c r="C471" s="147"/>
      <c r="D471" s="147"/>
      <c r="E471" s="147"/>
      <c r="F471" s="205"/>
      <c r="G471" s="147"/>
      <c r="H471" s="147"/>
      <c r="I471" s="147"/>
      <c r="J471" s="147"/>
      <c r="K471" s="147"/>
      <c r="L471" s="147"/>
      <c r="M471" s="147"/>
      <c r="N471" s="147"/>
      <c r="O471" s="147"/>
      <c r="P471" s="147"/>
      <c r="Q471" s="147"/>
      <c r="R471" s="147"/>
      <c r="S471" s="147"/>
      <c r="T471" s="147"/>
      <c r="U471" s="147"/>
      <c r="V471" s="147"/>
      <c r="W471" s="147"/>
      <c r="X471" s="147"/>
      <c r="Y471" s="147"/>
      <c r="Z471" s="147"/>
      <c r="AA471" s="147"/>
      <c r="AB471" s="147"/>
      <c r="AC471" s="147"/>
      <c r="AD471" s="147"/>
      <c r="AE471" s="147"/>
      <c r="AF471" s="147"/>
      <c r="AG471" s="147"/>
    </row>
    <row r="472">
      <c r="A472" s="147"/>
      <c r="B472" s="147"/>
      <c r="C472" s="147"/>
      <c r="D472" s="147"/>
      <c r="E472" s="147"/>
      <c r="F472" s="205"/>
      <c r="G472" s="147"/>
      <c r="H472" s="147"/>
      <c r="I472" s="147"/>
      <c r="J472" s="147"/>
      <c r="K472" s="147"/>
      <c r="L472" s="147"/>
      <c r="M472" s="147"/>
      <c r="N472" s="147"/>
      <c r="O472" s="147"/>
      <c r="P472" s="147"/>
      <c r="Q472" s="147"/>
      <c r="R472" s="147"/>
      <c r="S472" s="147"/>
      <c r="T472" s="147"/>
      <c r="U472" s="147"/>
      <c r="V472" s="147"/>
      <c r="W472" s="147"/>
      <c r="X472" s="147"/>
      <c r="Y472" s="147"/>
      <c r="Z472" s="147"/>
      <c r="AA472" s="147"/>
      <c r="AB472" s="147"/>
      <c r="AC472" s="147"/>
      <c r="AD472" s="147"/>
      <c r="AE472" s="147"/>
      <c r="AF472" s="147"/>
      <c r="AG472" s="147"/>
    </row>
    <row r="473">
      <c r="A473" s="147"/>
      <c r="B473" s="147"/>
      <c r="C473" s="147"/>
      <c r="D473" s="147"/>
      <c r="E473" s="147"/>
      <c r="F473" s="205"/>
      <c r="G473" s="147"/>
      <c r="H473" s="147"/>
      <c r="I473" s="147"/>
      <c r="J473" s="147"/>
      <c r="K473" s="147"/>
      <c r="L473" s="147"/>
      <c r="M473" s="147"/>
      <c r="N473" s="147"/>
      <c r="O473" s="147"/>
      <c r="P473" s="147"/>
      <c r="Q473" s="147"/>
      <c r="R473" s="147"/>
      <c r="S473" s="147"/>
      <c r="T473" s="147"/>
      <c r="U473" s="147"/>
      <c r="V473" s="147"/>
      <c r="W473" s="147"/>
      <c r="X473" s="147"/>
      <c r="Y473" s="147"/>
      <c r="Z473" s="147"/>
      <c r="AA473" s="147"/>
      <c r="AB473" s="147"/>
      <c r="AC473" s="147"/>
      <c r="AD473" s="147"/>
      <c r="AE473" s="147"/>
      <c r="AF473" s="147"/>
      <c r="AG473" s="147"/>
    </row>
    <row r="474">
      <c r="A474" s="147"/>
      <c r="B474" s="147"/>
      <c r="C474" s="147"/>
      <c r="D474" s="147"/>
      <c r="E474" s="147"/>
      <c r="F474" s="205"/>
      <c r="G474" s="147"/>
      <c r="H474" s="147"/>
      <c r="I474" s="147"/>
      <c r="J474" s="147"/>
      <c r="K474" s="147"/>
      <c r="L474" s="147"/>
      <c r="M474" s="147"/>
      <c r="N474" s="147"/>
      <c r="O474" s="147"/>
      <c r="P474" s="147"/>
      <c r="Q474" s="147"/>
      <c r="R474" s="147"/>
      <c r="S474" s="147"/>
      <c r="T474" s="147"/>
      <c r="U474" s="147"/>
      <c r="V474" s="147"/>
      <c r="W474" s="147"/>
      <c r="X474" s="147"/>
      <c r="Y474" s="147"/>
      <c r="Z474" s="147"/>
      <c r="AA474" s="147"/>
      <c r="AB474" s="147"/>
      <c r="AC474" s="147"/>
      <c r="AD474" s="147"/>
      <c r="AE474" s="147"/>
      <c r="AF474" s="147"/>
      <c r="AG474" s="147"/>
    </row>
    <row r="475">
      <c r="A475" s="147"/>
      <c r="B475" s="147"/>
      <c r="C475" s="147"/>
      <c r="D475" s="147"/>
      <c r="E475" s="147"/>
      <c r="F475" s="205"/>
      <c r="G475" s="147"/>
      <c r="H475" s="147"/>
      <c r="I475" s="147"/>
      <c r="J475" s="147"/>
      <c r="K475" s="147"/>
      <c r="L475" s="147"/>
      <c r="M475" s="147"/>
      <c r="N475" s="147"/>
      <c r="O475" s="147"/>
      <c r="P475" s="147"/>
      <c r="Q475" s="147"/>
      <c r="R475" s="147"/>
      <c r="S475" s="147"/>
      <c r="T475" s="147"/>
      <c r="U475" s="147"/>
      <c r="V475" s="147"/>
      <c r="W475" s="147"/>
      <c r="X475" s="147"/>
      <c r="Y475" s="147"/>
      <c r="Z475" s="147"/>
      <c r="AA475" s="147"/>
      <c r="AB475" s="147"/>
      <c r="AC475" s="147"/>
      <c r="AD475" s="147"/>
      <c r="AE475" s="147"/>
      <c r="AF475" s="147"/>
      <c r="AG475" s="147"/>
    </row>
    <row r="476">
      <c r="A476" s="147"/>
      <c r="B476" s="147"/>
      <c r="C476" s="147"/>
      <c r="D476" s="147"/>
      <c r="E476" s="147"/>
      <c r="F476" s="205"/>
      <c r="G476" s="147"/>
      <c r="H476" s="147"/>
      <c r="I476" s="147"/>
      <c r="J476" s="147"/>
      <c r="K476" s="147"/>
      <c r="L476" s="147"/>
      <c r="M476" s="147"/>
      <c r="N476" s="147"/>
      <c r="O476" s="147"/>
      <c r="P476" s="147"/>
      <c r="Q476" s="147"/>
      <c r="R476" s="147"/>
      <c r="S476" s="147"/>
      <c r="T476" s="147"/>
      <c r="U476" s="147"/>
      <c r="V476" s="147"/>
      <c r="W476" s="147"/>
      <c r="X476" s="147"/>
      <c r="Y476" s="147"/>
      <c r="Z476" s="147"/>
      <c r="AA476" s="147"/>
      <c r="AB476" s="147"/>
      <c r="AC476" s="147"/>
      <c r="AD476" s="147"/>
      <c r="AE476" s="147"/>
      <c r="AF476" s="147"/>
      <c r="AG476" s="147"/>
    </row>
    <row r="477">
      <c r="A477" s="147"/>
      <c r="B477" s="147"/>
      <c r="C477" s="147"/>
      <c r="D477" s="147"/>
      <c r="E477" s="147"/>
      <c r="F477" s="205"/>
      <c r="G477" s="147"/>
      <c r="H477" s="147"/>
      <c r="I477" s="147"/>
      <c r="J477" s="147"/>
      <c r="K477" s="147"/>
      <c r="L477" s="147"/>
      <c r="M477" s="147"/>
      <c r="N477" s="147"/>
      <c r="O477" s="147"/>
      <c r="P477" s="147"/>
      <c r="Q477" s="147"/>
      <c r="R477" s="147"/>
      <c r="S477" s="147"/>
      <c r="T477" s="147"/>
      <c r="U477" s="147"/>
      <c r="V477" s="147"/>
      <c r="W477" s="147"/>
      <c r="X477" s="147"/>
      <c r="Y477" s="147"/>
      <c r="Z477" s="147"/>
      <c r="AA477" s="147"/>
      <c r="AB477" s="147"/>
      <c r="AC477" s="147"/>
      <c r="AD477" s="147"/>
      <c r="AE477" s="147"/>
      <c r="AF477" s="147"/>
      <c r="AG477" s="147"/>
    </row>
    <row r="478">
      <c r="A478" s="147"/>
      <c r="B478" s="147"/>
      <c r="C478" s="147"/>
      <c r="D478" s="147"/>
      <c r="E478" s="147"/>
      <c r="F478" s="205"/>
      <c r="G478" s="147"/>
      <c r="H478" s="147"/>
      <c r="I478" s="147"/>
      <c r="J478" s="147"/>
      <c r="K478" s="147"/>
      <c r="L478" s="147"/>
      <c r="M478" s="147"/>
      <c r="N478" s="147"/>
      <c r="O478" s="147"/>
      <c r="P478" s="147"/>
      <c r="Q478" s="147"/>
      <c r="R478" s="147"/>
      <c r="S478" s="147"/>
      <c r="T478" s="147"/>
      <c r="U478" s="147"/>
      <c r="V478" s="147"/>
      <c r="W478" s="147"/>
      <c r="X478" s="147"/>
      <c r="Y478" s="147"/>
      <c r="Z478" s="147"/>
      <c r="AA478" s="147"/>
      <c r="AB478" s="147"/>
      <c r="AC478" s="147"/>
      <c r="AD478" s="147"/>
      <c r="AE478" s="147"/>
      <c r="AF478" s="147"/>
      <c r="AG478" s="147"/>
    </row>
    <row r="479">
      <c r="A479" s="147"/>
      <c r="B479" s="147"/>
      <c r="C479" s="147"/>
      <c r="D479" s="147"/>
      <c r="E479" s="147"/>
      <c r="F479" s="205"/>
      <c r="G479" s="147"/>
      <c r="H479" s="147"/>
      <c r="I479" s="147"/>
      <c r="J479" s="147"/>
      <c r="K479" s="147"/>
      <c r="L479" s="147"/>
      <c r="M479" s="147"/>
      <c r="N479" s="147"/>
      <c r="O479" s="147"/>
      <c r="P479" s="147"/>
      <c r="Q479" s="147"/>
      <c r="R479" s="147"/>
      <c r="S479" s="147"/>
      <c r="T479" s="147"/>
      <c r="U479" s="147"/>
      <c r="V479" s="147"/>
      <c r="W479" s="147"/>
      <c r="X479" s="147"/>
      <c r="Y479" s="147"/>
      <c r="Z479" s="147"/>
      <c r="AA479" s="147"/>
      <c r="AB479" s="147"/>
      <c r="AC479" s="147"/>
      <c r="AD479" s="147"/>
      <c r="AE479" s="147"/>
      <c r="AF479" s="147"/>
      <c r="AG479" s="147"/>
    </row>
    <row r="480">
      <c r="A480" s="147"/>
      <c r="B480" s="147"/>
      <c r="C480" s="147"/>
      <c r="D480" s="147"/>
      <c r="E480" s="147"/>
      <c r="F480" s="205"/>
      <c r="G480" s="147"/>
      <c r="H480" s="147"/>
      <c r="I480" s="147"/>
      <c r="J480" s="147"/>
      <c r="K480" s="147"/>
      <c r="L480" s="147"/>
      <c r="M480" s="147"/>
      <c r="N480" s="147"/>
      <c r="O480" s="147"/>
      <c r="P480" s="147"/>
      <c r="Q480" s="147"/>
      <c r="R480" s="147"/>
      <c r="S480" s="147"/>
      <c r="T480" s="147"/>
      <c r="U480" s="147"/>
      <c r="V480" s="147"/>
      <c r="W480" s="147"/>
      <c r="X480" s="147"/>
      <c r="Y480" s="147"/>
      <c r="Z480" s="147"/>
      <c r="AA480" s="147"/>
      <c r="AB480" s="147"/>
      <c r="AC480" s="147"/>
      <c r="AD480" s="147"/>
      <c r="AE480" s="147"/>
      <c r="AF480" s="147"/>
      <c r="AG480" s="147"/>
    </row>
    <row r="481">
      <c r="A481" s="147"/>
      <c r="B481" s="147"/>
      <c r="C481" s="147"/>
      <c r="D481" s="147"/>
      <c r="E481" s="147"/>
      <c r="F481" s="205"/>
      <c r="G481" s="147"/>
      <c r="H481" s="147"/>
      <c r="I481" s="147"/>
      <c r="J481" s="147"/>
      <c r="K481" s="147"/>
      <c r="L481" s="147"/>
      <c r="M481" s="147"/>
      <c r="N481" s="147"/>
      <c r="O481" s="147"/>
      <c r="P481" s="147"/>
      <c r="Q481" s="147"/>
      <c r="R481" s="147"/>
      <c r="S481" s="147"/>
      <c r="T481" s="147"/>
      <c r="U481" s="147"/>
      <c r="V481" s="147"/>
      <c r="W481" s="147"/>
      <c r="X481" s="147"/>
      <c r="Y481" s="147"/>
      <c r="Z481" s="147"/>
      <c r="AA481" s="147"/>
      <c r="AB481" s="147"/>
      <c r="AC481" s="147"/>
      <c r="AD481" s="147"/>
      <c r="AE481" s="147"/>
      <c r="AF481" s="147"/>
      <c r="AG481" s="147"/>
    </row>
    <row r="482">
      <c r="A482" s="147"/>
      <c r="B482" s="147"/>
      <c r="C482" s="147"/>
      <c r="D482" s="147"/>
      <c r="E482" s="147"/>
      <c r="F482" s="205"/>
      <c r="G482" s="147"/>
      <c r="H482" s="147"/>
      <c r="I482" s="147"/>
      <c r="J482" s="147"/>
      <c r="K482" s="147"/>
      <c r="L482" s="147"/>
      <c r="M482" s="147"/>
      <c r="N482" s="147"/>
      <c r="O482" s="147"/>
      <c r="P482" s="147"/>
      <c r="Q482" s="147"/>
      <c r="R482" s="147"/>
      <c r="S482" s="147"/>
      <c r="T482" s="147"/>
      <c r="U482" s="147"/>
      <c r="V482" s="147"/>
      <c r="W482" s="147"/>
      <c r="X482" s="147"/>
      <c r="Y482" s="147"/>
      <c r="Z482" s="147"/>
      <c r="AA482" s="147"/>
      <c r="AB482" s="147"/>
      <c r="AC482" s="147"/>
      <c r="AD482" s="147"/>
      <c r="AE482" s="147"/>
      <c r="AF482" s="147"/>
      <c r="AG482" s="147"/>
    </row>
    <row r="483">
      <c r="A483" s="147"/>
      <c r="B483" s="147"/>
      <c r="C483" s="147"/>
      <c r="D483" s="147"/>
      <c r="E483" s="147"/>
      <c r="F483" s="205"/>
      <c r="G483" s="147"/>
      <c r="H483" s="147"/>
      <c r="I483" s="147"/>
      <c r="J483" s="147"/>
      <c r="K483" s="147"/>
      <c r="L483" s="147"/>
      <c r="M483" s="147"/>
      <c r="N483" s="147"/>
      <c r="O483" s="147"/>
      <c r="P483" s="147"/>
      <c r="Q483" s="147"/>
      <c r="R483" s="147"/>
      <c r="S483" s="147"/>
      <c r="T483" s="147"/>
      <c r="U483" s="147"/>
      <c r="V483" s="147"/>
      <c r="W483" s="147"/>
      <c r="X483" s="147"/>
      <c r="Y483" s="147"/>
      <c r="Z483" s="147"/>
      <c r="AA483" s="147"/>
      <c r="AB483" s="147"/>
      <c r="AC483" s="147"/>
      <c r="AD483" s="147"/>
      <c r="AE483" s="147"/>
      <c r="AF483" s="147"/>
      <c r="AG483" s="147"/>
    </row>
    <row r="484">
      <c r="A484" s="147"/>
      <c r="B484" s="147"/>
      <c r="C484" s="147"/>
      <c r="D484" s="147"/>
      <c r="E484" s="147"/>
      <c r="F484" s="205"/>
      <c r="G484" s="147"/>
      <c r="H484" s="147"/>
      <c r="I484" s="147"/>
      <c r="J484" s="147"/>
      <c r="K484" s="147"/>
      <c r="L484" s="147"/>
      <c r="M484" s="147"/>
      <c r="N484" s="147"/>
      <c r="O484" s="147"/>
      <c r="P484" s="147"/>
      <c r="Q484" s="147"/>
      <c r="R484" s="147"/>
      <c r="S484" s="147"/>
      <c r="T484" s="147"/>
      <c r="U484" s="147"/>
      <c r="V484" s="147"/>
      <c r="W484" s="147"/>
      <c r="X484" s="147"/>
      <c r="Y484" s="147"/>
      <c r="Z484" s="147"/>
      <c r="AA484" s="147"/>
      <c r="AB484" s="147"/>
      <c r="AC484" s="147"/>
      <c r="AD484" s="147"/>
      <c r="AE484" s="147"/>
      <c r="AF484" s="147"/>
      <c r="AG484" s="147"/>
    </row>
    <row r="485">
      <c r="A485" s="147"/>
      <c r="B485" s="147"/>
      <c r="C485" s="147"/>
      <c r="D485" s="147"/>
      <c r="E485" s="147"/>
      <c r="F485" s="205"/>
      <c r="G485" s="147"/>
      <c r="H485" s="147"/>
      <c r="I485" s="147"/>
      <c r="J485" s="147"/>
      <c r="K485" s="147"/>
      <c r="L485" s="147"/>
      <c r="M485" s="147"/>
      <c r="N485" s="147"/>
      <c r="O485" s="147"/>
      <c r="P485" s="147"/>
      <c r="Q485" s="147"/>
      <c r="R485" s="147"/>
      <c r="S485" s="147"/>
      <c r="T485" s="147"/>
      <c r="U485" s="147"/>
      <c r="V485" s="147"/>
      <c r="W485" s="147"/>
      <c r="X485" s="147"/>
      <c r="Y485" s="147"/>
      <c r="Z485" s="147"/>
      <c r="AA485" s="147"/>
      <c r="AB485" s="147"/>
      <c r="AC485" s="147"/>
      <c r="AD485" s="147"/>
      <c r="AE485" s="147"/>
      <c r="AF485" s="147"/>
      <c r="AG485" s="147"/>
    </row>
    <row r="486">
      <c r="A486" s="147"/>
      <c r="B486" s="147"/>
      <c r="C486" s="147"/>
      <c r="D486" s="147"/>
      <c r="E486" s="147"/>
      <c r="F486" s="205"/>
      <c r="G486" s="147"/>
      <c r="H486" s="147"/>
      <c r="I486" s="147"/>
      <c r="J486" s="147"/>
      <c r="K486" s="147"/>
      <c r="L486" s="147"/>
      <c r="M486" s="147"/>
      <c r="N486" s="147"/>
      <c r="O486" s="147"/>
      <c r="P486" s="147"/>
      <c r="Q486" s="147"/>
      <c r="R486" s="147"/>
      <c r="S486" s="147"/>
      <c r="T486" s="147"/>
      <c r="U486" s="147"/>
      <c r="V486" s="147"/>
      <c r="W486" s="147"/>
      <c r="X486" s="147"/>
      <c r="Y486" s="147"/>
      <c r="Z486" s="147"/>
      <c r="AA486" s="147"/>
      <c r="AB486" s="147"/>
      <c r="AC486" s="147"/>
      <c r="AD486" s="147"/>
      <c r="AE486" s="147"/>
      <c r="AF486" s="147"/>
      <c r="AG486" s="147"/>
    </row>
    <row r="487">
      <c r="A487" s="147"/>
      <c r="B487" s="147"/>
      <c r="C487" s="147"/>
      <c r="D487" s="147"/>
      <c r="E487" s="147"/>
      <c r="F487" s="205"/>
      <c r="G487" s="147"/>
      <c r="H487" s="147"/>
      <c r="I487" s="147"/>
      <c r="J487" s="147"/>
      <c r="K487" s="147"/>
      <c r="L487" s="147"/>
      <c r="M487" s="147"/>
      <c r="N487" s="147"/>
      <c r="O487" s="147"/>
      <c r="P487" s="147"/>
      <c r="Q487" s="147"/>
      <c r="R487" s="147"/>
      <c r="S487" s="147"/>
      <c r="T487" s="147"/>
      <c r="U487" s="147"/>
      <c r="V487" s="147"/>
      <c r="W487" s="147"/>
      <c r="X487" s="147"/>
      <c r="Y487" s="147"/>
      <c r="Z487" s="147"/>
      <c r="AA487" s="147"/>
      <c r="AB487" s="147"/>
      <c r="AC487" s="147"/>
      <c r="AD487" s="147"/>
      <c r="AE487" s="147"/>
      <c r="AF487" s="147"/>
      <c r="AG487" s="147"/>
    </row>
    <row r="488">
      <c r="A488" s="147"/>
      <c r="B488" s="147"/>
      <c r="C488" s="147"/>
      <c r="D488" s="147"/>
      <c r="E488" s="147"/>
      <c r="F488" s="205"/>
      <c r="G488" s="147"/>
      <c r="H488" s="147"/>
      <c r="I488" s="147"/>
      <c r="J488" s="147"/>
      <c r="K488" s="147"/>
      <c r="L488" s="147"/>
      <c r="M488" s="147"/>
      <c r="N488" s="147"/>
      <c r="O488" s="147"/>
      <c r="P488" s="147"/>
      <c r="Q488" s="147"/>
      <c r="R488" s="147"/>
      <c r="S488" s="147"/>
      <c r="T488" s="147"/>
      <c r="U488" s="147"/>
      <c r="V488" s="147"/>
      <c r="W488" s="147"/>
      <c r="X488" s="147"/>
      <c r="Y488" s="147"/>
      <c r="Z488" s="147"/>
      <c r="AA488" s="147"/>
      <c r="AB488" s="147"/>
      <c r="AC488" s="147"/>
      <c r="AD488" s="147"/>
      <c r="AE488" s="147"/>
      <c r="AF488" s="147"/>
      <c r="AG488" s="147"/>
    </row>
    <row r="489">
      <c r="A489" s="147"/>
      <c r="B489" s="147"/>
      <c r="C489" s="147"/>
      <c r="D489" s="147"/>
      <c r="E489" s="147"/>
      <c r="F489" s="205"/>
      <c r="G489" s="147"/>
      <c r="H489" s="147"/>
      <c r="I489" s="147"/>
      <c r="J489" s="147"/>
      <c r="K489" s="147"/>
      <c r="L489" s="147"/>
      <c r="M489" s="147"/>
      <c r="N489" s="147"/>
      <c r="O489" s="147"/>
      <c r="P489" s="147"/>
      <c r="Q489" s="147"/>
      <c r="R489" s="147"/>
      <c r="S489" s="147"/>
      <c r="T489" s="147"/>
      <c r="U489" s="147"/>
      <c r="V489" s="147"/>
      <c r="W489" s="147"/>
      <c r="X489" s="147"/>
      <c r="Y489" s="147"/>
      <c r="Z489" s="147"/>
      <c r="AA489" s="147"/>
      <c r="AB489" s="147"/>
      <c r="AC489" s="147"/>
      <c r="AD489" s="147"/>
      <c r="AE489" s="147"/>
      <c r="AF489" s="147"/>
      <c r="AG489" s="147"/>
    </row>
    <row r="490">
      <c r="A490" s="147"/>
      <c r="B490" s="147"/>
      <c r="C490" s="147"/>
      <c r="D490" s="147"/>
      <c r="E490" s="147"/>
      <c r="F490" s="205"/>
      <c r="G490" s="147"/>
      <c r="H490" s="147"/>
      <c r="I490" s="147"/>
      <c r="J490" s="147"/>
      <c r="K490" s="147"/>
      <c r="L490" s="147"/>
      <c r="M490" s="147"/>
      <c r="N490" s="147"/>
      <c r="O490" s="147"/>
      <c r="P490" s="147"/>
      <c r="Q490" s="147"/>
      <c r="R490" s="147"/>
      <c r="S490" s="147"/>
      <c r="T490" s="147"/>
      <c r="U490" s="147"/>
      <c r="V490" s="147"/>
      <c r="W490" s="147"/>
      <c r="X490" s="147"/>
      <c r="Y490" s="147"/>
      <c r="Z490" s="147"/>
      <c r="AA490" s="147"/>
      <c r="AB490" s="147"/>
      <c r="AC490" s="147"/>
      <c r="AD490" s="147"/>
      <c r="AE490" s="147"/>
      <c r="AF490" s="147"/>
      <c r="AG490" s="147"/>
    </row>
    <row r="491">
      <c r="A491" s="147"/>
      <c r="B491" s="147"/>
      <c r="C491" s="147"/>
      <c r="D491" s="147"/>
      <c r="E491" s="147"/>
      <c r="F491" s="205"/>
      <c r="G491" s="147"/>
      <c r="H491" s="147"/>
      <c r="I491" s="147"/>
      <c r="J491" s="147"/>
      <c r="K491" s="147"/>
      <c r="L491" s="147"/>
      <c r="M491" s="147"/>
      <c r="N491" s="147"/>
      <c r="O491" s="147"/>
      <c r="P491" s="147"/>
      <c r="Q491" s="147"/>
      <c r="R491" s="147"/>
      <c r="S491" s="147"/>
      <c r="T491" s="147"/>
      <c r="U491" s="147"/>
      <c r="V491" s="147"/>
      <c r="W491" s="147"/>
      <c r="X491" s="147"/>
      <c r="Y491" s="147"/>
      <c r="Z491" s="147"/>
      <c r="AA491" s="147"/>
      <c r="AB491" s="147"/>
      <c r="AC491" s="147"/>
      <c r="AD491" s="147"/>
      <c r="AE491" s="147"/>
      <c r="AF491" s="147"/>
      <c r="AG491" s="147"/>
    </row>
    <row r="492">
      <c r="A492" s="147"/>
      <c r="B492" s="147"/>
      <c r="C492" s="147"/>
      <c r="D492" s="147"/>
      <c r="E492" s="147"/>
      <c r="F492" s="205"/>
      <c r="G492" s="147"/>
      <c r="H492" s="147"/>
      <c r="I492" s="147"/>
      <c r="J492" s="147"/>
      <c r="K492" s="147"/>
      <c r="L492" s="147"/>
      <c r="M492" s="147"/>
      <c r="N492" s="147"/>
      <c r="O492" s="147"/>
      <c r="P492" s="147"/>
      <c r="Q492" s="147"/>
      <c r="R492" s="147"/>
      <c r="S492" s="147"/>
      <c r="T492" s="147"/>
      <c r="U492" s="147"/>
      <c r="V492" s="147"/>
      <c r="W492" s="147"/>
      <c r="X492" s="147"/>
      <c r="Y492" s="147"/>
      <c r="Z492" s="147"/>
      <c r="AA492" s="147"/>
      <c r="AB492" s="147"/>
      <c r="AC492" s="147"/>
      <c r="AD492" s="147"/>
      <c r="AE492" s="147"/>
      <c r="AF492" s="147"/>
      <c r="AG492" s="147"/>
    </row>
    <row r="493">
      <c r="A493" s="147"/>
      <c r="B493" s="147"/>
      <c r="C493" s="147"/>
      <c r="D493" s="147"/>
      <c r="E493" s="147"/>
      <c r="F493" s="205"/>
      <c r="G493" s="147"/>
      <c r="H493" s="147"/>
      <c r="I493" s="147"/>
      <c r="J493" s="147"/>
      <c r="K493" s="147"/>
      <c r="L493" s="147"/>
      <c r="M493" s="147"/>
      <c r="N493" s="147"/>
      <c r="O493" s="147"/>
      <c r="P493" s="147"/>
      <c r="Q493" s="147"/>
      <c r="R493" s="147"/>
      <c r="S493" s="147"/>
      <c r="T493" s="147"/>
      <c r="U493" s="147"/>
      <c r="V493" s="147"/>
      <c r="W493" s="147"/>
      <c r="X493" s="147"/>
      <c r="Y493" s="147"/>
      <c r="Z493" s="147"/>
      <c r="AA493" s="147"/>
      <c r="AB493" s="147"/>
      <c r="AC493" s="147"/>
      <c r="AD493" s="147"/>
      <c r="AE493" s="147"/>
      <c r="AF493" s="147"/>
      <c r="AG493" s="147"/>
    </row>
    <row r="494">
      <c r="A494" s="147"/>
      <c r="B494" s="147"/>
      <c r="C494" s="147"/>
      <c r="D494" s="147"/>
      <c r="E494" s="147"/>
      <c r="F494" s="205"/>
      <c r="G494" s="147"/>
      <c r="H494" s="147"/>
      <c r="I494" s="147"/>
      <c r="J494" s="147"/>
      <c r="K494" s="147"/>
      <c r="L494" s="147"/>
      <c r="M494" s="147"/>
      <c r="N494" s="147"/>
      <c r="O494" s="147"/>
      <c r="P494" s="147"/>
      <c r="Q494" s="147"/>
      <c r="R494" s="147"/>
      <c r="S494" s="147"/>
      <c r="T494" s="147"/>
      <c r="U494" s="147"/>
      <c r="V494" s="147"/>
      <c r="W494" s="147"/>
      <c r="X494" s="147"/>
      <c r="Y494" s="147"/>
      <c r="Z494" s="147"/>
      <c r="AA494" s="147"/>
      <c r="AB494" s="147"/>
      <c r="AC494" s="147"/>
      <c r="AD494" s="147"/>
      <c r="AE494" s="147"/>
      <c r="AF494" s="147"/>
      <c r="AG494" s="147"/>
    </row>
    <row r="495">
      <c r="A495" s="147"/>
      <c r="B495" s="147"/>
      <c r="C495" s="147"/>
      <c r="D495" s="147"/>
      <c r="E495" s="147"/>
      <c r="F495" s="205"/>
      <c r="G495" s="147"/>
      <c r="H495" s="147"/>
      <c r="I495" s="147"/>
      <c r="J495" s="147"/>
      <c r="K495" s="147"/>
      <c r="L495" s="147"/>
      <c r="M495" s="147"/>
      <c r="N495" s="147"/>
      <c r="O495" s="147"/>
      <c r="P495" s="147"/>
      <c r="Q495" s="147"/>
      <c r="R495" s="147"/>
      <c r="S495" s="147"/>
      <c r="T495" s="147"/>
      <c r="U495" s="147"/>
      <c r="V495" s="147"/>
      <c r="W495" s="147"/>
      <c r="X495" s="147"/>
      <c r="Y495" s="147"/>
      <c r="Z495" s="147"/>
      <c r="AA495" s="147"/>
      <c r="AB495" s="147"/>
      <c r="AC495" s="147"/>
      <c r="AD495" s="147"/>
      <c r="AE495" s="147"/>
      <c r="AF495" s="147"/>
      <c r="AG495" s="147"/>
    </row>
    <row r="496">
      <c r="A496" s="147"/>
      <c r="B496" s="147"/>
      <c r="C496" s="147"/>
      <c r="D496" s="147"/>
      <c r="E496" s="147"/>
      <c r="F496" s="205"/>
      <c r="G496" s="147"/>
      <c r="H496" s="147"/>
      <c r="I496" s="147"/>
      <c r="J496" s="147"/>
      <c r="K496" s="147"/>
      <c r="L496" s="147"/>
      <c r="M496" s="147"/>
      <c r="N496" s="147"/>
      <c r="O496" s="147"/>
      <c r="P496" s="147"/>
      <c r="Q496" s="147"/>
      <c r="R496" s="147"/>
      <c r="S496" s="147"/>
      <c r="T496" s="147"/>
      <c r="U496" s="147"/>
      <c r="V496" s="147"/>
      <c r="W496" s="147"/>
      <c r="X496" s="147"/>
      <c r="Y496" s="147"/>
      <c r="Z496" s="147"/>
      <c r="AA496" s="147"/>
      <c r="AB496" s="147"/>
      <c r="AC496" s="147"/>
      <c r="AD496" s="147"/>
      <c r="AE496" s="147"/>
      <c r="AF496" s="147"/>
      <c r="AG496" s="147"/>
    </row>
    <row r="497">
      <c r="A497" s="147"/>
      <c r="B497" s="147"/>
      <c r="C497" s="147"/>
      <c r="D497" s="147"/>
      <c r="E497" s="147"/>
      <c r="F497" s="205"/>
      <c r="G497" s="147"/>
      <c r="H497" s="147"/>
      <c r="I497" s="147"/>
      <c r="J497" s="147"/>
      <c r="K497" s="147"/>
      <c r="L497" s="147"/>
      <c r="M497" s="147"/>
      <c r="N497" s="147"/>
      <c r="O497" s="147"/>
      <c r="P497" s="147"/>
      <c r="Q497" s="147"/>
      <c r="R497" s="147"/>
      <c r="S497" s="147"/>
      <c r="T497" s="147"/>
      <c r="U497" s="147"/>
      <c r="V497" s="147"/>
      <c r="W497" s="147"/>
      <c r="X497" s="147"/>
      <c r="Y497" s="147"/>
      <c r="Z497" s="147"/>
      <c r="AA497" s="147"/>
      <c r="AB497" s="147"/>
      <c r="AC497" s="147"/>
      <c r="AD497" s="147"/>
      <c r="AE497" s="147"/>
      <c r="AF497" s="147"/>
      <c r="AG497" s="147"/>
    </row>
    <row r="498">
      <c r="A498" s="147"/>
      <c r="B498" s="147"/>
      <c r="C498" s="147"/>
      <c r="D498" s="147"/>
      <c r="E498" s="147"/>
      <c r="F498" s="205"/>
      <c r="G498" s="147"/>
      <c r="H498" s="147"/>
      <c r="I498" s="147"/>
      <c r="J498" s="147"/>
      <c r="K498" s="147"/>
      <c r="L498" s="147"/>
      <c r="M498" s="147"/>
      <c r="N498" s="147"/>
      <c r="O498" s="147"/>
      <c r="P498" s="147"/>
      <c r="Q498" s="147"/>
      <c r="R498" s="147"/>
      <c r="S498" s="147"/>
      <c r="T498" s="147"/>
      <c r="U498" s="147"/>
      <c r="V498" s="147"/>
      <c r="W498" s="147"/>
      <c r="X498" s="147"/>
      <c r="Y498" s="147"/>
      <c r="Z498" s="147"/>
      <c r="AA498" s="147"/>
      <c r="AB498" s="147"/>
      <c r="AC498" s="147"/>
      <c r="AD498" s="147"/>
      <c r="AE498" s="147"/>
      <c r="AF498" s="147"/>
      <c r="AG498" s="147"/>
    </row>
    <row r="499">
      <c r="A499" s="147"/>
      <c r="B499" s="147"/>
      <c r="C499" s="147"/>
      <c r="D499" s="147"/>
      <c r="E499" s="147"/>
      <c r="F499" s="205"/>
      <c r="G499" s="147"/>
      <c r="H499" s="147"/>
      <c r="I499" s="147"/>
      <c r="J499" s="147"/>
      <c r="K499" s="147"/>
      <c r="L499" s="147"/>
      <c r="M499" s="147"/>
      <c r="N499" s="147"/>
      <c r="O499" s="147"/>
      <c r="P499" s="147"/>
      <c r="Q499" s="147"/>
      <c r="R499" s="147"/>
      <c r="S499" s="147"/>
      <c r="T499" s="147"/>
      <c r="U499" s="147"/>
      <c r="V499" s="147"/>
      <c r="W499" s="147"/>
      <c r="X499" s="147"/>
      <c r="Y499" s="147"/>
      <c r="Z499" s="147"/>
      <c r="AA499" s="147"/>
      <c r="AB499" s="147"/>
      <c r="AC499" s="147"/>
      <c r="AD499" s="147"/>
      <c r="AE499" s="147"/>
      <c r="AF499" s="147"/>
      <c r="AG499" s="147"/>
    </row>
    <row r="500">
      <c r="A500" s="147"/>
      <c r="B500" s="147"/>
      <c r="C500" s="147"/>
      <c r="D500" s="147"/>
      <c r="E500" s="147"/>
      <c r="F500" s="205"/>
      <c r="G500" s="147"/>
      <c r="H500" s="147"/>
      <c r="I500" s="147"/>
      <c r="J500" s="147"/>
      <c r="K500" s="147"/>
      <c r="L500" s="147"/>
      <c r="M500" s="147"/>
      <c r="N500" s="147"/>
      <c r="O500" s="147"/>
      <c r="P500" s="147"/>
      <c r="Q500" s="147"/>
      <c r="R500" s="147"/>
      <c r="S500" s="147"/>
      <c r="T500" s="147"/>
      <c r="U500" s="147"/>
      <c r="V500" s="147"/>
      <c r="W500" s="147"/>
      <c r="X500" s="147"/>
      <c r="Y500" s="147"/>
      <c r="Z500" s="147"/>
      <c r="AA500" s="147"/>
      <c r="AB500" s="147"/>
      <c r="AC500" s="147"/>
      <c r="AD500" s="147"/>
      <c r="AE500" s="147"/>
      <c r="AF500" s="147"/>
      <c r="AG500" s="147"/>
    </row>
    <row r="501">
      <c r="A501" s="147"/>
      <c r="B501" s="147"/>
      <c r="C501" s="147"/>
      <c r="D501" s="147"/>
      <c r="E501" s="147"/>
      <c r="F501" s="205"/>
      <c r="G501" s="147"/>
      <c r="H501" s="147"/>
      <c r="I501" s="147"/>
      <c r="J501" s="147"/>
      <c r="K501" s="147"/>
      <c r="L501" s="147"/>
      <c r="M501" s="147"/>
      <c r="N501" s="147"/>
      <c r="O501" s="147"/>
      <c r="P501" s="147"/>
      <c r="Q501" s="147"/>
      <c r="R501" s="147"/>
      <c r="S501" s="147"/>
      <c r="T501" s="147"/>
      <c r="U501" s="147"/>
      <c r="V501" s="147"/>
      <c r="W501" s="147"/>
      <c r="X501" s="147"/>
      <c r="Y501" s="147"/>
      <c r="Z501" s="147"/>
      <c r="AA501" s="147"/>
      <c r="AB501" s="147"/>
      <c r="AC501" s="147"/>
      <c r="AD501" s="147"/>
      <c r="AE501" s="147"/>
      <c r="AF501" s="147"/>
      <c r="AG501" s="147"/>
    </row>
    <row r="502">
      <c r="A502" s="147"/>
      <c r="B502" s="147"/>
      <c r="C502" s="147"/>
      <c r="D502" s="147"/>
      <c r="E502" s="147"/>
      <c r="F502" s="205"/>
      <c r="G502" s="147"/>
      <c r="H502" s="147"/>
      <c r="I502" s="147"/>
      <c r="J502" s="147"/>
      <c r="K502" s="147"/>
      <c r="L502" s="147"/>
      <c r="M502" s="147"/>
      <c r="N502" s="147"/>
      <c r="O502" s="147"/>
      <c r="P502" s="147"/>
      <c r="Q502" s="147"/>
      <c r="R502" s="147"/>
      <c r="S502" s="147"/>
      <c r="T502" s="147"/>
      <c r="U502" s="147"/>
      <c r="V502" s="147"/>
      <c r="W502" s="147"/>
      <c r="X502" s="147"/>
      <c r="Y502" s="147"/>
      <c r="Z502" s="147"/>
      <c r="AA502" s="147"/>
      <c r="AB502" s="147"/>
      <c r="AC502" s="147"/>
      <c r="AD502" s="147"/>
      <c r="AE502" s="147"/>
      <c r="AF502" s="147"/>
      <c r="AG502" s="147"/>
    </row>
    <row r="503">
      <c r="A503" s="147"/>
      <c r="B503" s="147"/>
      <c r="C503" s="147"/>
      <c r="D503" s="147"/>
      <c r="E503" s="147"/>
      <c r="F503" s="205"/>
      <c r="G503" s="147"/>
      <c r="H503" s="147"/>
      <c r="I503" s="147"/>
      <c r="J503" s="147"/>
      <c r="K503" s="147"/>
      <c r="L503" s="147"/>
      <c r="M503" s="147"/>
      <c r="N503" s="147"/>
      <c r="O503" s="147"/>
      <c r="P503" s="147"/>
      <c r="Q503" s="147"/>
      <c r="R503" s="147"/>
      <c r="S503" s="147"/>
      <c r="T503" s="147"/>
      <c r="U503" s="147"/>
      <c r="V503" s="147"/>
      <c r="W503" s="147"/>
      <c r="X503" s="147"/>
      <c r="Y503" s="147"/>
      <c r="Z503" s="147"/>
      <c r="AA503" s="147"/>
      <c r="AB503" s="147"/>
      <c r="AC503" s="147"/>
      <c r="AD503" s="147"/>
      <c r="AE503" s="147"/>
      <c r="AF503" s="147"/>
      <c r="AG503" s="147"/>
    </row>
    <row r="504">
      <c r="A504" s="147"/>
      <c r="B504" s="147"/>
      <c r="C504" s="147"/>
      <c r="D504" s="147"/>
      <c r="E504" s="147"/>
      <c r="F504" s="205"/>
      <c r="G504" s="147"/>
      <c r="H504" s="147"/>
      <c r="I504" s="147"/>
      <c r="J504" s="147"/>
      <c r="K504" s="147"/>
      <c r="L504" s="147"/>
      <c r="M504" s="147"/>
      <c r="N504" s="147"/>
      <c r="O504" s="147"/>
      <c r="P504" s="147"/>
      <c r="Q504" s="147"/>
      <c r="R504" s="147"/>
      <c r="S504" s="147"/>
      <c r="T504" s="147"/>
      <c r="U504" s="147"/>
      <c r="V504" s="147"/>
      <c r="W504" s="147"/>
      <c r="X504" s="147"/>
      <c r="Y504" s="147"/>
      <c r="Z504" s="147"/>
      <c r="AA504" s="147"/>
      <c r="AB504" s="147"/>
      <c r="AC504" s="147"/>
      <c r="AD504" s="147"/>
      <c r="AE504" s="147"/>
      <c r="AF504" s="147"/>
      <c r="AG504" s="147"/>
    </row>
    <row r="505">
      <c r="A505" s="147"/>
      <c r="B505" s="147"/>
      <c r="C505" s="147"/>
      <c r="D505" s="147"/>
      <c r="E505" s="147"/>
      <c r="F505" s="205"/>
      <c r="G505" s="147"/>
      <c r="H505" s="147"/>
      <c r="I505" s="147"/>
      <c r="J505" s="147"/>
      <c r="K505" s="147"/>
      <c r="L505" s="147"/>
      <c r="M505" s="147"/>
      <c r="N505" s="147"/>
      <c r="O505" s="147"/>
      <c r="P505" s="147"/>
      <c r="Q505" s="147"/>
      <c r="R505" s="147"/>
      <c r="S505" s="147"/>
      <c r="T505" s="147"/>
      <c r="U505" s="147"/>
      <c r="V505" s="147"/>
      <c r="W505" s="147"/>
      <c r="X505" s="147"/>
      <c r="Y505" s="147"/>
      <c r="Z505" s="147"/>
      <c r="AA505" s="147"/>
      <c r="AB505" s="147"/>
      <c r="AC505" s="147"/>
      <c r="AD505" s="147"/>
      <c r="AE505" s="147"/>
      <c r="AF505" s="147"/>
      <c r="AG505" s="147"/>
    </row>
    <row r="506">
      <c r="A506" s="147"/>
      <c r="B506" s="147"/>
      <c r="C506" s="147"/>
      <c r="D506" s="147"/>
      <c r="E506" s="147"/>
      <c r="F506" s="205"/>
      <c r="G506" s="147"/>
      <c r="H506" s="147"/>
      <c r="I506" s="147"/>
      <c r="J506" s="147"/>
      <c r="K506" s="147"/>
      <c r="L506" s="147"/>
      <c r="M506" s="147"/>
      <c r="N506" s="147"/>
      <c r="O506" s="147"/>
      <c r="P506" s="147"/>
      <c r="Q506" s="147"/>
      <c r="R506" s="147"/>
      <c r="S506" s="147"/>
      <c r="T506" s="147"/>
      <c r="U506" s="147"/>
      <c r="V506" s="147"/>
      <c r="W506" s="147"/>
      <c r="X506" s="147"/>
      <c r="Y506" s="147"/>
      <c r="Z506" s="147"/>
      <c r="AA506" s="147"/>
      <c r="AB506" s="147"/>
      <c r="AC506" s="147"/>
      <c r="AD506" s="147"/>
      <c r="AE506" s="147"/>
      <c r="AF506" s="147"/>
      <c r="AG506" s="147"/>
    </row>
    <row r="507">
      <c r="A507" s="147"/>
      <c r="B507" s="147"/>
      <c r="C507" s="147"/>
      <c r="D507" s="147"/>
      <c r="E507" s="147"/>
      <c r="F507" s="205"/>
      <c r="G507" s="147"/>
      <c r="H507" s="147"/>
      <c r="I507" s="147"/>
      <c r="J507" s="147"/>
      <c r="K507" s="147"/>
      <c r="L507" s="147"/>
      <c r="M507" s="147"/>
      <c r="N507" s="147"/>
      <c r="O507" s="147"/>
      <c r="P507" s="147"/>
      <c r="Q507" s="147"/>
      <c r="R507" s="147"/>
      <c r="S507" s="147"/>
      <c r="T507" s="147"/>
      <c r="U507" s="147"/>
      <c r="V507" s="147"/>
      <c r="W507" s="147"/>
      <c r="X507" s="147"/>
      <c r="Y507" s="147"/>
      <c r="Z507" s="147"/>
      <c r="AA507" s="147"/>
      <c r="AB507" s="147"/>
      <c r="AC507" s="147"/>
      <c r="AD507" s="147"/>
      <c r="AE507" s="147"/>
      <c r="AF507" s="147"/>
      <c r="AG507" s="147"/>
    </row>
    <row r="508">
      <c r="A508" s="147"/>
      <c r="B508" s="147"/>
      <c r="C508" s="147"/>
      <c r="D508" s="147"/>
      <c r="E508" s="147"/>
      <c r="F508" s="205"/>
      <c r="G508" s="147"/>
      <c r="H508" s="147"/>
      <c r="I508" s="147"/>
      <c r="J508" s="147"/>
      <c r="K508" s="147"/>
      <c r="L508" s="147"/>
      <c r="M508" s="147"/>
      <c r="N508" s="147"/>
      <c r="O508" s="147"/>
      <c r="P508" s="147"/>
      <c r="Q508" s="147"/>
      <c r="R508" s="147"/>
      <c r="S508" s="147"/>
      <c r="T508" s="147"/>
      <c r="U508" s="147"/>
      <c r="V508" s="147"/>
      <c r="W508" s="147"/>
      <c r="X508" s="147"/>
      <c r="Y508" s="147"/>
      <c r="Z508" s="147"/>
      <c r="AA508" s="147"/>
      <c r="AB508" s="147"/>
      <c r="AC508" s="147"/>
      <c r="AD508" s="147"/>
      <c r="AE508" s="147"/>
      <c r="AF508" s="147"/>
      <c r="AG508" s="147"/>
    </row>
    <row r="509">
      <c r="A509" s="147"/>
      <c r="B509" s="147"/>
      <c r="C509" s="147"/>
      <c r="D509" s="147"/>
      <c r="E509" s="147"/>
      <c r="F509" s="205"/>
      <c r="G509" s="147"/>
      <c r="H509" s="147"/>
      <c r="I509" s="147"/>
      <c r="J509" s="147"/>
      <c r="K509" s="147"/>
      <c r="L509" s="147"/>
      <c r="M509" s="147"/>
      <c r="N509" s="147"/>
      <c r="O509" s="147"/>
      <c r="P509" s="147"/>
      <c r="Q509" s="147"/>
      <c r="R509" s="147"/>
      <c r="S509" s="147"/>
      <c r="T509" s="147"/>
      <c r="U509" s="147"/>
      <c r="V509" s="147"/>
      <c r="W509" s="147"/>
      <c r="X509" s="147"/>
      <c r="Y509" s="147"/>
      <c r="Z509" s="147"/>
      <c r="AA509" s="147"/>
      <c r="AB509" s="147"/>
      <c r="AC509" s="147"/>
      <c r="AD509" s="147"/>
      <c r="AE509" s="147"/>
      <c r="AF509" s="147"/>
      <c r="AG509" s="147"/>
    </row>
    <row r="510">
      <c r="A510" s="147"/>
      <c r="B510" s="147"/>
      <c r="C510" s="147"/>
      <c r="D510" s="147"/>
      <c r="E510" s="147"/>
      <c r="F510" s="205"/>
      <c r="G510" s="147"/>
      <c r="H510" s="147"/>
      <c r="I510" s="147"/>
      <c r="J510" s="147"/>
      <c r="K510" s="147"/>
      <c r="L510" s="147"/>
      <c r="M510" s="147"/>
      <c r="N510" s="147"/>
      <c r="O510" s="147"/>
      <c r="P510" s="147"/>
      <c r="Q510" s="147"/>
      <c r="R510" s="147"/>
      <c r="S510" s="147"/>
      <c r="T510" s="147"/>
      <c r="U510" s="147"/>
      <c r="V510" s="147"/>
      <c r="W510" s="147"/>
      <c r="X510" s="147"/>
      <c r="Y510" s="147"/>
      <c r="Z510" s="147"/>
      <c r="AA510" s="147"/>
      <c r="AB510" s="147"/>
      <c r="AC510" s="147"/>
      <c r="AD510" s="147"/>
      <c r="AE510" s="147"/>
      <c r="AF510" s="147"/>
      <c r="AG510" s="147"/>
    </row>
    <row r="511">
      <c r="A511" s="147"/>
      <c r="B511" s="147"/>
      <c r="C511" s="147"/>
      <c r="D511" s="147"/>
      <c r="E511" s="147"/>
      <c r="F511" s="205"/>
      <c r="G511" s="147"/>
      <c r="H511" s="147"/>
      <c r="I511" s="147"/>
      <c r="J511" s="147"/>
      <c r="K511" s="147"/>
      <c r="L511" s="147"/>
      <c r="M511" s="147"/>
      <c r="N511" s="147"/>
      <c r="O511" s="147"/>
      <c r="P511" s="147"/>
      <c r="Q511" s="147"/>
      <c r="R511" s="147"/>
      <c r="S511" s="147"/>
      <c r="T511" s="147"/>
      <c r="U511" s="147"/>
      <c r="V511" s="147"/>
      <c r="W511" s="147"/>
      <c r="X511" s="147"/>
      <c r="Y511" s="147"/>
      <c r="Z511" s="147"/>
      <c r="AA511" s="147"/>
      <c r="AB511" s="147"/>
      <c r="AC511" s="147"/>
      <c r="AD511" s="147"/>
      <c r="AE511" s="147"/>
      <c r="AF511" s="147"/>
      <c r="AG511" s="147"/>
    </row>
    <row r="512">
      <c r="A512" s="147"/>
      <c r="B512" s="147"/>
      <c r="C512" s="147"/>
      <c r="D512" s="147"/>
      <c r="E512" s="147"/>
      <c r="F512" s="205"/>
      <c r="G512" s="147"/>
      <c r="H512" s="147"/>
      <c r="I512" s="147"/>
      <c r="J512" s="147"/>
      <c r="K512" s="147"/>
      <c r="L512" s="147"/>
      <c r="M512" s="147"/>
      <c r="N512" s="147"/>
      <c r="O512" s="147"/>
      <c r="P512" s="147"/>
      <c r="Q512" s="147"/>
      <c r="R512" s="147"/>
      <c r="S512" s="147"/>
      <c r="T512" s="147"/>
      <c r="U512" s="147"/>
      <c r="V512" s="147"/>
      <c r="W512" s="147"/>
      <c r="X512" s="147"/>
      <c r="Y512" s="147"/>
      <c r="Z512" s="147"/>
      <c r="AA512" s="147"/>
      <c r="AB512" s="147"/>
      <c r="AC512" s="147"/>
      <c r="AD512" s="147"/>
      <c r="AE512" s="147"/>
      <c r="AF512" s="147"/>
      <c r="AG512" s="147"/>
    </row>
    <row r="513">
      <c r="A513" s="147"/>
      <c r="B513" s="147"/>
      <c r="C513" s="147"/>
      <c r="D513" s="147"/>
      <c r="E513" s="147"/>
      <c r="F513" s="205"/>
      <c r="G513" s="147"/>
      <c r="H513" s="147"/>
      <c r="I513" s="147"/>
      <c r="J513" s="147"/>
      <c r="K513" s="147"/>
      <c r="L513" s="147"/>
      <c r="M513" s="147"/>
      <c r="N513" s="147"/>
      <c r="O513" s="147"/>
      <c r="P513" s="147"/>
      <c r="Q513" s="147"/>
      <c r="R513" s="147"/>
      <c r="S513" s="147"/>
      <c r="T513" s="147"/>
      <c r="U513" s="147"/>
      <c r="V513" s="147"/>
      <c r="W513" s="147"/>
      <c r="X513" s="147"/>
      <c r="Y513" s="147"/>
      <c r="Z513" s="147"/>
      <c r="AA513" s="147"/>
      <c r="AB513" s="147"/>
      <c r="AC513" s="147"/>
      <c r="AD513" s="147"/>
      <c r="AE513" s="147"/>
      <c r="AF513" s="147"/>
      <c r="AG513" s="147"/>
    </row>
    <row r="514">
      <c r="A514" s="147"/>
      <c r="B514" s="147"/>
      <c r="C514" s="147"/>
      <c r="D514" s="147"/>
      <c r="E514" s="147"/>
      <c r="F514" s="205"/>
      <c r="G514" s="147"/>
      <c r="H514" s="147"/>
      <c r="I514" s="147"/>
      <c r="J514" s="147"/>
      <c r="K514" s="147"/>
      <c r="L514" s="147"/>
      <c r="M514" s="147"/>
      <c r="N514" s="147"/>
      <c r="O514" s="147"/>
      <c r="P514" s="147"/>
      <c r="Q514" s="147"/>
      <c r="R514" s="147"/>
      <c r="S514" s="147"/>
      <c r="T514" s="147"/>
      <c r="U514" s="147"/>
      <c r="V514" s="147"/>
      <c r="W514" s="147"/>
      <c r="X514" s="147"/>
      <c r="Y514" s="147"/>
      <c r="Z514" s="147"/>
      <c r="AA514" s="147"/>
      <c r="AB514" s="147"/>
      <c r="AC514" s="147"/>
      <c r="AD514" s="147"/>
      <c r="AE514" s="147"/>
      <c r="AF514" s="147"/>
      <c r="AG514" s="147"/>
    </row>
    <row r="515">
      <c r="A515" s="147"/>
      <c r="B515" s="147"/>
      <c r="C515" s="147"/>
      <c r="D515" s="147"/>
      <c r="E515" s="147"/>
      <c r="F515" s="205"/>
      <c r="G515" s="147"/>
      <c r="H515" s="147"/>
      <c r="I515" s="147"/>
      <c r="J515" s="147"/>
      <c r="K515" s="147"/>
      <c r="L515" s="147"/>
      <c r="M515" s="147"/>
      <c r="N515" s="147"/>
      <c r="O515" s="147"/>
      <c r="P515" s="147"/>
      <c r="Q515" s="147"/>
      <c r="R515" s="147"/>
      <c r="S515" s="147"/>
      <c r="T515" s="147"/>
      <c r="U515" s="147"/>
      <c r="V515" s="147"/>
      <c r="W515" s="147"/>
      <c r="X515" s="147"/>
      <c r="Y515" s="147"/>
      <c r="Z515" s="147"/>
      <c r="AA515" s="147"/>
      <c r="AB515" s="147"/>
      <c r="AC515" s="147"/>
      <c r="AD515" s="147"/>
      <c r="AE515" s="147"/>
      <c r="AF515" s="147"/>
      <c r="AG515" s="147"/>
    </row>
    <row r="516">
      <c r="A516" s="147"/>
      <c r="B516" s="147"/>
      <c r="C516" s="147"/>
      <c r="D516" s="147"/>
      <c r="E516" s="147"/>
      <c r="F516" s="205"/>
      <c r="G516" s="147"/>
      <c r="H516" s="147"/>
      <c r="I516" s="147"/>
      <c r="J516" s="147"/>
      <c r="K516" s="147"/>
      <c r="L516" s="147"/>
      <c r="M516" s="147"/>
      <c r="N516" s="147"/>
      <c r="O516" s="147"/>
      <c r="P516" s="147"/>
      <c r="Q516" s="147"/>
      <c r="R516" s="147"/>
      <c r="S516" s="147"/>
      <c r="T516" s="147"/>
      <c r="U516" s="147"/>
      <c r="V516" s="147"/>
      <c r="W516" s="147"/>
      <c r="X516" s="147"/>
      <c r="Y516" s="147"/>
      <c r="Z516" s="147"/>
      <c r="AA516" s="147"/>
      <c r="AB516" s="147"/>
      <c r="AC516" s="147"/>
      <c r="AD516" s="147"/>
      <c r="AE516" s="147"/>
      <c r="AF516" s="147"/>
      <c r="AG516" s="147"/>
    </row>
    <row r="517">
      <c r="A517" s="147"/>
      <c r="B517" s="147"/>
      <c r="C517" s="147"/>
      <c r="D517" s="147"/>
      <c r="E517" s="147"/>
      <c r="F517" s="205"/>
      <c r="G517" s="147"/>
      <c r="H517" s="147"/>
      <c r="I517" s="147"/>
      <c r="J517" s="147"/>
      <c r="K517" s="147"/>
      <c r="L517" s="147"/>
      <c r="M517" s="147"/>
      <c r="N517" s="147"/>
      <c r="O517" s="147"/>
      <c r="P517" s="147"/>
      <c r="Q517" s="147"/>
      <c r="R517" s="147"/>
      <c r="S517" s="147"/>
      <c r="T517" s="147"/>
      <c r="U517" s="147"/>
      <c r="V517" s="147"/>
      <c r="W517" s="147"/>
      <c r="X517" s="147"/>
      <c r="Y517" s="147"/>
      <c r="Z517" s="147"/>
      <c r="AA517" s="147"/>
      <c r="AB517" s="147"/>
      <c r="AC517" s="147"/>
      <c r="AD517" s="147"/>
      <c r="AE517" s="147"/>
      <c r="AF517" s="147"/>
      <c r="AG517" s="147"/>
    </row>
    <row r="518">
      <c r="A518" s="147"/>
      <c r="B518" s="147"/>
      <c r="C518" s="147"/>
      <c r="D518" s="147"/>
      <c r="E518" s="147"/>
      <c r="F518" s="205"/>
      <c r="G518" s="147"/>
      <c r="H518" s="147"/>
      <c r="I518" s="147"/>
      <c r="J518" s="147"/>
      <c r="K518" s="147"/>
      <c r="L518" s="147"/>
      <c r="M518" s="147"/>
      <c r="N518" s="147"/>
      <c r="O518" s="147"/>
      <c r="P518" s="147"/>
      <c r="Q518" s="147"/>
      <c r="R518" s="147"/>
      <c r="S518" s="147"/>
      <c r="T518" s="147"/>
      <c r="U518" s="147"/>
      <c r="V518" s="147"/>
      <c r="W518" s="147"/>
      <c r="X518" s="147"/>
      <c r="Y518" s="147"/>
      <c r="Z518" s="147"/>
      <c r="AA518" s="147"/>
      <c r="AB518" s="147"/>
      <c r="AC518" s="147"/>
      <c r="AD518" s="147"/>
      <c r="AE518" s="147"/>
      <c r="AF518" s="147"/>
      <c r="AG518" s="147"/>
    </row>
    <row r="519">
      <c r="A519" s="147"/>
      <c r="B519" s="147"/>
      <c r="C519" s="147"/>
      <c r="D519" s="147"/>
      <c r="E519" s="147"/>
      <c r="F519" s="205"/>
      <c r="G519" s="147"/>
      <c r="H519" s="147"/>
      <c r="I519" s="147"/>
      <c r="J519" s="147"/>
      <c r="K519" s="147"/>
      <c r="L519" s="147"/>
      <c r="M519" s="147"/>
      <c r="N519" s="147"/>
      <c r="O519" s="147"/>
      <c r="P519" s="147"/>
      <c r="Q519" s="147"/>
      <c r="R519" s="147"/>
      <c r="S519" s="147"/>
      <c r="T519" s="147"/>
      <c r="U519" s="147"/>
      <c r="V519" s="147"/>
      <c r="W519" s="147"/>
      <c r="X519" s="147"/>
      <c r="Y519" s="147"/>
      <c r="Z519" s="147"/>
      <c r="AA519" s="147"/>
      <c r="AB519" s="147"/>
      <c r="AC519" s="147"/>
      <c r="AD519" s="147"/>
      <c r="AE519" s="147"/>
      <c r="AF519" s="147"/>
      <c r="AG519" s="147"/>
    </row>
    <row r="520">
      <c r="A520" s="147"/>
      <c r="B520" s="147"/>
      <c r="C520" s="147"/>
      <c r="D520" s="147"/>
      <c r="E520" s="147"/>
      <c r="F520" s="205"/>
      <c r="G520" s="147"/>
      <c r="H520" s="147"/>
      <c r="I520" s="147"/>
      <c r="J520" s="147"/>
      <c r="K520" s="147"/>
      <c r="L520" s="147"/>
      <c r="M520" s="147"/>
      <c r="N520" s="147"/>
      <c r="O520" s="147"/>
      <c r="P520" s="147"/>
      <c r="Q520" s="147"/>
      <c r="R520" s="147"/>
      <c r="S520" s="147"/>
      <c r="T520" s="147"/>
      <c r="U520" s="147"/>
      <c r="V520" s="147"/>
      <c r="W520" s="147"/>
      <c r="X520" s="147"/>
      <c r="Y520" s="147"/>
      <c r="Z520" s="147"/>
      <c r="AA520" s="147"/>
      <c r="AB520" s="147"/>
      <c r="AC520" s="147"/>
      <c r="AD520" s="147"/>
      <c r="AE520" s="147"/>
      <c r="AF520" s="147"/>
      <c r="AG520" s="147"/>
    </row>
    <row r="521">
      <c r="A521" s="147"/>
      <c r="B521" s="147"/>
      <c r="C521" s="147"/>
      <c r="D521" s="147"/>
      <c r="E521" s="147"/>
      <c r="F521" s="205"/>
      <c r="G521" s="147"/>
      <c r="H521" s="147"/>
      <c r="I521" s="147"/>
      <c r="J521" s="147"/>
      <c r="K521" s="147"/>
      <c r="L521" s="147"/>
      <c r="M521" s="147"/>
      <c r="N521" s="147"/>
      <c r="O521" s="147"/>
      <c r="P521" s="147"/>
      <c r="Q521" s="147"/>
      <c r="R521" s="147"/>
      <c r="S521" s="147"/>
      <c r="T521" s="147"/>
      <c r="U521" s="147"/>
      <c r="V521" s="147"/>
      <c r="W521" s="147"/>
      <c r="X521" s="147"/>
      <c r="Y521" s="147"/>
      <c r="Z521" s="147"/>
      <c r="AA521" s="147"/>
      <c r="AB521" s="147"/>
      <c r="AC521" s="147"/>
      <c r="AD521" s="147"/>
      <c r="AE521" s="147"/>
      <c r="AF521" s="147"/>
      <c r="AG521" s="147"/>
    </row>
    <row r="522">
      <c r="A522" s="147"/>
      <c r="B522" s="147"/>
      <c r="C522" s="147"/>
      <c r="D522" s="147"/>
      <c r="E522" s="147"/>
      <c r="F522" s="205"/>
      <c r="G522" s="147"/>
      <c r="H522" s="147"/>
      <c r="I522" s="147"/>
      <c r="J522" s="147"/>
      <c r="K522" s="147"/>
      <c r="L522" s="147"/>
      <c r="M522" s="147"/>
      <c r="N522" s="147"/>
      <c r="O522" s="147"/>
      <c r="P522" s="147"/>
      <c r="Q522" s="147"/>
      <c r="R522" s="147"/>
      <c r="S522" s="147"/>
      <c r="T522" s="147"/>
      <c r="U522" s="147"/>
      <c r="V522" s="147"/>
      <c r="W522" s="147"/>
      <c r="X522" s="147"/>
      <c r="Y522" s="147"/>
      <c r="Z522" s="147"/>
      <c r="AA522" s="147"/>
      <c r="AB522" s="147"/>
      <c r="AC522" s="147"/>
      <c r="AD522" s="147"/>
      <c r="AE522" s="147"/>
      <c r="AF522" s="147"/>
      <c r="AG522" s="147"/>
    </row>
    <row r="523">
      <c r="A523" s="147"/>
      <c r="B523" s="147"/>
      <c r="C523" s="147"/>
      <c r="D523" s="147"/>
      <c r="E523" s="147"/>
      <c r="F523" s="205"/>
      <c r="G523" s="147"/>
      <c r="H523" s="147"/>
      <c r="I523" s="147"/>
      <c r="J523" s="147"/>
      <c r="K523" s="147"/>
      <c r="L523" s="147"/>
      <c r="M523" s="147"/>
      <c r="N523" s="147"/>
      <c r="O523" s="147"/>
      <c r="P523" s="147"/>
      <c r="Q523" s="147"/>
      <c r="R523" s="147"/>
      <c r="S523" s="147"/>
      <c r="T523" s="147"/>
      <c r="U523" s="147"/>
      <c r="V523" s="147"/>
      <c r="W523" s="147"/>
      <c r="X523" s="147"/>
      <c r="Y523" s="147"/>
      <c r="Z523" s="147"/>
      <c r="AA523" s="147"/>
      <c r="AB523" s="147"/>
      <c r="AC523" s="147"/>
      <c r="AD523" s="147"/>
      <c r="AE523" s="147"/>
      <c r="AF523" s="147"/>
      <c r="AG523" s="147"/>
    </row>
    <row r="524">
      <c r="A524" s="147"/>
      <c r="B524" s="147"/>
      <c r="C524" s="147"/>
      <c r="D524" s="147"/>
      <c r="E524" s="147"/>
      <c r="F524" s="205"/>
      <c r="G524" s="147"/>
      <c r="H524" s="147"/>
      <c r="I524" s="147"/>
      <c r="J524" s="147"/>
      <c r="K524" s="147"/>
      <c r="L524" s="147"/>
      <c r="M524" s="147"/>
      <c r="N524" s="147"/>
      <c r="O524" s="147"/>
      <c r="P524" s="147"/>
      <c r="Q524" s="147"/>
      <c r="R524" s="147"/>
      <c r="S524" s="147"/>
      <c r="T524" s="147"/>
      <c r="U524" s="147"/>
      <c r="V524" s="147"/>
      <c r="W524" s="147"/>
      <c r="X524" s="147"/>
      <c r="Y524" s="147"/>
      <c r="Z524" s="147"/>
      <c r="AA524" s="147"/>
      <c r="AB524" s="147"/>
      <c r="AC524" s="147"/>
      <c r="AD524" s="147"/>
      <c r="AE524" s="147"/>
      <c r="AF524" s="147"/>
      <c r="AG524" s="147"/>
    </row>
    <row r="525">
      <c r="A525" s="147"/>
      <c r="B525" s="147"/>
      <c r="C525" s="147"/>
      <c r="D525" s="147"/>
      <c r="E525" s="147"/>
      <c r="F525" s="205"/>
      <c r="G525" s="147"/>
      <c r="H525" s="147"/>
      <c r="I525" s="147"/>
      <c r="J525" s="147"/>
      <c r="K525" s="147"/>
      <c r="L525" s="147"/>
      <c r="M525" s="147"/>
      <c r="N525" s="147"/>
      <c r="O525" s="147"/>
      <c r="P525" s="147"/>
      <c r="Q525" s="147"/>
      <c r="R525" s="147"/>
      <c r="S525" s="147"/>
      <c r="T525" s="147"/>
      <c r="U525" s="147"/>
      <c r="V525" s="147"/>
      <c r="W525" s="147"/>
      <c r="X525" s="147"/>
      <c r="Y525" s="147"/>
      <c r="Z525" s="147"/>
      <c r="AA525" s="147"/>
      <c r="AB525" s="147"/>
      <c r="AC525" s="147"/>
      <c r="AD525" s="147"/>
      <c r="AE525" s="147"/>
      <c r="AF525" s="147"/>
      <c r="AG525" s="147"/>
    </row>
    <row r="526">
      <c r="A526" s="147"/>
      <c r="B526" s="147"/>
      <c r="C526" s="147"/>
      <c r="D526" s="147"/>
      <c r="E526" s="147"/>
      <c r="F526" s="205"/>
      <c r="G526" s="147"/>
      <c r="H526" s="147"/>
      <c r="I526" s="147"/>
      <c r="J526" s="147"/>
      <c r="K526" s="147"/>
      <c r="L526" s="147"/>
      <c r="M526" s="147"/>
      <c r="N526" s="147"/>
      <c r="O526" s="147"/>
      <c r="P526" s="147"/>
      <c r="Q526" s="147"/>
      <c r="R526" s="147"/>
      <c r="S526" s="147"/>
      <c r="T526" s="147"/>
      <c r="U526" s="147"/>
      <c r="V526" s="147"/>
      <c r="W526" s="147"/>
      <c r="X526" s="147"/>
      <c r="Y526" s="147"/>
      <c r="Z526" s="147"/>
      <c r="AA526" s="147"/>
      <c r="AB526" s="147"/>
      <c r="AC526" s="147"/>
      <c r="AD526" s="147"/>
      <c r="AE526" s="147"/>
      <c r="AF526" s="147"/>
      <c r="AG526" s="147"/>
    </row>
    <row r="527">
      <c r="A527" s="147"/>
      <c r="B527" s="147"/>
      <c r="C527" s="147"/>
      <c r="D527" s="147"/>
      <c r="E527" s="147"/>
      <c r="F527" s="205"/>
      <c r="G527" s="147"/>
      <c r="H527" s="147"/>
      <c r="I527" s="147"/>
      <c r="J527" s="147"/>
      <c r="K527" s="147"/>
      <c r="L527" s="147"/>
      <c r="M527" s="147"/>
      <c r="N527" s="147"/>
      <c r="O527" s="147"/>
      <c r="P527" s="147"/>
      <c r="Q527" s="147"/>
      <c r="R527" s="147"/>
      <c r="S527" s="147"/>
      <c r="T527" s="147"/>
      <c r="U527" s="147"/>
      <c r="V527" s="147"/>
      <c r="W527" s="147"/>
      <c r="X527" s="147"/>
      <c r="Y527" s="147"/>
      <c r="Z527" s="147"/>
      <c r="AA527" s="147"/>
      <c r="AB527" s="147"/>
      <c r="AC527" s="147"/>
      <c r="AD527" s="147"/>
      <c r="AE527" s="147"/>
      <c r="AF527" s="147"/>
      <c r="AG527" s="147"/>
    </row>
    <row r="528">
      <c r="A528" s="147"/>
      <c r="B528" s="147"/>
      <c r="C528" s="147"/>
      <c r="D528" s="147"/>
      <c r="E528" s="147"/>
      <c r="F528" s="205"/>
      <c r="G528" s="147"/>
      <c r="H528" s="147"/>
      <c r="I528" s="147"/>
      <c r="J528" s="147"/>
      <c r="K528" s="147"/>
      <c r="L528" s="147"/>
      <c r="M528" s="147"/>
      <c r="N528" s="147"/>
      <c r="O528" s="147"/>
      <c r="P528" s="147"/>
      <c r="Q528" s="147"/>
      <c r="R528" s="147"/>
      <c r="S528" s="147"/>
      <c r="T528" s="147"/>
      <c r="U528" s="147"/>
      <c r="V528" s="147"/>
      <c r="W528" s="147"/>
      <c r="X528" s="147"/>
      <c r="Y528" s="147"/>
      <c r="Z528" s="147"/>
      <c r="AA528" s="147"/>
      <c r="AB528" s="147"/>
      <c r="AC528" s="147"/>
      <c r="AD528" s="147"/>
      <c r="AE528" s="147"/>
      <c r="AF528" s="147"/>
      <c r="AG528" s="147"/>
    </row>
    <row r="529">
      <c r="A529" s="147"/>
      <c r="B529" s="147"/>
      <c r="C529" s="147"/>
      <c r="D529" s="147"/>
      <c r="E529" s="147"/>
      <c r="F529" s="205"/>
      <c r="G529" s="147"/>
      <c r="H529" s="147"/>
      <c r="I529" s="147"/>
      <c r="J529" s="147"/>
      <c r="K529" s="147"/>
      <c r="L529" s="147"/>
      <c r="M529" s="147"/>
      <c r="N529" s="147"/>
      <c r="O529" s="147"/>
      <c r="P529" s="147"/>
      <c r="Q529" s="147"/>
      <c r="R529" s="147"/>
      <c r="S529" s="147"/>
      <c r="T529" s="147"/>
      <c r="U529" s="147"/>
      <c r="V529" s="147"/>
      <c r="W529" s="147"/>
      <c r="X529" s="147"/>
      <c r="Y529" s="147"/>
      <c r="Z529" s="147"/>
      <c r="AA529" s="147"/>
      <c r="AB529" s="147"/>
      <c r="AC529" s="147"/>
      <c r="AD529" s="147"/>
      <c r="AE529" s="147"/>
      <c r="AF529" s="147"/>
      <c r="AG529" s="147"/>
    </row>
    <row r="530">
      <c r="A530" s="147"/>
      <c r="B530" s="147"/>
      <c r="C530" s="147"/>
      <c r="D530" s="147"/>
      <c r="E530" s="147"/>
      <c r="F530" s="205"/>
      <c r="G530" s="147"/>
      <c r="H530" s="147"/>
      <c r="I530" s="147"/>
      <c r="J530" s="147"/>
      <c r="K530" s="147"/>
      <c r="L530" s="147"/>
      <c r="M530" s="147"/>
      <c r="N530" s="147"/>
      <c r="O530" s="147"/>
      <c r="P530" s="147"/>
      <c r="Q530" s="147"/>
      <c r="R530" s="147"/>
      <c r="S530" s="147"/>
      <c r="T530" s="147"/>
      <c r="U530" s="147"/>
      <c r="V530" s="147"/>
      <c r="W530" s="147"/>
      <c r="X530" s="147"/>
      <c r="Y530" s="147"/>
      <c r="Z530" s="147"/>
      <c r="AA530" s="147"/>
      <c r="AB530" s="147"/>
      <c r="AC530" s="147"/>
      <c r="AD530" s="147"/>
      <c r="AE530" s="147"/>
      <c r="AF530" s="147"/>
      <c r="AG530" s="147"/>
    </row>
    <row r="531">
      <c r="A531" s="147"/>
      <c r="B531" s="147"/>
      <c r="C531" s="147"/>
      <c r="D531" s="147"/>
      <c r="E531" s="147"/>
      <c r="F531" s="205"/>
      <c r="G531" s="147"/>
      <c r="H531" s="147"/>
      <c r="I531" s="147"/>
      <c r="J531" s="147"/>
      <c r="K531" s="147"/>
      <c r="L531" s="147"/>
      <c r="M531" s="147"/>
      <c r="N531" s="147"/>
      <c r="O531" s="147"/>
      <c r="P531" s="147"/>
      <c r="Q531" s="147"/>
      <c r="R531" s="147"/>
      <c r="S531" s="147"/>
      <c r="T531" s="147"/>
      <c r="U531" s="147"/>
      <c r="V531" s="147"/>
      <c r="W531" s="147"/>
      <c r="X531" s="147"/>
      <c r="Y531" s="147"/>
      <c r="Z531" s="147"/>
      <c r="AA531" s="147"/>
      <c r="AB531" s="147"/>
      <c r="AC531" s="147"/>
      <c r="AD531" s="147"/>
      <c r="AE531" s="147"/>
      <c r="AF531" s="147"/>
      <c r="AG531" s="147"/>
    </row>
    <row r="532">
      <c r="A532" s="147"/>
      <c r="B532" s="147"/>
      <c r="C532" s="147"/>
      <c r="D532" s="147"/>
      <c r="E532" s="147"/>
      <c r="F532" s="205"/>
      <c r="G532" s="147"/>
      <c r="H532" s="147"/>
      <c r="I532" s="147"/>
      <c r="J532" s="147"/>
      <c r="K532" s="147"/>
      <c r="L532" s="147"/>
      <c r="M532" s="147"/>
      <c r="N532" s="147"/>
      <c r="O532" s="147"/>
      <c r="P532" s="147"/>
      <c r="Q532" s="147"/>
      <c r="R532" s="147"/>
      <c r="S532" s="147"/>
      <c r="T532" s="147"/>
      <c r="U532" s="147"/>
      <c r="V532" s="147"/>
      <c r="W532" s="147"/>
      <c r="X532" s="147"/>
      <c r="Y532" s="147"/>
      <c r="Z532" s="147"/>
      <c r="AA532" s="147"/>
      <c r="AB532" s="147"/>
      <c r="AC532" s="147"/>
      <c r="AD532" s="147"/>
      <c r="AE532" s="147"/>
      <c r="AF532" s="147"/>
      <c r="AG532" s="147"/>
    </row>
    <row r="533">
      <c r="A533" s="147"/>
      <c r="B533" s="147"/>
      <c r="C533" s="147"/>
      <c r="D533" s="147"/>
      <c r="E533" s="147"/>
      <c r="F533" s="205"/>
      <c r="G533" s="147"/>
      <c r="H533" s="147"/>
      <c r="I533" s="147"/>
      <c r="J533" s="147"/>
      <c r="K533" s="147"/>
      <c r="L533" s="147"/>
      <c r="M533" s="147"/>
      <c r="N533" s="147"/>
      <c r="O533" s="147"/>
      <c r="P533" s="147"/>
      <c r="Q533" s="147"/>
      <c r="R533" s="147"/>
      <c r="S533" s="147"/>
      <c r="T533" s="147"/>
      <c r="U533" s="147"/>
      <c r="V533" s="147"/>
      <c r="W533" s="147"/>
      <c r="X533" s="147"/>
      <c r="Y533" s="147"/>
      <c r="Z533" s="147"/>
      <c r="AA533" s="147"/>
      <c r="AB533" s="147"/>
      <c r="AC533" s="147"/>
      <c r="AD533" s="147"/>
      <c r="AE533" s="147"/>
      <c r="AF533" s="147"/>
      <c r="AG533" s="147"/>
    </row>
    <row r="534">
      <c r="A534" s="147"/>
      <c r="B534" s="147"/>
      <c r="C534" s="147"/>
      <c r="D534" s="147"/>
      <c r="E534" s="147"/>
      <c r="F534" s="205"/>
      <c r="G534" s="147"/>
      <c r="H534" s="147"/>
      <c r="I534" s="147"/>
      <c r="J534" s="147"/>
      <c r="K534" s="147"/>
      <c r="L534" s="147"/>
      <c r="M534" s="147"/>
      <c r="N534" s="147"/>
      <c r="O534" s="147"/>
      <c r="P534" s="147"/>
      <c r="Q534" s="147"/>
      <c r="R534" s="147"/>
      <c r="S534" s="147"/>
      <c r="T534" s="147"/>
      <c r="U534" s="147"/>
      <c r="V534" s="147"/>
      <c r="W534" s="147"/>
      <c r="X534" s="147"/>
      <c r="Y534" s="147"/>
      <c r="Z534" s="147"/>
      <c r="AA534" s="147"/>
      <c r="AB534" s="147"/>
      <c r="AC534" s="147"/>
      <c r="AD534" s="147"/>
      <c r="AE534" s="147"/>
      <c r="AF534" s="147"/>
      <c r="AG534" s="147"/>
    </row>
    <row r="535">
      <c r="A535" s="147"/>
      <c r="B535" s="147"/>
      <c r="C535" s="147"/>
      <c r="D535" s="147"/>
      <c r="E535" s="147"/>
      <c r="F535" s="205"/>
      <c r="G535" s="147"/>
      <c r="H535" s="147"/>
      <c r="I535" s="147"/>
      <c r="J535" s="147"/>
      <c r="K535" s="147"/>
      <c r="L535" s="147"/>
      <c r="M535" s="147"/>
      <c r="N535" s="147"/>
      <c r="O535" s="147"/>
      <c r="P535" s="147"/>
      <c r="Q535" s="147"/>
      <c r="R535" s="147"/>
      <c r="S535" s="147"/>
      <c r="T535" s="147"/>
      <c r="U535" s="147"/>
      <c r="V535" s="147"/>
      <c r="W535" s="147"/>
      <c r="X535" s="147"/>
      <c r="Y535" s="147"/>
      <c r="Z535" s="147"/>
      <c r="AA535" s="147"/>
      <c r="AB535" s="147"/>
      <c r="AC535" s="147"/>
      <c r="AD535" s="147"/>
      <c r="AE535" s="147"/>
      <c r="AF535" s="147"/>
      <c r="AG535" s="147"/>
    </row>
    <row r="536">
      <c r="A536" s="147"/>
      <c r="B536" s="147"/>
      <c r="C536" s="147"/>
      <c r="D536" s="147"/>
      <c r="E536" s="147"/>
      <c r="F536" s="205"/>
      <c r="G536" s="147"/>
      <c r="H536" s="147"/>
      <c r="I536" s="147"/>
      <c r="J536" s="147"/>
      <c r="K536" s="147"/>
      <c r="L536" s="147"/>
      <c r="M536" s="147"/>
      <c r="N536" s="147"/>
      <c r="O536" s="147"/>
      <c r="P536" s="147"/>
      <c r="Q536" s="147"/>
      <c r="R536" s="147"/>
      <c r="S536" s="147"/>
      <c r="T536" s="147"/>
      <c r="U536" s="147"/>
      <c r="V536" s="147"/>
      <c r="W536" s="147"/>
      <c r="X536" s="147"/>
      <c r="Y536" s="147"/>
      <c r="Z536" s="147"/>
      <c r="AA536" s="147"/>
      <c r="AB536" s="147"/>
      <c r="AC536" s="147"/>
      <c r="AD536" s="147"/>
      <c r="AE536" s="147"/>
      <c r="AF536" s="147"/>
      <c r="AG536" s="147"/>
    </row>
    <row r="537">
      <c r="A537" s="147"/>
      <c r="B537" s="147"/>
      <c r="C537" s="147"/>
      <c r="D537" s="147"/>
      <c r="E537" s="147"/>
      <c r="F537" s="205"/>
      <c r="G537" s="147"/>
      <c r="H537" s="147"/>
      <c r="I537" s="147"/>
      <c r="J537" s="147"/>
      <c r="K537" s="147"/>
      <c r="L537" s="147"/>
      <c r="M537" s="147"/>
      <c r="N537" s="147"/>
      <c r="O537" s="147"/>
      <c r="P537" s="147"/>
      <c r="Q537" s="147"/>
      <c r="R537" s="147"/>
      <c r="S537" s="147"/>
      <c r="T537" s="147"/>
      <c r="U537" s="147"/>
      <c r="V537" s="147"/>
      <c r="W537" s="147"/>
      <c r="X537" s="147"/>
      <c r="Y537" s="147"/>
      <c r="Z537" s="147"/>
      <c r="AA537" s="147"/>
      <c r="AB537" s="147"/>
      <c r="AC537" s="147"/>
      <c r="AD537" s="147"/>
      <c r="AE537" s="147"/>
      <c r="AF537" s="147"/>
      <c r="AG537" s="147"/>
    </row>
    <row r="538">
      <c r="A538" s="147"/>
      <c r="B538" s="147"/>
      <c r="C538" s="147"/>
      <c r="D538" s="147"/>
      <c r="E538" s="147"/>
      <c r="F538" s="205"/>
      <c r="G538" s="147"/>
      <c r="H538" s="147"/>
      <c r="I538" s="147"/>
      <c r="J538" s="147"/>
      <c r="K538" s="147"/>
      <c r="L538" s="147"/>
      <c r="M538" s="147"/>
      <c r="N538" s="147"/>
      <c r="O538" s="147"/>
      <c r="P538" s="147"/>
      <c r="Q538" s="147"/>
      <c r="R538" s="147"/>
      <c r="S538" s="147"/>
      <c r="T538" s="147"/>
      <c r="U538" s="147"/>
      <c r="V538" s="147"/>
      <c r="W538" s="147"/>
      <c r="X538" s="147"/>
      <c r="Y538" s="147"/>
      <c r="Z538" s="147"/>
      <c r="AA538" s="147"/>
      <c r="AB538" s="147"/>
      <c r="AC538" s="147"/>
      <c r="AD538" s="147"/>
      <c r="AE538" s="147"/>
      <c r="AF538" s="147"/>
      <c r="AG538" s="147"/>
    </row>
    <row r="539">
      <c r="A539" s="147"/>
      <c r="B539" s="147"/>
      <c r="C539" s="147"/>
      <c r="D539" s="147"/>
      <c r="E539" s="147"/>
      <c r="F539" s="205"/>
      <c r="G539" s="147"/>
      <c r="H539" s="147"/>
      <c r="I539" s="147"/>
      <c r="J539" s="147"/>
      <c r="K539" s="147"/>
      <c r="L539" s="147"/>
      <c r="M539" s="147"/>
      <c r="N539" s="147"/>
      <c r="O539" s="147"/>
      <c r="P539" s="147"/>
      <c r="Q539" s="147"/>
      <c r="R539" s="147"/>
      <c r="S539" s="147"/>
      <c r="T539" s="147"/>
      <c r="U539" s="147"/>
      <c r="V539" s="147"/>
      <c r="W539" s="147"/>
      <c r="X539" s="147"/>
      <c r="Y539" s="147"/>
      <c r="Z539" s="147"/>
      <c r="AA539" s="147"/>
      <c r="AB539" s="147"/>
      <c r="AC539" s="147"/>
      <c r="AD539" s="147"/>
      <c r="AE539" s="147"/>
      <c r="AF539" s="147"/>
      <c r="AG539" s="147"/>
    </row>
    <row r="540">
      <c r="A540" s="147"/>
      <c r="B540" s="147"/>
      <c r="C540" s="147"/>
      <c r="D540" s="147"/>
      <c r="E540" s="147"/>
      <c r="F540" s="205"/>
      <c r="G540" s="147"/>
      <c r="H540" s="147"/>
      <c r="I540" s="147"/>
      <c r="J540" s="147"/>
      <c r="K540" s="147"/>
      <c r="L540" s="147"/>
      <c r="M540" s="147"/>
      <c r="N540" s="147"/>
      <c r="O540" s="147"/>
      <c r="P540" s="147"/>
      <c r="Q540" s="147"/>
      <c r="R540" s="147"/>
      <c r="S540" s="147"/>
      <c r="T540" s="147"/>
      <c r="U540" s="147"/>
      <c r="V540" s="147"/>
      <c r="W540" s="147"/>
      <c r="X540" s="147"/>
      <c r="Y540" s="147"/>
      <c r="Z540" s="147"/>
      <c r="AA540" s="147"/>
      <c r="AB540" s="147"/>
      <c r="AC540" s="147"/>
      <c r="AD540" s="147"/>
      <c r="AE540" s="147"/>
      <c r="AF540" s="147"/>
      <c r="AG540" s="147"/>
    </row>
    <row r="541">
      <c r="A541" s="147"/>
      <c r="B541" s="147"/>
      <c r="C541" s="147"/>
      <c r="D541" s="147"/>
      <c r="E541" s="147"/>
      <c r="F541" s="205"/>
      <c r="G541" s="147"/>
      <c r="H541" s="147"/>
      <c r="I541" s="147"/>
      <c r="J541" s="147"/>
      <c r="K541" s="147"/>
      <c r="L541" s="147"/>
      <c r="M541" s="147"/>
      <c r="N541" s="147"/>
      <c r="O541" s="147"/>
      <c r="P541" s="147"/>
      <c r="Q541" s="147"/>
      <c r="R541" s="147"/>
      <c r="S541" s="147"/>
      <c r="T541" s="147"/>
      <c r="U541" s="147"/>
      <c r="V541" s="147"/>
      <c r="W541" s="147"/>
      <c r="X541" s="147"/>
      <c r="Y541" s="147"/>
      <c r="Z541" s="147"/>
      <c r="AA541" s="147"/>
      <c r="AB541" s="147"/>
      <c r="AC541" s="147"/>
      <c r="AD541" s="147"/>
      <c r="AE541" s="147"/>
      <c r="AF541" s="147"/>
      <c r="AG541" s="147"/>
    </row>
    <row r="542">
      <c r="A542" s="147"/>
      <c r="B542" s="147"/>
      <c r="C542" s="147"/>
      <c r="D542" s="147"/>
      <c r="E542" s="147"/>
      <c r="F542" s="205"/>
      <c r="G542" s="147"/>
      <c r="H542" s="147"/>
      <c r="I542" s="147"/>
      <c r="J542" s="147"/>
      <c r="K542" s="147"/>
      <c r="L542" s="147"/>
      <c r="M542" s="147"/>
      <c r="N542" s="147"/>
      <c r="O542" s="147"/>
      <c r="P542" s="147"/>
      <c r="Q542" s="147"/>
      <c r="R542" s="147"/>
      <c r="S542" s="147"/>
      <c r="T542" s="147"/>
      <c r="U542" s="147"/>
      <c r="V542" s="147"/>
      <c r="W542" s="147"/>
      <c r="X542" s="147"/>
      <c r="Y542" s="147"/>
      <c r="Z542" s="147"/>
      <c r="AA542" s="147"/>
      <c r="AB542" s="147"/>
      <c r="AC542" s="147"/>
      <c r="AD542" s="147"/>
      <c r="AE542" s="147"/>
      <c r="AF542" s="147"/>
      <c r="AG542" s="147"/>
    </row>
    <row r="543">
      <c r="A543" s="147"/>
      <c r="B543" s="147"/>
      <c r="C543" s="147"/>
      <c r="D543" s="147"/>
      <c r="E543" s="147"/>
      <c r="F543" s="205"/>
      <c r="G543" s="147"/>
      <c r="H543" s="147"/>
      <c r="I543" s="147"/>
      <c r="J543" s="147"/>
      <c r="K543" s="147"/>
      <c r="L543" s="147"/>
      <c r="M543" s="147"/>
      <c r="N543" s="147"/>
      <c r="O543" s="147"/>
      <c r="P543" s="147"/>
      <c r="Q543" s="147"/>
      <c r="R543" s="147"/>
      <c r="S543" s="147"/>
      <c r="T543" s="147"/>
      <c r="U543" s="147"/>
      <c r="V543" s="147"/>
      <c r="W543" s="147"/>
      <c r="X543" s="147"/>
      <c r="Y543" s="147"/>
      <c r="Z543" s="147"/>
      <c r="AA543" s="147"/>
      <c r="AB543" s="147"/>
      <c r="AC543" s="147"/>
      <c r="AD543" s="147"/>
      <c r="AE543" s="147"/>
      <c r="AF543" s="147"/>
      <c r="AG543" s="147"/>
    </row>
    <row r="544">
      <c r="A544" s="147"/>
      <c r="B544" s="147"/>
      <c r="C544" s="147"/>
      <c r="D544" s="147"/>
      <c r="E544" s="147"/>
      <c r="F544" s="205"/>
      <c r="G544" s="147"/>
      <c r="H544" s="147"/>
      <c r="I544" s="147"/>
      <c r="J544" s="147"/>
      <c r="K544" s="147"/>
      <c r="L544" s="147"/>
      <c r="M544" s="147"/>
      <c r="N544" s="147"/>
      <c r="O544" s="147"/>
      <c r="P544" s="147"/>
      <c r="Q544" s="147"/>
      <c r="R544" s="147"/>
      <c r="S544" s="147"/>
      <c r="T544" s="147"/>
      <c r="U544" s="147"/>
      <c r="V544" s="147"/>
      <c r="W544" s="147"/>
      <c r="X544" s="147"/>
      <c r="Y544" s="147"/>
      <c r="Z544" s="147"/>
      <c r="AA544" s="147"/>
      <c r="AB544" s="147"/>
      <c r="AC544" s="147"/>
      <c r="AD544" s="147"/>
      <c r="AE544" s="147"/>
      <c r="AF544" s="147"/>
      <c r="AG544" s="147"/>
    </row>
    <row r="545">
      <c r="A545" s="147"/>
      <c r="B545" s="147"/>
      <c r="C545" s="147"/>
      <c r="D545" s="147"/>
      <c r="E545" s="147"/>
      <c r="F545" s="205"/>
      <c r="G545" s="147"/>
      <c r="H545" s="147"/>
      <c r="I545" s="147"/>
      <c r="J545" s="147"/>
      <c r="K545" s="147"/>
      <c r="L545" s="147"/>
      <c r="M545" s="147"/>
      <c r="N545" s="147"/>
      <c r="O545" s="147"/>
      <c r="P545" s="147"/>
      <c r="Q545" s="147"/>
      <c r="R545" s="147"/>
      <c r="S545" s="147"/>
      <c r="T545" s="147"/>
      <c r="U545" s="147"/>
      <c r="V545" s="147"/>
      <c r="W545" s="147"/>
      <c r="X545" s="147"/>
      <c r="Y545" s="147"/>
      <c r="Z545" s="147"/>
      <c r="AA545" s="147"/>
      <c r="AB545" s="147"/>
      <c r="AC545" s="147"/>
      <c r="AD545" s="147"/>
      <c r="AE545" s="147"/>
      <c r="AF545" s="147"/>
      <c r="AG545" s="147"/>
    </row>
    <row r="546">
      <c r="A546" s="147"/>
      <c r="B546" s="147"/>
      <c r="C546" s="147"/>
      <c r="D546" s="147"/>
      <c r="E546" s="147"/>
      <c r="F546" s="205"/>
      <c r="G546" s="147"/>
      <c r="H546" s="147"/>
      <c r="I546" s="147"/>
      <c r="J546" s="147"/>
      <c r="K546" s="147"/>
      <c r="L546" s="147"/>
      <c r="M546" s="147"/>
      <c r="N546" s="147"/>
      <c r="O546" s="147"/>
      <c r="P546" s="147"/>
      <c r="Q546" s="147"/>
      <c r="R546" s="147"/>
      <c r="S546" s="147"/>
      <c r="T546" s="147"/>
      <c r="U546" s="147"/>
      <c r="V546" s="147"/>
      <c r="W546" s="147"/>
      <c r="X546" s="147"/>
      <c r="Y546" s="147"/>
      <c r="Z546" s="147"/>
      <c r="AA546" s="147"/>
      <c r="AB546" s="147"/>
      <c r="AC546" s="147"/>
      <c r="AD546" s="147"/>
      <c r="AE546" s="147"/>
      <c r="AF546" s="147"/>
      <c r="AG546" s="147"/>
    </row>
    <row r="547">
      <c r="A547" s="147"/>
      <c r="B547" s="147"/>
      <c r="C547" s="147"/>
      <c r="D547" s="147"/>
      <c r="E547" s="147"/>
      <c r="F547" s="205"/>
      <c r="G547" s="147"/>
      <c r="H547" s="147"/>
      <c r="I547" s="147"/>
      <c r="J547" s="147"/>
      <c r="K547" s="147"/>
      <c r="L547" s="147"/>
      <c r="M547" s="147"/>
      <c r="N547" s="147"/>
      <c r="O547" s="147"/>
      <c r="P547" s="147"/>
      <c r="Q547" s="147"/>
      <c r="R547" s="147"/>
      <c r="S547" s="147"/>
      <c r="T547" s="147"/>
      <c r="U547" s="147"/>
      <c r="V547" s="147"/>
      <c r="W547" s="147"/>
      <c r="X547" s="147"/>
      <c r="Y547" s="147"/>
      <c r="Z547" s="147"/>
      <c r="AA547" s="147"/>
      <c r="AB547" s="147"/>
      <c r="AC547" s="147"/>
      <c r="AD547" s="147"/>
      <c r="AE547" s="147"/>
      <c r="AF547" s="147"/>
      <c r="AG547" s="147"/>
    </row>
    <row r="548">
      <c r="A548" s="147"/>
      <c r="B548" s="147"/>
      <c r="C548" s="147"/>
      <c r="D548" s="147"/>
      <c r="E548" s="147"/>
      <c r="F548" s="205"/>
      <c r="G548" s="147"/>
      <c r="H548" s="147"/>
      <c r="I548" s="147"/>
      <c r="J548" s="147"/>
      <c r="K548" s="147"/>
      <c r="L548" s="147"/>
      <c r="M548" s="147"/>
      <c r="N548" s="147"/>
      <c r="O548" s="147"/>
      <c r="P548" s="147"/>
      <c r="Q548" s="147"/>
      <c r="R548" s="147"/>
      <c r="S548" s="147"/>
      <c r="T548" s="147"/>
      <c r="U548" s="147"/>
      <c r="V548" s="147"/>
      <c r="W548" s="147"/>
      <c r="X548" s="147"/>
      <c r="Y548" s="147"/>
      <c r="Z548" s="147"/>
      <c r="AA548" s="147"/>
      <c r="AB548" s="147"/>
      <c r="AC548" s="147"/>
      <c r="AD548" s="147"/>
      <c r="AE548" s="147"/>
      <c r="AF548" s="147"/>
      <c r="AG548" s="147"/>
    </row>
    <row r="549">
      <c r="A549" s="147"/>
      <c r="B549" s="147"/>
      <c r="C549" s="147"/>
      <c r="D549" s="147"/>
      <c r="E549" s="147"/>
      <c r="F549" s="205"/>
      <c r="G549" s="147"/>
      <c r="H549" s="147"/>
      <c r="I549" s="147"/>
      <c r="J549" s="147"/>
      <c r="K549" s="147"/>
      <c r="L549" s="147"/>
      <c r="M549" s="147"/>
      <c r="N549" s="147"/>
      <c r="O549" s="147"/>
      <c r="P549" s="147"/>
      <c r="Q549" s="147"/>
      <c r="R549" s="147"/>
      <c r="S549" s="147"/>
      <c r="T549" s="147"/>
      <c r="U549" s="147"/>
      <c r="V549" s="147"/>
      <c r="W549" s="147"/>
      <c r="X549" s="147"/>
      <c r="Y549" s="147"/>
      <c r="Z549" s="147"/>
      <c r="AA549" s="147"/>
      <c r="AB549" s="147"/>
      <c r="AC549" s="147"/>
      <c r="AD549" s="147"/>
      <c r="AE549" s="147"/>
      <c r="AF549" s="147"/>
      <c r="AG549" s="147"/>
    </row>
    <row r="550">
      <c r="A550" s="147"/>
      <c r="B550" s="147"/>
      <c r="C550" s="147"/>
      <c r="D550" s="147"/>
      <c r="E550" s="147"/>
      <c r="F550" s="205"/>
      <c r="G550" s="147"/>
      <c r="H550" s="147"/>
      <c r="I550" s="147"/>
      <c r="J550" s="147"/>
      <c r="K550" s="147"/>
      <c r="L550" s="147"/>
      <c r="M550" s="147"/>
      <c r="N550" s="147"/>
      <c r="O550" s="147"/>
      <c r="P550" s="147"/>
      <c r="Q550" s="147"/>
      <c r="R550" s="147"/>
      <c r="S550" s="147"/>
      <c r="T550" s="147"/>
      <c r="U550" s="147"/>
      <c r="V550" s="147"/>
      <c r="W550" s="147"/>
      <c r="X550" s="147"/>
      <c r="Y550" s="147"/>
      <c r="Z550" s="147"/>
      <c r="AA550" s="147"/>
      <c r="AB550" s="147"/>
      <c r="AC550" s="147"/>
      <c r="AD550" s="147"/>
      <c r="AE550" s="147"/>
      <c r="AF550" s="147"/>
      <c r="AG550" s="147"/>
    </row>
    <row r="551">
      <c r="A551" s="147"/>
      <c r="B551" s="147"/>
      <c r="C551" s="147"/>
      <c r="D551" s="147"/>
      <c r="E551" s="147"/>
      <c r="F551" s="205"/>
      <c r="G551" s="147"/>
      <c r="H551" s="147"/>
      <c r="I551" s="147"/>
      <c r="J551" s="147"/>
      <c r="K551" s="147"/>
      <c r="L551" s="147"/>
      <c r="M551" s="147"/>
      <c r="N551" s="147"/>
      <c r="O551" s="147"/>
      <c r="P551" s="147"/>
      <c r="Q551" s="147"/>
      <c r="R551" s="147"/>
      <c r="S551" s="147"/>
      <c r="T551" s="147"/>
      <c r="U551" s="147"/>
      <c r="V551" s="147"/>
      <c r="W551" s="147"/>
      <c r="X551" s="147"/>
      <c r="Y551" s="147"/>
      <c r="Z551" s="147"/>
      <c r="AA551" s="147"/>
      <c r="AB551" s="147"/>
      <c r="AC551" s="147"/>
      <c r="AD551" s="147"/>
      <c r="AE551" s="147"/>
      <c r="AF551" s="147"/>
      <c r="AG551" s="147"/>
    </row>
    <row r="552">
      <c r="A552" s="147"/>
      <c r="B552" s="147"/>
      <c r="C552" s="147"/>
      <c r="D552" s="147"/>
      <c r="E552" s="147"/>
      <c r="F552" s="205"/>
      <c r="G552" s="147"/>
      <c r="H552" s="147"/>
      <c r="I552" s="147"/>
      <c r="J552" s="147"/>
      <c r="K552" s="147"/>
      <c r="L552" s="147"/>
      <c r="M552" s="147"/>
      <c r="N552" s="147"/>
      <c r="O552" s="147"/>
      <c r="P552" s="147"/>
      <c r="Q552" s="147"/>
      <c r="R552" s="147"/>
      <c r="S552" s="147"/>
      <c r="T552" s="147"/>
      <c r="U552" s="147"/>
      <c r="V552" s="147"/>
      <c r="W552" s="147"/>
      <c r="X552" s="147"/>
      <c r="Y552" s="147"/>
      <c r="Z552" s="147"/>
      <c r="AA552" s="147"/>
      <c r="AB552" s="147"/>
      <c r="AC552" s="147"/>
      <c r="AD552" s="147"/>
      <c r="AE552" s="147"/>
      <c r="AF552" s="147"/>
      <c r="AG552" s="147"/>
    </row>
    <row r="553">
      <c r="A553" s="147"/>
      <c r="B553" s="147"/>
      <c r="C553" s="147"/>
      <c r="D553" s="147"/>
      <c r="E553" s="147"/>
      <c r="F553" s="205"/>
      <c r="G553" s="147"/>
      <c r="H553" s="147"/>
      <c r="I553" s="147"/>
      <c r="J553" s="147"/>
      <c r="K553" s="147"/>
      <c r="L553" s="147"/>
      <c r="M553" s="147"/>
      <c r="N553" s="147"/>
      <c r="O553" s="147"/>
      <c r="P553" s="147"/>
      <c r="Q553" s="147"/>
      <c r="R553" s="147"/>
      <c r="S553" s="147"/>
      <c r="T553" s="147"/>
      <c r="U553" s="147"/>
      <c r="V553" s="147"/>
      <c r="W553" s="147"/>
      <c r="X553" s="147"/>
      <c r="Y553" s="147"/>
      <c r="Z553" s="147"/>
      <c r="AA553" s="147"/>
      <c r="AB553" s="147"/>
      <c r="AC553" s="147"/>
      <c r="AD553" s="147"/>
      <c r="AE553" s="147"/>
      <c r="AF553" s="147"/>
      <c r="AG553" s="147"/>
    </row>
    <row r="554">
      <c r="A554" s="147"/>
      <c r="B554" s="147"/>
      <c r="C554" s="147"/>
      <c r="D554" s="147"/>
      <c r="E554" s="147"/>
      <c r="F554" s="205"/>
      <c r="G554" s="147"/>
      <c r="H554" s="147"/>
      <c r="I554" s="147"/>
      <c r="J554" s="147"/>
      <c r="K554" s="147"/>
      <c r="L554" s="147"/>
      <c r="M554" s="147"/>
      <c r="N554" s="147"/>
      <c r="O554" s="147"/>
      <c r="P554" s="147"/>
      <c r="Q554" s="147"/>
      <c r="R554" s="147"/>
      <c r="S554" s="147"/>
      <c r="T554" s="147"/>
      <c r="U554" s="147"/>
      <c r="V554" s="147"/>
      <c r="W554" s="147"/>
      <c r="X554" s="147"/>
      <c r="Y554" s="147"/>
      <c r="Z554" s="147"/>
      <c r="AA554" s="147"/>
      <c r="AB554" s="147"/>
      <c r="AC554" s="147"/>
      <c r="AD554" s="147"/>
      <c r="AE554" s="147"/>
      <c r="AF554" s="147"/>
      <c r="AG554" s="147"/>
    </row>
    <row r="555">
      <c r="A555" s="147"/>
      <c r="B555" s="147"/>
      <c r="C555" s="147"/>
      <c r="D555" s="147"/>
      <c r="E555" s="147"/>
      <c r="F555" s="205"/>
      <c r="G555" s="147"/>
      <c r="H555" s="147"/>
      <c r="I555" s="147"/>
      <c r="J555" s="147"/>
      <c r="K555" s="147"/>
      <c r="L555" s="147"/>
      <c r="M555" s="147"/>
      <c r="N555" s="147"/>
      <c r="O555" s="147"/>
      <c r="P555" s="147"/>
      <c r="Q555" s="147"/>
      <c r="R555" s="147"/>
      <c r="S555" s="147"/>
      <c r="T555" s="147"/>
      <c r="U555" s="147"/>
      <c r="V555" s="147"/>
      <c r="W555" s="147"/>
      <c r="X555" s="147"/>
      <c r="Y555" s="147"/>
      <c r="Z555" s="147"/>
      <c r="AA555" s="147"/>
      <c r="AB555" s="147"/>
      <c r="AC555" s="147"/>
      <c r="AD555" s="147"/>
      <c r="AE555" s="147"/>
      <c r="AF555" s="147"/>
      <c r="AG555" s="147"/>
    </row>
    <row r="556">
      <c r="A556" s="147"/>
      <c r="B556" s="147"/>
      <c r="C556" s="147"/>
      <c r="D556" s="147"/>
      <c r="E556" s="147"/>
      <c r="F556" s="205"/>
      <c r="G556" s="147"/>
      <c r="H556" s="147"/>
      <c r="I556" s="147"/>
      <c r="J556" s="147"/>
      <c r="K556" s="147"/>
      <c r="L556" s="147"/>
      <c r="M556" s="147"/>
      <c r="N556" s="147"/>
      <c r="O556" s="147"/>
      <c r="P556" s="147"/>
      <c r="Q556" s="147"/>
      <c r="R556" s="147"/>
      <c r="S556" s="147"/>
      <c r="T556" s="147"/>
      <c r="U556" s="147"/>
      <c r="V556" s="147"/>
      <c r="W556" s="147"/>
      <c r="X556" s="147"/>
      <c r="Y556" s="147"/>
      <c r="Z556" s="147"/>
      <c r="AA556" s="147"/>
      <c r="AB556" s="147"/>
      <c r="AC556" s="147"/>
      <c r="AD556" s="147"/>
      <c r="AE556" s="147"/>
      <c r="AF556" s="147"/>
      <c r="AG556" s="147"/>
    </row>
    <row r="557">
      <c r="A557" s="147"/>
      <c r="B557" s="147"/>
      <c r="C557" s="147"/>
      <c r="D557" s="147"/>
      <c r="E557" s="147"/>
      <c r="F557" s="205"/>
      <c r="G557" s="147"/>
      <c r="H557" s="147"/>
      <c r="I557" s="147"/>
      <c r="J557" s="147"/>
      <c r="K557" s="147"/>
      <c r="L557" s="147"/>
      <c r="M557" s="147"/>
      <c r="N557" s="147"/>
      <c r="O557" s="147"/>
      <c r="P557" s="147"/>
      <c r="Q557" s="147"/>
      <c r="R557" s="147"/>
      <c r="S557" s="147"/>
      <c r="T557" s="147"/>
      <c r="U557" s="147"/>
      <c r="V557" s="147"/>
      <c r="W557" s="147"/>
      <c r="X557" s="147"/>
      <c r="Y557" s="147"/>
      <c r="Z557" s="147"/>
      <c r="AA557" s="147"/>
      <c r="AB557" s="147"/>
      <c r="AC557" s="147"/>
      <c r="AD557" s="147"/>
      <c r="AE557" s="147"/>
      <c r="AF557" s="147"/>
      <c r="AG557" s="147"/>
    </row>
    <row r="558">
      <c r="A558" s="147"/>
      <c r="B558" s="147"/>
      <c r="C558" s="147"/>
      <c r="D558" s="147"/>
      <c r="E558" s="147"/>
      <c r="F558" s="205"/>
      <c r="G558" s="147"/>
      <c r="H558" s="147"/>
      <c r="I558" s="147"/>
      <c r="J558" s="147"/>
      <c r="K558" s="147"/>
      <c r="L558" s="147"/>
      <c r="M558" s="147"/>
      <c r="N558" s="147"/>
      <c r="O558" s="147"/>
      <c r="P558" s="147"/>
      <c r="Q558" s="147"/>
      <c r="R558" s="147"/>
      <c r="S558" s="147"/>
      <c r="T558" s="147"/>
      <c r="U558" s="147"/>
      <c r="V558" s="147"/>
      <c r="W558" s="147"/>
      <c r="X558" s="147"/>
      <c r="Y558" s="147"/>
      <c r="Z558" s="147"/>
      <c r="AA558" s="147"/>
      <c r="AB558" s="147"/>
      <c r="AC558" s="147"/>
      <c r="AD558" s="147"/>
      <c r="AE558" s="147"/>
      <c r="AF558" s="147"/>
      <c r="AG558" s="147"/>
    </row>
    <row r="559">
      <c r="A559" s="147"/>
      <c r="B559" s="147"/>
      <c r="C559" s="147"/>
      <c r="D559" s="147"/>
      <c r="E559" s="147"/>
      <c r="F559" s="205"/>
      <c r="G559" s="147"/>
      <c r="H559" s="147"/>
      <c r="I559" s="147"/>
      <c r="J559" s="147"/>
      <c r="K559" s="147"/>
      <c r="L559" s="147"/>
      <c r="M559" s="147"/>
      <c r="N559" s="147"/>
      <c r="O559" s="147"/>
      <c r="P559" s="147"/>
      <c r="Q559" s="147"/>
      <c r="R559" s="147"/>
      <c r="S559" s="147"/>
      <c r="T559" s="147"/>
      <c r="U559" s="147"/>
      <c r="V559" s="147"/>
      <c r="W559" s="147"/>
      <c r="X559" s="147"/>
      <c r="Y559" s="147"/>
      <c r="Z559" s="147"/>
      <c r="AA559" s="147"/>
      <c r="AB559" s="147"/>
      <c r="AC559" s="147"/>
      <c r="AD559" s="147"/>
      <c r="AE559" s="147"/>
      <c r="AF559" s="147"/>
      <c r="AG559" s="147"/>
    </row>
    <row r="560">
      <c r="A560" s="147"/>
      <c r="B560" s="147"/>
      <c r="C560" s="147"/>
      <c r="D560" s="147"/>
      <c r="E560" s="147"/>
      <c r="F560" s="205"/>
      <c r="G560" s="147"/>
      <c r="H560" s="147"/>
      <c r="I560" s="147"/>
      <c r="J560" s="147"/>
      <c r="K560" s="147"/>
      <c r="L560" s="147"/>
      <c r="M560" s="147"/>
      <c r="N560" s="147"/>
      <c r="O560" s="147"/>
      <c r="P560" s="147"/>
      <c r="Q560" s="147"/>
      <c r="R560" s="147"/>
      <c r="S560" s="147"/>
      <c r="T560" s="147"/>
      <c r="U560" s="147"/>
      <c r="V560" s="147"/>
      <c r="W560" s="147"/>
      <c r="X560" s="147"/>
      <c r="Y560" s="147"/>
      <c r="Z560" s="147"/>
      <c r="AA560" s="147"/>
      <c r="AB560" s="147"/>
      <c r="AC560" s="147"/>
      <c r="AD560" s="147"/>
      <c r="AE560" s="147"/>
      <c r="AF560" s="147"/>
      <c r="AG560" s="147"/>
    </row>
    <row r="561">
      <c r="A561" s="147"/>
      <c r="B561" s="147"/>
      <c r="C561" s="147"/>
      <c r="D561" s="147"/>
      <c r="E561" s="147"/>
      <c r="F561" s="205"/>
      <c r="G561" s="147"/>
      <c r="H561" s="147"/>
      <c r="I561" s="147"/>
      <c r="J561" s="147"/>
      <c r="K561" s="147"/>
      <c r="L561" s="147"/>
      <c r="M561" s="147"/>
      <c r="N561" s="147"/>
      <c r="O561" s="147"/>
      <c r="P561" s="147"/>
      <c r="Q561" s="147"/>
      <c r="R561" s="147"/>
      <c r="S561" s="147"/>
      <c r="T561" s="147"/>
      <c r="U561" s="147"/>
      <c r="V561" s="147"/>
      <c r="W561" s="147"/>
      <c r="X561" s="147"/>
      <c r="Y561" s="147"/>
      <c r="Z561" s="147"/>
      <c r="AA561" s="147"/>
      <c r="AB561" s="147"/>
      <c r="AC561" s="147"/>
      <c r="AD561" s="147"/>
      <c r="AE561" s="147"/>
      <c r="AF561" s="147"/>
      <c r="AG561" s="147"/>
    </row>
    <row r="562">
      <c r="A562" s="147"/>
      <c r="B562" s="147"/>
      <c r="C562" s="147"/>
      <c r="D562" s="147"/>
      <c r="E562" s="147"/>
      <c r="F562" s="205"/>
      <c r="G562" s="147"/>
      <c r="H562" s="147"/>
      <c r="I562" s="147"/>
      <c r="J562" s="147"/>
      <c r="K562" s="147"/>
      <c r="L562" s="147"/>
      <c r="M562" s="147"/>
      <c r="N562" s="147"/>
      <c r="O562" s="147"/>
      <c r="P562" s="147"/>
      <c r="Q562" s="147"/>
      <c r="R562" s="147"/>
      <c r="S562" s="147"/>
      <c r="T562" s="147"/>
      <c r="U562" s="147"/>
      <c r="V562" s="147"/>
      <c r="W562" s="147"/>
      <c r="X562" s="147"/>
      <c r="Y562" s="147"/>
      <c r="Z562" s="147"/>
      <c r="AA562" s="147"/>
      <c r="AB562" s="147"/>
      <c r="AC562" s="147"/>
      <c r="AD562" s="147"/>
      <c r="AE562" s="147"/>
      <c r="AF562" s="147"/>
      <c r="AG562" s="147"/>
    </row>
    <row r="563">
      <c r="A563" s="147"/>
      <c r="B563" s="147"/>
      <c r="C563" s="147"/>
      <c r="D563" s="147"/>
      <c r="E563" s="147"/>
      <c r="F563" s="205"/>
      <c r="G563" s="147"/>
      <c r="H563" s="147"/>
      <c r="I563" s="147"/>
      <c r="J563" s="147"/>
      <c r="K563" s="147"/>
      <c r="L563" s="147"/>
      <c r="M563" s="147"/>
      <c r="N563" s="147"/>
      <c r="O563" s="147"/>
      <c r="P563" s="147"/>
      <c r="Q563" s="147"/>
      <c r="R563" s="147"/>
      <c r="S563" s="147"/>
      <c r="T563" s="147"/>
      <c r="U563" s="147"/>
      <c r="V563" s="147"/>
      <c r="W563" s="147"/>
      <c r="X563" s="147"/>
      <c r="Y563" s="147"/>
      <c r="Z563" s="147"/>
      <c r="AA563" s="147"/>
      <c r="AB563" s="147"/>
      <c r="AC563" s="147"/>
      <c r="AD563" s="147"/>
      <c r="AE563" s="147"/>
      <c r="AF563" s="147"/>
      <c r="AG563" s="147"/>
    </row>
    <row r="564">
      <c r="A564" s="147"/>
      <c r="B564" s="147"/>
      <c r="C564" s="147"/>
      <c r="D564" s="147"/>
      <c r="E564" s="147"/>
      <c r="F564" s="205"/>
      <c r="G564" s="147"/>
      <c r="H564" s="147"/>
      <c r="I564" s="147"/>
      <c r="J564" s="147"/>
      <c r="K564" s="147"/>
      <c r="L564" s="147"/>
      <c r="M564" s="147"/>
      <c r="N564" s="147"/>
      <c r="O564" s="147"/>
      <c r="P564" s="147"/>
      <c r="Q564" s="147"/>
      <c r="R564" s="147"/>
      <c r="S564" s="147"/>
      <c r="T564" s="147"/>
      <c r="U564" s="147"/>
      <c r="V564" s="147"/>
      <c r="W564" s="147"/>
      <c r="X564" s="147"/>
      <c r="Y564" s="147"/>
      <c r="Z564" s="147"/>
      <c r="AA564" s="147"/>
      <c r="AB564" s="147"/>
      <c r="AC564" s="147"/>
      <c r="AD564" s="147"/>
      <c r="AE564" s="147"/>
      <c r="AF564" s="147"/>
      <c r="AG564" s="147"/>
    </row>
    <row r="565">
      <c r="A565" s="147"/>
      <c r="B565" s="147"/>
      <c r="C565" s="147"/>
      <c r="D565" s="147"/>
      <c r="E565" s="147"/>
      <c r="F565" s="205"/>
      <c r="G565" s="147"/>
      <c r="H565" s="147"/>
      <c r="I565" s="147"/>
      <c r="J565" s="147"/>
      <c r="K565" s="147"/>
      <c r="L565" s="147"/>
      <c r="M565" s="147"/>
      <c r="N565" s="147"/>
      <c r="O565" s="147"/>
      <c r="P565" s="147"/>
      <c r="Q565" s="147"/>
      <c r="R565" s="147"/>
      <c r="S565" s="147"/>
      <c r="T565" s="147"/>
      <c r="U565" s="147"/>
      <c r="V565" s="147"/>
      <c r="W565" s="147"/>
      <c r="X565" s="147"/>
      <c r="Y565" s="147"/>
      <c r="Z565" s="147"/>
      <c r="AA565" s="147"/>
      <c r="AB565" s="147"/>
      <c r="AC565" s="147"/>
      <c r="AD565" s="147"/>
      <c r="AE565" s="147"/>
      <c r="AF565" s="147"/>
      <c r="AG565" s="147"/>
    </row>
    <row r="566">
      <c r="A566" s="147"/>
      <c r="B566" s="147"/>
      <c r="C566" s="147"/>
      <c r="D566" s="147"/>
      <c r="E566" s="147"/>
      <c r="F566" s="205"/>
      <c r="G566" s="147"/>
      <c r="H566" s="147"/>
      <c r="I566" s="147"/>
      <c r="J566" s="147"/>
      <c r="K566" s="147"/>
      <c r="L566" s="147"/>
      <c r="M566" s="147"/>
      <c r="N566" s="147"/>
      <c r="O566" s="147"/>
      <c r="P566" s="147"/>
      <c r="Q566" s="147"/>
      <c r="R566" s="147"/>
      <c r="S566" s="147"/>
      <c r="T566" s="147"/>
      <c r="U566" s="147"/>
      <c r="V566" s="147"/>
      <c r="W566" s="147"/>
      <c r="X566" s="147"/>
      <c r="Y566" s="147"/>
      <c r="Z566" s="147"/>
      <c r="AA566" s="147"/>
      <c r="AB566" s="147"/>
      <c r="AC566" s="147"/>
      <c r="AD566" s="147"/>
      <c r="AE566" s="147"/>
      <c r="AF566" s="147"/>
      <c r="AG566" s="147"/>
    </row>
    <row r="567">
      <c r="A567" s="147"/>
      <c r="B567" s="147"/>
      <c r="C567" s="147"/>
      <c r="D567" s="147"/>
      <c r="E567" s="147"/>
      <c r="F567" s="205"/>
      <c r="G567" s="147"/>
      <c r="H567" s="147"/>
      <c r="I567" s="147"/>
      <c r="J567" s="147"/>
      <c r="K567" s="147"/>
      <c r="L567" s="147"/>
      <c r="M567" s="147"/>
      <c r="N567" s="147"/>
      <c r="O567" s="147"/>
      <c r="P567" s="147"/>
      <c r="Q567" s="147"/>
      <c r="R567" s="147"/>
      <c r="S567" s="147"/>
      <c r="T567" s="147"/>
      <c r="U567" s="147"/>
      <c r="V567" s="147"/>
      <c r="W567" s="147"/>
      <c r="X567" s="147"/>
      <c r="Y567" s="147"/>
      <c r="Z567" s="147"/>
      <c r="AA567" s="147"/>
      <c r="AB567" s="147"/>
      <c r="AC567" s="147"/>
      <c r="AD567" s="147"/>
      <c r="AE567" s="147"/>
      <c r="AF567" s="147"/>
      <c r="AG567" s="147"/>
    </row>
    <row r="568">
      <c r="A568" s="147"/>
      <c r="B568" s="147"/>
      <c r="C568" s="147"/>
      <c r="D568" s="147"/>
      <c r="E568" s="147"/>
      <c r="F568" s="205"/>
      <c r="G568" s="147"/>
      <c r="H568" s="147"/>
      <c r="I568" s="147"/>
      <c r="J568" s="147"/>
      <c r="K568" s="147"/>
      <c r="L568" s="147"/>
      <c r="M568" s="147"/>
      <c r="N568" s="147"/>
      <c r="O568" s="147"/>
      <c r="P568" s="147"/>
      <c r="Q568" s="147"/>
      <c r="R568" s="147"/>
      <c r="S568" s="147"/>
      <c r="T568" s="147"/>
      <c r="U568" s="147"/>
      <c r="V568" s="147"/>
      <c r="W568" s="147"/>
      <c r="X568" s="147"/>
      <c r="Y568" s="147"/>
      <c r="Z568" s="147"/>
      <c r="AA568" s="147"/>
      <c r="AB568" s="147"/>
      <c r="AC568" s="147"/>
      <c r="AD568" s="147"/>
      <c r="AE568" s="147"/>
      <c r="AF568" s="147"/>
      <c r="AG568" s="147"/>
    </row>
    <row r="569">
      <c r="A569" s="147"/>
      <c r="B569" s="147"/>
      <c r="C569" s="147"/>
      <c r="D569" s="147"/>
      <c r="E569" s="147"/>
      <c r="F569" s="205"/>
      <c r="G569" s="147"/>
      <c r="H569" s="147"/>
      <c r="I569" s="147"/>
      <c r="J569" s="147"/>
      <c r="K569" s="147"/>
      <c r="L569" s="147"/>
      <c r="M569" s="147"/>
      <c r="N569" s="147"/>
      <c r="O569" s="147"/>
      <c r="P569" s="147"/>
      <c r="Q569" s="147"/>
      <c r="R569" s="147"/>
      <c r="S569" s="147"/>
      <c r="T569" s="147"/>
      <c r="U569" s="147"/>
      <c r="V569" s="147"/>
      <c r="W569" s="147"/>
      <c r="X569" s="147"/>
      <c r="Y569" s="147"/>
      <c r="Z569" s="147"/>
      <c r="AA569" s="147"/>
      <c r="AB569" s="147"/>
      <c r="AC569" s="147"/>
      <c r="AD569" s="147"/>
      <c r="AE569" s="147"/>
      <c r="AF569" s="147"/>
      <c r="AG569" s="147"/>
    </row>
    <row r="570">
      <c r="A570" s="147"/>
      <c r="B570" s="147"/>
      <c r="C570" s="147"/>
      <c r="D570" s="147"/>
      <c r="E570" s="147"/>
      <c r="F570" s="205"/>
      <c r="G570" s="147"/>
      <c r="H570" s="147"/>
      <c r="I570" s="147"/>
      <c r="J570" s="147"/>
      <c r="K570" s="147"/>
      <c r="L570" s="147"/>
      <c r="M570" s="147"/>
      <c r="N570" s="147"/>
      <c r="O570" s="147"/>
      <c r="P570" s="147"/>
      <c r="Q570" s="147"/>
      <c r="R570" s="147"/>
      <c r="S570" s="147"/>
      <c r="T570" s="147"/>
      <c r="U570" s="147"/>
      <c r="V570" s="147"/>
      <c r="W570" s="147"/>
      <c r="X570" s="147"/>
      <c r="Y570" s="147"/>
      <c r="Z570" s="147"/>
      <c r="AA570" s="147"/>
      <c r="AB570" s="147"/>
      <c r="AC570" s="147"/>
      <c r="AD570" s="147"/>
      <c r="AE570" s="147"/>
      <c r="AF570" s="147"/>
      <c r="AG570" s="147"/>
    </row>
    <row r="571">
      <c r="A571" s="147"/>
      <c r="B571" s="147"/>
      <c r="C571" s="147"/>
      <c r="D571" s="147"/>
      <c r="E571" s="147"/>
      <c r="F571" s="205"/>
      <c r="G571" s="147"/>
      <c r="H571" s="147"/>
      <c r="I571" s="147"/>
      <c r="J571" s="147"/>
      <c r="K571" s="147"/>
      <c r="L571" s="147"/>
      <c r="M571" s="147"/>
      <c r="N571" s="147"/>
      <c r="O571" s="147"/>
      <c r="P571" s="147"/>
      <c r="Q571" s="147"/>
      <c r="R571" s="147"/>
      <c r="S571" s="147"/>
      <c r="T571" s="147"/>
      <c r="U571" s="147"/>
      <c r="V571" s="147"/>
      <c r="W571" s="147"/>
      <c r="X571" s="147"/>
      <c r="Y571" s="147"/>
      <c r="Z571" s="147"/>
      <c r="AA571" s="147"/>
      <c r="AB571" s="147"/>
      <c r="AC571" s="147"/>
      <c r="AD571" s="147"/>
      <c r="AE571" s="147"/>
      <c r="AF571" s="147"/>
      <c r="AG571" s="147"/>
    </row>
    <row r="572">
      <c r="A572" s="147"/>
      <c r="B572" s="147"/>
      <c r="C572" s="147"/>
      <c r="D572" s="147"/>
      <c r="E572" s="147"/>
      <c r="F572" s="205"/>
      <c r="G572" s="147"/>
      <c r="H572" s="147"/>
      <c r="I572" s="147"/>
      <c r="J572" s="147"/>
      <c r="K572" s="147"/>
      <c r="L572" s="147"/>
      <c r="M572" s="147"/>
      <c r="N572" s="147"/>
      <c r="O572" s="147"/>
      <c r="P572" s="147"/>
      <c r="Q572" s="147"/>
      <c r="R572" s="147"/>
      <c r="S572" s="147"/>
      <c r="T572" s="147"/>
      <c r="U572" s="147"/>
      <c r="V572" s="147"/>
      <c r="W572" s="147"/>
      <c r="X572" s="147"/>
      <c r="Y572" s="147"/>
      <c r="Z572" s="147"/>
      <c r="AA572" s="147"/>
      <c r="AB572" s="147"/>
      <c r="AC572" s="147"/>
      <c r="AD572" s="147"/>
      <c r="AE572" s="147"/>
      <c r="AF572" s="147"/>
      <c r="AG572" s="147"/>
    </row>
    <row r="573">
      <c r="A573" s="147"/>
      <c r="B573" s="147"/>
      <c r="C573" s="147"/>
      <c r="D573" s="147"/>
      <c r="E573" s="147"/>
      <c r="F573" s="205"/>
      <c r="G573" s="147"/>
      <c r="H573" s="147"/>
      <c r="I573" s="147"/>
      <c r="J573" s="147"/>
      <c r="K573" s="147"/>
      <c r="L573" s="147"/>
      <c r="M573" s="147"/>
      <c r="N573" s="147"/>
      <c r="O573" s="147"/>
      <c r="P573" s="147"/>
      <c r="Q573" s="147"/>
      <c r="R573" s="147"/>
      <c r="S573" s="147"/>
      <c r="T573" s="147"/>
      <c r="U573" s="147"/>
      <c r="V573" s="147"/>
      <c r="W573" s="147"/>
      <c r="X573" s="147"/>
      <c r="Y573" s="147"/>
      <c r="Z573" s="147"/>
      <c r="AA573" s="147"/>
      <c r="AB573" s="147"/>
      <c r="AC573" s="147"/>
      <c r="AD573" s="147"/>
      <c r="AE573" s="147"/>
      <c r="AF573" s="147"/>
      <c r="AG573" s="147"/>
    </row>
    <row r="574">
      <c r="A574" s="147"/>
      <c r="B574" s="147"/>
      <c r="C574" s="147"/>
      <c r="D574" s="147"/>
      <c r="E574" s="147"/>
      <c r="F574" s="205"/>
      <c r="G574" s="147"/>
      <c r="H574" s="147"/>
      <c r="I574" s="147"/>
      <c r="J574" s="147"/>
      <c r="K574" s="147"/>
      <c r="L574" s="147"/>
      <c r="M574" s="147"/>
      <c r="N574" s="147"/>
      <c r="O574" s="147"/>
      <c r="P574" s="147"/>
      <c r="Q574" s="147"/>
      <c r="R574" s="147"/>
      <c r="S574" s="147"/>
      <c r="T574" s="147"/>
      <c r="U574" s="147"/>
      <c r="V574" s="147"/>
      <c r="W574" s="147"/>
      <c r="X574" s="147"/>
      <c r="Y574" s="147"/>
      <c r="Z574" s="147"/>
      <c r="AA574" s="147"/>
      <c r="AB574" s="147"/>
      <c r="AC574" s="147"/>
      <c r="AD574" s="147"/>
      <c r="AE574" s="147"/>
      <c r="AF574" s="147"/>
      <c r="AG574" s="147"/>
    </row>
    <row r="575">
      <c r="A575" s="147"/>
      <c r="B575" s="147"/>
      <c r="C575" s="147"/>
      <c r="D575" s="147"/>
      <c r="E575" s="147"/>
      <c r="F575" s="205"/>
      <c r="G575" s="147"/>
      <c r="H575" s="147"/>
      <c r="I575" s="147"/>
      <c r="J575" s="147"/>
      <c r="K575" s="147"/>
      <c r="L575" s="147"/>
      <c r="M575" s="147"/>
      <c r="N575" s="147"/>
      <c r="O575" s="147"/>
      <c r="P575" s="147"/>
      <c r="Q575" s="147"/>
      <c r="R575" s="147"/>
      <c r="S575" s="147"/>
      <c r="T575" s="147"/>
      <c r="U575" s="147"/>
      <c r="V575" s="147"/>
      <c r="W575" s="147"/>
      <c r="X575" s="147"/>
      <c r="Y575" s="147"/>
      <c r="Z575" s="147"/>
      <c r="AA575" s="147"/>
      <c r="AB575" s="147"/>
      <c r="AC575" s="147"/>
      <c r="AD575" s="147"/>
      <c r="AE575" s="147"/>
      <c r="AF575" s="147"/>
      <c r="AG575" s="147"/>
    </row>
    <row r="576">
      <c r="A576" s="147"/>
      <c r="B576" s="147"/>
      <c r="C576" s="147"/>
      <c r="D576" s="147"/>
      <c r="E576" s="147"/>
      <c r="F576" s="205"/>
      <c r="G576" s="147"/>
      <c r="H576" s="147"/>
      <c r="I576" s="147"/>
      <c r="J576" s="147"/>
      <c r="K576" s="147"/>
      <c r="L576" s="147"/>
      <c r="M576" s="147"/>
      <c r="N576" s="147"/>
      <c r="O576" s="147"/>
      <c r="P576" s="147"/>
      <c r="Q576" s="147"/>
      <c r="R576" s="147"/>
      <c r="S576" s="147"/>
      <c r="T576" s="147"/>
      <c r="U576" s="147"/>
      <c r="V576" s="147"/>
      <c r="W576" s="147"/>
      <c r="X576" s="147"/>
      <c r="Y576" s="147"/>
      <c r="Z576" s="147"/>
      <c r="AA576" s="147"/>
      <c r="AB576" s="147"/>
      <c r="AC576" s="147"/>
      <c r="AD576" s="147"/>
      <c r="AE576" s="147"/>
      <c r="AF576" s="147"/>
      <c r="AG576" s="147"/>
    </row>
    <row r="577">
      <c r="A577" s="147"/>
      <c r="B577" s="147"/>
      <c r="C577" s="147"/>
      <c r="D577" s="147"/>
      <c r="E577" s="147"/>
      <c r="F577" s="205"/>
      <c r="G577" s="147"/>
      <c r="H577" s="147"/>
      <c r="I577" s="147"/>
      <c r="J577" s="147"/>
      <c r="K577" s="147"/>
      <c r="L577" s="147"/>
      <c r="M577" s="147"/>
      <c r="N577" s="147"/>
      <c r="O577" s="147"/>
      <c r="P577" s="147"/>
      <c r="Q577" s="147"/>
      <c r="R577" s="147"/>
      <c r="S577" s="147"/>
      <c r="T577" s="147"/>
      <c r="U577" s="147"/>
      <c r="V577" s="147"/>
      <c r="W577" s="147"/>
      <c r="X577" s="147"/>
      <c r="Y577" s="147"/>
      <c r="Z577" s="147"/>
      <c r="AA577" s="147"/>
      <c r="AB577" s="147"/>
      <c r="AC577" s="147"/>
      <c r="AD577" s="147"/>
      <c r="AE577" s="147"/>
      <c r="AF577" s="147"/>
      <c r="AG577" s="147"/>
    </row>
    <row r="578">
      <c r="A578" s="147"/>
      <c r="B578" s="147"/>
      <c r="C578" s="147"/>
      <c r="D578" s="147"/>
      <c r="E578" s="147"/>
      <c r="F578" s="205"/>
      <c r="G578" s="147"/>
      <c r="H578" s="147"/>
      <c r="I578" s="147"/>
      <c r="J578" s="147"/>
      <c r="K578" s="147"/>
      <c r="L578" s="147"/>
      <c r="M578" s="147"/>
      <c r="N578" s="147"/>
      <c r="O578" s="147"/>
      <c r="P578" s="147"/>
      <c r="Q578" s="147"/>
      <c r="R578" s="147"/>
      <c r="S578" s="147"/>
      <c r="T578" s="147"/>
      <c r="U578" s="147"/>
      <c r="V578" s="147"/>
      <c r="W578" s="147"/>
      <c r="X578" s="147"/>
      <c r="Y578" s="147"/>
      <c r="Z578" s="147"/>
      <c r="AA578" s="147"/>
      <c r="AB578" s="147"/>
      <c r="AC578" s="147"/>
      <c r="AD578" s="147"/>
      <c r="AE578" s="147"/>
      <c r="AF578" s="147"/>
      <c r="AG578" s="147"/>
    </row>
    <row r="579">
      <c r="A579" s="147"/>
      <c r="B579" s="147"/>
      <c r="C579" s="147"/>
      <c r="D579" s="147"/>
      <c r="E579" s="147"/>
      <c r="F579" s="205"/>
      <c r="G579" s="147"/>
      <c r="H579" s="147"/>
      <c r="I579" s="147"/>
      <c r="J579" s="147"/>
      <c r="K579" s="147"/>
      <c r="L579" s="147"/>
      <c r="M579" s="147"/>
      <c r="N579" s="147"/>
      <c r="O579" s="147"/>
      <c r="P579" s="147"/>
      <c r="Q579" s="147"/>
      <c r="R579" s="147"/>
      <c r="S579" s="147"/>
      <c r="T579" s="147"/>
      <c r="U579" s="147"/>
      <c r="V579" s="147"/>
      <c r="W579" s="147"/>
      <c r="X579" s="147"/>
      <c r="Y579" s="147"/>
      <c r="Z579" s="147"/>
      <c r="AA579" s="147"/>
      <c r="AB579" s="147"/>
      <c r="AC579" s="147"/>
      <c r="AD579" s="147"/>
      <c r="AE579" s="147"/>
      <c r="AF579" s="147"/>
      <c r="AG579" s="147"/>
    </row>
    <row r="580">
      <c r="A580" s="147"/>
      <c r="B580" s="147"/>
      <c r="C580" s="147"/>
      <c r="D580" s="147"/>
      <c r="E580" s="147"/>
      <c r="F580" s="205"/>
      <c r="G580" s="147"/>
      <c r="H580" s="147"/>
      <c r="I580" s="147"/>
      <c r="J580" s="147"/>
      <c r="K580" s="147"/>
      <c r="L580" s="147"/>
      <c r="M580" s="147"/>
      <c r="N580" s="147"/>
      <c r="O580" s="147"/>
      <c r="P580" s="147"/>
      <c r="Q580" s="147"/>
      <c r="R580" s="147"/>
      <c r="S580" s="147"/>
      <c r="T580" s="147"/>
      <c r="U580" s="147"/>
      <c r="V580" s="147"/>
      <c r="W580" s="147"/>
      <c r="X580" s="147"/>
      <c r="Y580" s="147"/>
      <c r="Z580" s="147"/>
      <c r="AA580" s="147"/>
      <c r="AB580" s="147"/>
      <c r="AC580" s="147"/>
      <c r="AD580" s="147"/>
      <c r="AE580" s="147"/>
      <c r="AF580" s="147"/>
      <c r="AG580" s="147"/>
    </row>
    <row r="581">
      <c r="A581" s="147"/>
      <c r="B581" s="147"/>
      <c r="C581" s="147"/>
      <c r="D581" s="147"/>
      <c r="E581" s="147"/>
      <c r="F581" s="205"/>
      <c r="G581" s="147"/>
      <c r="H581" s="147"/>
      <c r="I581" s="147"/>
      <c r="J581" s="147"/>
      <c r="K581" s="147"/>
      <c r="L581" s="147"/>
      <c r="M581" s="147"/>
      <c r="N581" s="147"/>
      <c r="O581" s="147"/>
      <c r="P581" s="147"/>
      <c r="Q581" s="147"/>
      <c r="R581" s="147"/>
      <c r="S581" s="147"/>
      <c r="T581" s="147"/>
      <c r="U581" s="147"/>
      <c r="V581" s="147"/>
      <c r="W581" s="147"/>
      <c r="X581" s="147"/>
      <c r="Y581" s="147"/>
      <c r="Z581" s="147"/>
      <c r="AA581" s="147"/>
      <c r="AB581" s="147"/>
      <c r="AC581" s="147"/>
      <c r="AD581" s="147"/>
      <c r="AE581" s="147"/>
      <c r="AF581" s="147"/>
      <c r="AG581" s="147"/>
    </row>
    <row r="582">
      <c r="A582" s="147"/>
      <c r="B582" s="147"/>
      <c r="C582" s="147"/>
      <c r="D582" s="147"/>
      <c r="E582" s="147"/>
      <c r="F582" s="205"/>
      <c r="G582" s="147"/>
      <c r="H582" s="147"/>
      <c r="I582" s="147"/>
      <c r="J582" s="147"/>
      <c r="K582" s="147"/>
      <c r="L582" s="147"/>
      <c r="M582" s="147"/>
      <c r="N582" s="147"/>
      <c r="O582" s="147"/>
      <c r="P582" s="147"/>
      <c r="Q582" s="147"/>
      <c r="R582" s="147"/>
      <c r="S582" s="147"/>
      <c r="T582" s="147"/>
      <c r="U582" s="147"/>
      <c r="V582" s="147"/>
      <c r="W582" s="147"/>
      <c r="X582" s="147"/>
      <c r="Y582" s="147"/>
      <c r="Z582" s="147"/>
      <c r="AA582" s="147"/>
      <c r="AB582" s="147"/>
      <c r="AC582" s="147"/>
      <c r="AD582" s="147"/>
      <c r="AE582" s="147"/>
      <c r="AF582" s="147"/>
      <c r="AG582" s="147"/>
    </row>
    <row r="583">
      <c r="A583" s="147"/>
      <c r="B583" s="147"/>
      <c r="C583" s="147"/>
      <c r="D583" s="147"/>
      <c r="E583" s="147"/>
      <c r="F583" s="205"/>
      <c r="G583" s="147"/>
      <c r="H583" s="147"/>
      <c r="I583" s="147"/>
      <c r="J583" s="147"/>
      <c r="K583" s="147"/>
      <c r="L583" s="147"/>
      <c r="M583" s="147"/>
      <c r="N583" s="147"/>
      <c r="O583" s="147"/>
      <c r="P583" s="147"/>
      <c r="Q583" s="147"/>
      <c r="R583" s="147"/>
      <c r="S583" s="147"/>
      <c r="T583" s="147"/>
      <c r="U583" s="147"/>
      <c r="V583" s="147"/>
      <c r="W583" s="147"/>
      <c r="X583" s="147"/>
      <c r="Y583" s="147"/>
      <c r="Z583" s="147"/>
      <c r="AA583" s="147"/>
      <c r="AB583" s="147"/>
      <c r="AC583" s="147"/>
      <c r="AD583" s="147"/>
      <c r="AE583" s="147"/>
      <c r="AF583" s="147"/>
      <c r="AG583" s="147"/>
    </row>
    <row r="584">
      <c r="A584" s="147"/>
      <c r="B584" s="147"/>
      <c r="C584" s="147"/>
      <c r="D584" s="147"/>
      <c r="E584" s="147"/>
      <c r="F584" s="205"/>
      <c r="G584" s="147"/>
      <c r="H584" s="147"/>
      <c r="I584" s="147"/>
      <c r="J584" s="147"/>
      <c r="K584" s="147"/>
      <c r="L584" s="147"/>
      <c r="M584" s="147"/>
      <c r="N584" s="147"/>
      <c r="O584" s="147"/>
      <c r="P584" s="147"/>
      <c r="Q584" s="147"/>
      <c r="R584" s="147"/>
      <c r="S584" s="147"/>
      <c r="T584" s="147"/>
      <c r="U584" s="147"/>
      <c r="V584" s="147"/>
      <c r="W584" s="147"/>
      <c r="X584" s="147"/>
      <c r="Y584" s="147"/>
      <c r="Z584" s="147"/>
      <c r="AA584" s="147"/>
      <c r="AB584" s="147"/>
      <c r="AC584" s="147"/>
      <c r="AD584" s="147"/>
      <c r="AE584" s="147"/>
      <c r="AF584" s="147"/>
      <c r="AG584" s="147"/>
    </row>
    <row r="585">
      <c r="A585" s="147"/>
      <c r="B585" s="147"/>
      <c r="C585" s="147"/>
      <c r="D585" s="147"/>
      <c r="E585" s="147"/>
      <c r="F585" s="205"/>
      <c r="G585" s="147"/>
      <c r="H585" s="147"/>
      <c r="I585" s="147"/>
      <c r="J585" s="147"/>
      <c r="K585" s="147"/>
      <c r="L585" s="147"/>
      <c r="M585" s="147"/>
      <c r="N585" s="147"/>
      <c r="O585" s="147"/>
      <c r="P585" s="147"/>
      <c r="Q585" s="147"/>
      <c r="R585" s="147"/>
      <c r="S585" s="147"/>
      <c r="T585" s="147"/>
      <c r="U585" s="147"/>
      <c r="V585" s="147"/>
      <c r="W585" s="147"/>
      <c r="X585" s="147"/>
      <c r="Y585" s="147"/>
      <c r="Z585" s="147"/>
      <c r="AA585" s="147"/>
      <c r="AB585" s="147"/>
      <c r="AC585" s="147"/>
      <c r="AD585" s="147"/>
      <c r="AE585" s="147"/>
      <c r="AF585" s="147"/>
      <c r="AG585" s="147"/>
    </row>
    <row r="586">
      <c r="A586" s="147"/>
      <c r="B586" s="147"/>
      <c r="C586" s="147"/>
      <c r="D586" s="147"/>
      <c r="E586" s="147"/>
      <c r="F586" s="205"/>
      <c r="G586" s="147"/>
      <c r="H586" s="147"/>
      <c r="I586" s="147"/>
      <c r="J586" s="147"/>
      <c r="K586" s="147"/>
      <c r="L586" s="147"/>
      <c r="M586" s="147"/>
      <c r="N586" s="147"/>
      <c r="O586" s="147"/>
      <c r="P586" s="147"/>
      <c r="Q586" s="147"/>
      <c r="R586" s="147"/>
      <c r="S586" s="147"/>
      <c r="T586" s="147"/>
      <c r="U586" s="147"/>
      <c r="V586" s="147"/>
      <c r="W586" s="147"/>
      <c r="X586" s="147"/>
      <c r="Y586" s="147"/>
      <c r="Z586" s="147"/>
      <c r="AA586" s="147"/>
      <c r="AB586" s="147"/>
      <c r="AC586" s="147"/>
      <c r="AD586" s="147"/>
      <c r="AE586" s="147"/>
      <c r="AF586" s="147"/>
      <c r="AG586" s="147"/>
    </row>
    <row r="587">
      <c r="A587" s="147"/>
      <c r="B587" s="147"/>
      <c r="C587" s="147"/>
      <c r="D587" s="147"/>
      <c r="E587" s="147"/>
      <c r="F587" s="205"/>
      <c r="G587" s="147"/>
      <c r="H587" s="147"/>
      <c r="I587" s="147"/>
      <c r="J587" s="147"/>
      <c r="K587" s="147"/>
      <c r="L587" s="147"/>
      <c r="M587" s="147"/>
      <c r="N587" s="147"/>
      <c r="O587" s="147"/>
      <c r="P587" s="147"/>
      <c r="Q587" s="147"/>
      <c r="R587" s="147"/>
      <c r="S587" s="147"/>
      <c r="T587" s="147"/>
      <c r="U587" s="147"/>
      <c r="V587" s="147"/>
      <c r="W587" s="147"/>
      <c r="X587" s="147"/>
      <c r="Y587" s="147"/>
      <c r="Z587" s="147"/>
      <c r="AA587" s="147"/>
      <c r="AB587" s="147"/>
      <c r="AC587" s="147"/>
      <c r="AD587" s="147"/>
      <c r="AE587" s="147"/>
      <c r="AF587" s="147"/>
      <c r="AG587" s="147"/>
    </row>
    <row r="588">
      <c r="A588" s="147"/>
      <c r="B588" s="147"/>
      <c r="C588" s="147"/>
      <c r="D588" s="147"/>
      <c r="E588" s="147"/>
      <c r="F588" s="205"/>
      <c r="G588" s="147"/>
      <c r="H588" s="147"/>
      <c r="I588" s="147"/>
      <c r="J588" s="147"/>
      <c r="K588" s="147"/>
      <c r="L588" s="147"/>
      <c r="M588" s="147"/>
      <c r="N588" s="147"/>
      <c r="O588" s="147"/>
      <c r="P588" s="147"/>
      <c r="Q588" s="147"/>
      <c r="R588" s="147"/>
      <c r="S588" s="147"/>
      <c r="T588" s="147"/>
      <c r="U588" s="147"/>
      <c r="V588" s="147"/>
      <c r="W588" s="147"/>
      <c r="X588" s="147"/>
      <c r="Y588" s="147"/>
      <c r="Z588" s="147"/>
      <c r="AA588" s="147"/>
      <c r="AB588" s="147"/>
      <c r="AC588" s="147"/>
      <c r="AD588" s="147"/>
      <c r="AE588" s="147"/>
      <c r="AF588" s="147"/>
      <c r="AG588" s="147"/>
    </row>
    <row r="589">
      <c r="A589" s="147"/>
      <c r="B589" s="147"/>
      <c r="C589" s="147"/>
      <c r="D589" s="147"/>
      <c r="E589" s="147"/>
      <c r="F589" s="205"/>
      <c r="G589" s="147"/>
      <c r="H589" s="147"/>
      <c r="I589" s="147"/>
      <c r="J589" s="147"/>
      <c r="K589" s="147"/>
      <c r="L589" s="147"/>
      <c r="M589" s="147"/>
      <c r="N589" s="147"/>
      <c r="O589" s="147"/>
      <c r="P589" s="147"/>
      <c r="Q589" s="147"/>
      <c r="R589" s="147"/>
      <c r="S589" s="147"/>
      <c r="T589" s="147"/>
      <c r="U589" s="147"/>
      <c r="V589" s="147"/>
      <c r="W589" s="147"/>
      <c r="X589" s="147"/>
      <c r="Y589" s="147"/>
      <c r="Z589" s="147"/>
      <c r="AA589" s="147"/>
      <c r="AB589" s="147"/>
      <c r="AC589" s="147"/>
      <c r="AD589" s="147"/>
      <c r="AE589" s="147"/>
      <c r="AF589" s="147"/>
      <c r="AG589" s="147"/>
    </row>
    <row r="590">
      <c r="A590" s="147"/>
      <c r="B590" s="147"/>
      <c r="C590" s="147"/>
      <c r="D590" s="147"/>
      <c r="E590" s="147"/>
      <c r="F590" s="205"/>
      <c r="G590" s="147"/>
      <c r="H590" s="147"/>
      <c r="I590" s="147"/>
      <c r="J590" s="147"/>
      <c r="K590" s="147"/>
      <c r="L590" s="147"/>
      <c r="M590" s="147"/>
      <c r="N590" s="147"/>
      <c r="O590" s="147"/>
      <c r="P590" s="147"/>
      <c r="Q590" s="147"/>
      <c r="R590" s="147"/>
      <c r="S590" s="147"/>
      <c r="T590" s="147"/>
      <c r="U590" s="147"/>
      <c r="V590" s="147"/>
      <c r="W590" s="147"/>
      <c r="X590" s="147"/>
      <c r="Y590" s="147"/>
      <c r="Z590" s="147"/>
      <c r="AA590" s="147"/>
      <c r="AB590" s="147"/>
      <c r="AC590" s="147"/>
      <c r="AD590" s="147"/>
      <c r="AE590" s="147"/>
      <c r="AF590" s="147"/>
      <c r="AG590" s="147"/>
    </row>
    <row r="591">
      <c r="A591" s="147"/>
      <c r="B591" s="147"/>
      <c r="C591" s="147"/>
      <c r="D591" s="147"/>
      <c r="E591" s="147"/>
      <c r="F591" s="205"/>
      <c r="G591" s="147"/>
      <c r="H591" s="147"/>
      <c r="I591" s="147"/>
      <c r="J591" s="147"/>
      <c r="K591" s="147"/>
      <c r="L591" s="147"/>
      <c r="M591" s="147"/>
      <c r="N591" s="147"/>
      <c r="O591" s="147"/>
      <c r="P591" s="147"/>
      <c r="Q591" s="147"/>
      <c r="R591" s="147"/>
      <c r="S591" s="147"/>
      <c r="T591" s="147"/>
      <c r="U591" s="147"/>
      <c r="V591" s="147"/>
      <c r="W591" s="147"/>
      <c r="X591" s="147"/>
      <c r="Y591" s="147"/>
      <c r="Z591" s="147"/>
      <c r="AA591" s="147"/>
      <c r="AB591" s="147"/>
      <c r="AC591" s="147"/>
      <c r="AD591" s="147"/>
      <c r="AE591" s="147"/>
      <c r="AF591" s="147"/>
      <c r="AG591" s="147"/>
    </row>
    <row r="592">
      <c r="A592" s="147"/>
      <c r="B592" s="147"/>
      <c r="C592" s="147"/>
      <c r="D592" s="147"/>
      <c r="E592" s="147"/>
      <c r="F592" s="205"/>
      <c r="G592" s="147"/>
      <c r="H592" s="147"/>
      <c r="I592" s="147"/>
      <c r="J592" s="147"/>
      <c r="K592" s="147"/>
      <c r="L592" s="147"/>
      <c r="M592" s="147"/>
      <c r="N592" s="147"/>
      <c r="O592" s="147"/>
      <c r="P592" s="147"/>
      <c r="Q592" s="147"/>
      <c r="R592" s="147"/>
      <c r="S592" s="147"/>
      <c r="T592" s="147"/>
      <c r="U592" s="147"/>
      <c r="V592" s="147"/>
      <c r="W592" s="147"/>
      <c r="X592" s="147"/>
      <c r="Y592" s="147"/>
      <c r="Z592" s="147"/>
      <c r="AA592" s="147"/>
      <c r="AB592" s="147"/>
      <c r="AC592" s="147"/>
      <c r="AD592" s="147"/>
      <c r="AE592" s="147"/>
      <c r="AF592" s="147"/>
      <c r="AG592" s="147"/>
    </row>
    <row r="593">
      <c r="A593" s="147"/>
      <c r="B593" s="147"/>
      <c r="C593" s="147"/>
      <c r="D593" s="147"/>
      <c r="E593" s="147"/>
      <c r="F593" s="205"/>
      <c r="G593" s="147"/>
      <c r="H593" s="147"/>
      <c r="I593" s="147"/>
      <c r="J593" s="147"/>
      <c r="K593" s="147"/>
      <c r="L593" s="147"/>
      <c r="M593" s="147"/>
      <c r="N593" s="147"/>
      <c r="O593" s="147"/>
      <c r="P593" s="147"/>
      <c r="Q593" s="147"/>
      <c r="R593" s="147"/>
      <c r="S593" s="147"/>
      <c r="T593" s="147"/>
      <c r="U593" s="147"/>
      <c r="V593" s="147"/>
      <c r="W593" s="147"/>
      <c r="X593" s="147"/>
      <c r="Y593" s="147"/>
      <c r="Z593" s="147"/>
      <c r="AA593" s="147"/>
      <c r="AB593" s="147"/>
      <c r="AC593" s="147"/>
      <c r="AD593" s="147"/>
      <c r="AE593" s="147"/>
      <c r="AF593" s="147"/>
      <c r="AG593" s="147"/>
    </row>
    <row r="594">
      <c r="A594" s="147"/>
      <c r="B594" s="147"/>
      <c r="C594" s="147"/>
      <c r="D594" s="147"/>
      <c r="E594" s="147"/>
      <c r="F594" s="205"/>
      <c r="G594" s="147"/>
      <c r="H594" s="147"/>
      <c r="I594" s="147"/>
      <c r="J594" s="147"/>
      <c r="K594" s="147"/>
      <c r="L594" s="147"/>
      <c r="M594" s="147"/>
      <c r="N594" s="147"/>
      <c r="O594" s="147"/>
      <c r="P594" s="147"/>
      <c r="Q594" s="147"/>
      <c r="R594" s="147"/>
      <c r="S594" s="147"/>
      <c r="T594" s="147"/>
      <c r="U594" s="147"/>
      <c r="V594" s="147"/>
      <c r="W594" s="147"/>
      <c r="X594" s="147"/>
      <c r="Y594" s="147"/>
      <c r="Z594" s="147"/>
      <c r="AA594" s="147"/>
      <c r="AB594" s="147"/>
      <c r="AC594" s="147"/>
      <c r="AD594" s="147"/>
      <c r="AE594" s="147"/>
      <c r="AF594" s="147"/>
      <c r="AG594" s="147"/>
    </row>
    <row r="595">
      <c r="A595" s="147"/>
      <c r="B595" s="147"/>
      <c r="C595" s="147"/>
      <c r="D595" s="147"/>
      <c r="E595" s="147"/>
      <c r="F595" s="205"/>
      <c r="G595" s="147"/>
      <c r="H595" s="147"/>
      <c r="I595" s="147"/>
      <c r="J595" s="147"/>
      <c r="K595" s="147"/>
      <c r="L595" s="147"/>
      <c r="M595" s="147"/>
      <c r="N595" s="147"/>
      <c r="O595" s="147"/>
      <c r="P595" s="147"/>
      <c r="Q595" s="147"/>
      <c r="R595" s="147"/>
      <c r="S595" s="147"/>
      <c r="T595" s="147"/>
      <c r="U595" s="147"/>
      <c r="V595" s="147"/>
      <c r="W595" s="147"/>
      <c r="X595" s="147"/>
      <c r="Y595" s="147"/>
      <c r="Z595" s="147"/>
      <c r="AA595" s="147"/>
      <c r="AB595" s="147"/>
      <c r="AC595" s="147"/>
      <c r="AD595" s="147"/>
      <c r="AE595" s="147"/>
      <c r="AF595" s="147"/>
      <c r="AG595" s="147"/>
    </row>
    <row r="596">
      <c r="A596" s="147"/>
      <c r="B596" s="147"/>
      <c r="C596" s="147"/>
      <c r="D596" s="147"/>
      <c r="E596" s="147"/>
      <c r="F596" s="205"/>
      <c r="G596" s="147"/>
      <c r="H596" s="147"/>
      <c r="I596" s="147"/>
      <c r="J596" s="147"/>
      <c r="K596" s="147"/>
      <c r="L596" s="147"/>
      <c r="M596" s="147"/>
      <c r="N596" s="147"/>
      <c r="O596" s="147"/>
      <c r="P596" s="147"/>
      <c r="Q596" s="147"/>
      <c r="R596" s="147"/>
      <c r="S596" s="147"/>
      <c r="T596" s="147"/>
      <c r="U596" s="147"/>
      <c r="V596" s="147"/>
      <c r="W596" s="147"/>
      <c r="X596" s="147"/>
      <c r="Y596" s="147"/>
      <c r="Z596" s="147"/>
      <c r="AA596" s="147"/>
      <c r="AB596" s="147"/>
      <c r="AC596" s="147"/>
      <c r="AD596" s="147"/>
      <c r="AE596" s="147"/>
      <c r="AF596" s="147"/>
      <c r="AG596" s="147"/>
    </row>
    <row r="597">
      <c r="A597" s="147"/>
      <c r="B597" s="147"/>
      <c r="C597" s="147"/>
      <c r="D597" s="147"/>
      <c r="E597" s="147"/>
      <c r="F597" s="205"/>
      <c r="G597" s="147"/>
      <c r="H597" s="147"/>
      <c r="I597" s="147"/>
      <c r="J597" s="147"/>
      <c r="K597" s="147"/>
      <c r="L597" s="147"/>
      <c r="M597" s="147"/>
      <c r="N597" s="147"/>
      <c r="O597" s="147"/>
      <c r="P597" s="147"/>
      <c r="Q597" s="147"/>
      <c r="R597" s="147"/>
      <c r="S597" s="147"/>
      <c r="T597" s="147"/>
      <c r="U597" s="147"/>
      <c r="V597" s="147"/>
      <c r="W597" s="147"/>
      <c r="X597" s="147"/>
      <c r="Y597" s="147"/>
      <c r="Z597" s="147"/>
      <c r="AA597" s="147"/>
      <c r="AB597" s="147"/>
      <c r="AC597" s="147"/>
      <c r="AD597" s="147"/>
      <c r="AE597" s="147"/>
      <c r="AF597" s="147"/>
      <c r="AG597" s="147"/>
    </row>
    <row r="598">
      <c r="A598" s="147"/>
      <c r="B598" s="147"/>
      <c r="C598" s="147"/>
      <c r="D598" s="147"/>
      <c r="E598" s="147"/>
      <c r="F598" s="205"/>
      <c r="G598" s="147"/>
      <c r="H598" s="147"/>
      <c r="I598" s="147"/>
      <c r="J598" s="147"/>
      <c r="K598" s="147"/>
      <c r="L598" s="147"/>
      <c r="M598" s="147"/>
      <c r="N598" s="147"/>
      <c r="O598" s="147"/>
      <c r="P598" s="147"/>
      <c r="Q598" s="147"/>
      <c r="R598" s="147"/>
      <c r="S598" s="147"/>
      <c r="T598" s="147"/>
      <c r="U598" s="147"/>
      <c r="V598" s="147"/>
      <c r="W598" s="147"/>
      <c r="X598" s="147"/>
      <c r="Y598" s="147"/>
      <c r="Z598" s="147"/>
      <c r="AA598" s="147"/>
      <c r="AB598" s="147"/>
      <c r="AC598" s="147"/>
      <c r="AD598" s="147"/>
      <c r="AE598" s="147"/>
      <c r="AF598" s="147"/>
      <c r="AG598" s="147"/>
    </row>
    <row r="599">
      <c r="A599" s="147"/>
      <c r="B599" s="147"/>
      <c r="C599" s="147"/>
      <c r="D599" s="147"/>
      <c r="E599" s="147"/>
      <c r="F599" s="205"/>
      <c r="G599" s="147"/>
      <c r="H599" s="147"/>
      <c r="I599" s="147"/>
      <c r="J599" s="147"/>
      <c r="K599" s="147"/>
      <c r="L599" s="147"/>
      <c r="M599" s="147"/>
      <c r="N599" s="147"/>
      <c r="O599" s="147"/>
      <c r="P599" s="147"/>
      <c r="Q599" s="147"/>
      <c r="R599" s="147"/>
      <c r="S599" s="147"/>
      <c r="T599" s="147"/>
      <c r="U599" s="147"/>
      <c r="V599" s="147"/>
      <c r="W599" s="147"/>
      <c r="X599" s="147"/>
      <c r="Y599" s="147"/>
      <c r="Z599" s="147"/>
      <c r="AA599" s="147"/>
      <c r="AB599" s="147"/>
      <c r="AC599" s="147"/>
      <c r="AD599" s="147"/>
      <c r="AE599" s="147"/>
      <c r="AF599" s="147"/>
      <c r="AG599" s="147"/>
    </row>
    <row r="600">
      <c r="A600" s="147"/>
      <c r="B600" s="147"/>
      <c r="C600" s="147"/>
      <c r="D600" s="147"/>
      <c r="E600" s="147"/>
      <c r="F600" s="205"/>
      <c r="G600" s="147"/>
      <c r="H600" s="147"/>
      <c r="I600" s="147"/>
      <c r="J600" s="147"/>
      <c r="K600" s="147"/>
      <c r="L600" s="147"/>
      <c r="M600" s="147"/>
      <c r="N600" s="147"/>
      <c r="O600" s="147"/>
      <c r="P600" s="147"/>
      <c r="Q600" s="147"/>
      <c r="R600" s="147"/>
      <c r="S600" s="147"/>
      <c r="T600" s="147"/>
      <c r="U600" s="147"/>
      <c r="V600" s="147"/>
      <c r="W600" s="147"/>
      <c r="X600" s="147"/>
      <c r="Y600" s="147"/>
      <c r="Z600" s="147"/>
      <c r="AA600" s="147"/>
      <c r="AB600" s="147"/>
      <c r="AC600" s="147"/>
      <c r="AD600" s="147"/>
      <c r="AE600" s="147"/>
      <c r="AF600" s="147"/>
      <c r="AG600" s="147"/>
    </row>
    <row r="601">
      <c r="A601" s="147"/>
      <c r="B601" s="147"/>
      <c r="C601" s="147"/>
      <c r="D601" s="147"/>
      <c r="E601" s="147"/>
      <c r="F601" s="205"/>
      <c r="G601" s="147"/>
      <c r="H601" s="147"/>
      <c r="I601" s="147"/>
      <c r="J601" s="147"/>
      <c r="K601" s="147"/>
      <c r="L601" s="147"/>
      <c r="M601" s="147"/>
      <c r="N601" s="147"/>
      <c r="O601" s="147"/>
      <c r="P601" s="147"/>
      <c r="Q601" s="147"/>
      <c r="R601" s="147"/>
      <c r="S601" s="147"/>
      <c r="T601" s="147"/>
      <c r="U601" s="147"/>
      <c r="V601" s="147"/>
      <c r="W601" s="147"/>
      <c r="X601" s="147"/>
      <c r="Y601" s="147"/>
      <c r="Z601" s="147"/>
      <c r="AA601" s="147"/>
      <c r="AB601" s="147"/>
      <c r="AC601" s="147"/>
      <c r="AD601" s="147"/>
      <c r="AE601" s="147"/>
      <c r="AF601" s="147"/>
      <c r="AG601" s="147"/>
    </row>
    <row r="602">
      <c r="A602" s="147"/>
      <c r="B602" s="147"/>
      <c r="C602" s="147"/>
      <c r="D602" s="147"/>
      <c r="E602" s="147"/>
      <c r="F602" s="205"/>
      <c r="G602" s="147"/>
      <c r="H602" s="147"/>
      <c r="I602" s="147"/>
      <c r="J602" s="147"/>
      <c r="K602" s="147"/>
      <c r="L602" s="147"/>
      <c r="M602" s="147"/>
      <c r="N602" s="147"/>
      <c r="O602" s="147"/>
      <c r="P602" s="147"/>
      <c r="Q602" s="147"/>
      <c r="R602" s="147"/>
      <c r="S602" s="147"/>
      <c r="T602" s="147"/>
      <c r="U602" s="147"/>
      <c r="V602" s="147"/>
      <c r="W602" s="147"/>
      <c r="X602" s="147"/>
      <c r="Y602" s="147"/>
      <c r="Z602" s="147"/>
      <c r="AA602" s="147"/>
      <c r="AB602" s="147"/>
      <c r="AC602" s="147"/>
      <c r="AD602" s="147"/>
      <c r="AE602" s="147"/>
      <c r="AF602" s="147"/>
      <c r="AG602" s="147"/>
    </row>
    <row r="603">
      <c r="A603" s="147"/>
      <c r="B603" s="147"/>
      <c r="C603" s="147"/>
      <c r="D603" s="147"/>
      <c r="E603" s="147"/>
      <c r="F603" s="205"/>
      <c r="G603" s="147"/>
      <c r="H603" s="147"/>
      <c r="I603" s="147"/>
      <c r="J603" s="147"/>
      <c r="K603" s="147"/>
      <c r="L603" s="147"/>
      <c r="M603" s="147"/>
      <c r="N603" s="147"/>
      <c r="O603" s="147"/>
      <c r="P603" s="147"/>
      <c r="Q603" s="147"/>
      <c r="R603" s="147"/>
      <c r="S603" s="147"/>
      <c r="T603" s="147"/>
      <c r="U603" s="147"/>
      <c r="V603" s="147"/>
      <c r="W603" s="147"/>
      <c r="X603" s="147"/>
      <c r="Y603" s="147"/>
      <c r="Z603" s="147"/>
      <c r="AA603" s="147"/>
      <c r="AB603" s="147"/>
      <c r="AC603" s="147"/>
      <c r="AD603" s="147"/>
      <c r="AE603" s="147"/>
      <c r="AF603" s="147"/>
      <c r="AG603" s="147"/>
    </row>
    <row r="604">
      <c r="A604" s="147"/>
      <c r="B604" s="147"/>
      <c r="C604" s="147"/>
      <c r="D604" s="147"/>
      <c r="E604" s="147"/>
      <c r="F604" s="205"/>
      <c r="G604" s="147"/>
      <c r="H604" s="147"/>
      <c r="I604" s="147"/>
      <c r="J604" s="147"/>
      <c r="K604" s="147"/>
      <c r="L604" s="147"/>
      <c r="M604" s="147"/>
      <c r="N604" s="147"/>
      <c r="O604" s="147"/>
      <c r="P604" s="147"/>
      <c r="Q604" s="147"/>
      <c r="R604" s="147"/>
      <c r="S604" s="147"/>
      <c r="T604" s="147"/>
      <c r="U604" s="147"/>
      <c r="V604" s="147"/>
      <c r="W604" s="147"/>
      <c r="X604" s="147"/>
      <c r="Y604" s="147"/>
      <c r="Z604" s="147"/>
      <c r="AA604" s="147"/>
      <c r="AB604" s="147"/>
      <c r="AC604" s="147"/>
      <c r="AD604" s="147"/>
      <c r="AE604" s="147"/>
      <c r="AF604" s="147"/>
      <c r="AG604" s="147"/>
    </row>
    <row r="605">
      <c r="A605" s="147"/>
      <c r="B605" s="147"/>
      <c r="C605" s="147"/>
      <c r="D605" s="147"/>
      <c r="E605" s="147"/>
      <c r="F605" s="205"/>
      <c r="G605" s="147"/>
      <c r="H605" s="147"/>
      <c r="I605" s="147"/>
      <c r="J605" s="147"/>
      <c r="K605" s="147"/>
      <c r="L605" s="147"/>
      <c r="M605" s="147"/>
      <c r="N605" s="147"/>
      <c r="O605" s="147"/>
      <c r="P605" s="147"/>
      <c r="Q605" s="147"/>
      <c r="R605" s="147"/>
      <c r="S605" s="147"/>
      <c r="T605" s="147"/>
      <c r="U605" s="147"/>
      <c r="V605" s="147"/>
      <c r="W605" s="147"/>
      <c r="X605" s="147"/>
      <c r="Y605" s="147"/>
      <c r="Z605" s="147"/>
      <c r="AA605" s="147"/>
      <c r="AB605" s="147"/>
      <c r="AC605" s="147"/>
      <c r="AD605" s="147"/>
      <c r="AE605" s="147"/>
      <c r="AF605" s="147"/>
      <c r="AG605" s="147"/>
    </row>
    <row r="606">
      <c r="A606" s="147"/>
      <c r="B606" s="147"/>
      <c r="C606" s="147"/>
      <c r="D606" s="147"/>
      <c r="E606" s="147"/>
      <c r="F606" s="205"/>
      <c r="G606" s="147"/>
      <c r="H606" s="147"/>
      <c r="I606" s="147"/>
      <c r="J606" s="147"/>
      <c r="K606" s="147"/>
      <c r="L606" s="147"/>
      <c r="M606" s="147"/>
      <c r="N606" s="147"/>
      <c r="O606" s="147"/>
      <c r="P606" s="147"/>
      <c r="Q606" s="147"/>
      <c r="R606" s="147"/>
      <c r="S606" s="147"/>
      <c r="T606" s="147"/>
      <c r="U606" s="147"/>
      <c r="V606" s="147"/>
      <c r="W606" s="147"/>
      <c r="X606" s="147"/>
      <c r="Y606" s="147"/>
      <c r="Z606" s="147"/>
      <c r="AA606" s="147"/>
      <c r="AB606" s="147"/>
      <c r="AC606" s="147"/>
      <c r="AD606" s="147"/>
      <c r="AE606" s="147"/>
      <c r="AF606" s="147"/>
      <c r="AG606" s="147"/>
    </row>
    <row r="607">
      <c r="A607" s="147"/>
      <c r="B607" s="147"/>
      <c r="C607" s="147"/>
      <c r="D607" s="147"/>
      <c r="E607" s="147"/>
      <c r="F607" s="205"/>
      <c r="G607" s="147"/>
      <c r="H607" s="147"/>
      <c r="I607" s="147"/>
      <c r="J607" s="147"/>
      <c r="K607" s="147"/>
      <c r="L607" s="147"/>
      <c r="M607" s="147"/>
      <c r="N607" s="147"/>
      <c r="O607" s="147"/>
      <c r="P607" s="147"/>
      <c r="Q607" s="147"/>
      <c r="R607" s="147"/>
      <c r="S607" s="147"/>
      <c r="T607" s="147"/>
      <c r="U607" s="147"/>
      <c r="V607" s="147"/>
      <c r="W607" s="147"/>
      <c r="X607" s="147"/>
      <c r="Y607" s="147"/>
      <c r="Z607" s="147"/>
      <c r="AA607" s="147"/>
      <c r="AB607" s="147"/>
      <c r="AC607" s="147"/>
      <c r="AD607" s="147"/>
      <c r="AE607" s="147"/>
      <c r="AF607" s="147"/>
      <c r="AG607" s="147"/>
    </row>
    <row r="608">
      <c r="A608" s="147"/>
      <c r="B608" s="147"/>
      <c r="C608" s="147"/>
      <c r="D608" s="147"/>
      <c r="E608" s="147"/>
      <c r="F608" s="205"/>
      <c r="G608" s="147"/>
      <c r="H608" s="147"/>
      <c r="I608" s="147"/>
      <c r="J608" s="147"/>
      <c r="K608" s="147"/>
      <c r="L608" s="147"/>
      <c r="M608" s="147"/>
      <c r="N608" s="147"/>
      <c r="O608" s="147"/>
      <c r="P608" s="147"/>
      <c r="Q608" s="147"/>
      <c r="R608" s="147"/>
      <c r="S608" s="147"/>
      <c r="T608" s="147"/>
      <c r="U608" s="147"/>
      <c r="V608" s="147"/>
      <c r="W608" s="147"/>
      <c r="X608" s="147"/>
      <c r="Y608" s="147"/>
      <c r="Z608" s="147"/>
      <c r="AA608" s="147"/>
      <c r="AB608" s="147"/>
      <c r="AC608" s="147"/>
      <c r="AD608" s="147"/>
      <c r="AE608" s="147"/>
      <c r="AF608" s="147"/>
      <c r="AG608" s="147"/>
    </row>
    <row r="609">
      <c r="A609" s="147"/>
      <c r="B609" s="147"/>
      <c r="C609" s="147"/>
      <c r="D609" s="147"/>
      <c r="E609" s="147"/>
      <c r="F609" s="205"/>
      <c r="G609" s="147"/>
      <c r="H609" s="147"/>
      <c r="I609" s="147"/>
      <c r="J609" s="147"/>
      <c r="K609" s="147"/>
      <c r="L609" s="147"/>
      <c r="M609" s="147"/>
      <c r="N609" s="147"/>
      <c r="O609" s="147"/>
      <c r="P609" s="147"/>
      <c r="Q609" s="147"/>
      <c r="R609" s="147"/>
      <c r="S609" s="147"/>
      <c r="T609" s="147"/>
      <c r="U609" s="147"/>
      <c r="V609" s="147"/>
      <c r="W609" s="147"/>
      <c r="X609" s="147"/>
      <c r="Y609" s="147"/>
      <c r="Z609" s="147"/>
      <c r="AA609" s="147"/>
      <c r="AB609" s="147"/>
      <c r="AC609" s="147"/>
      <c r="AD609" s="147"/>
      <c r="AE609" s="147"/>
      <c r="AF609" s="147"/>
      <c r="AG609" s="147"/>
    </row>
    <row r="610">
      <c r="A610" s="147"/>
      <c r="B610" s="147"/>
      <c r="C610" s="147"/>
      <c r="D610" s="147"/>
      <c r="E610" s="147"/>
      <c r="F610" s="205"/>
      <c r="G610" s="147"/>
      <c r="H610" s="147"/>
      <c r="I610" s="147"/>
      <c r="J610" s="147"/>
      <c r="K610" s="147"/>
      <c r="L610" s="147"/>
      <c r="M610" s="147"/>
      <c r="N610" s="147"/>
      <c r="O610" s="147"/>
      <c r="P610" s="147"/>
      <c r="Q610" s="147"/>
      <c r="R610" s="147"/>
      <c r="S610" s="147"/>
      <c r="T610" s="147"/>
      <c r="U610" s="147"/>
      <c r="V610" s="147"/>
      <c r="W610" s="147"/>
      <c r="X610" s="147"/>
      <c r="Y610" s="147"/>
      <c r="Z610" s="147"/>
      <c r="AA610" s="147"/>
      <c r="AB610" s="147"/>
      <c r="AC610" s="147"/>
      <c r="AD610" s="147"/>
      <c r="AE610" s="147"/>
      <c r="AF610" s="147"/>
      <c r="AG610" s="147"/>
    </row>
    <row r="611">
      <c r="A611" s="147"/>
      <c r="B611" s="147"/>
      <c r="C611" s="147"/>
      <c r="D611" s="147"/>
      <c r="E611" s="147"/>
      <c r="F611" s="205"/>
      <c r="G611" s="147"/>
      <c r="H611" s="147"/>
      <c r="I611" s="147"/>
      <c r="J611" s="147"/>
      <c r="K611" s="147"/>
      <c r="L611" s="147"/>
      <c r="M611" s="147"/>
      <c r="N611" s="147"/>
      <c r="O611" s="147"/>
      <c r="P611" s="147"/>
      <c r="Q611" s="147"/>
      <c r="R611" s="147"/>
      <c r="S611" s="147"/>
      <c r="T611" s="147"/>
      <c r="U611" s="147"/>
      <c r="V611" s="147"/>
      <c r="W611" s="147"/>
      <c r="X611" s="147"/>
      <c r="Y611" s="147"/>
      <c r="Z611" s="147"/>
      <c r="AA611" s="147"/>
      <c r="AB611" s="147"/>
      <c r="AC611" s="147"/>
      <c r="AD611" s="147"/>
      <c r="AE611" s="147"/>
      <c r="AF611" s="147"/>
      <c r="AG611" s="147"/>
    </row>
    <row r="612">
      <c r="A612" s="147"/>
      <c r="B612" s="147"/>
      <c r="C612" s="147"/>
      <c r="D612" s="147"/>
      <c r="E612" s="147"/>
      <c r="F612" s="205"/>
      <c r="G612" s="147"/>
      <c r="H612" s="147"/>
      <c r="I612" s="147"/>
      <c r="J612" s="147"/>
      <c r="K612" s="147"/>
      <c r="L612" s="147"/>
      <c r="M612" s="147"/>
      <c r="N612" s="147"/>
      <c r="O612" s="147"/>
      <c r="P612" s="147"/>
      <c r="Q612" s="147"/>
      <c r="R612" s="147"/>
      <c r="S612" s="147"/>
      <c r="T612" s="147"/>
      <c r="U612" s="147"/>
      <c r="V612" s="147"/>
      <c r="W612" s="147"/>
      <c r="X612" s="147"/>
      <c r="Y612" s="147"/>
      <c r="Z612" s="147"/>
      <c r="AA612" s="147"/>
      <c r="AB612" s="147"/>
      <c r="AC612" s="147"/>
      <c r="AD612" s="147"/>
      <c r="AE612" s="147"/>
      <c r="AF612" s="147"/>
      <c r="AG612" s="147"/>
    </row>
    <row r="613">
      <c r="A613" s="147"/>
      <c r="B613" s="147"/>
      <c r="C613" s="147"/>
      <c r="D613" s="147"/>
      <c r="E613" s="147"/>
      <c r="F613" s="205"/>
      <c r="G613" s="147"/>
      <c r="H613" s="147"/>
      <c r="I613" s="147"/>
      <c r="J613" s="147"/>
      <c r="K613" s="147"/>
      <c r="L613" s="147"/>
      <c r="M613" s="147"/>
      <c r="N613" s="147"/>
      <c r="O613" s="147"/>
      <c r="P613" s="147"/>
      <c r="Q613" s="147"/>
      <c r="R613" s="147"/>
      <c r="S613" s="147"/>
      <c r="T613" s="147"/>
      <c r="U613" s="147"/>
      <c r="V613" s="147"/>
      <c r="W613" s="147"/>
      <c r="X613" s="147"/>
      <c r="Y613" s="147"/>
      <c r="Z613" s="147"/>
      <c r="AA613" s="147"/>
      <c r="AB613" s="147"/>
      <c r="AC613" s="147"/>
      <c r="AD613" s="147"/>
      <c r="AE613" s="147"/>
      <c r="AF613" s="147"/>
      <c r="AG613" s="147"/>
    </row>
    <row r="614">
      <c r="A614" s="147"/>
      <c r="B614" s="147"/>
      <c r="C614" s="147"/>
      <c r="D614" s="147"/>
      <c r="E614" s="147"/>
      <c r="F614" s="205"/>
      <c r="G614" s="147"/>
      <c r="H614" s="147"/>
      <c r="I614" s="147"/>
      <c r="J614" s="147"/>
      <c r="K614" s="147"/>
      <c r="L614" s="147"/>
      <c r="M614" s="147"/>
      <c r="N614" s="147"/>
      <c r="O614" s="147"/>
      <c r="P614" s="147"/>
      <c r="Q614" s="147"/>
      <c r="R614" s="147"/>
      <c r="S614" s="147"/>
      <c r="T614" s="147"/>
      <c r="U614" s="147"/>
      <c r="V614" s="147"/>
      <c r="W614" s="147"/>
      <c r="X614" s="147"/>
      <c r="Y614" s="147"/>
      <c r="Z614" s="147"/>
      <c r="AA614" s="147"/>
      <c r="AB614" s="147"/>
      <c r="AC614" s="147"/>
      <c r="AD614" s="147"/>
      <c r="AE614" s="147"/>
      <c r="AF614" s="147"/>
      <c r="AG614" s="147"/>
    </row>
    <row r="615">
      <c r="A615" s="147"/>
      <c r="B615" s="147"/>
      <c r="C615" s="147"/>
      <c r="D615" s="147"/>
      <c r="E615" s="147"/>
      <c r="F615" s="205"/>
      <c r="G615" s="147"/>
      <c r="H615" s="147"/>
      <c r="I615" s="147"/>
      <c r="J615" s="147"/>
      <c r="K615" s="147"/>
      <c r="L615" s="147"/>
      <c r="M615" s="147"/>
      <c r="N615" s="147"/>
      <c r="O615" s="147"/>
      <c r="P615" s="147"/>
      <c r="Q615" s="147"/>
      <c r="R615" s="147"/>
      <c r="S615" s="147"/>
      <c r="T615" s="147"/>
      <c r="U615" s="147"/>
      <c r="V615" s="147"/>
      <c r="W615" s="147"/>
      <c r="X615" s="147"/>
      <c r="Y615" s="147"/>
      <c r="Z615" s="147"/>
      <c r="AA615" s="147"/>
      <c r="AB615" s="147"/>
      <c r="AC615" s="147"/>
      <c r="AD615" s="147"/>
      <c r="AE615" s="147"/>
      <c r="AF615" s="147"/>
      <c r="AG615" s="147"/>
    </row>
    <row r="616">
      <c r="A616" s="147"/>
      <c r="B616" s="147"/>
      <c r="C616" s="147"/>
      <c r="D616" s="147"/>
      <c r="E616" s="147"/>
      <c r="F616" s="205"/>
      <c r="G616" s="147"/>
      <c r="H616" s="147"/>
      <c r="I616" s="147"/>
      <c r="J616" s="147"/>
      <c r="K616" s="147"/>
      <c r="L616" s="147"/>
      <c r="M616" s="147"/>
      <c r="N616" s="147"/>
      <c r="O616" s="147"/>
      <c r="P616" s="147"/>
      <c r="Q616" s="147"/>
      <c r="R616" s="147"/>
      <c r="S616" s="147"/>
      <c r="T616" s="147"/>
      <c r="U616" s="147"/>
      <c r="V616" s="147"/>
      <c r="W616" s="147"/>
      <c r="X616" s="147"/>
      <c r="Y616" s="147"/>
      <c r="Z616" s="147"/>
      <c r="AA616" s="147"/>
      <c r="AB616" s="147"/>
      <c r="AC616" s="147"/>
      <c r="AD616" s="147"/>
      <c r="AE616" s="147"/>
      <c r="AF616" s="147"/>
      <c r="AG616" s="147"/>
    </row>
    <row r="617">
      <c r="A617" s="147"/>
      <c r="B617" s="147"/>
      <c r="C617" s="147"/>
      <c r="D617" s="147"/>
      <c r="E617" s="147"/>
      <c r="F617" s="205"/>
      <c r="G617" s="147"/>
      <c r="H617" s="147"/>
      <c r="I617" s="147"/>
      <c r="J617" s="147"/>
      <c r="K617" s="147"/>
      <c r="L617" s="147"/>
      <c r="M617" s="147"/>
      <c r="N617" s="147"/>
      <c r="O617" s="147"/>
      <c r="P617" s="147"/>
      <c r="Q617" s="147"/>
      <c r="R617" s="147"/>
      <c r="S617" s="147"/>
      <c r="T617" s="147"/>
      <c r="U617" s="147"/>
      <c r="V617" s="147"/>
      <c r="W617" s="147"/>
      <c r="X617" s="147"/>
      <c r="Y617" s="147"/>
      <c r="Z617" s="147"/>
      <c r="AA617" s="147"/>
      <c r="AB617" s="147"/>
      <c r="AC617" s="147"/>
      <c r="AD617" s="147"/>
      <c r="AE617" s="147"/>
      <c r="AF617" s="147"/>
      <c r="AG617" s="147"/>
    </row>
    <row r="618">
      <c r="A618" s="147"/>
      <c r="B618" s="147"/>
      <c r="C618" s="147"/>
      <c r="D618" s="147"/>
      <c r="E618" s="147"/>
      <c r="F618" s="205"/>
      <c r="G618" s="147"/>
      <c r="H618" s="147"/>
      <c r="I618" s="147"/>
      <c r="J618" s="147"/>
      <c r="K618" s="147"/>
      <c r="L618" s="147"/>
      <c r="M618" s="147"/>
      <c r="N618" s="147"/>
      <c r="O618" s="147"/>
      <c r="P618" s="147"/>
      <c r="Q618" s="147"/>
      <c r="R618" s="147"/>
      <c r="S618" s="147"/>
      <c r="T618" s="147"/>
      <c r="U618" s="147"/>
      <c r="V618" s="147"/>
      <c r="W618" s="147"/>
      <c r="X618" s="147"/>
      <c r="Y618" s="147"/>
      <c r="Z618" s="147"/>
      <c r="AA618" s="147"/>
      <c r="AB618" s="147"/>
      <c r="AC618" s="147"/>
      <c r="AD618" s="147"/>
      <c r="AE618" s="147"/>
      <c r="AF618" s="147"/>
      <c r="AG618" s="147"/>
    </row>
    <row r="619">
      <c r="A619" s="147"/>
      <c r="B619" s="147"/>
      <c r="C619" s="147"/>
      <c r="D619" s="147"/>
      <c r="E619" s="147"/>
      <c r="F619" s="205"/>
      <c r="G619" s="147"/>
      <c r="H619" s="147"/>
      <c r="I619" s="147"/>
      <c r="J619" s="147"/>
      <c r="K619" s="147"/>
      <c r="L619" s="147"/>
      <c r="M619" s="147"/>
      <c r="N619" s="147"/>
      <c r="O619" s="147"/>
      <c r="P619" s="147"/>
      <c r="Q619" s="147"/>
      <c r="R619" s="147"/>
      <c r="S619" s="147"/>
      <c r="T619" s="147"/>
      <c r="U619" s="147"/>
      <c r="V619" s="147"/>
      <c r="W619" s="147"/>
      <c r="X619" s="147"/>
      <c r="Y619" s="147"/>
      <c r="Z619" s="147"/>
      <c r="AA619" s="147"/>
      <c r="AB619" s="147"/>
      <c r="AC619" s="147"/>
      <c r="AD619" s="147"/>
      <c r="AE619" s="147"/>
      <c r="AF619" s="147"/>
      <c r="AG619" s="147"/>
    </row>
    <row r="620">
      <c r="A620" s="147"/>
      <c r="B620" s="147"/>
      <c r="C620" s="147"/>
      <c r="D620" s="147"/>
      <c r="E620" s="147"/>
      <c r="F620" s="205"/>
      <c r="G620" s="147"/>
      <c r="H620" s="147"/>
      <c r="I620" s="147"/>
      <c r="J620" s="147"/>
      <c r="K620" s="147"/>
      <c r="L620" s="147"/>
      <c r="M620" s="147"/>
      <c r="N620" s="147"/>
      <c r="O620" s="147"/>
      <c r="P620" s="147"/>
      <c r="Q620" s="147"/>
      <c r="R620" s="147"/>
      <c r="S620" s="147"/>
      <c r="T620" s="147"/>
      <c r="U620" s="147"/>
      <c r="V620" s="147"/>
      <c r="W620" s="147"/>
      <c r="X620" s="147"/>
      <c r="Y620" s="147"/>
      <c r="Z620" s="147"/>
      <c r="AA620" s="147"/>
      <c r="AB620" s="147"/>
      <c r="AC620" s="147"/>
      <c r="AD620" s="147"/>
      <c r="AE620" s="147"/>
      <c r="AF620" s="147"/>
      <c r="AG620" s="147"/>
    </row>
    <row r="621">
      <c r="A621" s="147"/>
      <c r="B621" s="147"/>
      <c r="C621" s="147"/>
      <c r="D621" s="147"/>
      <c r="E621" s="147"/>
      <c r="F621" s="205"/>
      <c r="G621" s="147"/>
      <c r="H621" s="147"/>
      <c r="I621" s="147"/>
      <c r="J621" s="147"/>
      <c r="K621" s="147"/>
      <c r="L621" s="147"/>
      <c r="M621" s="147"/>
      <c r="N621" s="147"/>
      <c r="O621" s="147"/>
      <c r="P621" s="147"/>
      <c r="Q621" s="147"/>
      <c r="R621" s="147"/>
      <c r="S621" s="147"/>
      <c r="T621" s="147"/>
      <c r="U621" s="147"/>
      <c r="V621" s="147"/>
      <c r="W621" s="147"/>
      <c r="X621" s="147"/>
      <c r="Y621" s="147"/>
      <c r="Z621" s="147"/>
      <c r="AA621" s="147"/>
      <c r="AB621" s="147"/>
      <c r="AC621" s="147"/>
      <c r="AD621" s="147"/>
      <c r="AE621" s="147"/>
      <c r="AF621" s="147"/>
      <c r="AG621" s="147"/>
    </row>
    <row r="622">
      <c r="A622" s="147"/>
      <c r="B622" s="147"/>
      <c r="C622" s="147"/>
      <c r="D622" s="147"/>
      <c r="E622" s="147"/>
      <c r="F622" s="205"/>
      <c r="G622" s="147"/>
      <c r="H622" s="147"/>
      <c r="I622" s="147"/>
      <c r="J622" s="147"/>
      <c r="K622" s="147"/>
      <c r="L622" s="147"/>
      <c r="M622" s="147"/>
      <c r="N622" s="147"/>
      <c r="O622" s="147"/>
      <c r="P622" s="147"/>
      <c r="Q622" s="147"/>
      <c r="R622" s="147"/>
      <c r="S622" s="147"/>
      <c r="T622" s="147"/>
      <c r="U622" s="147"/>
      <c r="V622" s="147"/>
      <c r="W622" s="147"/>
      <c r="X622" s="147"/>
      <c r="Y622" s="147"/>
      <c r="Z622" s="147"/>
      <c r="AA622" s="147"/>
      <c r="AB622" s="147"/>
      <c r="AC622" s="147"/>
      <c r="AD622" s="147"/>
      <c r="AE622" s="147"/>
      <c r="AF622" s="147"/>
      <c r="AG622" s="147"/>
    </row>
    <row r="623">
      <c r="A623" s="147"/>
      <c r="B623" s="147"/>
      <c r="C623" s="147"/>
      <c r="D623" s="147"/>
      <c r="E623" s="147"/>
      <c r="F623" s="205"/>
      <c r="G623" s="147"/>
      <c r="H623" s="147"/>
      <c r="I623" s="147"/>
      <c r="J623" s="147"/>
      <c r="K623" s="147"/>
      <c r="L623" s="147"/>
      <c r="M623" s="147"/>
      <c r="N623" s="147"/>
      <c r="O623" s="147"/>
      <c r="P623" s="147"/>
      <c r="Q623" s="147"/>
      <c r="R623" s="147"/>
      <c r="S623" s="147"/>
      <c r="T623" s="147"/>
      <c r="U623" s="147"/>
      <c r="V623" s="147"/>
      <c r="W623" s="147"/>
      <c r="X623" s="147"/>
      <c r="Y623" s="147"/>
      <c r="Z623" s="147"/>
      <c r="AA623" s="147"/>
      <c r="AB623" s="147"/>
      <c r="AC623" s="147"/>
      <c r="AD623" s="147"/>
      <c r="AE623" s="147"/>
      <c r="AF623" s="147"/>
      <c r="AG623" s="147"/>
    </row>
    <row r="624">
      <c r="A624" s="147"/>
      <c r="B624" s="147"/>
      <c r="C624" s="147"/>
      <c r="D624" s="147"/>
      <c r="E624" s="147"/>
      <c r="F624" s="205"/>
      <c r="G624" s="147"/>
      <c r="H624" s="147"/>
      <c r="I624" s="147"/>
      <c r="J624" s="147"/>
      <c r="K624" s="147"/>
      <c r="L624" s="147"/>
      <c r="M624" s="147"/>
      <c r="N624" s="147"/>
      <c r="O624" s="147"/>
      <c r="P624" s="147"/>
      <c r="Q624" s="147"/>
      <c r="R624" s="147"/>
      <c r="S624" s="147"/>
      <c r="T624" s="147"/>
      <c r="U624" s="147"/>
      <c r="V624" s="147"/>
      <c r="W624" s="147"/>
      <c r="X624" s="147"/>
      <c r="Y624" s="147"/>
      <c r="Z624" s="147"/>
      <c r="AA624" s="147"/>
      <c r="AB624" s="147"/>
      <c r="AC624" s="147"/>
      <c r="AD624" s="147"/>
      <c r="AE624" s="147"/>
      <c r="AF624" s="147"/>
      <c r="AG624" s="147"/>
    </row>
    <row r="625">
      <c r="A625" s="147"/>
      <c r="B625" s="147"/>
      <c r="C625" s="147"/>
      <c r="D625" s="147"/>
      <c r="E625" s="147"/>
      <c r="F625" s="205"/>
      <c r="G625" s="147"/>
      <c r="H625" s="147"/>
      <c r="I625" s="147"/>
      <c r="J625" s="147"/>
      <c r="K625" s="147"/>
      <c r="L625" s="147"/>
      <c r="M625" s="147"/>
      <c r="N625" s="147"/>
      <c r="O625" s="147"/>
      <c r="P625" s="147"/>
      <c r="Q625" s="147"/>
      <c r="R625" s="147"/>
      <c r="S625" s="147"/>
      <c r="T625" s="147"/>
      <c r="U625" s="147"/>
      <c r="V625" s="147"/>
      <c r="W625" s="147"/>
      <c r="X625" s="147"/>
      <c r="Y625" s="147"/>
      <c r="Z625" s="147"/>
      <c r="AA625" s="147"/>
      <c r="AB625" s="147"/>
      <c r="AC625" s="147"/>
      <c r="AD625" s="147"/>
      <c r="AE625" s="147"/>
      <c r="AF625" s="147"/>
      <c r="AG625" s="147"/>
    </row>
    <row r="626">
      <c r="A626" s="147"/>
      <c r="B626" s="147"/>
      <c r="C626" s="147"/>
      <c r="D626" s="147"/>
      <c r="E626" s="147"/>
      <c r="F626" s="205"/>
      <c r="G626" s="147"/>
      <c r="H626" s="147"/>
      <c r="I626" s="147"/>
      <c r="J626" s="147"/>
      <c r="K626" s="147"/>
      <c r="L626" s="147"/>
      <c r="M626" s="147"/>
      <c r="N626" s="147"/>
      <c r="O626" s="147"/>
      <c r="P626" s="147"/>
      <c r="Q626" s="147"/>
      <c r="R626" s="147"/>
      <c r="S626" s="147"/>
      <c r="T626" s="147"/>
      <c r="U626" s="147"/>
      <c r="V626" s="147"/>
      <c r="W626" s="147"/>
      <c r="X626" s="147"/>
      <c r="Y626" s="147"/>
      <c r="Z626" s="147"/>
      <c r="AA626" s="147"/>
      <c r="AB626" s="147"/>
      <c r="AC626" s="147"/>
      <c r="AD626" s="147"/>
      <c r="AE626" s="147"/>
      <c r="AF626" s="147"/>
      <c r="AG626" s="147"/>
    </row>
    <row r="627">
      <c r="A627" s="147"/>
      <c r="B627" s="147"/>
      <c r="C627" s="147"/>
      <c r="D627" s="147"/>
      <c r="E627" s="147"/>
      <c r="F627" s="205"/>
      <c r="G627" s="147"/>
      <c r="H627" s="147"/>
      <c r="I627" s="147"/>
      <c r="J627" s="147"/>
      <c r="K627" s="147"/>
      <c r="L627" s="147"/>
      <c r="M627" s="147"/>
      <c r="N627" s="147"/>
      <c r="O627" s="147"/>
      <c r="P627" s="147"/>
      <c r="Q627" s="147"/>
      <c r="R627" s="147"/>
      <c r="S627" s="147"/>
      <c r="T627" s="147"/>
      <c r="U627" s="147"/>
      <c r="V627" s="147"/>
      <c r="W627" s="147"/>
      <c r="X627" s="147"/>
      <c r="Y627" s="147"/>
      <c r="Z627" s="147"/>
      <c r="AA627" s="147"/>
      <c r="AB627" s="147"/>
      <c r="AC627" s="147"/>
      <c r="AD627" s="147"/>
      <c r="AE627" s="147"/>
      <c r="AF627" s="147"/>
      <c r="AG627" s="147"/>
    </row>
    <row r="628">
      <c r="A628" s="147"/>
      <c r="B628" s="147"/>
      <c r="C628" s="147"/>
      <c r="D628" s="147"/>
      <c r="E628" s="147"/>
      <c r="F628" s="205"/>
      <c r="G628" s="147"/>
      <c r="H628" s="147"/>
      <c r="I628" s="147"/>
      <c r="J628" s="147"/>
      <c r="K628" s="147"/>
      <c r="L628" s="147"/>
      <c r="M628" s="147"/>
      <c r="N628" s="147"/>
      <c r="O628" s="147"/>
      <c r="P628" s="147"/>
      <c r="Q628" s="147"/>
      <c r="R628" s="147"/>
      <c r="S628" s="147"/>
      <c r="T628" s="147"/>
      <c r="U628" s="147"/>
      <c r="V628" s="147"/>
      <c r="W628" s="147"/>
      <c r="X628" s="147"/>
      <c r="Y628" s="147"/>
      <c r="Z628" s="147"/>
      <c r="AA628" s="147"/>
      <c r="AB628" s="147"/>
      <c r="AC628" s="147"/>
      <c r="AD628" s="147"/>
      <c r="AE628" s="147"/>
      <c r="AF628" s="147"/>
      <c r="AG628" s="147"/>
    </row>
    <row r="629">
      <c r="A629" s="147"/>
      <c r="B629" s="147"/>
      <c r="C629" s="147"/>
      <c r="D629" s="147"/>
      <c r="E629" s="147"/>
      <c r="F629" s="205"/>
      <c r="G629" s="147"/>
      <c r="H629" s="147"/>
      <c r="I629" s="147"/>
      <c r="J629" s="147"/>
      <c r="K629" s="147"/>
      <c r="L629" s="147"/>
      <c r="M629" s="147"/>
      <c r="N629" s="147"/>
      <c r="O629" s="147"/>
      <c r="P629" s="147"/>
      <c r="Q629" s="147"/>
      <c r="R629" s="147"/>
      <c r="S629" s="147"/>
      <c r="T629" s="147"/>
      <c r="U629" s="147"/>
      <c r="V629" s="147"/>
      <c r="W629" s="147"/>
      <c r="X629" s="147"/>
      <c r="Y629" s="147"/>
      <c r="Z629" s="147"/>
      <c r="AA629" s="147"/>
      <c r="AB629" s="147"/>
      <c r="AC629" s="147"/>
      <c r="AD629" s="147"/>
      <c r="AE629" s="147"/>
      <c r="AF629" s="147"/>
      <c r="AG629" s="147"/>
    </row>
    <row r="630">
      <c r="A630" s="147"/>
      <c r="B630" s="147"/>
      <c r="C630" s="147"/>
      <c r="D630" s="147"/>
      <c r="E630" s="147"/>
      <c r="F630" s="205"/>
      <c r="G630" s="147"/>
      <c r="H630" s="147"/>
      <c r="I630" s="147"/>
      <c r="J630" s="147"/>
      <c r="K630" s="147"/>
      <c r="L630" s="147"/>
      <c r="M630" s="147"/>
      <c r="N630" s="147"/>
      <c r="O630" s="147"/>
      <c r="P630" s="147"/>
      <c r="Q630" s="147"/>
      <c r="R630" s="147"/>
      <c r="S630" s="147"/>
      <c r="T630" s="147"/>
      <c r="U630" s="147"/>
      <c r="V630" s="147"/>
      <c r="W630" s="147"/>
      <c r="X630" s="147"/>
      <c r="Y630" s="147"/>
      <c r="Z630" s="147"/>
      <c r="AA630" s="147"/>
      <c r="AB630" s="147"/>
      <c r="AC630" s="147"/>
      <c r="AD630" s="147"/>
      <c r="AE630" s="147"/>
      <c r="AF630" s="147"/>
      <c r="AG630" s="147"/>
    </row>
    <row r="631">
      <c r="A631" s="147"/>
      <c r="B631" s="147"/>
      <c r="C631" s="147"/>
      <c r="D631" s="147"/>
      <c r="E631" s="147"/>
      <c r="F631" s="205"/>
      <c r="G631" s="147"/>
      <c r="H631" s="147"/>
      <c r="I631" s="147"/>
      <c r="J631" s="147"/>
      <c r="K631" s="147"/>
      <c r="L631" s="147"/>
      <c r="M631" s="147"/>
      <c r="N631" s="147"/>
      <c r="O631" s="147"/>
      <c r="P631" s="147"/>
      <c r="Q631" s="147"/>
      <c r="R631" s="147"/>
      <c r="S631" s="147"/>
      <c r="T631" s="147"/>
      <c r="U631" s="147"/>
      <c r="V631" s="147"/>
      <c r="W631" s="147"/>
      <c r="X631" s="147"/>
      <c r="Y631" s="147"/>
      <c r="Z631" s="147"/>
      <c r="AA631" s="147"/>
      <c r="AB631" s="147"/>
      <c r="AC631" s="147"/>
      <c r="AD631" s="147"/>
      <c r="AE631" s="147"/>
      <c r="AF631" s="147"/>
      <c r="AG631" s="147"/>
    </row>
    <row r="632">
      <c r="A632" s="147"/>
      <c r="B632" s="147"/>
      <c r="C632" s="147"/>
      <c r="D632" s="147"/>
      <c r="E632" s="147"/>
      <c r="F632" s="205"/>
      <c r="G632" s="147"/>
      <c r="H632" s="147"/>
      <c r="I632" s="147"/>
      <c r="J632" s="147"/>
      <c r="K632" s="147"/>
      <c r="L632" s="147"/>
      <c r="M632" s="147"/>
      <c r="N632" s="147"/>
      <c r="O632" s="147"/>
      <c r="P632" s="147"/>
      <c r="Q632" s="147"/>
      <c r="R632" s="147"/>
      <c r="S632" s="147"/>
      <c r="T632" s="147"/>
      <c r="U632" s="147"/>
      <c r="V632" s="147"/>
      <c r="W632" s="147"/>
      <c r="X632" s="147"/>
      <c r="Y632" s="147"/>
      <c r="Z632" s="147"/>
      <c r="AA632" s="147"/>
      <c r="AB632" s="147"/>
      <c r="AC632" s="147"/>
      <c r="AD632" s="147"/>
      <c r="AE632" s="147"/>
      <c r="AF632" s="147"/>
      <c r="AG632" s="147"/>
    </row>
    <row r="633">
      <c r="A633" s="147"/>
      <c r="B633" s="147"/>
      <c r="C633" s="147"/>
      <c r="D633" s="147"/>
      <c r="E633" s="147"/>
      <c r="F633" s="205"/>
      <c r="G633" s="147"/>
      <c r="H633" s="147"/>
      <c r="I633" s="147"/>
      <c r="J633" s="147"/>
      <c r="K633" s="147"/>
      <c r="L633" s="147"/>
      <c r="M633" s="147"/>
      <c r="N633" s="147"/>
      <c r="O633" s="147"/>
      <c r="P633" s="147"/>
      <c r="Q633" s="147"/>
      <c r="R633" s="147"/>
      <c r="S633" s="147"/>
      <c r="T633" s="147"/>
      <c r="U633" s="147"/>
      <c r="V633" s="147"/>
      <c r="W633" s="147"/>
      <c r="X633" s="147"/>
      <c r="Y633" s="147"/>
      <c r="Z633" s="147"/>
      <c r="AA633" s="147"/>
      <c r="AB633" s="147"/>
      <c r="AC633" s="147"/>
      <c r="AD633" s="147"/>
      <c r="AE633" s="147"/>
      <c r="AF633" s="147"/>
      <c r="AG633" s="147"/>
    </row>
    <row r="634">
      <c r="A634" s="147"/>
      <c r="B634" s="147"/>
      <c r="C634" s="147"/>
      <c r="D634" s="147"/>
      <c r="E634" s="147"/>
      <c r="F634" s="205"/>
      <c r="G634" s="147"/>
      <c r="H634" s="147"/>
      <c r="I634" s="147"/>
      <c r="J634" s="147"/>
      <c r="K634" s="147"/>
      <c r="L634" s="147"/>
      <c r="M634" s="147"/>
      <c r="N634" s="147"/>
      <c r="O634" s="147"/>
      <c r="P634" s="147"/>
      <c r="Q634" s="147"/>
      <c r="R634" s="147"/>
      <c r="S634" s="147"/>
      <c r="T634" s="147"/>
      <c r="U634" s="147"/>
      <c r="V634" s="147"/>
      <c r="W634" s="147"/>
      <c r="X634" s="147"/>
      <c r="Y634" s="147"/>
      <c r="Z634" s="147"/>
      <c r="AA634" s="147"/>
      <c r="AB634" s="147"/>
      <c r="AC634" s="147"/>
      <c r="AD634" s="147"/>
      <c r="AE634" s="147"/>
      <c r="AF634" s="147"/>
      <c r="AG634" s="147"/>
    </row>
    <row r="635">
      <c r="A635" s="147"/>
      <c r="B635" s="147"/>
      <c r="C635" s="147"/>
      <c r="D635" s="147"/>
      <c r="E635" s="147"/>
      <c r="F635" s="205"/>
      <c r="G635" s="147"/>
      <c r="H635" s="147"/>
      <c r="I635" s="147"/>
      <c r="J635" s="147"/>
      <c r="K635" s="147"/>
      <c r="L635" s="147"/>
      <c r="M635" s="147"/>
      <c r="N635" s="147"/>
      <c r="O635" s="147"/>
      <c r="P635" s="147"/>
      <c r="Q635" s="147"/>
      <c r="R635" s="147"/>
      <c r="S635" s="147"/>
      <c r="T635" s="147"/>
      <c r="U635" s="147"/>
      <c r="V635" s="147"/>
      <c r="W635" s="147"/>
      <c r="X635" s="147"/>
      <c r="Y635" s="147"/>
      <c r="Z635" s="147"/>
      <c r="AA635" s="147"/>
      <c r="AB635" s="147"/>
      <c r="AC635" s="147"/>
      <c r="AD635" s="147"/>
      <c r="AE635" s="147"/>
      <c r="AF635" s="147"/>
      <c r="AG635" s="147"/>
    </row>
    <row r="636">
      <c r="A636" s="147"/>
      <c r="B636" s="147"/>
      <c r="C636" s="147"/>
      <c r="D636" s="147"/>
      <c r="E636" s="147"/>
      <c r="F636" s="205"/>
      <c r="G636" s="147"/>
      <c r="H636" s="147"/>
      <c r="I636" s="147"/>
      <c r="J636" s="147"/>
      <c r="K636" s="147"/>
      <c r="L636" s="147"/>
      <c r="M636" s="147"/>
      <c r="N636" s="147"/>
      <c r="O636" s="147"/>
      <c r="P636" s="147"/>
      <c r="Q636" s="147"/>
      <c r="R636" s="147"/>
      <c r="S636" s="147"/>
      <c r="T636" s="147"/>
      <c r="U636" s="147"/>
      <c r="V636" s="147"/>
      <c r="W636" s="147"/>
      <c r="X636" s="147"/>
      <c r="Y636" s="147"/>
      <c r="Z636" s="147"/>
      <c r="AA636" s="147"/>
      <c r="AB636" s="147"/>
      <c r="AC636" s="147"/>
      <c r="AD636" s="147"/>
      <c r="AE636" s="147"/>
      <c r="AF636" s="147"/>
      <c r="AG636" s="147"/>
    </row>
    <row r="637">
      <c r="A637" s="147"/>
      <c r="B637" s="147"/>
      <c r="C637" s="147"/>
      <c r="D637" s="147"/>
      <c r="E637" s="147"/>
      <c r="F637" s="205"/>
      <c r="G637" s="147"/>
      <c r="H637" s="147"/>
      <c r="I637" s="147"/>
      <c r="J637" s="147"/>
      <c r="K637" s="147"/>
      <c r="L637" s="147"/>
      <c r="M637" s="147"/>
      <c r="N637" s="147"/>
      <c r="O637" s="147"/>
      <c r="P637" s="147"/>
      <c r="Q637" s="147"/>
      <c r="R637" s="147"/>
      <c r="S637" s="147"/>
      <c r="T637" s="147"/>
      <c r="U637" s="147"/>
      <c r="V637" s="147"/>
      <c r="W637" s="147"/>
      <c r="X637" s="147"/>
      <c r="Y637" s="147"/>
      <c r="Z637" s="147"/>
      <c r="AA637" s="147"/>
      <c r="AB637" s="147"/>
      <c r="AC637" s="147"/>
      <c r="AD637" s="147"/>
      <c r="AE637" s="147"/>
      <c r="AF637" s="147"/>
      <c r="AG637" s="147"/>
    </row>
    <row r="638">
      <c r="A638" s="147"/>
      <c r="B638" s="147"/>
      <c r="C638" s="147"/>
      <c r="D638" s="147"/>
      <c r="E638" s="147"/>
      <c r="F638" s="205"/>
      <c r="G638" s="147"/>
      <c r="H638" s="147"/>
      <c r="I638" s="147"/>
      <c r="J638" s="147"/>
      <c r="K638" s="147"/>
      <c r="L638" s="147"/>
      <c r="M638" s="147"/>
      <c r="N638" s="147"/>
      <c r="O638" s="147"/>
      <c r="P638" s="147"/>
      <c r="Q638" s="147"/>
      <c r="R638" s="147"/>
      <c r="S638" s="147"/>
      <c r="T638" s="147"/>
      <c r="U638" s="147"/>
      <c r="V638" s="147"/>
      <c r="W638" s="147"/>
      <c r="X638" s="147"/>
      <c r="Y638" s="147"/>
      <c r="Z638" s="147"/>
      <c r="AA638" s="147"/>
      <c r="AB638" s="147"/>
      <c r="AC638" s="147"/>
      <c r="AD638" s="147"/>
      <c r="AE638" s="147"/>
      <c r="AF638" s="147"/>
      <c r="AG638" s="147"/>
    </row>
    <row r="639">
      <c r="A639" s="147"/>
      <c r="B639" s="147"/>
      <c r="C639" s="147"/>
      <c r="D639" s="147"/>
      <c r="E639" s="147"/>
      <c r="F639" s="205"/>
      <c r="G639" s="147"/>
      <c r="H639" s="147"/>
      <c r="I639" s="147"/>
      <c r="J639" s="147"/>
      <c r="K639" s="147"/>
      <c r="L639" s="147"/>
      <c r="M639" s="147"/>
      <c r="N639" s="147"/>
      <c r="O639" s="147"/>
      <c r="P639" s="147"/>
      <c r="Q639" s="147"/>
      <c r="R639" s="147"/>
      <c r="S639" s="147"/>
      <c r="T639" s="147"/>
      <c r="U639" s="147"/>
      <c r="V639" s="147"/>
      <c r="W639" s="147"/>
      <c r="X639" s="147"/>
      <c r="Y639" s="147"/>
      <c r="Z639" s="147"/>
      <c r="AA639" s="147"/>
      <c r="AB639" s="147"/>
      <c r="AC639" s="147"/>
      <c r="AD639" s="147"/>
      <c r="AE639" s="147"/>
      <c r="AF639" s="147"/>
      <c r="AG639" s="147"/>
    </row>
    <row r="640">
      <c r="A640" s="147"/>
      <c r="B640" s="147"/>
      <c r="C640" s="147"/>
      <c r="D640" s="147"/>
      <c r="E640" s="147"/>
      <c r="F640" s="205"/>
      <c r="G640" s="147"/>
      <c r="H640" s="147"/>
      <c r="I640" s="147"/>
      <c r="J640" s="147"/>
      <c r="K640" s="147"/>
      <c r="L640" s="147"/>
      <c r="M640" s="147"/>
      <c r="N640" s="147"/>
      <c r="O640" s="147"/>
      <c r="P640" s="147"/>
      <c r="Q640" s="147"/>
      <c r="R640" s="147"/>
      <c r="S640" s="147"/>
      <c r="T640" s="147"/>
      <c r="U640" s="147"/>
      <c r="V640" s="147"/>
      <c r="W640" s="147"/>
      <c r="X640" s="147"/>
      <c r="Y640" s="147"/>
      <c r="Z640" s="147"/>
      <c r="AA640" s="147"/>
      <c r="AB640" s="147"/>
      <c r="AC640" s="147"/>
      <c r="AD640" s="147"/>
      <c r="AE640" s="147"/>
      <c r="AF640" s="147"/>
      <c r="AG640" s="147"/>
    </row>
    <row r="641">
      <c r="A641" s="147"/>
      <c r="B641" s="147"/>
      <c r="C641" s="147"/>
      <c r="D641" s="147"/>
      <c r="E641" s="147"/>
      <c r="F641" s="205"/>
      <c r="G641" s="147"/>
      <c r="H641" s="147"/>
      <c r="I641" s="147"/>
      <c r="J641" s="147"/>
      <c r="K641" s="147"/>
      <c r="L641" s="147"/>
      <c r="M641" s="147"/>
      <c r="N641" s="147"/>
      <c r="O641" s="147"/>
      <c r="P641" s="147"/>
      <c r="Q641" s="147"/>
      <c r="R641" s="147"/>
      <c r="S641" s="147"/>
      <c r="T641" s="147"/>
      <c r="U641" s="147"/>
      <c r="V641" s="147"/>
      <c r="W641" s="147"/>
      <c r="X641" s="147"/>
      <c r="Y641" s="147"/>
      <c r="Z641" s="147"/>
      <c r="AA641" s="147"/>
      <c r="AB641" s="147"/>
      <c r="AC641" s="147"/>
      <c r="AD641" s="147"/>
      <c r="AE641" s="147"/>
      <c r="AF641" s="147"/>
      <c r="AG641" s="147"/>
    </row>
    <row r="642">
      <c r="A642" s="147"/>
      <c r="B642" s="147"/>
      <c r="C642" s="147"/>
      <c r="D642" s="147"/>
      <c r="E642" s="147"/>
      <c r="F642" s="205"/>
      <c r="G642" s="147"/>
      <c r="H642" s="147"/>
      <c r="I642" s="147"/>
      <c r="J642" s="147"/>
      <c r="K642" s="147"/>
      <c r="L642" s="147"/>
      <c r="M642" s="147"/>
      <c r="N642" s="147"/>
      <c r="O642" s="147"/>
      <c r="P642" s="147"/>
      <c r="Q642" s="147"/>
      <c r="R642" s="147"/>
      <c r="S642" s="147"/>
      <c r="T642" s="147"/>
      <c r="U642" s="147"/>
      <c r="V642" s="147"/>
      <c r="W642" s="147"/>
      <c r="X642" s="147"/>
      <c r="Y642" s="147"/>
      <c r="Z642" s="147"/>
      <c r="AA642" s="147"/>
      <c r="AB642" s="147"/>
      <c r="AC642" s="147"/>
      <c r="AD642" s="147"/>
      <c r="AE642" s="147"/>
      <c r="AF642" s="147"/>
      <c r="AG642" s="147"/>
    </row>
    <row r="643">
      <c r="A643" s="147"/>
      <c r="B643" s="147"/>
      <c r="C643" s="147"/>
      <c r="D643" s="147"/>
      <c r="E643" s="147"/>
      <c r="F643" s="205"/>
      <c r="G643" s="147"/>
      <c r="H643" s="147"/>
      <c r="I643" s="147"/>
      <c r="J643" s="147"/>
      <c r="K643" s="147"/>
      <c r="L643" s="147"/>
      <c r="M643" s="147"/>
      <c r="N643" s="147"/>
      <c r="O643" s="147"/>
      <c r="P643" s="147"/>
      <c r="Q643" s="147"/>
      <c r="R643" s="147"/>
      <c r="S643" s="147"/>
      <c r="T643" s="147"/>
      <c r="U643" s="147"/>
      <c r="V643" s="147"/>
      <c r="W643" s="147"/>
      <c r="X643" s="147"/>
      <c r="Y643" s="147"/>
      <c r="Z643" s="147"/>
      <c r="AA643" s="147"/>
      <c r="AB643" s="147"/>
      <c r="AC643" s="147"/>
      <c r="AD643" s="147"/>
      <c r="AE643" s="147"/>
      <c r="AF643" s="147"/>
      <c r="AG643" s="147"/>
    </row>
    <row r="644">
      <c r="A644" s="147"/>
      <c r="B644" s="147"/>
      <c r="C644" s="147"/>
      <c r="D644" s="147"/>
      <c r="E644" s="147"/>
      <c r="F644" s="205"/>
      <c r="G644" s="147"/>
      <c r="H644" s="147"/>
      <c r="I644" s="147"/>
      <c r="J644" s="147"/>
      <c r="K644" s="147"/>
      <c r="L644" s="147"/>
      <c r="M644" s="147"/>
      <c r="N644" s="147"/>
      <c r="O644" s="147"/>
      <c r="P644" s="147"/>
      <c r="Q644" s="147"/>
      <c r="R644" s="147"/>
      <c r="S644" s="147"/>
      <c r="T644" s="147"/>
      <c r="U644" s="147"/>
      <c r="V644" s="147"/>
      <c r="W644" s="147"/>
      <c r="X644" s="147"/>
      <c r="Y644" s="147"/>
      <c r="Z644" s="147"/>
      <c r="AA644" s="147"/>
      <c r="AB644" s="147"/>
      <c r="AC644" s="147"/>
      <c r="AD644" s="147"/>
      <c r="AE644" s="147"/>
      <c r="AF644" s="147"/>
      <c r="AG644" s="147"/>
    </row>
    <row r="645">
      <c r="A645" s="147"/>
      <c r="B645" s="147"/>
      <c r="C645" s="147"/>
      <c r="D645" s="147"/>
      <c r="E645" s="147"/>
      <c r="F645" s="205"/>
      <c r="G645" s="147"/>
      <c r="H645" s="147"/>
      <c r="I645" s="147"/>
      <c r="J645" s="147"/>
      <c r="K645" s="147"/>
      <c r="L645" s="147"/>
      <c r="M645" s="147"/>
      <c r="N645" s="147"/>
      <c r="O645" s="147"/>
      <c r="P645" s="147"/>
      <c r="Q645" s="147"/>
      <c r="R645" s="147"/>
      <c r="S645" s="147"/>
      <c r="T645" s="147"/>
      <c r="U645" s="147"/>
      <c r="V645" s="147"/>
      <c r="W645" s="147"/>
      <c r="X645" s="147"/>
      <c r="Y645" s="147"/>
      <c r="Z645" s="147"/>
      <c r="AA645" s="147"/>
      <c r="AB645" s="147"/>
      <c r="AC645" s="147"/>
      <c r="AD645" s="147"/>
      <c r="AE645" s="147"/>
      <c r="AF645" s="147"/>
      <c r="AG645" s="147"/>
    </row>
    <row r="646">
      <c r="A646" s="147"/>
      <c r="B646" s="147"/>
      <c r="C646" s="147"/>
      <c r="D646" s="147"/>
      <c r="E646" s="147"/>
      <c r="F646" s="205"/>
      <c r="G646" s="147"/>
      <c r="H646" s="147"/>
      <c r="I646" s="147"/>
      <c r="J646" s="147"/>
      <c r="K646" s="147"/>
      <c r="L646" s="147"/>
      <c r="M646" s="147"/>
      <c r="N646" s="147"/>
      <c r="O646" s="147"/>
      <c r="P646" s="147"/>
      <c r="Q646" s="147"/>
      <c r="R646" s="147"/>
      <c r="S646" s="147"/>
      <c r="T646" s="147"/>
      <c r="U646" s="147"/>
      <c r="V646" s="147"/>
      <c r="W646" s="147"/>
      <c r="X646" s="147"/>
      <c r="Y646" s="147"/>
      <c r="Z646" s="147"/>
      <c r="AA646" s="147"/>
      <c r="AB646" s="147"/>
      <c r="AC646" s="147"/>
      <c r="AD646" s="147"/>
      <c r="AE646" s="147"/>
      <c r="AF646" s="147"/>
      <c r="AG646" s="147"/>
    </row>
    <row r="647">
      <c r="A647" s="147"/>
      <c r="B647" s="147"/>
      <c r="C647" s="147"/>
      <c r="D647" s="147"/>
      <c r="E647" s="147"/>
      <c r="F647" s="205"/>
      <c r="G647" s="147"/>
      <c r="H647" s="147"/>
      <c r="I647" s="147"/>
      <c r="J647" s="147"/>
      <c r="K647" s="147"/>
      <c r="L647" s="147"/>
      <c r="M647" s="147"/>
      <c r="N647" s="147"/>
      <c r="O647" s="147"/>
      <c r="P647" s="147"/>
      <c r="Q647" s="147"/>
      <c r="R647" s="147"/>
      <c r="S647" s="147"/>
      <c r="T647" s="147"/>
      <c r="U647" s="147"/>
      <c r="V647" s="147"/>
      <c r="W647" s="147"/>
      <c r="X647" s="147"/>
      <c r="Y647" s="147"/>
      <c r="Z647" s="147"/>
      <c r="AA647" s="147"/>
      <c r="AB647" s="147"/>
      <c r="AC647" s="147"/>
      <c r="AD647" s="147"/>
      <c r="AE647" s="147"/>
      <c r="AF647" s="147"/>
      <c r="AG647" s="147"/>
    </row>
    <row r="648">
      <c r="A648" s="147"/>
      <c r="B648" s="147"/>
      <c r="C648" s="147"/>
      <c r="D648" s="147"/>
      <c r="E648" s="147"/>
      <c r="F648" s="205"/>
      <c r="G648" s="147"/>
      <c r="H648" s="147"/>
      <c r="I648" s="147"/>
      <c r="J648" s="147"/>
      <c r="K648" s="147"/>
      <c r="L648" s="147"/>
      <c r="M648" s="147"/>
      <c r="N648" s="147"/>
      <c r="O648" s="147"/>
      <c r="P648" s="147"/>
      <c r="Q648" s="147"/>
      <c r="R648" s="147"/>
      <c r="S648" s="147"/>
      <c r="T648" s="147"/>
      <c r="U648" s="147"/>
      <c r="V648" s="147"/>
      <c r="W648" s="147"/>
      <c r="X648" s="147"/>
      <c r="Y648" s="147"/>
      <c r="Z648" s="147"/>
      <c r="AA648" s="147"/>
      <c r="AB648" s="147"/>
      <c r="AC648" s="147"/>
      <c r="AD648" s="147"/>
      <c r="AE648" s="147"/>
      <c r="AF648" s="147"/>
      <c r="AG648" s="147"/>
    </row>
    <row r="649">
      <c r="A649" s="147"/>
      <c r="B649" s="147"/>
      <c r="C649" s="147"/>
      <c r="D649" s="147"/>
      <c r="E649" s="147"/>
      <c r="F649" s="205"/>
      <c r="G649" s="147"/>
      <c r="H649" s="147"/>
      <c r="I649" s="147"/>
      <c r="J649" s="147"/>
      <c r="K649" s="147"/>
      <c r="L649" s="147"/>
      <c r="M649" s="147"/>
      <c r="N649" s="147"/>
      <c r="O649" s="147"/>
      <c r="P649" s="147"/>
      <c r="Q649" s="147"/>
      <c r="R649" s="147"/>
      <c r="S649" s="147"/>
      <c r="T649" s="147"/>
      <c r="U649" s="147"/>
      <c r="V649" s="147"/>
      <c r="W649" s="147"/>
      <c r="X649" s="147"/>
      <c r="Y649" s="147"/>
      <c r="Z649" s="147"/>
      <c r="AA649" s="147"/>
      <c r="AB649" s="147"/>
      <c r="AC649" s="147"/>
      <c r="AD649" s="147"/>
      <c r="AE649" s="147"/>
      <c r="AF649" s="147"/>
      <c r="AG649" s="147"/>
    </row>
    <row r="650">
      <c r="A650" s="147"/>
      <c r="B650" s="147"/>
      <c r="C650" s="147"/>
      <c r="D650" s="147"/>
      <c r="E650" s="147"/>
      <c r="F650" s="205"/>
      <c r="G650" s="147"/>
      <c r="H650" s="147"/>
      <c r="I650" s="147"/>
      <c r="J650" s="147"/>
      <c r="K650" s="147"/>
      <c r="L650" s="147"/>
      <c r="M650" s="147"/>
      <c r="N650" s="147"/>
      <c r="O650" s="147"/>
      <c r="P650" s="147"/>
      <c r="Q650" s="147"/>
      <c r="R650" s="147"/>
      <c r="S650" s="147"/>
      <c r="T650" s="147"/>
      <c r="U650" s="147"/>
      <c r="V650" s="147"/>
      <c r="W650" s="147"/>
      <c r="X650" s="147"/>
      <c r="Y650" s="147"/>
      <c r="Z650" s="147"/>
      <c r="AA650" s="147"/>
      <c r="AB650" s="147"/>
      <c r="AC650" s="147"/>
      <c r="AD650" s="147"/>
      <c r="AE650" s="147"/>
      <c r="AF650" s="147"/>
      <c r="AG650" s="147"/>
    </row>
    <row r="651">
      <c r="A651" s="147"/>
      <c r="B651" s="147"/>
      <c r="C651" s="147"/>
      <c r="D651" s="147"/>
      <c r="E651" s="147"/>
      <c r="F651" s="205"/>
      <c r="G651" s="147"/>
      <c r="H651" s="147"/>
      <c r="I651" s="147"/>
      <c r="J651" s="147"/>
      <c r="K651" s="147"/>
      <c r="L651" s="147"/>
      <c r="M651" s="147"/>
      <c r="N651" s="147"/>
      <c r="O651" s="147"/>
      <c r="P651" s="147"/>
      <c r="Q651" s="147"/>
      <c r="R651" s="147"/>
      <c r="S651" s="147"/>
      <c r="T651" s="147"/>
      <c r="U651" s="147"/>
      <c r="V651" s="147"/>
      <c r="W651" s="147"/>
      <c r="X651" s="147"/>
      <c r="Y651" s="147"/>
      <c r="Z651" s="147"/>
      <c r="AA651" s="147"/>
      <c r="AB651" s="147"/>
      <c r="AC651" s="147"/>
      <c r="AD651" s="147"/>
      <c r="AE651" s="147"/>
      <c r="AF651" s="147"/>
      <c r="AG651" s="147"/>
    </row>
    <row r="652">
      <c r="A652" s="147"/>
      <c r="B652" s="147"/>
      <c r="C652" s="147"/>
      <c r="D652" s="147"/>
      <c r="E652" s="147"/>
      <c r="F652" s="205"/>
      <c r="G652" s="147"/>
      <c r="H652" s="147"/>
      <c r="I652" s="147"/>
      <c r="J652" s="147"/>
      <c r="K652" s="147"/>
      <c r="L652" s="147"/>
      <c r="M652" s="147"/>
      <c r="N652" s="147"/>
      <c r="O652" s="147"/>
      <c r="P652" s="147"/>
      <c r="Q652" s="147"/>
      <c r="R652" s="147"/>
      <c r="S652" s="147"/>
      <c r="T652" s="147"/>
      <c r="U652" s="147"/>
      <c r="V652" s="147"/>
      <c r="W652" s="147"/>
      <c r="X652" s="147"/>
      <c r="Y652" s="147"/>
      <c r="Z652" s="147"/>
      <c r="AA652" s="147"/>
      <c r="AB652" s="147"/>
      <c r="AC652" s="147"/>
      <c r="AD652" s="147"/>
      <c r="AE652" s="147"/>
      <c r="AF652" s="147"/>
      <c r="AG652" s="147"/>
    </row>
    <row r="653">
      <c r="A653" s="147"/>
      <c r="B653" s="147"/>
      <c r="C653" s="147"/>
      <c r="D653" s="147"/>
      <c r="E653" s="147"/>
      <c r="F653" s="205"/>
      <c r="G653" s="147"/>
      <c r="H653" s="147"/>
      <c r="I653" s="147"/>
      <c r="J653" s="147"/>
      <c r="K653" s="147"/>
      <c r="L653" s="147"/>
      <c r="M653" s="147"/>
      <c r="N653" s="147"/>
      <c r="O653" s="147"/>
      <c r="P653" s="147"/>
      <c r="Q653" s="147"/>
      <c r="R653" s="147"/>
      <c r="S653" s="147"/>
      <c r="T653" s="147"/>
      <c r="U653" s="147"/>
      <c r="V653" s="147"/>
      <c r="W653" s="147"/>
      <c r="X653" s="147"/>
      <c r="Y653" s="147"/>
      <c r="Z653" s="147"/>
      <c r="AA653" s="147"/>
      <c r="AB653" s="147"/>
      <c r="AC653" s="147"/>
      <c r="AD653" s="147"/>
      <c r="AE653" s="147"/>
      <c r="AF653" s="147"/>
      <c r="AG653" s="147"/>
    </row>
    <row r="654">
      <c r="A654" s="147"/>
      <c r="B654" s="147"/>
      <c r="C654" s="147"/>
      <c r="D654" s="147"/>
      <c r="E654" s="147"/>
      <c r="F654" s="205"/>
      <c r="G654" s="147"/>
      <c r="H654" s="147"/>
      <c r="I654" s="147"/>
      <c r="J654" s="147"/>
      <c r="K654" s="147"/>
      <c r="L654" s="147"/>
      <c r="M654" s="147"/>
      <c r="N654" s="147"/>
      <c r="O654" s="147"/>
      <c r="P654" s="147"/>
      <c r="Q654" s="147"/>
      <c r="R654" s="147"/>
      <c r="S654" s="147"/>
      <c r="T654" s="147"/>
      <c r="U654" s="147"/>
      <c r="V654" s="147"/>
      <c r="W654" s="147"/>
      <c r="X654" s="147"/>
      <c r="Y654" s="147"/>
      <c r="Z654" s="147"/>
      <c r="AA654" s="147"/>
      <c r="AB654" s="147"/>
      <c r="AC654" s="147"/>
      <c r="AD654" s="147"/>
      <c r="AE654" s="147"/>
      <c r="AF654" s="147"/>
      <c r="AG654" s="147"/>
    </row>
    <row r="655">
      <c r="A655" s="147"/>
      <c r="B655" s="147"/>
      <c r="C655" s="147"/>
      <c r="D655" s="147"/>
      <c r="E655" s="147"/>
      <c r="F655" s="205"/>
      <c r="G655" s="147"/>
      <c r="H655" s="147"/>
      <c r="I655" s="147"/>
      <c r="J655" s="147"/>
      <c r="K655" s="147"/>
      <c r="L655" s="147"/>
      <c r="M655" s="147"/>
      <c r="N655" s="147"/>
      <c r="O655" s="147"/>
      <c r="P655" s="147"/>
      <c r="Q655" s="147"/>
      <c r="R655" s="147"/>
      <c r="S655" s="147"/>
      <c r="T655" s="147"/>
      <c r="U655" s="147"/>
      <c r="V655" s="147"/>
      <c r="W655" s="147"/>
      <c r="X655" s="147"/>
      <c r="Y655" s="147"/>
      <c r="Z655" s="147"/>
      <c r="AA655" s="147"/>
      <c r="AB655" s="147"/>
      <c r="AC655" s="147"/>
      <c r="AD655" s="147"/>
      <c r="AE655" s="147"/>
      <c r="AF655" s="147"/>
      <c r="AG655" s="147"/>
    </row>
    <row r="656">
      <c r="A656" s="147"/>
      <c r="B656" s="147"/>
      <c r="C656" s="147"/>
      <c r="D656" s="147"/>
      <c r="E656" s="147"/>
      <c r="F656" s="205"/>
      <c r="G656" s="147"/>
      <c r="H656" s="147"/>
      <c r="I656" s="147"/>
      <c r="J656" s="147"/>
      <c r="K656" s="147"/>
      <c r="L656" s="147"/>
      <c r="M656" s="147"/>
      <c r="N656" s="147"/>
      <c r="O656" s="147"/>
      <c r="P656" s="147"/>
      <c r="Q656" s="147"/>
      <c r="R656" s="147"/>
      <c r="S656" s="147"/>
      <c r="T656" s="147"/>
      <c r="U656" s="147"/>
      <c r="V656" s="147"/>
      <c r="W656" s="147"/>
      <c r="X656" s="147"/>
      <c r="Y656" s="147"/>
      <c r="Z656" s="147"/>
      <c r="AA656" s="147"/>
      <c r="AB656" s="147"/>
      <c r="AC656" s="147"/>
      <c r="AD656" s="147"/>
      <c r="AE656" s="147"/>
      <c r="AF656" s="147"/>
      <c r="AG656" s="147"/>
    </row>
    <row r="657">
      <c r="A657" s="147"/>
      <c r="B657" s="147"/>
      <c r="C657" s="147"/>
      <c r="D657" s="147"/>
      <c r="E657" s="147"/>
      <c r="F657" s="205"/>
      <c r="G657" s="147"/>
      <c r="H657" s="147"/>
      <c r="I657" s="147"/>
      <c r="J657" s="147"/>
      <c r="K657" s="147"/>
      <c r="L657" s="147"/>
      <c r="M657" s="147"/>
      <c r="N657" s="147"/>
      <c r="O657" s="147"/>
      <c r="P657" s="147"/>
      <c r="Q657" s="147"/>
      <c r="R657" s="147"/>
      <c r="S657" s="147"/>
      <c r="T657" s="147"/>
      <c r="U657" s="147"/>
      <c r="V657" s="147"/>
      <c r="W657" s="147"/>
      <c r="X657" s="147"/>
      <c r="Y657" s="147"/>
      <c r="Z657" s="147"/>
      <c r="AA657" s="147"/>
      <c r="AB657" s="147"/>
      <c r="AC657" s="147"/>
      <c r="AD657" s="147"/>
      <c r="AE657" s="147"/>
      <c r="AF657" s="147"/>
      <c r="AG657" s="147"/>
    </row>
    <row r="658">
      <c r="A658" s="147"/>
      <c r="B658" s="147"/>
      <c r="C658" s="147"/>
      <c r="D658" s="147"/>
      <c r="E658" s="147"/>
      <c r="F658" s="205"/>
      <c r="G658" s="147"/>
      <c r="H658" s="147"/>
      <c r="I658" s="147"/>
      <c r="J658" s="147"/>
      <c r="K658" s="147"/>
      <c r="L658" s="147"/>
      <c r="M658" s="147"/>
      <c r="N658" s="147"/>
      <c r="O658" s="147"/>
      <c r="P658" s="147"/>
      <c r="Q658" s="147"/>
      <c r="R658" s="147"/>
      <c r="S658" s="147"/>
      <c r="T658" s="147"/>
      <c r="U658" s="147"/>
      <c r="V658" s="147"/>
      <c r="W658" s="147"/>
      <c r="X658" s="147"/>
      <c r="Y658" s="147"/>
      <c r="Z658" s="147"/>
      <c r="AA658" s="147"/>
      <c r="AB658" s="147"/>
      <c r="AC658" s="147"/>
      <c r="AD658" s="147"/>
      <c r="AE658" s="147"/>
      <c r="AF658" s="147"/>
      <c r="AG658" s="147"/>
    </row>
    <row r="659">
      <c r="A659" s="147"/>
      <c r="B659" s="147"/>
      <c r="C659" s="147"/>
      <c r="D659" s="147"/>
      <c r="E659" s="147"/>
      <c r="F659" s="205"/>
      <c r="G659" s="147"/>
      <c r="H659" s="147"/>
      <c r="I659" s="147"/>
      <c r="J659" s="147"/>
      <c r="K659" s="147"/>
      <c r="L659" s="147"/>
      <c r="M659" s="147"/>
      <c r="N659" s="147"/>
      <c r="O659" s="147"/>
      <c r="P659" s="147"/>
      <c r="Q659" s="147"/>
      <c r="R659" s="147"/>
      <c r="S659" s="147"/>
      <c r="T659" s="147"/>
      <c r="U659" s="147"/>
      <c r="V659" s="147"/>
      <c r="W659" s="147"/>
      <c r="X659" s="147"/>
      <c r="Y659" s="147"/>
      <c r="Z659" s="147"/>
      <c r="AA659" s="147"/>
      <c r="AB659" s="147"/>
      <c r="AC659" s="147"/>
      <c r="AD659" s="147"/>
      <c r="AE659" s="147"/>
      <c r="AF659" s="147"/>
      <c r="AG659" s="147"/>
    </row>
    <row r="660">
      <c r="A660" s="147"/>
      <c r="B660" s="147"/>
      <c r="C660" s="147"/>
      <c r="D660" s="147"/>
      <c r="E660" s="147"/>
      <c r="F660" s="205"/>
      <c r="G660" s="147"/>
      <c r="H660" s="147"/>
      <c r="I660" s="147"/>
      <c r="J660" s="147"/>
      <c r="K660" s="147"/>
      <c r="L660" s="147"/>
      <c r="M660" s="147"/>
      <c r="N660" s="147"/>
      <c r="O660" s="147"/>
      <c r="P660" s="147"/>
      <c r="Q660" s="147"/>
      <c r="R660" s="147"/>
      <c r="S660" s="147"/>
      <c r="T660" s="147"/>
      <c r="U660" s="147"/>
      <c r="V660" s="147"/>
      <c r="W660" s="147"/>
      <c r="X660" s="147"/>
      <c r="Y660" s="147"/>
      <c r="Z660" s="147"/>
      <c r="AA660" s="147"/>
      <c r="AB660" s="147"/>
      <c r="AC660" s="147"/>
      <c r="AD660" s="147"/>
      <c r="AE660" s="147"/>
      <c r="AF660" s="147"/>
      <c r="AG660" s="147"/>
    </row>
    <row r="661">
      <c r="A661" s="147"/>
      <c r="B661" s="147"/>
      <c r="C661" s="147"/>
      <c r="D661" s="147"/>
      <c r="E661" s="147"/>
      <c r="F661" s="205"/>
      <c r="G661" s="147"/>
      <c r="H661" s="147"/>
      <c r="I661" s="147"/>
      <c r="J661" s="147"/>
      <c r="K661" s="147"/>
      <c r="L661" s="147"/>
      <c r="M661" s="147"/>
      <c r="N661" s="147"/>
      <c r="O661" s="147"/>
      <c r="P661" s="147"/>
      <c r="Q661" s="147"/>
      <c r="R661" s="147"/>
      <c r="S661" s="147"/>
      <c r="T661" s="147"/>
      <c r="U661" s="147"/>
      <c r="V661" s="147"/>
      <c r="W661" s="147"/>
      <c r="X661" s="147"/>
      <c r="Y661" s="147"/>
      <c r="Z661" s="147"/>
      <c r="AA661" s="147"/>
      <c r="AB661" s="147"/>
      <c r="AC661" s="147"/>
      <c r="AD661" s="147"/>
      <c r="AE661" s="147"/>
      <c r="AF661" s="147"/>
      <c r="AG661" s="147"/>
    </row>
    <row r="662">
      <c r="A662" s="147"/>
      <c r="B662" s="147"/>
      <c r="C662" s="147"/>
      <c r="D662" s="147"/>
      <c r="E662" s="147"/>
      <c r="F662" s="205"/>
      <c r="G662" s="147"/>
      <c r="H662" s="147"/>
      <c r="I662" s="147"/>
      <c r="J662" s="147"/>
      <c r="K662" s="147"/>
      <c r="L662" s="147"/>
      <c r="M662" s="147"/>
      <c r="N662" s="147"/>
      <c r="O662" s="147"/>
      <c r="P662" s="147"/>
      <c r="Q662" s="147"/>
      <c r="R662" s="147"/>
      <c r="S662" s="147"/>
      <c r="T662" s="147"/>
      <c r="U662" s="147"/>
      <c r="V662" s="147"/>
      <c r="W662" s="147"/>
      <c r="X662" s="147"/>
      <c r="Y662" s="147"/>
      <c r="Z662" s="147"/>
      <c r="AA662" s="147"/>
      <c r="AB662" s="147"/>
      <c r="AC662" s="147"/>
      <c r="AD662" s="147"/>
      <c r="AE662" s="147"/>
      <c r="AF662" s="147"/>
      <c r="AG662" s="147"/>
    </row>
    <row r="663">
      <c r="A663" s="147"/>
      <c r="B663" s="147"/>
      <c r="C663" s="147"/>
      <c r="D663" s="147"/>
      <c r="E663" s="147"/>
      <c r="F663" s="205"/>
      <c r="G663" s="147"/>
      <c r="H663" s="147"/>
      <c r="I663" s="147"/>
      <c r="J663" s="147"/>
      <c r="K663" s="147"/>
      <c r="L663" s="147"/>
      <c r="M663" s="147"/>
      <c r="N663" s="147"/>
      <c r="O663" s="147"/>
      <c r="P663" s="147"/>
      <c r="Q663" s="147"/>
      <c r="R663" s="147"/>
      <c r="S663" s="147"/>
      <c r="T663" s="147"/>
      <c r="U663" s="147"/>
      <c r="V663" s="147"/>
      <c r="W663" s="147"/>
      <c r="X663" s="147"/>
      <c r="Y663" s="147"/>
      <c r="Z663" s="147"/>
      <c r="AA663" s="147"/>
      <c r="AB663" s="147"/>
      <c r="AC663" s="147"/>
      <c r="AD663" s="147"/>
      <c r="AE663" s="147"/>
      <c r="AF663" s="147"/>
      <c r="AG663" s="147"/>
    </row>
    <row r="664">
      <c r="A664" s="147"/>
      <c r="B664" s="147"/>
      <c r="C664" s="147"/>
      <c r="D664" s="147"/>
      <c r="E664" s="147"/>
      <c r="F664" s="205"/>
      <c r="G664" s="147"/>
      <c r="H664" s="147"/>
      <c r="I664" s="147"/>
      <c r="J664" s="147"/>
      <c r="K664" s="147"/>
      <c r="L664" s="147"/>
      <c r="M664" s="147"/>
      <c r="N664" s="147"/>
      <c r="O664" s="147"/>
      <c r="P664" s="147"/>
      <c r="Q664" s="147"/>
      <c r="R664" s="147"/>
      <c r="S664" s="147"/>
      <c r="T664" s="147"/>
      <c r="U664" s="147"/>
      <c r="V664" s="147"/>
      <c r="W664" s="147"/>
      <c r="X664" s="147"/>
      <c r="Y664" s="147"/>
      <c r="Z664" s="147"/>
      <c r="AA664" s="147"/>
      <c r="AB664" s="147"/>
      <c r="AC664" s="147"/>
      <c r="AD664" s="147"/>
      <c r="AE664" s="147"/>
      <c r="AF664" s="147"/>
      <c r="AG664" s="147"/>
    </row>
    <row r="665">
      <c r="A665" s="147"/>
      <c r="B665" s="147"/>
      <c r="C665" s="147"/>
      <c r="D665" s="147"/>
      <c r="E665" s="147"/>
      <c r="F665" s="205"/>
      <c r="G665" s="147"/>
      <c r="H665" s="147"/>
      <c r="I665" s="147"/>
      <c r="J665" s="147"/>
      <c r="K665" s="147"/>
      <c r="L665" s="147"/>
      <c r="M665" s="147"/>
      <c r="N665" s="147"/>
      <c r="O665" s="147"/>
      <c r="P665" s="147"/>
      <c r="Q665" s="147"/>
      <c r="R665" s="147"/>
      <c r="S665" s="147"/>
      <c r="T665" s="147"/>
      <c r="U665" s="147"/>
      <c r="V665" s="147"/>
      <c r="W665" s="147"/>
      <c r="X665" s="147"/>
      <c r="Y665" s="147"/>
      <c r="Z665" s="147"/>
      <c r="AA665" s="147"/>
      <c r="AB665" s="147"/>
      <c r="AC665" s="147"/>
      <c r="AD665" s="147"/>
      <c r="AE665" s="147"/>
      <c r="AF665" s="147"/>
      <c r="AG665" s="147"/>
    </row>
    <row r="666">
      <c r="A666" s="147"/>
      <c r="B666" s="147"/>
      <c r="C666" s="147"/>
      <c r="D666" s="147"/>
      <c r="E666" s="147"/>
      <c r="F666" s="205"/>
      <c r="G666" s="147"/>
      <c r="H666" s="147"/>
      <c r="I666" s="147"/>
      <c r="J666" s="147"/>
      <c r="K666" s="147"/>
      <c r="L666" s="147"/>
      <c r="M666" s="147"/>
      <c r="N666" s="147"/>
      <c r="O666" s="147"/>
      <c r="P666" s="147"/>
      <c r="Q666" s="147"/>
      <c r="R666" s="147"/>
      <c r="S666" s="147"/>
      <c r="T666" s="147"/>
      <c r="U666" s="147"/>
      <c r="V666" s="147"/>
      <c r="W666" s="147"/>
      <c r="X666" s="147"/>
      <c r="Y666" s="147"/>
      <c r="Z666" s="147"/>
      <c r="AA666" s="147"/>
      <c r="AB666" s="147"/>
      <c r="AC666" s="147"/>
      <c r="AD666" s="147"/>
      <c r="AE666" s="147"/>
      <c r="AF666" s="147"/>
      <c r="AG666" s="147"/>
    </row>
    <row r="667">
      <c r="A667" s="147"/>
      <c r="B667" s="147"/>
      <c r="C667" s="147"/>
      <c r="D667" s="147"/>
      <c r="E667" s="147"/>
      <c r="F667" s="205"/>
      <c r="G667" s="147"/>
      <c r="H667" s="147"/>
      <c r="I667" s="147"/>
      <c r="J667" s="147"/>
      <c r="K667" s="147"/>
      <c r="L667" s="147"/>
      <c r="M667" s="147"/>
      <c r="N667" s="147"/>
      <c r="O667" s="147"/>
      <c r="P667" s="147"/>
      <c r="Q667" s="147"/>
      <c r="R667" s="147"/>
      <c r="S667" s="147"/>
      <c r="T667" s="147"/>
      <c r="U667" s="147"/>
      <c r="V667" s="147"/>
      <c r="W667" s="147"/>
      <c r="X667" s="147"/>
      <c r="Y667" s="147"/>
      <c r="Z667" s="147"/>
      <c r="AA667" s="147"/>
      <c r="AB667" s="147"/>
      <c r="AC667" s="147"/>
      <c r="AD667" s="147"/>
      <c r="AE667" s="147"/>
      <c r="AF667" s="147"/>
      <c r="AG667" s="147"/>
    </row>
    <row r="668">
      <c r="A668" s="147"/>
      <c r="B668" s="147"/>
      <c r="C668" s="147"/>
      <c r="D668" s="147"/>
      <c r="E668" s="147"/>
      <c r="F668" s="205"/>
      <c r="G668" s="147"/>
      <c r="H668" s="147"/>
      <c r="I668" s="147"/>
      <c r="J668" s="147"/>
      <c r="K668" s="147"/>
      <c r="L668" s="147"/>
      <c r="M668" s="147"/>
      <c r="N668" s="147"/>
      <c r="O668" s="147"/>
      <c r="P668" s="147"/>
      <c r="Q668" s="147"/>
      <c r="R668" s="147"/>
      <c r="S668" s="147"/>
      <c r="T668" s="147"/>
      <c r="U668" s="147"/>
      <c r="V668" s="147"/>
      <c r="W668" s="147"/>
      <c r="X668" s="147"/>
      <c r="Y668" s="147"/>
      <c r="Z668" s="147"/>
      <c r="AA668" s="147"/>
      <c r="AB668" s="147"/>
      <c r="AC668" s="147"/>
      <c r="AD668" s="147"/>
      <c r="AE668" s="147"/>
      <c r="AF668" s="147"/>
      <c r="AG668" s="147"/>
    </row>
    <row r="669">
      <c r="A669" s="147"/>
      <c r="B669" s="147"/>
      <c r="C669" s="147"/>
      <c r="D669" s="147"/>
      <c r="E669" s="147"/>
      <c r="F669" s="205"/>
      <c r="G669" s="147"/>
      <c r="H669" s="147"/>
      <c r="I669" s="147"/>
      <c r="J669" s="147"/>
      <c r="K669" s="147"/>
      <c r="L669" s="147"/>
      <c r="M669" s="147"/>
      <c r="N669" s="147"/>
      <c r="O669" s="147"/>
      <c r="P669" s="147"/>
      <c r="Q669" s="147"/>
      <c r="R669" s="147"/>
      <c r="S669" s="147"/>
      <c r="T669" s="147"/>
      <c r="U669" s="147"/>
      <c r="V669" s="147"/>
      <c r="W669" s="147"/>
      <c r="X669" s="147"/>
      <c r="Y669" s="147"/>
      <c r="Z669" s="147"/>
      <c r="AA669" s="147"/>
      <c r="AB669" s="147"/>
      <c r="AC669" s="147"/>
      <c r="AD669" s="147"/>
      <c r="AE669" s="147"/>
      <c r="AF669" s="147"/>
      <c r="AG669" s="147"/>
    </row>
    <row r="670">
      <c r="A670" s="147"/>
      <c r="B670" s="147"/>
      <c r="C670" s="147"/>
      <c r="D670" s="147"/>
      <c r="E670" s="147"/>
      <c r="F670" s="205"/>
      <c r="G670" s="147"/>
      <c r="H670" s="147"/>
      <c r="I670" s="147"/>
      <c r="J670" s="147"/>
      <c r="K670" s="147"/>
      <c r="L670" s="147"/>
      <c r="M670" s="147"/>
      <c r="N670" s="147"/>
      <c r="O670" s="147"/>
      <c r="P670" s="147"/>
      <c r="Q670" s="147"/>
      <c r="R670" s="147"/>
      <c r="S670" s="147"/>
      <c r="T670" s="147"/>
      <c r="U670" s="147"/>
      <c r="V670" s="147"/>
      <c r="W670" s="147"/>
      <c r="X670" s="147"/>
      <c r="Y670" s="147"/>
      <c r="Z670" s="147"/>
      <c r="AA670" s="147"/>
      <c r="AB670" s="147"/>
      <c r="AC670" s="147"/>
      <c r="AD670" s="147"/>
      <c r="AE670" s="147"/>
      <c r="AF670" s="147"/>
      <c r="AG670" s="147"/>
    </row>
    <row r="671">
      <c r="A671" s="147"/>
      <c r="B671" s="147"/>
      <c r="C671" s="147"/>
      <c r="D671" s="147"/>
      <c r="E671" s="147"/>
      <c r="F671" s="205"/>
      <c r="G671" s="147"/>
      <c r="H671" s="147"/>
      <c r="I671" s="147"/>
      <c r="J671" s="147"/>
      <c r="K671" s="147"/>
      <c r="L671" s="147"/>
      <c r="M671" s="147"/>
      <c r="N671" s="147"/>
      <c r="O671" s="147"/>
      <c r="P671" s="147"/>
      <c r="Q671" s="147"/>
      <c r="R671" s="147"/>
      <c r="S671" s="147"/>
      <c r="T671" s="147"/>
      <c r="U671" s="147"/>
      <c r="V671" s="147"/>
      <c r="W671" s="147"/>
      <c r="X671" s="147"/>
      <c r="Y671" s="147"/>
      <c r="Z671" s="147"/>
      <c r="AA671" s="147"/>
      <c r="AB671" s="147"/>
      <c r="AC671" s="147"/>
      <c r="AD671" s="147"/>
      <c r="AE671" s="147"/>
      <c r="AF671" s="147"/>
      <c r="AG671" s="147"/>
    </row>
    <row r="672">
      <c r="A672" s="147"/>
      <c r="B672" s="147"/>
      <c r="C672" s="147"/>
      <c r="D672" s="147"/>
      <c r="E672" s="147"/>
      <c r="F672" s="205"/>
      <c r="G672" s="147"/>
      <c r="H672" s="147"/>
      <c r="I672" s="147"/>
      <c r="J672" s="147"/>
      <c r="K672" s="147"/>
      <c r="L672" s="147"/>
      <c r="M672" s="147"/>
      <c r="N672" s="147"/>
      <c r="O672" s="147"/>
      <c r="P672" s="147"/>
      <c r="Q672" s="147"/>
      <c r="R672" s="147"/>
      <c r="S672" s="147"/>
      <c r="T672" s="147"/>
      <c r="U672" s="147"/>
      <c r="V672" s="147"/>
      <c r="W672" s="147"/>
      <c r="X672" s="147"/>
      <c r="Y672" s="147"/>
      <c r="Z672" s="147"/>
      <c r="AA672" s="147"/>
      <c r="AB672" s="147"/>
      <c r="AC672" s="147"/>
      <c r="AD672" s="147"/>
      <c r="AE672" s="147"/>
      <c r="AF672" s="147"/>
      <c r="AG672" s="147"/>
    </row>
    <row r="673">
      <c r="A673" s="147"/>
      <c r="B673" s="147"/>
      <c r="C673" s="147"/>
      <c r="D673" s="147"/>
      <c r="E673" s="147"/>
      <c r="F673" s="205"/>
      <c r="G673" s="147"/>
      <c r="H673" s="147"/>
      <c r="I673" s="147"/>
      <c r="J673" s="147"/>
      <c r="K673" s="147"/>
      <c r="L673" s="147"/>
      <c r="M673" s="147"/>
      <c r="N673" s="147"/>
      <c r="O673" s="147"/>
      <c r="P673" s="147"/>
      <c r="Q673" s="147"/>
      <c r="R673" s="147"/>
      <c r="S673" s="147"/>
      <c r="T673" s="147"/>
      <c r="U673" s="147"/>
      <c r="V673" s="147"/>
      <c r="W673" s="147"/>
      <c r="X673" s="147"/>
      <c r="Y673" s="147"/>
      <c r="Z673" s="147"/>
      <c r="AA673" s="147"/>
      <c r="AB673" s="147"/>
      <c r="AC673" s="147"/>
      <c r="AD673" s="147"/>
      <c r="AE673" s="147"/>
      <c r="AF673" s="147"/>
      <c r="AG673" s="147"/>
    </row>
    <row r="674">
      <c r="A674" s="147"/>
      <c r="B674" s="147"/>
      <c r="C674" s="147"/>
      <c r="D674" s="147"/>
      <c r="E674" s="147"/>
      <c r="F674" s="205"/>
      <c r="G674" s="147"/>
      <c r="H674" s="147"/>
      <c r="I674" s="147"/>
      <c r="J674" s="147"/>
      <c r="K674" s="147"/>
      <c r="L674" s="147"/>
      <c r="M674" s="147"/>
      <c r="N674" s="147"/>
      <c r="O674" s="147"/>
      <c r="P674" s="147"/>
      <c r="Q674" s="147"/>
      <c r="R674" s="147"/>
      <c r="S674" s="147"/>
      <c r="T674" s="147"/>
      <c r="U674" s="147"/>
      <c r="V674" s="147"/>
      <c r="W674" s="147"/>
      <c r="X674" s="147"/>
      <c r="Y674" s="147"/>
      <c r="Z674" s="147"/>
      <c r="AA674" s="147"/>
      <c r="AB674" s="147"/>
      <c r="AC674" s="147"/>
      <c r="AD674" s="147"/>
      <c r="AE674" s="147"/>
      <c r="AF674" s="147"/>
      <c r="AG674" s="147"/>
    </row>
    <row r="675">
      <c r="A675" s="147"/>
      <c r="B675" s="147"/>
      <c r="C675" s="147"/>
      <c r="D675" s="147"/>
      <c r="E675" s="147"/>
      <c r="F675" s="205"/>
      <c r="G675" s="147"/>
      <c r="H675" s="147"/>
      <c r="I675" s="147"/>
      <c r="J675" s="147"/>
      <c r="K675" s="147"/>
      <c r="L675" s="147"/>
      <c r="M675" s="147"/>
      <c r="N675" s="147"/>
      <c r="O675" s="147"/>
      <c r="P675" s="147"/>
      <c r="Q675" s="147"/>
      <c r="R675" s="147"/>
      <c r="S675" s="147"/>
      <c r="T675" s="147"/>
      <c r="U675" s="147"/>
      <c r="V675" s="147"/>
      <c r="W675" s="147"/>
      <c r="X675" s="147"/>
      <c r="Y675" s="147"/>
      <c r="Z675" s="147"/>
      <c r="AA675" s="147"/>
      <c r="AB675" s="147"/>
      <c r="AC675" s="147"/>
      <c r="AD675" s="147"/>
      <c r="AE675" s="147"/>
      <c r="AF675" s="147"/>
      <c r="AG675" s="147"/>
    </row>
    <row r="676">
      <c r="A676" s="147"/>
      <c r="B676" s="147"/>
      <c r="C676" s="147"/>
      <c r="D676" s="147"/>
      <c r="E676" s="147"/>
      <c r="F676" s="205"/>
      <c r="G676" s="147"/>
      <c r="H676" s="147"/>
      <c r="I676" s="147"/>
      <c r="J676" s="147"/>
      <c r="K676" s="147"/>
      <c r="L676" s="147"/>
      <c r="M676" s="147"/>
      <c r="N676" s="147"/>
      <c r="O676" s="147"/>
      <c r="P676" s="147"/>
      <c r="Q676" s="147"/>
      <c r="R676" s="147"/>
      <c r="S676" s="147"/>
      <c r="T676" s="147"/>
      <c r="U676" s="147"/>
      <c r="V676" s="147"/>
      <c r="W676" s="147"/>
      <c r="X676" s="147"/>
      <c r="Y676" s="147"/>
      <c r="Z676" s="147"/>
      <c r="AA676" s="147"/>
      <c r="AB676" s="147"/>
      <c r="AC676" s="147"/>
      <c r="AD676" s="147"/>
      <c r="AE676" s="147"/>
      <c r="AF676" s="147"/>
      <c r="AG676" s="147"/>
    </row>
    <row r="677">
      <c r="A677" s="147"/>
      <c r="B677" s="147"/>
      <c r="C677" s="147"/>
      <c r="D677" s="147"/>
      <c r="E677" s="147"/>
      <c r="F677" s="205"/>
      <c r="G677" s="147"/>
      <c r="H677" s="147"/>
      <c r="I677" s="147"/>
      <c r="J677" s="147"/>
      <c r="K677" s="147"/>
      <c r="L677" s="147"/>
      <c r="M677" s="147"/>
      <c r="N677" s="147"/>
      <c r="O677" s="147"/>
      <c r="P677" s="147"/>
      <c r="Q677" s="147"/>
      <c r="R677" s="147"/>
      <c r="S677" s="147"/>
      <c r="T677" s="147"/>
      <c r="U677" s="147"/>
      <c r="V677" s="147"/>
      <c r="W677" s="147"/>
      <c r="X677" s="147"/>
      <c r="Y677" s="147"/>
      <c r="Z677" s="147"/>
      <c r="AA677" s="147"/>
      <c r="AB677" s="147"/>
      <c r="AC677" s="147"/>
      <c r="AD677" s="147"/>
      <c r="AE677" s="147"/>
      <c r="AF677" s="147"/>
      <c r="AG677" s="147"/>
    </row>
    <row r="678">
      <c r="A678" s="147"/>
      <c r="B678" s="147"/>
      <c r="C678" s="147"/>
      <c r="D678" s="147"/>
      <c r="E678" s="147"/>
      <c r="F678" s="205"/>
      <c r="G678" s="147"/>
      <c r="H678" s="147"/>
      <c r="I678" s="147"/>
      <c r="J678" s="147"/>
      <c r="K678" s="147"/>
      <c r="L678" s="147"/>
      <c r="M678" s="147"/>
      <c r="N678" s="147"/>
      <c r="O678" s="147"/>
      <c r="P678" s="147"/>
      <c r="Q678" s="147"/>
      <c r="R678" s="147"/>
      <c r="S678" s="147"/>
      <c r="T678" s="147"/>
      <c r="U678" s="147"/>
      <c r="V678" s="147"/>
      <c r="W678" s="147"/>
      <c r="X678" s="147"/>
      <c r="Y678" s="147"/>
      <c r="Z678" s="147"/>
      <c r="AA678" s="147"/>
      <c r="AB678" s="147"/>
      <c r="AC678" s="147"/>
      <c r="AD678" s="147"/>
      <c r="AE678" s="147"/>
      <c r="AF678" s="147"/>
      <c r="AG678" s="147"/>
    </row>
    <row r="679">
      <c r="A679" s="147"/>
      <c r="B679" s="147"/>
      <c r="C679" s="147"/>
      <c r="D679" s="147"/>
      <c r="E679" s="147"/>
      <c r="F679" s="205"/>
      <c r="G679" s="147"/>
      <c r="H679" s="147"/>
      <c r="I679" s="147"/>
      <c r="J679" s="147"/>
      <c r="K679" s="147"/>
      <c r="L679" s="147"/>
      <c r="M679" s="147"/>
      <c r="N679" s="147"/>
      <c r="O679" s="147"/>
      <c r="P679" s="147"/>
      <c r="Q679" s="147"/>
      <c r="R679" s="147"/>
      <c r="S679" s="147"/>
      <c r="T679" s="147"/>
      <c r="U679" s="147"/>
      <c r="V679" s="147"/>
      <c r="W679" s="147"/>
      <c r="X679" s="147"/>
      <c r="Y679" s="147"/>
      <c r="Z679" s="147"/>
      <c r="AA679" s="147"/>
      <c r="AB679" s="147"/>
      <c r="AC679" s="147"/>
      <c r="AD679" s="147"/>
      <c r="AE679" s="147"/>
      <c r="AF679" s="147"/>
      <c r="AG679" s="147"/>
    </row>
    <row r="680">
      <c r="A680" s="147"/>
      <c r="B680" s="147"/>
      <c r="C680" s="147"/>
      <c r="D680" s="147"/>
      <c r="E680" s="147"/>
      <c r="F680" s="205"/>
      <c r="G680" s="147"/>
      <c r="H680" s="147"/>
      <c r="I680" s="147"/>
      <c r="J680" s="147"/>
      <c r="K680" s="147"/>
      <c r="L680" s="147"/>
      <c r="M680" s="147"/>
      <c r="N680" s="147"/>
      <c r="O680" s="147"/>
      <c r="P680" s="147"/>
      <c r="Q680" s="147"/>
      <c r="R680" s="147"/>
      <c r="S680" s="147"/>
      <c r="T680" s="147"/>
      <c r="U680" s="147"/>
      <c r="V680" s="147"/>
      <c r="W680" s="147"/>
      <c r="X680" s="147"/>
      <c r="Y680" s="147"/>
      <c r="Z680" s="147"/>
      <c r="AA680" s="147"/>
      <c r="AB680" s="147"/>
      <c r="AC680" s="147"/>
      <c r="AD680" s="147"/>
      <c r="AE680" s="147"/>
      <c r="AF680" s="147"/>
      <c r="AG680" s="147"/>
    </row>
    <row r="681">
      <c r="A681" s="147"/>
      <c r="B681" s="147"/>
      <c r="C681" s="147"/>
      <c r="D681" s="147"/>
      <c r="E681" s="147"/>
      <c r="F681" s="205"/>
      <c r="G681" s="147"/>
      <c r="H681" s="147"/>
      <c r="I681" s="147"/>
      <c r="J681" s="147"/>
      <c r="K681" s="147"/>
      <c r="L681" s="147"/>
      <c r="M681" s="147"/>
      <c r="N681" s="147"/>
      <c r="O681" s="147"/>
      <c r="P681" s="147"/>
      <c r="Q681" s="147"/>
      <c r="R681" s="147"/>
      <c r="S681" s="147"/>
      <c r="T681" s="147"/>
      <c r="U681" s="147"/>
      <c r="V681" s="147"/>
      <c r="W681" s="147"/>
      <c r="X681" s="147"/>
      <c r="Y681" s="147"/>
      <c r="Z681" s="147"/>
      <c r="AA681" s="147"/>
      <c r="AB681" s="147"/>
      <c r="AC681" s="147"/>
      <c r="AD681" s="147"/>
      <c r="AE681" s="147"/>
      <c r="AF681" s="147"/>
      <c r="AG681" s="147"/>
    </row>
    <row r="682">
      <c r="A682" s="147"/>
      <c r="B682" s="147"/>
      <c r="C682" s="147"/>
      <c r="D682" s="147"/>
      <c r="E682" s="147"/>
      <c r="F682" s="205"/>
      <c r="G682" s="147"/>
      <c r="H682" s="147"/>
      <c r="I682" s="147"/>
      <c r="J682" s="147"/>
      <c r="K682" s="147"/>
      <c r="L682" s="147"/>
      <c r="M682" s="147"/>
      <c r="N682" s="147"/>
      <c r="O682" s="147"/>
      <c r="P682" s="147"/>
      <c r="Q682" s="147"/>
      <c r="R682" s="147"/>
      <c r="S682" s="147"/>
      <c r="T682" s="147"/>
      <c r="U682" s="147"/>
      <c r="V682" s="147"/>
      <c r="W682" s="147"/>
      <c r="X682" s="147"/>
      <c r="Y682" s="147"/>
      <c r="Z682" s="147"/>
      <c r="AA682" s="147"/>
      <c r="AB682" s="147"/>
      <c r="AC682" s="147"/>
      <c r="AD682" s="147"/>
      <c r="AE682" s="147"/>
      <c r="AF682" s="147"/>
      <c r="AG682" s="147"/>
    </row>
    <row r="683">
      <c r="A683" s="147"/>
      <c r="B683" s="147"/>
      <c r="C683" s="147"/>
      <c r="D683" s="147"/>
      <c r="E683" s="147"/>
      <c r="F683" s="205"/>
      <c r="G683" s="147"/>
      <c r="H683" s="147"/>
      <c r="I683" s="147"/>
      <c r="J683" s="147"/>
      <c r="K683" s="147"/>
      <c r="L683" s="147"/>
      <c r="M683" s="147"/>
      <c r="N683" s="147"/>
      <c r="O683" s="147"/>
      <c r="P683" s="147"/>
      <c r="Q683" s="147"/>
      <c r="R683" s="147"/>
      <c r="S683" s="147"/>
      <c r="T683" s="147"/>
      <c r="U683" s="147"/>
      <c r="V683" s="147"/>
      <c r="W683" s="147"/>
      <c r="X683" s="147"/>
      <c r="Y683" s="147"/>
      <c r="Z683" s="147"/>
      <c r="AA683" s="147"/>
      <c r="AB683" s="147"/>
      <c r="AC683" s="147"/>
      <c r="AD683" s="147"/>
      <c r="AE683" s="147"/>
      <c r="AF683" s="147"/>
      <c r="AG683" s="147"/>
    </row>
    <row r="684">
      <c r="A684" s="147"/>
      <c r="B684" s="147"/>
      <c r="C684" s="147"/>
      <c r="D684" s="147"/>
      <c r="E684" s="147"/>
      <c r="F684" s="205"/>
      <c r="G684" s="147"/>
      <c r="H684" s="147"/>
      <c r="I684" s="147"/>
      <c r="J684" s="147"/>
      <c r="K684" s="147"/>
      <c r="L684" s="147"/>
      <c r="M684" s="147"/>
      <c r="N684" s="147"/>
      <c r="O684" s="147"/>
      <c r="P684" s="147"/>
      <c r="Q684" s="147"/>
      <c r="R684" s="147"/>
      <c r="S684" s="147"/>
      <c r="T684" s="147"/>
      <c r="U684" s="147"/>
      <c r="V684" s="147"/>
      <c r="W684" s="147"/>
      <c r="X684" s="147"/>
      <c r="Y684" s="147"/>
      <c r="Z684" s="147"/>
      <c r="AA684" s="147"/>
      <c r="AB684" s="147"/>
      <c r="AC684" s="147"/>
      <c r="AD684" s="147"/>
      <c r="AE684" s="147"/>
      <c r="AF684" s="147"/>
      <c r="AG684" s="147"/>
    </row>
    <row r="685">
      <c r="A685" s="147"/>
      <c r="B685" s="147"/>
      <c r="C685" s="147"/>
      <c r="D685" s="147"/>
      <c r="E685" s="147"/>
      <c r="F685" s="205"/>
      <c r="G685" s="147"/>
      <c r="H685" s="147"/>
      <c r="I685" s="147"/>
      <c r="J685" s="147"/>
      <c r="K685" s="147"/>
      <c r="L685" s="147"/>
      <c r="M685" s="147"/>
      <c r="N685" s="147"/>
      <c r="O685" s="147"/>
      <c r="P685" s="147"/>
      <c r="Q685" s="147"/>
      <c r="R685" s="147"/>
      <c r="S685" s="147"/>
      <c r="T685" s="147"/>
      <c r="U685" s="147"/>
      <c r="V685" s="147"/>
      <c r="W685" s="147"/>
      <c r="X685" s="147"/>
      <c r="Y685" s="147"/>
      <c r="Z685" s="147"/>
      <c r="AA685" s="147"/>
      <c r="AB685" s="147"/>
      <c r="AC685" s="147"/>
      <c r="AD685" s="147"/>
      <c r="AE685" s="147"/>
      <c r="AF685" s="147"/>
      <c r="AG685" s="147"/>
    </row>
    <row r="686">
      <c r="A686" s="147"/>
      <c r="B686" s="147"/>
      <c r="C686" s="147"/>
      <c r="D686" s="147"/>
      <c r="E686" s="147"/>
      <c r="F686" s="205"/>
      <c r="G686" s="147"/>
      <c r="H686" s="147"/>
      <c r="I686" s="147"/>
      <c r="J686" s="147"/>
      <c r="K686" s="147"/>
      <c r="L686" s="147"/>
      <c r="M686" s="147"/>
      <c r="N686" s="147"/>
      <c r="O686" s="147"/>
      <c r="P686" s="147"/>
      <c r="Q686" s="147"/>
      <c r="R686" s="147"/>
      <c r="S686" s="147"/>
      <c r="T686" s="147"/>
      <c r="U686" s="147"/>
      <c r="V686" s="147"/>
      <c r="W686" s="147"/>
      <c r="X686" s="147"/>
      <c r="Y686" s="147"/>
      <c r="Z686" s="147"/>
      <c r="AA686" s="147"/>
      <c r="AB686" s="147"/>
      <c r="AC686" s="147"/>
      <c r="AD686" s="147"/>
      <c r="AE686" s="147"/>
      <c r="AF686" s="147"/>
      <c r="AG686" s="147"/>
    </row>
    <row r="687">
      <c r="A687" s="147"/>
      <c r="B687" s="147"/>
      <c r="C687" s="147"/>
      <c r="D687" s="147"/>
      <c r="E687" s="147"/>
      <c r="F687" s="205"/>
      <c r="G687" s="147"/>
      <c r="H687" s="147"/>
      <c r="I687" s="147"/>
      <c r="J687" s="147"/>
      <c r="K687" s="147"/>
      <c r="L687" s="147"/>
      <c r="M687" s="147"/>
      <c r="N687" s="147"/>
      <c r="O687" s="147"/>
      <c r="P687" s="147"/>
      <c r="Q687" s="147"/>
      <c r="R687" s="147"/>
      <c r="S687" s="147"/>
      <c r="T687" s="147"/>
      <c r="U687" s="147"/>
      <c r="V687" s="147"/>
      <c r="W687" s="147"/>
      <c r="X687" s="147"/>
      <c r="Y687" s="147"/>
      <c r="Z687" s="147"/>
      <c r="AA687" s="147"/>
      <c r="AB687" s="147"/>
      <c r="AC687" s="147"/>
      <c r="AD687" s="147"/>
      <c r="AE687" s="147"/>
      <c r="AF687" s="147"/>
      <c r="AG687" s="147"/>
    </row>
    <row r="688">
      <c r="A688" s="147"/>
      <c r="B688" s="147"/>
      <c r="C688" s="147"/>
      <c r="D688" s="147"/>
      <c r="E688" s="147"/>
      <c r="F688" s="205"/>
      <c r="G688" s="147"/>
      <c r="H688" s="147"/>
      <c r="I688" s="147"/>
      <c r="J688" s="147"/>
      <c r="K688" s="147"/>
      <c r="L688" s="147"/>
      <c r="M688" s="147"/>
      <c r="N688" s="147"/>
      <c r="O688" s="147"/>
      <c r="P688" s="147"/>
      <c r="Q688" s="147"/>
      <c r="R688" s="147"/>
      <c r="S688" s="147"/>
      <c r="T688" s="147"/>
      <c r="U688" s="147"/>
      <c r="V688" s="147"/>
      <c r="W688" s="147"/>
      <c r="X688" s="147"/>
      <c r="Y688" s="147"/>
      <c r="Z688" s="147"/>
      <c r="AA688" s="147"/>
      <c r="AB688" s="147"/>
      <c r="AC688" s="147"/>
      <c r="AD688" s="147"/>
      <c r="AE688" s="147"/>
      <c r="AF688" s="147"/>
      <c r="AG688" s="147"/>
    </row>
    <row r="689">
      <c r="A689" s="147"/>
      <c r="B689" s="147"/>
      <c r="C689" s="147"/>
      <c r="D689" s="147"/>
      <c r="E689" s="147"/>
      <c r="F689" s="205"/>
      <c r="G689" s="147"/>
      <c r="H689" s="147"/>
      <c r="I689" s="147"/>
      <c r="J689" s="147"/>
      <c r="K689" s="147"/>
      <c r="L689" s="147"/>
      <c r="M689" s="147"/>
      <c r="N689" s="147"/>
      <c r="O689" s="147"/>
      <c r="P689" s="147"/>
      <c r="Q689" s="147"/>
      <c r="R689" s="147"/>
      <c r="S689" s="147"/>
      <c r="T689" s="147"/>
      <c r="U689" s="147"/>
      <c r="V689" s="147"/>
      <c r="W689" s="147"/>
      <c r="X689" s="147"/>
      <c r="Y689" s="147"/>
      <c r="Z689" s="147"/>
      <c r="AA689" s="147"/>
      <c r="AB689" s="147"/>
      <c r="AC689" s="147"/>
      <c r="AD689" s="147"/>
      <c r="AE689" s="147"/>
      <c r="AF689" s="147"/>
      <c r="AG689" s="147"/>
    </row>
    <row r="690">
      <c r="A690" s="147"/>
      <c r="B690" s="147"/>
      <c r="C690" s="147"/>
      <c r="D690" s="147"/>
      <c r="E690" s="147"/>
      <c r="F690" s="205"/>
      <c r="G690" s="147"/>
      <c r="H690" s="147"/>
      <c r="I690" s="147"/>
      <c r="J690" s="147"/>
      <c r="K690" s="147"/>
      <c r="L690" s="147"/>
      <c r="M690" s="147"/>
      <c r="N690" s="147"/>
      <c r="O690" s="147"/>
      <c r="P690" s="147"/>
      <c r="Q690" s="147"/>
      <c r="R690" s="147"/>
      <c r="S690" s="147"/>
      <c r="T690" s="147"/>
      <c r="U690" s="147"/>
      <c r="V690" s="147"/>
      <c r="W690" s="147"/>
      <c r="X690" s="147"/>
      <c r="Y690" s="147"/>
      <c r="Z690" s="147"/>
      <c r="AA690" s="147"/>
      <c r="AB690" s="147"/>
      <c r="AC690" s="147"/>
      <c r="AD690" s="147"/>
      <c r="AE690" s="147"/>
      <c r="AF690" s="147"/>
      <c r="AG690" s="147"/>
    </row>
    <row r="691">
      <c r="A691" s="147"/>
      <c r="B691" s="147"/>
      <c r="C691" s="147"/>
      <c r="D691" s="147"/>
      <c r="E691" s="147"/>
      <c r="F691" s="205"/>
      <c r="G691" s="147"/>
      <c r="H691" s="147"/>
      <c r="I691" s="147"/>
      <c r="J691" s="147"/>
      <c r="K691" s="147"/>
      <c r="L691" s="147"/>
      <c r="M691" s="147"/>
      <c r="N691" s="147"/>
      <c r="O691" s="147"/>
      <c r="P691" s="147"/>
      <c r="Q691" s="147"/>
      <c r="R691" s="147"/>
      <c r="S691" s="147"/>
      <c r="T691" s="147"/>
      <c r="U691" s="147"/>
      <c r="V691" s="147"/>
      <c r="W691" s="147"/>
      <c r="X691" s="147"/>
      <c r="Y691" s="147"/>
      <c r="Z691" s="147"/>
      <c r="AA691" s="147"/>
      <c r="AB691" s="147"/>
      <c r="AC691" s="147"/>
      <c r="AD691" s="147"/>
      <c r="AE691" s="147"/>
      <c r="AF691" s="147"/>
      <c r="AG691" s="147"/>
    </row>
    <row r="692">
      <c r="A692" s="147"/>
      <c r="B692" s="147"/>
      <c r="C692" s="147"/>
      <c r="D692" s="147"/>
      <c r="E692" s="147"/>
      <c r="F692" s="205"/>
      <c r="G692" s="147"/>
      <c r="H692" s="147"/>
      <c r="I692" s="147"/>
      <c r="J692" s="147"/>
      <c r="K692" s="147"/>
      <c r="L692" s="147"/>
      <c r="M692" s="147"/>
      <c r="N692" s="147"/>
      <c r="O692" s="147"/>
      <c r="P692" s="147"/>
      <c r="Q692" s="147"/>
      <c r="R692" s="147"/>
      <c r="S692" s="147"/>
      <c r="T692" s="147"/>
      <c r="U692" s="147"/>
      <c r="V692" s="147"/>
      <c r="W692" s="147"/>
      <c r="X692" s="147"/>
      <c r="Y692" s="147"/>
      <c r="Z692" s="147"/>
      <c r="AA692" s="147"/>
      <c r="AB692" s="147"/>
      <c r="AC692" s="147"/>
      <c r="AD692" s="147"/>
      <c r="AE692" s="147"/>
      <c r="AF692" s="147"/>
      <c r="AG692" s="147"/>
    </row>
    <row r="693">
      <c r="A693" s="147"/>
      <c r="B693" s="147"/>
      <c r="C693" s="147"/>
      <c r="D693" s="147"/>
      <c r="E693" s="147"/>
      <c r="F693" s="205"/>
      <c r="G693" s="147"/>
      <c r="H693" s="147"/>
      <c r="I693" s="147"/>
      <c r="J693" s="147"/>
      <c r="K693" s="147"/>
      <c r="L693" s="147"/>
      <c r="M693" s="147"/>
      <c r="N693" s="147"/>
      <c r="O693" s="147"/>
      <c r="P693" s="147"/>
      <c r="Q693" s="147"/>
      <c r="R693" s="147"/>
      <c r="S693" s="147"/>
      <c r="T693" s="147"/>
      <c r="U693" s="147"/>
      <c r="V693" s="147"/>
      <c r="W693" s="147"/>
      <c r="X693" s="147"/>
      <c r="Y693" s="147"/>
      <c r="Z693" s="147"/>
      <c r="AA693" s="147"/>
      <c r="AB693" s="147"/>
      <c r="AC693" s="147"/>
      <c r="AD693" s="147"/>
      <c r="AE693" s="147"/>
      <c r="AF693" s="147"/>
      <c r="AG693" s="147"/>
    </row>
    <row r="694">
      <c r="A694" s="147"/>
      <c r="B694" s="147"/>
      <c r="C694" s="147"/>
      <c r="D694" s="147"/>
      <c r="E694" s="147"/>
      <c r="F694" s="205"/>
      <c r="G694" s="147"/>
      <c r="H694" s="147"/>
      <c r="I694" s="147"/>
      <c r="J694" s="147"/>
      <c r="K694" s="147"/>
      <c r="L694" s="147"/>
      <c r="M694" s="147"/>
      <c r="N694" s="147"/>
      <c r="O694" s="147"/>
      <c r="P694" s="147"/>
      <c r="Q694" s="147"/>
      <c r="R694" s="147"/>
      <c r="S694" s="147"/>
      <c r="T694" s="147"/>
      <c r="U694" s="147"/>
      <c r="V694" s="147"/>
      <c r="W694" s="147"/>
      <c r="X694" s="147"/>
      <c r="Y694" s="147"/>
      <c r="Z694" s="147"/>
      <c r="AA694" s="147"/>
      <c r="AB694" s="147"/>
      <c r="AC694" s="147"/>
      <c r="AD694" s="147"/>
      <c r="AE694" s="147"/>
      <c r="AF694" s="147"/>
      <c r="AG694" s="147"/>
    </row>
    <row r="695">
      <c r="A695" s="147"/>
      <c r="B695" s="147"/>
      <c r="C695" s="147"/>
      <c r="D695" s="147"/>
      <c r="E695" s="147"/>
      <c r="F695" s="205"/>
      <c r="G695" s="147"/>
      <c r="H695" s="147"/>
      <c r="I695" s="147"/>
      <c r="J695" s="147"/>
      <c r="K695" s="147"/>
      <c r="L695" s="147"/>
      <c r="M695" s="147"/>
      <c r="N695" s="147"/>
      <c r="O695" s="147"/>
      <c r="P695" s="147"/>
      <c r="Q695" s="147"/>
      <c r="R695" s="147"/>
      <c r="S695" s="147"/>
      <c r="T695" s="147"/>
      <c r="U695" s="147"/>
      <c r="V695" s="147"/>
      <c r="W695" s="147"/>
      <c r="X695" s="147"/>
      <c r="Y695" s="147"/>
      <c r="Z695" s="147"/>
      <c r="AA695" s="147"/>
      <c r="AB695" s="147"/>
      <c r="AC695" s="147"/>
      <c r="AD695" s="147"/>
      <c r="AE695" s="147"/>
      <c r="AF695" s="147"/>
      <c r="AG695" s="147"/>
    </row>
    <row r="696">
      <c r="A696" s="147"/>
      <c r="B696" s="147"/>
      <c r="C696" s="147"/>
      <c r="D696" s="147"/>
      <c r="E696" s="147"/>
      <c r="F696" s="205"/>
      <c r="G696" s="147"/>
      <c r="H696" s="147"/>
      <c r="I696" s="147"/>
      <c r="J696" s="147"/>
      <c r="K696" s="147"/>
      <c r="L696" s="147"/>
      <c r="M696" s="147"/>
      <c r="N696" s="147"/>
      <c r="O696" s="147"/>
      <c r="P696" s="147"/>
      <c r="Q696" s="147"/>
      <c r="R696" s="147"/>
      <c r="S696" s="147"/>
      <c r="T696" s="147"/>
      <c r="U696" s="147"/>
      <c r="V696" s="147"/>
      <c r="W696" s="147"/>
      <c r="X696" s="147"/>
      <c r="Y696" s="147"/>
      <c r="Z696" s="147"/>
      <c r="AA696" s="147"/>
      <c r="AB696" s="147"/>
      <c r="AC696" s="147"/>
      <c r="AD696" s="147"/>
      <c r="AE696" s="147"/>
      <c r="AF696" s="147"/>
      <c r="AG696" s="147"/>
    </row>
    <row r="697">
      <c r="A697" s="147"/>
      <c r="B697" s="147"/>
      <c r="C697" s="147"/>
      <c r="D697" s="147"/>
      <c r="E697" s="147"/>
      <c r="F697" s="205"/>
      <c r="G697" s="147"/>
      <c r="H697" s="147"/>
      <c r="I697" s="147"/>
      <c r="J697" s="147"/>
      <c r="K697" s="147"/>
      <c r="L697" s="147"/>
      <c r="M697" s="147"/>
      <c r="N697" s="147"/>
      <c r="O697" s="147"/>
      <c r="P697" s="147"/>
      <c r="Q697" s="147"/>
      <c r="R697" s="147"/>
      <c r="S697" s="147"/>
      <c r="T697" s="147"/>
      <c r="U697" s="147"/>
      <c r="V697" s="147"/>
      <c r="W697" s="147"/>
      <c r="X697" s="147"/>
      <c r="Y697" s="147"/>
      <c r="Z697" s="147"/>
      <c r="AA697" s="147"/>
      <c r="AB697" s="147"/>
      <c r="AC697" s="147"/>
      <c r="AD697" s="147"/>
      <c r="AE697" s="147"/>
      <c r="AF697" s="147"/>
      <c r="AG697" s="147"/>
    </row>
    <row r="698">
      <c r="A698" s="147"/>
      <c r="B698" s="147"/>
      <c r="C698" s="147"/>
      <c r="D698" s="147"/>
      <c r="E698" s="147"/>
      <c r="F698" s="205"/>
      <c r="G698" s="147"/>
      <c r="H698" s="147"/>
      <c r="I698" s="147"/>
      <c r="J698" s="147"/>
      <c r="K698" s="147"/>
      <c r="L698" s="147"/>
      <c r="M698" s="147"/>
      <c r="N698" s="147"/>
      <c r="O698" s="147"/>
      <c r="P698" s="147"/>
      <c r="Q698" s="147"/>
      <c r="R698" s="147"/>
      <c r="S698" s="147"/>
      <c r="T698" s="147"/>
      <c r="U698" s="147"/>
      <c r="V698" s="147"/>
      <c r="W698" s="147"/>
      <c r="X698" s="147"/>
      <c r="Y698" s="147"/>
      <c r="Z698" s="147"/>
      <c r="AA698" s="147"/>
      <c r="AB698" s="147"/>
      <c r="AC698" s="147"/>
      <c r="AD698" s="147"/>
      <c r="AE698" s="147"/>
      <c r="AF698" s="147"/>
      <c r="AG698" s="147"/>
    </row>
    <row r="699">
      <c r="A699" s="147"/>
      <c r="B699" s="147"/>
      <c r="C699" s="147"/>
      <c r="D699" s="147"/>
      <c r="E699" s="147"/>
      <c r="F699" s="205"/>
      <c r="G699" s="147"/>
      <c r="H699" s="147"/>
      <c r="I699" s="147"/>
      <c r="J699" s="147"/>
      <c r="K699" s="147"/>
      <c r="L699" s="147"/>
      <c r="M699" s="147"/>
      <c r="N699" s="147"/>
      <c r="O699" s="147"/>
      <c r="P699" s="147"/>
      <c r="Q699" s="147"/>
      <c r="R699" s="147"/>
      <c r="S699" s="147"/>
      <c r="T699" s="147"/>
      <c r="U699" s="147"/>
      <c r="V699" s="147"/>
      <c r="W699" s="147"/>
      <c r="X699" s="147"/>
      <c r="Y699" s="147"/>
      <c r="Z699" s="147"/>
      <c r="AA699" s="147"/>
      <c r="AB699" s="147"/>
      <c r="AC699" s="147"/>
      <c r="AD699" s="147"/>
      <c r="AE699" s="147"/>
      <c r="AF699" s="147"/>
      <c r="AG699" s="147"/>
    </row>
    <row r="700">
      <c r="A700" s="147"/>
      <c r="B700" s="147"/>
      <c r="C700" s="147"/>
      <c r="D700" s="147"/>
      <c r="E700" s="147"/>
      <c r="F700" s="205"/>
      <c r="G700" s="147"/>
      <c r="H700" s="147"/>
      <c r="I700" s="147"/>
      <c r="J700" s="147"/>
      <c r="K700" s="147"/>
      <c r="L700" s="147"/>
      <c r="M700" s="147"/>
      <c r="N700" s="147"/>
      <c r="O700" s="147"/>
      <c r="P700" s="147"/>
      <c r="Q700" s="147"/>
      <c r="R700" s="147"/>
      <c r="S700" s="147"/>
      <c r="T700" s="147"/>
      <c r="U700" s="147"/>
      <c r="V700" s="147"/>
      <c r="W700" s="147"/>
      <c r="X700" s="147"/>
      <c r="Y700" s="147"/>
      <c r="Z700" s="147"/>
      <c r="AA700" s="147"/>
      <c r="AB700" s="147"/>
      <c r="AC700" s="147"/>
      <c r="AD700" s="147"/>
      <c r="AE700" s="147"/>
      <c r="AF700" s="147"/>
      <c r="AG700" s="147"/>
    </row>
    <row r="701">
      <c r="A701" s="147"/>
      <c r="B701" s="147"/>
      <c r="C701" s="147"/>
      <c r="D701" s="147"/>
      <c r="E701" s="147"/>
      <c r="F701" s="205"/>
      <c r="G701" s="147"/>
      <c r="H701" s="147"/>
      <c r="I701" s="147"/>
      <c r="J701" s="147"/>
      <c r="K701" s="147"/>
      <c r="L701" s="147"/>
      <c r="M701" s="147"/>
      <c r="N701" s="147"/>
      <c r="O701" s="147"/>
      <c r="P701" s="147"/>
      <c r="Q701" s="147"/>
      <c r="R701" s="147"/>
      <c r="S701" s="147"/>
      <c r="T701" s="147"/>
      <c r="U701" s="147"/>
      <c r="V701" s="147"/>
      <c r="W701" s="147"/>
      <c r="X701" s="147"/>
      <c r="Y701" s="147"/>
      <c r="Z701" s="147"/>
      <c r="AA701" s="147"/>
      <c r="AB701" s="147"/>
      <c r="AC701" s="147"/>
      <c r="AD701" s="147"/>
      <c r="AE701" s="147"/>
      <c r="AF701" s="147"/>
      <c r="AG701" s="147"/>
    </row>
    <row r="702">
      <c r="A702" s="147"/>
      <c r="B702" s="147"/>
      <c r="C702" s="147"/>
      <c r="D702" s="147"/>
      <c r="E702" s="147"/>
      <c r="F702" s="205"/>
      <c r="G702" s="147"/>
      <c r="H702" s="147"/>
      <c r="I702" s="147"/>
      <c r="J702" s="147"/>
      <c r="K702" s="147"/>
      <c r="L702" s="147"/>
      <c r="M702" s="147"/>
      <c r="N702" s="147"/>
      <c r="O702" s="147"/>
      <c r="P702" s="147"/>
      <c r="Q702" s="147"/>
      <c r="R702" s="147"/>
      <c r="S702" s="147"/>
      <c r="T702" s="147"/>
      <c r="U702" s="147"/>
      <c r="V702" s="147"/>
      <c r="W702" s="147"/>
      <c r="X702" s="147"/>
      <c r="Y702" s="147"/>
      <c r="Z702" s="147"/>
      <c r="AA702" s="147"/>
      <c r="AB702" s="147"/>
      <c r="AC702" s="147"/>
      <c r="AD702" s="147"/>
      <c r="AE702" s="147"/>
      <c r="AF702" s="147"/>
      <c r="AG702" s="147"/>
    </row>
    <row r="703">
      <c r="A703" s="147"/>
      <c r="B703" s="147"/>
      <c r="C703" s="147"/>
      <c r="D703" s="147"/>
      <c r="E703" s="147"/>
      <c r="F703" s="205"/>
      <c r="G703" s="147"/>
      <c r="H703" s="147"/>
      <c r="I703" s="147"/>
      <c r="J703" s="147"/>
      <c r="K703" s="147"/>
      <c r="L703" s="147"/>
      <c r="M703" s="147"/>
      <c r="N703" s="147"/>
      <c r="O703" s="147"/>
      <c r="P703" s="147"/>
      <c r="Q703" s="147"/>
      <c r="R703" s="147"/>
      <c r="S703" s="147"/>
      <c r="T703" s="147"/>
      <c r="U703" s="147"/>
      <c r="V703" s="147"/>
      <c r="W703" s="147"/>
      <c r="X703" s="147"/>
      <c r="Y703" s="147"/>
      <c r="Z703" s="147"/>
      <c r="AA703" s="147"/>
      <c r="AB703" s="147"/>
      <c r="AC703" s="147"/>
      <c r="AD703" s="147"/>
      <c r="AE703" s="147"/>
      <c r="AF703" s="147"/>
      <c r="AG703" s="147"/>
    </row>
    <row r="704">
      <c r="A704" s="147"/>
      <c r="B704" s="147"/>
      <c r="C704" s="147"/>
      <c r="D704" s="147"/>
      <c r="E704" s="147"/>
      <c r="F704" s="205"/>
      <c r="G704" s="147"/>
      <c r="H704" s="147"/>
      <c r="I704" s="147"/>
      <c r="J704" s="147"/>
      <c r="K704" s="147"/>
      <c r="L704" s="147"/>
      <c r="M704" s="147"/>
      <c r="N704" s="147"/>
      <c r="O704" s="147"/>
      <c r="P704" s="147"/>
      <c r="Q704" s="147"/>
      <c r="R704" s="147"/>
      <c r="S704" s="147"/>
      <c r="T704" s="147"/>
      <c r="U704" s="147"/>
      <c r="V704" s="147"/>
      <c r="W704" s="147"/>
      <c r="X704" s="147"/>
      <c r="Y704" s="147"/>
      <c r="Z704" s="147"/>
      <c r="AA704" s="147"/>
      <c r="AB704" s="147"/>
      <c r="AC704" s="147"/>
      <c r="AD704" s="147"/>
      <c r="AE704" s="147"/>
      <c r="AF704" s="147"/>
      <c r="AG704" s="147"/>
    </row>
    <row r="705">
      <c r="A705" s="147"/>
      <c r="B705" s="147"/>
      <c r="C705" s="147"/>
      <c r="D705" s="147"/>
      <c r="E705" s="147"/>
      <c r="F705" s="205"/>
      <c r="G705" s="147"/>
      <c r="H705" s="147"/>
      <c r="I705" s="147"/>
      <c r="J705" s="147"/>
      <c r="K705" s="147"/>
      <c r="L705" s="147"/>
      <c r="M705" s="147"/>
      <c r="N705" s="147"/>
      <c r="O705" s="147"/>
      <c r="P705" s="147"/>
      <c r="Q705" s="147"/>
      <c r="R705" s="147"/>
      <c r="S705" s="147"/>
      <c r="T705" s="147"/>
      <c r="U705" s="147"/>
      <c r="V705" s="147"/>
      <c r="W705" s="147"/>
      <c r="X705" s="147"/>
      <c r="Y705" s="147"/>
      <c r="Z705" s="147"/>
      <c r="AA705" s="147"/>
      <c r="AB705" s="147"/>
      <c r="AC705" s="147"/>
      <c r="AD705" s="147"/>
      <c r="AE705" s="147"/>
      <c r="AF705" s="147"/>
      <c r="AG705" s="147"/>
    </row>
    <row r="706">
      <c r="A706" s="147"/>
      <c r="B706" s="147"/>
      <c r="C706" s="147"/>
      <c r="D706" s="147"/>
      <c r="E706" s="147"/>
      <c r="F706" s="205"/>
      <c r="G706" s="147"/>
      <c r="H706" s="147"/>
      <c r="I706" s="147"/>
      <c r="J706" s="147"/>
      <c r="K706" s="147"/>
      <c r="L706" s="147"/>
      <c r="M706" s="147"/>
      <c r="N706" s="147"/>
      <c r="O706" s="147"/>
      <c r="P706" s="147"/>
      <c r="Q706" s="147"/>
      <c r="R706" s="147"/>
      <c r="S706" s="147"/>
      <c r="T706" s="147"/>
      <c r="U706" s="147"/>
      <c r="V706" s="147"/>
      <c r="W706" s="147"/>
      <c r="X706" s="147"/>
      <c r="Y706" s="147"/>
      <c r="Z706" s="147"/>
      <c r="AA706" s="147"/>
      <c r="AB706" s="147"/>
      <c r="AC706" s="147"/>
      <c r="AD706" s="147"/>
      <c r="AE706" s="147"/>
      <c r="AF706" s="147"/>
      <c r="AG706" s="147"/>
    </row>
    <row r="707">
      <c r="A707" s="147"/>
      <c r="B707" s="147"/>
      <c r="C707" s="147"/>
      <c r="D707" s="147"/>
      <c r="E707" s="147"/>
      <c r="F707" s="205"/>
      <c r="G707" s="147"/>
      <c r="H707" s="147"/>
      <c r="I707" s="147"/>
      <c r="J707" s="147"/>
      <c r="K707" s="147"/>
      <c r="L707" s="147"/>
      <c r="M707" s="147"/>
      <c r="N707" s="147"/>
      <c r="O707" s="147"/>
      <c r="P707" s="147"/>
      <c r="Q707" s="147"/>
      <c r="R707" s="147"/>
      <c r="S707" s="147"/>
      <c r="T707" s="147"/>
      <c r="U707" s="147"/>
      <c r="V707" s="147"/>
      <c r="W707" s="147"/>
      <c r="X707" s="147"/>
      <c r="Y707" s="147"/>
      <c r="Z707" s="147"/>
      <c r="AA707" s="147"/>
      <c r="AB707" s="147"/>
      <c r="AC707" s="147"/>
      <c r="AD707" s="147"/>
      <c r="AE707" s="147"/>
      <c r="AF707" s="147"/>
      <c r="AG707" s="147"/>
    </row>
    <row r="708">
      <c r="A708" s="147"/>
      <c r="B708" s="147"/>
      <c r="C708" s="147"/>
      <c r="D708" s="147"/>
      <c r="E708" s="147"/>
      <c r="F708" s="205"/>
      <c r="G708" s="147"/>
      <c r="H708" s="147"/>
      <c r="I708" s="147"/>
      <c r="J708" s="147"/>
      <c r="K708" s="147"/>
      <c r="L708" s="147"/>
      <c r="M708" s="147"/>
      <c r="N708" s="147"/>
      <c r="O708" s="147"/>
      <c r="P708" s="147"/>
      <c r="Q708" s="147"/>
      <c r="R708" s="147"/>
      <c r="S708" s="147"/>
      <c r="T708" s="147"/>
      <c r="U708" s="147"/>
      <c r="V708" s="147"/>
      <c r="W708" s="147"/>
      <c r="X708" s="147"/>
      <c r="Y708" s="147"/>
      <c r="Z708" s="147"/>
      <c r="AA708" s="147"/>
      <c r="AB708" s="147"/>
      <c r="AC708" s="147"/>
      <c r="AD708" s="147"/>
      <c r="AE708" s="147"/>
      <c r="AF708" s="147"/>
      <c r="AG708" s="147"/>
    </row>
    <row r="709">
      <c r="A709" s="147"/>
      <c r="B709" s="147"/>
      <c r="C709" s="147"/>
      <c r="D709" s="147"/>
      <c r="E709" s="147"/>
      <c r="F709" s="205"/>
      <c r="G709" s="147"/>
      <c r="H709" s="147"/>
      <c r="I709" s="147"/>
      <c r="J709" s="147"/>
      <c r="K709" s="147"/>
      <c r="L709" s="147"/>
      <c r="M709" s="147"/>
      <c r="N709" s="147"/>
      <c r="O709" s="147"/>
      <c r="P709" s="147"/>
      <c r="Q709" s="147"/>
      <c r="R709" s="147"/>
      <c r="S709" s="147"/>
      <c r="T709" s="147"/>
      <c r="U709" s="147"/>
      <c r="V709" s="147"/>
      <c r="W709" s="147"/>
      <c r="X709" s="147"/>
      <c r="Y709" s="147"/>
      <c r="Z709" s="147"/>
      <c r="AA709" s="147"/>
      <c r="AB709" s="147"/>
      <c r="AC709" s="147"/>
      <c r="AD709" s="147"/>
      <c r="AE709" s="147"/>
      <c r="AF709" s="147"/>
      <c r="AG709" s="147"/>
    </row>
    <row r="710">
      <c r="A710" s="147"/>
      <c r="B710" s="147"/>
      <c r="C710" s="147"/>
      <c r="D710" s="147"/>
      <c r="E710" s="147"/>
      <c r="F710" s="205"/>
      <c r="G710" s="147"/>
      <c r="H710" s="147"/>
      <c r="I710" s="147"/>
      <c r="J710" s="147"/>
      <c r="K710" s="147"/>
      <c r="L710" s="147"/>
      <c r="M710" s="147"/>
      <c r="N710" s="147"/>
      <c r="O710" s="147"/>
      <c r="P710" s="147"/>
      <c r="Q710" s="147"/>
      <c r="R710" s="147"/>
      <c r="S710" s="147"/>
      <c r="T710" s="147"/>
      <c r="U710" s="147"/>
      <c r="V710" s="147"/>
      <c r="W710" s="147"/>
      <c r="X710" s="147"/>
      <c r="Y710" s="147"/>
      <c r="Z710" s="147"/>
      <c r="AA710" s="147"/>
      <c r="AB710" s="147"/>
      <c r="AC710" s="147"/>
      <c r="AD710" s="147"/>
      <c r="AE710" s="147"/>
      <c r="AF710" s="147"/>
      <c r="AG710" s="147"/>
    </row>
    <row r="711">
      <c r="A711" s="147"/>
      <c r="B711" s="147"/>
      <c r="C711" s="147"/>
      <c r="D711" s="147"/>
      <c r="E711" s="147"/>
      <c r="F711" s="205"/>
      <c r="G711" s="147"/>
      <c r="H711" s="147"/>
      <c r="I711" s="147"/>
      <c r="J711" s="147"/>
      <c r="K711" s="147"/>
      <c r="L711" s="147"/>
      <c r="M711" s="147"/>
      <c r="N711" s="147"/>
      <c r="O711" s="147"/>
      <c r="P711" s="147"/>
      <c r="Q711" s="147"/>
      <c r="R711" s="147"/>
      <c r="S711" s="147"/>
      <c r="T711" s="147"/>
      <c r="U711" s="147"/>
      <c r="V711" s="147"/>
      <c r="W711" s="147"/>
      <c r="X711" s="147"/>
      <c r="Y711" s="147"/>
      <c r="Z711" s="147"/>
      <c r="AA711" s="147"/>
      <c r="AB711" s="147"/>
      <c r="AC711" s="147"/>
      <c r="AD711" s="147"/>
      <c r="AE711" s="147"/>
      <c r="AF711" s="147"/>
      <c r="AG711" s="147"/>
    </row>
    <row r="712">
      <c r="A712" s="147"/>
      <c r="B712" s="147"/>
      <c r="C712" s="147"/>
      <c r="D712" s="147"/>
      <c r="E712" s="147"/>
      <c r="F712" s="205"/>
      <c r="G712" s="147"/>
      <c r="H712" s="147"/>
      <c r="I712" s="147"/>
      <c r="J712" s="147"/>
      <c r="K712" s="147"/>
      <c r="L712" s="147"/>
      <c r="M712" s="147"/>
      <c r="N712" s="147"/>
      <c r="O712" s="147"/>
      <c r="P712" s="147"/>
      <c r="Q712" s="147"/>
      <c r="R712" s="147"/>
      <c r="S712" s="147"/>
      <c r="T712" s="147"/>
      <c r="U712" s="147"/>
      <c r="V712" s="147"/>
      <c r="W712" s="147"/>
      <c r="X712" s="147"/>
      <c r="Y712" s="147"/>
      <c r="Z712" s="147"/>
      <c r="AA712" s="147"/>
      <c r="AB712" s="147"/>
      <c r="AC712" s="147"/>
      <c r="AD712" s="147"/>
      <c r="AE712" s="147"/>
      <c r="AF712" s="147"/>
      <c r="AG712" s="147"/>
    </row>
    <row r="713">
      <c r="A713" s="147"/>
      <c r="B713" s="147"/>
      <c r="C713" s="147"/>
      <c r="D713" s="147"/>
      <c r="E713" s="147"/>
      <c r="F713" s="205"/>
      <c r="G713" s="147"/>
      <c r="H713" s="147"/>
      <c r="I713" s="147"/>
      <c r="J713" s="147"/>
      <c r="K713" s="147"/>
      <c r="L713" s="147"/>
      <c r="M713" s="147"/>
      <c r="N713" s="147"/>
      <c r="O713" s="147"/>
      <c r="P713" s="147"/>
      <c r="Q713" s="147"/>
      <c r="R713" s="147"/>
      <c r="S713" s="147"/>
      <c r="T713" s="147"/>
      <c r="U713" s="147"/>
      <c r="V713" s="147"/>
      <c r="W713" s="147"/>
      <c r="X713" s="147"/>
      <c r="Y713" s="147"/>
      <c r="Z713" s="147"/>
      <c r="AA713" s="147"/>
      <c r="AB713" s="147"/>
      <c r="AC713" s="147"/>
      <c r="AD713" s="147"/>
      <c r="AE713" s="147"/>
      <c r="AF713" s="147"/>
      <c r="AG713" s="147"/>
    </row>
    <row r="714">
      <c r="A714" s="147"/>
      <c r="B714" s="147"/>
      <c r="C714" s="147"/>
      <c r="D714" s="147"/>
      <c r="E714" s="147"/>
      <c r="F714" s="205"/>
      <c r="G714" s="147"/>
      <c r="H714" s="147"/>
      <c r="I714" s="147"/>
      <c r="J714" s="147"/>
      <c r="K714" s="147"/>
      <c r="L714" s="147"/>
      <c r="M714" s="147"/>
      <c r="N714" s="147"/>
      <c r="O714" s="147"/>
      <c r="P714" s="147"/>
      <c r="Q714" s="147"/>
      <c r="R714" s="147"/>
      <c r="S714" s="147"/>
      <c r="T714" s="147"/>
      <c r="U714" s="147"/>
      <c r="V714" s="147"/>
      <c r="W714" s="147"/>
      <c r="X714" s="147"/>
      <c r="Y714" s="147"/>
      <c r="Z714" s="147"/>
      <c r="AA714" s="147"/>
      <c r="AB714" s="147"/>
      <c r="AC714" s="147"/>
      <c r="AD714" s="147"/>
      <c r="AE714" s="147"/>
      <c r="AF714" s="147"/>
      <c r="AG714" s="147"/>
    </row>
    <row r="715">
      <c r="A715" s="147"/>
      <c r="B715" s="147"/>
      <c r="C715" s="147"/>
      <c r="D715" s="147"/>
      <c r="E715" s="147"/>
      <c r="F715" s="205"/>
      <c r="G715" s="147"/>
      <c r="H715" s="147"/>
      <c r="I715" s="147"/>
      <c r="J715" s="147"/>
      <c r="K715" s="147"/>
      <c r="L715" s="147"/>
      <c r="M715" s="147"/>
      <c r="N715" s="147"/>
      <c r="O715" s="147"/>
      <c r="P715" s="147"/>
      <c r="Q715" s="147"/>
      <c r="R715" s="147"/>
      <c r="S715" s="147"/>
      <c r="T715" s="147"/>
      <c r="U715" s="147"/>
      <c r="V715" s="147"/>
      <c r="W715" s="147"/>
      <c r="X715" s="147"/>
      <c r="Y715" s="147"/>
      <c r="Z715" s="147"/>
      <c r="AA715" s="147"/>
      <c r="AB715" s="147"/>
      <c r="AC715" s="147"/>
      <c r="AD715" s="147"/>
      <c r="AE715" s="147"/>
      <c r="AF715" s="147"/>
      <c r="AG715" s="147"/>
    </row>
    <row r="716">
      <c r="A716" s="147"/>
      <c r="B716" s="147"/>
      <c r="C716" s="147"/>
      <c r="D716" s="147"/>
      <c r="E716" s="147"/>
      <c r="F716" s="205"/>
      <c r="G716" s="147"/>
      <c r="H716" s="147"/>
      <c r="I716" s="147"/>
      <c r="J716" s="147"/>
      <c r="K716" s="147"/>
      <c r="L716" s="147"/>
      <c r="M716" s="147"/>
      <c r="N716" s="147"/>
      <c r="O716" s="147"/>
      <c r="P716" s="147"/>
      <c r="Q716" s="147"/>
      <c r="R716" s="147"/>
      <c r="S716" s="147"/>
      <c r="T716" s="147"/>
      <c r="U716" s="147"/>
      <c r="V716" s="147"/>
      <c r="W716" s="147"/>
      <c r="X716" s="147"/>
      <c r="Y716" s="147"/>
      <c r="Z716" s="147"/>
      <c r="AA716" s="147"/>
      <c r="AB716" s="147"/>
      <c r="AC716" s="147"/>
      <c r="AD716" s="147"/>
      <c r="AE716" s="147"/>
      <c r="AF716" s="147"/>
      <c r="AG716" s="147"/>
    </row>
    <row r="717">
      <c r="A717" s="147"/>
      <c r="B717" s="147"/>
      <c r="C717" s="147"/>
      <c r="D717" s="147"/>
      <c r="E717" s="147"/>
      <c r="F717" s="205"/>
      <c r="G717" s="147"/>
      <c r="H717" s="147"/>
      <c r="I717" s="147"/>
      <c r="J717" s="147"/>
      <c r="K717" s="147"/>
      <c r="L717" s="147"/>
      <c r="M717" s="147"/>
      <c r="N717" s="147"/>
      <c r="O717" s="147"/>
      <c r="P717" s="147"/>
      <c r="Q717" s="147"/>
      <c r="R717" s="147"/>
      <c r="S717" s="147"/>
      <c r="T717" s="147"/>
      <c r="U717" s="147"/>
      <c r="V717" s="147"/>
      <c r="W717" s="147"/>
      <c r="X717" s="147"/>
      <c r="Y717" s="147"/>
      <c r="Z717" s="147"/>
      <c r="AA717" s="147"/>
      <c r="AB717" s="147"/>
      <c r="AC717" s="147"/>
      <c r="AD717" s="147"/>
      <c r="AE717" s="147"/>
      <c r="AF717" s="147"/>
      <c r="AG717" s="147"/>
    </row>
    <row r="718">
      <c r="A718" s="147"/>
      <c r="B718" s="147"/>
      <c r="C718" s="147"/>
      <c r="D718" s="147"/>
      <c r="E718" s="147"/>
      <c r="F718" s="205"/>
      <c r="G718" s="147"/>
      <c r="H718" s="147"/>
      <c r="I718" s="147"/>
      <c r="J718" s="147"/>
      <c r="K718" s="147"/>
      <c r="L718" s="147"/>
      <c r="M718" s="147"/>
      <c r="N718" s="147"/>
      <c r="O718" s="147"/>
      <c r="P718" s="147"/>
      <c r="Q718" s="147"/>
      <c r="R718" s="147"/>
      <c r="S718" s="147"/>
      <c r="T718" s="147"/>
      <c r="U718" s="147"/>
      <c r="V718" s="147"/>
      <c r="W718" s="147"/>
      <c r="X718" s="147"/>
      <c r="Y718" s="147"/>
      <c r="Z718" s="147"/>
      <c r="AA718" s="147"/>
      <c r="AB718" s="147"/>
      <c r="AC718" s="147"/>
      <c r="AD718" s="147"/>
      <c r="AE718" s="147"/>
      <c r="AF718" s="147"/>
      <c r="AG718" s="147"/>
    </row>
    <row r="719">
      <c r="A719" s="147"/>
      <c r="B719" s="147"/>
      <c r="C719" s="147"/>
      <c r="D719" s="147"/>
      <c r="E719" s="147"/>
      <c r="F719" s="205"/>
      <c r="G719" s="147"/>
      <c r="H719" s="147"/>
      <c r="I719" s="147"/>
      <c r="J719" s="147"/>
      <c r="K719" s="147"/>
      <c r="L719" s="147"/>
      <c r="M719" s="147"/>
      <c r="N719" s="147"/>
      <c r="O719" s="147"/>
      <c r="P719" s="147"/>
      <c r="Q719" s="147"/>
      <c r="R719" s="147"/>
      <c r="S719" s="147"/>
      <c r="T719" s="147"/>
      <c r="U719" s="147"/>
      <c r="V719" s="147"/>
      <c r="W719" s="147"/>
      <c r="X719" s="147"/>
      <c r="Y719" s="147"/>
      <c r="Z719" s="147"/>
      <c r="AA719" s="147"/>
      <c r="AB719" s="147"/>
      <c r="AC719" s="147"/>
      <c r="AD719" s="147"/>
      <c r="AE719" s="147"/>
      <c r="AF719" s="147"/>
      <c r="AG719" s="147"/>
    </row>
    <row r="720">
      <c r="A720" s="147"/>
      <c r="B720" s="147"/>
      <c r="C720" s="147"/>
      <c r="D720" s="147"/>
      <c r="E720" s="147"/>
      <c r="F720" s="205"/>
      <c r="G720" s="147"/>
      <c r="H720" s="147"/>
      <c r="I720" s="147"/>
      <c r="J720" s="147"/>
      <c r="K720" s="147"/>
      <c r="L720" s="147"/>
      <c r="M720" s="147"/>
      <c r="N720" s="147"/>
      <c r="O720" s="147"/>
      <c r="P720" s="147"/>
      <c r="Q720" s="147"/>
      <c r="R720" s="147"/>
      <c r="S720" s="147"/>
      <c r="T720" s="147"/>
      <c r="U720" s="147"/>
      <c r="V720" s="147"/>
      <c r="W720" s="147"/>
      <c r="X720" s="147"/>
      <c r="Y720" s="147"/>
      <c r="Z720" s="147"/>
      <c r="AA720" s="147"/>
      <c r="AB720" s="147"/>
      <c r="AC720" s="147"/>
      <c r="AD720" s="147"/>
      <c r="AE720" s="147"/>
      <c r="AF720" s="147"/>
      <c r="AG720" s="147"/>
    </row>
    <row r="721">
      <c r="A721" s="147"/>
      <c r="B721" s="147"/>
      <c r="C721" s="147"/>
      <c r="D721" s="147"/>
      <c r="E721" s="147"/>
      <c r="F721" s="205"/>
      <c r="G721" s="147"/>
      <c r="H721" s="147"/>
      <c r="I721" s="147"/>
      <c r="J721" s="147"/>
      <c r="K721" s="147"/>
      <c r="L721" s="147"/>
      <c r="M721" s="147"/>
      <c r="N721" s="147"/>
      <c r="O721" s="147"/>
      <c r="P721" s="147"/>
      <c r="Q721" s="147"/>
      <c r="R721" s="147"/>
      <c r="S721" s="147"/>
      <c r="T721" s="147"/>
      <c r="U721" s="147"/>
      <c r="V721" s="147"/>
      <c r="W721" s="147"/>
      <c r="X721" s="147"/>
      <c r="Y721" s="147"/>
      <c r="Z721" s="147"/>
      <c r="AA721" s="147"/>
      <c r="AB721" s="147"/>
      <c r="AC721" s="147"/>
      <c r="AD721" s="147"/>
      <c r="AE721" s="147"/>
      <c r="AF721" s="147"/>
      <c r="AG721" s="147"/>
    </row>
    <row r="722">
      <c r="A722" s="147"/>
      <c r="B722" s="147"/>
      <c r="C722" s="147"/>
      <c r="D722" s="147"/>
      <c r="E722" s="147"/>
      <c r="F722" s="205"/>
      <c r="G722" s="147"/>
      <c r="H722" s="147"/>
      <c r="I722" s="147"/>
      <c r="J722" s="147"/>
      <c r="K722" s="147"/>
      <c r="L722" s="147"/>
      <c r="M722" s="147"/>
      <c r="N722" s="147"/>
      <c r="O722" s="147"/>
      <c r="P722" s="147"/>
      <c r="Q722" s="147"/>
      <c r="R722" s="147"/>
      <c r="S722" s="147"/>
      <c r="T722" s="147"/>
      <c r="U722" s="147"/>
      <c r="V722" s="147"/>
      <c r="W722" s="147"/>
      <c r="X722" s="147"/>
      <c r="Y722" s="147"/>
      <c r="Z722" s="147"/>
      <c r="AA722" s="147"/>
      <c r="AB722" s="147"/>
      <c r="AC722" s="147"/>
      <c r="AD722" s="147"/>
      <c r="AE722" s="147"/>
      <c r="AF722" s="147"/>
      <c r="AG722" s="147"/>
    </row>
    <row r="723">
      <c r="A723" s="147"/>
      <c r="B723" s="147"/>
      <c r="C723" s="147"/>
      <c r="D723" s="147"/>
      <c r="E723" s="147"/>
      <c r="F723" s="205"/>
      <c r="G723" s="147"/>
      <c r="H723" s="147"/>
      <c r="I723" s="147"/>
      <c r="J723" s="147"/>
      <c r="K723" s="147"/>
      <c r="L723" s="147"/>
      <c r="M723" s="147"/>
      <c r="N723" s="147"/>
      <c r="O723" s="147"/>
      <c r="P723" s="147"/>
      <c r="Q723" s="147"/>
      <c r="R723" s="147"/>
      <c r="S723" s="147"/>
      <c r="T723" s="147"/>
      <c r="U723" s="147"/>
      <c r="V723" s="147"/>
      <c r="W723" s="147"/>
      <c r="X723" s="147"/>
      <c r="Y723" s="147"/>
      <c r="Z723" s="147"/>
      <c r="AA723" s="147"/>
      <c r="AB723" s="147"/>
      <c r="AC723" s="147"/>
      <c r="AD723" s="147"/>
      <c r="AE723" s="147"/>
      <c r="AF723" s="147"/>
      <c r="AG723" s="147"/>
    </row>
    <row r="724">
      <c r="A724" s="147"/>
      <c r="B724" s="147"/>
      <c r="C724" s="147"/>
      <c r="D724" s="147"/>
      <c r="E724" s="147"/>
      <c r="F724" s="205"/>
      <c r="G724" s="147"/>
      <c r="H724" s="147"/>
      <c r="I724" s="147"/>
      <c r="J724" s="147"/>
      <c r="K724" s="147"/>
      <c r="L724" s="147"/>
      <c r="M724" s="147"/>
      <c r="N724" s="147"/>
      <c r="O724" s="147"/>
      <c r="P724" s="147"/>
      <c r="Q724" s="147"/>
      <c r="R724" s="147"/>
      <c r="S724" s="147"/>
      <c r="T724" s="147"/>
      <c r="U724" s="147"/>
      <c r="V724" s="147"/>
      <c r="W724" s="147"/>
      <c r="X724" s="147"/>
      <c r="Y724" s="147"/>
      <c r="Z724" s="147"/>
      <c r="AA724" s="147"/>
      <c r="AB724" s="147"/>
      <c r="AC724" s="147"/>
      <c r="AD724" s="147"/>
      <c r="AE724" s="147"/>
      <c r="AF724" s="147"/>
      <c r="AG724" s="147"/>
    </row>
    <row r="725">
      <c r="A725" s="147"/>
      <c r="B725" s="147"/>
      <c r="C725" s="147"/>
      <c r="D725" s="147"/>
      <c r="E725" s="147"/>
      <c r="F725" s="205"/>
      <c r="G725" s="147"/>
      <c r="H725" s="147"/>
      <c r="I725" s="147"/>
      <c r="J725" s="147"/>
      <c r="K725" s="147"/>
      <c r="L725" s="147"/>
      <c r="M725" s="147"/>
      <c r="N725" s="147"/>
      <c r="O725" s="147"/>
      <c r="P725" s="147"/>
      <c r="Q725" s="147"/>
      <c r="R725" s="147"/>
      <c r="S725" s="147"/>
      <c r="T725" s="147"/>
      <c r="U725" s="147"/>
      <c r="V725" s="147"/>
      <c r="W725" s="147"/>
      <c r="X725" s="147"/>
      <c r="Y725" s="147"/>
      <c r="Z725" s="147"/>
      <c r="AA725" s="147"/>
      <c r="AB725" s="147"/>
      <c r="AC725" s="147"/>
      <c r="AD725" s="147"/>
      <c r="AE725" s="147"/>
      <c r="AF725" s="147"/>
      <c r="AG725" s="147"/>
    </row>
    <row r="726">
      <c r="A726" s="147"/>
      <c r="B726" s="147"/>
      <c r="C726" s="147"/>
      <c r="D726" s="147"/>
      <c r="E726" s="147"/>
      <c r="F726" s="205"/>
      <c r="G726" s="147"/>
      <c r="H726" s="147"/>
      <c r="I726" s="147"/>
      <c r="J726" s="147"/>
      <c r="K726" s="147"/>
      <c r="L726" s="147"/>
      <c r="M726" s="147"/>
      <c r="N726" s="147"/>
      <c r="O726" s="147"/>
      <c r="P726" s="147"/>
      <c r="Q726" s="147"/>
      <c r="R726" s="147"/>
      <c r="S726" s="147"/>
      <c r="T726" s="147"/>
      <c r="U726" s="147"/>
      <c r="V726" s="147"/>
      <c r="W726" s="147"/>
      <c r="X726" s="147"/>
      <c r="Y726" s="147"/>
      <c r="Z726" s="147"/>
      <c r="AA726" s="147"/>
      <c r="AB726" s="147"/>
      <c r="AC726" s="147"/>
      <c r="AD726" s="147"/>
      <c r="AE726" s="147"/>
      <c r="AF726" s="147"/>
      <c r="AG726" s="147"/>
    </row>
    <row r="727">
      <c r="A727" s="147"/>
      <c r="B727" s="147"/>
      <c r="C727" s="147"/>
      <c r="D727" s="147"/>
      <c r="E727" s="147"/>
      <c r="F727" s="205"/>
      <c r="G727" s="147"/>
      <c r="H727" s="147"/>
      <c r="I727" s="147"/>
      <c r="J727" s="147"/>
      <c r="K727" s="147"/>
      <c r="L727" s="147"/>
      <c r="M727" s="147"/>
      <c r="N727" s="147"/>
      <c r="O727" s="147"/>
      <c r="P727" s="147"/>
      <c r="Q727" s="147"/>
      <c r="R727" s="147"/>
      <c r="S727" s="147"/>
      <c r="T727" s="147"/>
      <c r="U727" s="147"/>
      <c r="V727" s="147"/>
      <c r="W727" s="147"/>
      <c r="X727" s="147"/>
      <c r="Y727" s="147"/>
      <c r="Z727" s="147"/>
      <c r="AA727" s="147"/>
      <c r="AB727" s="147"/>
      <c r="AC727" s="147"/>
      <c r="AD727" s="147"/>
      <c r="AE727" s="147"/>
      <c r="AF727" s="147"/>
      <c r="AG727" s="147"/>
    </row>
    <row r="728">
      <c r="A728" s="147"/>
      <c r="B728" s="147"/>
      <c r="C728" s="147"/>
      <c r="D728" s="147"/>
      <c r="E728" s="147"/>
      <c r="F728" s="205"/>
      <c r="G728" s="147"/>
      <c r="H728" s="147"/>
      <c r="I728" s="147"/>
      <c r="J728" s="147"/>
      <c r="K728" s="147"/>
      <c r="L728" s="147"/>
      <c r="M728" s="147"/>
      <c r="N728" s="147"/>
      <c r="O728" s="147"/>
      <c r="P728" s="147"/>
      <c r="Q728" s="147"/>
      <c r="R728" s="147"/>
      <c r="S728" s="147"/>
      <c r="T728" s="147"/>
      <c r="U728" s="147"/>
      <c r="V728" s="147"/>
      <c r="W728" s="147"/>
      <c r="X728" s="147"/>
      <c r="Y728" s="147"/>
      <c r="Z728" s="147"/>
      <c r="AA728" s="147"/>
      <c r="AB728" s="147"/>
      <c r="AC728" s="147"/>
      <c r="AD728" s="147"/>
      <c r="AE728" s="147"/>
      <c r="AF728" s="147"/>
      <c r="AG728" s="147"/>
    </row>
    <row r="729">
      <c r="A729" s="147"/>
      <c r="B729" s="147"/>
      <c r="C729" s="147"/>
      <c r="D729" s="147"/>
      <c r="E729" s="147"/>
      <c r="F729" s="205"/>
      <c r="G729" s="147"/>
      <c r="H729" s="147"/>
      <c r="I729" s="147"/>
      <c r="J729" s="147"/>
      <c r="K729" s="147"/>
      <c r="L729" s="147"/>
      <c r="M729" s="147"/>
      <c r="N729" s="147"/>
      <c r="O729" s="147"/>
      <c r="P729" s="147"/>
      <c r="Q729" s="147"/>
      <c r="R729" s="147"/>
      <c r="S729" s="147"/>
      <c r="T729" s="147"/>
      <c r="U729" s="147"/>
      <c r="V729" s="147"/>
      <c r="W729" s="147"/>
      <c r="X729" s="147"/>
      <c r="Y729" s="147"/>
      <c r="Z729" s="147"/>
      <c r="AA729" s="147"/>
      <c r="AB729" s="147"/>
      <c r="AC729" s="147"/>
      <c r="AD729" s="147"/>
      <c r="AE729" s="147"/>
      <c r="AF729" s="147"/>
      <c r="AG729" s="147"/>
    </row>
    <row r="730">
      <c r="A730" s="147"/>
      <c r="B730" s="147"/>
      <c r="C730" s="147"/>
      <c r="D730" s="147"/>
      <c r="E730" s="147"/>
      <c r="F730" s="205"/>
      <c r="G730" s="147"/>
      <c r="H730" s="147"/>
      <c r="I730" s="147"/>
      <c r="J730" s="147"/>
      <c r="K730" s="147"/>
      <c r="L730" s="147"/>
      <c r="M730" s="147"/>
      <c r="N730" s="147"/>
      <c r="O730" s="147"/>
      <c r="P730" s="147"/>
      <c r="Q730" s="147"/>
      <c r="R730" s="147"/>
      <c r="S730" s="147"/>
      <c r="T730" s="147"/>
      <c r="U730" s="147"/>
      <c r="V730" s="147"/>
      <c r="W730" s="147"/>
      <c r="X730" s="147"/>
      <c r="Y730" s="147"/>
      <c r="Z730" s="147"/>
      <c r="AA730" s="147"/>
      <c r="AB730" s="147"/>
      <c r="AC730" s="147"/>
      <c r="AD730" s="147"/>
      <c r="AE730" s="147"/>
      <c r="AF730" s="147"/>
      <c r="AG730" s="147"/>
    </row>
    <row r="731">
      <c r="A731" s="147"/>
      <c r="B731" s="147"/>
      <c r="C731" s="147"/>
      <c r="D731" s="147"/>
      <c r="E731" s="147"/>
      <c r="F731" s="205"/>
      <c r="G731" s="147"/>
      <c r="H731" s="147"/>
      <c r="I731" s="147"/>
      <c r="J731" s="147"/>
      <c r="K731" s="147"/>
      <c r="L731" s="147"/>
      <c r="M731" s="147"/>
      <c r="N731" s="147"/>
      <c r="O731" s="147"/>
      <c r="P731" s="147"/>
      <c r="Q731" s="147"/>
      <c r="R731" s="147"/>
      <c r="S731" s="147"/>
      <c r="T731" s="147"/>
      <c r="U731" s="147"/>
      <c r="V731" s="147"/>
      <c r="W731" s="147"/>
      <c r="X731" s="147"/>
      <c r="Y731" s="147"/>
      <c r="Z731" s="147"/>
      <c r="AA731" s="147"/>
      <c r="AB731" s="147"/>
      <c r="AC731" s="147"/>
      <c r="AD731" s="147"/>
      <c r="AE731" s="147"/>
      <c r="AF731" s="147"/>
      <c r="AG731" s="147"/>
    </row>
    <row r="732">
      <c r="A732" s="147"/>
      <c r="B732" s="147"/>
      <c r="C732" s="147"/>
      <c r="D732" s="147"/>
      <c r="E732" s="147"/>
      <c r="F732" s="205"/>
      <c r="G732" s="147"/>
      <c r="H732" s="147"/>
      <c r="I732" s="147"/>
      <c r="J732" s="147"/>
      <c r="K732" s="147"/>
      <c r="L732" s="147"/>
      <c r="M732" s="147"/>
      <c r="N732" s="147"/>
      <c r="O732" s="147"/>
      <c r="P732" s="147"/>
      <c r="Q732" s="147"/>
      <c r="R732" s="147"/>
      <c r="S732" s="147"/>
      <c r="T732" s="147"/>
      <c r="U732" s="147"/>
      <c r="V732" s="147"/>
      <c r="W732" s="147"/>
      <c r="X732" s="147"/>
      <c r="Y732" s="147"/>
      <c r="Z732" s="147"/>
      <c r="AA732" s="147"/>
      <c r="AB732" s="147"/>
      <c r="AC732" s="147"/>
      <c r="AD732" s="147"/>
      <c r="AE732" s="147"/>
      <c r="AF732" s="147"/>
      <c r="AG732" s="147"/>
    </row>
    <row r="733">
      <c r="A733" s="147"/>
      <c r="B733" s="147"/>
      <c r="C733" s="147"/>
      <c r="D733" s="147"/>
      <c r="E733" s="147"/>
      <c r="F733" s="205"/>
      <c r="G733" s="147"/>
      <c r="H733" s="147"/>
      <c r="I733" s="147"/>
      <c r="J733" s="147"/>
      <c r="K733" s="147"/>
      <c r="L733" s="147"/>
      <c r="M733" s="147"/>
      <c r="N733" s="147"/>
      <c r="O733" s="147"/>
      <c r="P733" s="147"/>
      <c r="Q733" s="147"/>
      <c r="R733" s="147"/>
      <c r="S733" s="147"/>
      <c r="T733" s="147"/>
      <c r="U733" s="147"/>
      <c r="V733" s="147"/>
      <c r="W733" s="147"/>
      <c r="X733" s="147"/>
      <c r="Y733" s="147"/>
      <c r="Z733" s="147"/>
      <c r="AA733" s="147"/>
      <c r="AB733" s="147"/>
      <c r="AC733" s="147"/>
      <c r="AD733" s="147"/>
      <c r="AE733" s="147"/>
      <c r="AF733" s="147"/>
      <c r="AG733" s="147"/>
    </row>
    <row r="734">
      <c r="A734" s="147"/>
      <c r="B734" s="147"/>
      <c r="C734" s="147"/>
      <c r="D734" s="147"/>
      <c r="E734" s="147"/>
      <c r="F734" s="205"/>
      <c r="G734" s="147"/>
      <c r="H734" s="147"/>
      <c r="I734" s="147"/>
      <c r="J734" s="147"/>
      <c r="K734" s="147"/>
      <c r="L734" s="147"/>
      <c r="M734" s="147"/>
      <c r="N734" s="147"/>
      <c r="O734" s="147"/>
      <c r="P734" s="147"/>
      <c r="Q734" s="147"/>
      <c r="R734" s="147"/>
      <c r="S734" s="147"/>
      <c r="T734" s="147"/>
      <c r="U734" s="147"/>
      <c r="V734" s="147"/>
      <c r="W734" s="147"/>
      <c r="X734" s="147"/>
      <c r="Y734" s="147"/>
      <c r="Z734" s="147"/>
      <c r="AA734" s="147"/>
      <c r="AB734" s="147"/>
      <c r="AC734" s="147"/>
      <c r="AD734" s="147"/>
      <c r="AE734" s="147"/>
      <c r="AF734" s="147"/>
      <c r="AG734" s="147"/>
    </row>
    <row r="735">
      <c r="A735" s="147"/>
      <c r="B735" s="147"/>
      <c r="C735" s="147"/>
      <c r="D735" s="147"/>
      <c r="E735" s="147"/>
      <c r="F735" s="205"/>
      <c r="G735" s="147"/>
      <c r="H735" s="147"/>
      <c r="I735" s="147"/>
      <c r="J735" s="147"/>
      <c r="K735" s="147"/>
      <c r="L735" s="147"/>
      <c r="M735" s="147"/>
      <c r="N735" s="147"/>
      <c r="O735" s="147"/>
      <c r="P735" s="147"/>
      <c r="Q735" s="147"/>
      <c r="R735" s="147"/>
      <c r="S735" s="147"/>
      <c r="T735" s="147"/>
      <c r="U735" s="147"/>
      <c r="V735" s="147"/>
      <c r="W735" s="147"/>
      <c r="X735" s="147"/>
      <c r="Y735" s="147"/>
      <c r="Z735" s="147"/>
      <c r="AA735" s="147"/>
      <c r="AB735" s="147"/>
      <c r="AC735" s="147"/>
      <c r="AD735" s="147"/>
      <c r="AE735" s="147"/>
      <c r="AF735" s="147"/>
      <c r="AG735" s="147"/>
    </row>
    <row r="736">
      <c r="A736" s="147"/>
      <c r="B736" s="147"/>
      <c r="C736" s="147"/>
      <c r="D736" s="147"/>
      <c r="E736" s="147"/>
      <c r="F736" s="205"/>
      <c r="G736" s="147"/>
      <c r="H736" s="147"/>
      <c r="I736" s="147"/>
      <c r="J736" s="147"/>
      <c r="K736" s="147"/>
      <c r="L736" s="147"/>
      <c r="M736" s="147"/>
      <c r="N736" s="147"/>
      <c r="O736" s="147"/>
      <c r="P736" s="147"/>
      <c r="Q736" s="147"/>
      <c r="R736" s="147"/>
      <c r="S736" s="147"/>
      <c r="T736" s="147"/>
      <c r="U736" s="147"/>
      <c r="V736" s="147"/>
      <c r="W736" s="147"/>
      <c r="X736" s="147"/>
      <c r="Y736" s="147"/>
      <c r="Z736" s="147"/>
      <c r="AA736" s="147"/>
      <c r="AB736" s="147"/>
      <c r="AC736" s="147"/>
      <c r="AD736" s="147"/>
      <c r="AE736" s="147"/>
      <c r="AF736" s="147"/>
      <c r="AG736" s="147"/>
    </row>
    <row r="737">
      <c r="A737" s="147"/>
      <c r="B737" s="147"/>
      <c r="C737" s="147"/>
      <c r="D737" s="147"/>
      <c r="E737" s="147"/>
      <c r="F737" s="205"/>
      <c r="G737" s="147"/>
      <c r="H737" s="147"/>
      <c r="I737" s="147"/>
      <c r="J737" s="147"/>
      <c r="K737" s="147"/>
      <c r="L737" s="147"/>
      <c r="M737" s="147"/>
      <c r="N737" s="147"/>
      <c r="O737" s="147"/>
      <c r="P737" s="147"/>
      <c r="Q737" s="147"/>
      <c r="R737" s="147"/>
      <c r="S737" s="147"/>
      <c r="T737" s="147"/>
      <c r="U737" s="147"/>
      <c r="V737" s="147"/>
      <c r="W737" s="147"/>
      <c r="X737" s="147"/>
      <c r="Y737" s="147"/>
      <c r="Z737" s="147"/>
      <c r="AA737" s="147"/>
      <c r="AB737" s="147"/>
      <c r="AC737" s="147"/>
      <c r="AD737" s="147"/>
      <c r="AE737" s="147"/>
      <c r="AF737" s="147"/>
      <c r="AG737" s="147"/>
    </row>
    <row r="738">
      <c r="A738" s="147"/>
      <c r="B738" s="147"/>
      <c r="C738" s="147"/>
      <c r="D738" s="147"/>
      <c r="E738" s="147"/>
      <c r="F738" s="205"/>
      <c r="G738" s="147"/>
      <c r="H738" s="147"/>
      <c r="I738" s="147"/>
      <c r="J738" s="147"/>
      <c r="K738" s="147"/>
      <c r="L738" s="147"/>
      <c r="M738" s="147"/>
      <c r="N738" s="147"/>
      <c r="O738" s="147"/>
      <c r="P738" s="147"/>
      <c r="Q738" s="147"/>
      <c r="R738" s="147"/>
      <c r="S738" s="147"/>
      <c r="T738" s="147"/>
      <c r="U738" s="147"/>
      <c r="V738" s="147"/>
      <c r="W738" s="147"/>
      <c r="X738" s="147"/>
      <c r="Y738" s="147"/>
      <c r="Z738" s="147"/>
      <c r="AA738" s="147"/>
      <c r="AB738" s="147"/>
      <c r="AC738" s="147"/>
      <c r="AD738" s="147"/>
      <c r="AE738" s="147"/>
      <c r="AF738" s="147"/>
      <c r="AG738" s="147"/>
    </row>
    <row r="739">
      <c r="A739" s="147"/>
      <c r="B739" s="147"/>
      <c r="C739" s="147"/>
      <c r="D739" s="147"/>
      <c r="E739" s="147"/>
      <c r="F739" s="205"/>
      <c r="G739" s="147"/>
      <c r="H739" s="147"/>
      <c r="I739" s="147"/>
      <c r="J739" s="147"/>
      <c r="K739" s="147"/>
      <c r="L739" s="147"/>
      <c r="M739" s="147"/>
      <c r="N739" s="147"/>
      <c r="O739" s="147"/>
      <c r="P739" s="147"/>
      <c r="Q739" s="147"/>
      <c r="R739" s="147"/>
      <c r="S739" s="147"/>
      <c r="T739" s="147"/>
      <c r="U739" s="147"/>
      <c r="V739" s="147"/>
      <c r="W739" s="147"/>
      <c r="X739" s="147"/>
      <c r="Y739" s="147"/>
      <c r="Z739" s="147"/>
      <c r="AA739" s="147"/>
      <c r="AB739" s="147"/>
      <c r="AC739" s="147"/>
      <c r="AD739" s="147"/>
      <c r="AE739" s="147"/>
      <c r="AF739" s="147"/>
      <c r="AG739" s="147"/>
    </row>
    <row r="740">
      <c r="A740" s="147"/>
      <c r="B740" s="147"/>
      <c r="C740" s="147"/>
      <c r="D740" s="147"/>
      <c r="E740" s="147"/>
      <c r="F740" s="205"/>
      <c r="G740" s="147"/>
      <c r="H740" s="147"/>
      <c r="I740" s="147"/>
      <c r="J740" s="147"/>
      <c r="K740" s="147"/>
      <c r="L740" s="147"/>
      <c r="M740" s="147"/>
      <c r="N740" s="147"/>
      <c r="O740" s="147"/>
      <c r="P740" s="147"/>
      <c r="Q740" s="147"/>
      <c r="R740" s="147"/>
      <c r="S740" s="147"/>
      <c r="T740" s="147"/>
      <c r="U740" s="147"/>
      <c r="V740" s="147"/>
      <c r="W740" s="147"/>
      <c r="X740" s="147"/>
      <c r="Y740" s="147"/>
      <c r="Z740" s="147"/>
      <c r="AA740" s="147"/>
      <c r="AB740" s="147"/>
      <c r="AC740" s="147"/>
      <c r="AD740" s="147"/>
      <c r="AE740" s="147"/>
      <c r="AF740" s="147"/>
      <c r="AG740" s="147"/>
    </row>
    <row r="741">
      <c r="A741" s="147"/>
      <c r="B741" s="147"/>
      <c r="C741" s="147"/>
      <c r="D741" s="147"/>
      <c r="E741" s="147"/>
      <c r="F741" s="205"/>
      <c r="G741" s="147"/>
      <c r="H741" s="147"/>
      <c r="I741" s="147"/>
      <c r="J741" s="147"/>
      <c r="K741" s="147"/>
      <c r="L741" s="147"/>
      <c r="M741" s="147"/>
      <c r="N741" s="147"/>
      <c r="O741" s="147"/>
      <c r="P741" s="147"/>
      <c r="Q741" s="147"/>
      <c r="R741" s="147"/>
      <c r="S741" s="147"/>
      <c r="T741" s="147"/>
      <c r="U741" s="147"/>
      <c r="V741" s="147"/>
      <c r="W741" s="147"/>
      <c r="X741" s="147"/>
      <c r="Y741" s="147"/>
      <c r="Z741" s="147"/>
      <c r="AA741" s="147"/>
      <c r="AB741" s="147"/>
      <c r="AC741" s="147"/>
      <c r="AD741" s="147"/>
      <c r="AE741" s="147"/>
      <c r="AF741" s="147"/>
      <c r="AG741" s="147"/>
    </row>
    <row r="742">
      <c r="A742" s="147"/>
      <c r="B742" s="147"/>
      <c r="C742" s="147"/>
      <c r="D742" s="147"/>
      <c r="E742" s="147"/>
      <c r="F742" s="205"/>
      <c r="G742" s="147"/>
      <c r="H742" s="147"/>
      <c r="I742" s="147"/>
      <c r="J742" s="147"/>
      <c r="K742" s="147"/>
      <c r="L742" s="147"/>
      <c r="M742" s="147"/>
      <c r="N742" s="147"/>
      <c r="O742" s="147"/>
      <c r="P742" s="147"/>
      <c r="Q742" s="147"/>
      <c r="R742" s="147"/>
      <c r="S742" s="147"/>
      <c r="T742" s="147"/>
      <c r="U742" s="147"/>
      <c r="V742" s="147"/>
      <c r="W742" s="147"/>
      <c r="X742" s="147"/>
      <c r="Y742" s="147"/>
      <c r="Z742" s="147"/>
      <c r="AA742" s="147"/>
      <c r="AB742" s="147"/>
      <c r="AC742" s="147"/>
      <c r="AD742" s="147"/>
      <c r="AE742" s="147"/>
      <c r="AF742" s="147"/>
      <c r="AG742" s="147"/>
    </row>
    <row r="743">
      <c r="A743" s="147"/>
      <c r="B743" s="147"/>
      <c r="C743" s="147"/>
      <c r="D743" s="147"/>
      <c r="E743" s="147"/>
      <c r="F743" s="205"/>
      <c r="G743" s="147"/>
      <c r="H743" s="147"/>
      <c r="I743" s="147"/>
      <c r="J743" s="147"/>
      <c r="K743" s="147"/>
      <c r="L743" s="147"/>
      <c r="M743" s="147"/>
      <c r="N743" s="147"/>
      <c r="O743" s="147"/>
      <c r="P743" s="147"/>
      <c r="Q743" s="147"/>
      <c r="R743" s="147"/>
      <c r="S743" s="147"/>
      <c r="T743" s="147"/>
      <c r="U743" s="147"/>
      <c r="V743" s="147"/>
      <c r="W743" s="147"/>
      <c r="X743" s="147"/>
      <c r="Y743" s="147"/>
      <c r="Z743" s="147"/>
      <c r="AA743" s="147"/>
      <c r="AB743" s="147"/>
      <c r="AC743" s="147"/>
      <c r="AD743" s="147"/>
      <c r="AE743" s="147"/>
      <c r="AF743" s="147"/>
      <c r="AG743" s="147"/>
    </row>
    <row r="744">
      <c r="A744" s="147"/>
      <c r="B744" s="147"/>
      <c r="C744" s="147"/>
      <c r="D744" s="147"/>
      <c r="E744" s="147"/>
      <c r="F744" s="205"/>
      <c r="G744" s="147"/>
      <c r="H744" s="147"/>
      <c r="I744" s="147"/>
      <c r="J744" s="147"/>
      <c r="K744" s="147"/>
      <c r="L744" s="147"/>
      <c r="M744" s="147"/>
      <c r="N744" s="147"/>
      <c r="O744" s="147"/>
      <c r="P744" s="147"/>
      <c r="Q744" s="147"/>
      <c r="R744" s="147"/>
      <c r="S744" s="147"/>
      <c r="T744" s="147"/>
      <c r="U744" s="147"/>
      <c r="V744" s="147"/>
      <c r="W744" s="147"/>
      <c r="X744" s="147"/>
      <c r="Y744" s="147"/>
      <c r="Z744" s="147"/>
      <c r="AA744" s="147"/>
      <c r="AB744" s="147"/>
      <c r="AC744" s="147"/>
      <c r="AD744" s="147"/>
      <c r="AE744" s="147"/>
      <c r="AF744" s="147"/>
      <c r="AG744" s="147"/>
    </row>
    <row r="745">
      <c r="A745" s="147"/>
      <c r="B745" s="147"/>
      <c r="C745" s="147"/>
      <c r="D745" s="147"/>
      <c r="E745" s="147"/>
      <c r="F745" s="205"/>
      <c r="G745" s="147"/>
      <c r="H745" s="147"/>
      <c r="I745" s="147"/>
      <c r="J745" s="147"/>
      <c r="K745" s="147"/>
      <c r="L745" s="147"/>
      <c r="M745" s="147"/>
      <c r="N745" s="147"/>
      <c r="O745" s="147"/>
      <c r="P745" s="147"/>
      <c r="Q745" s="147"/>
      <c r="R745" s="147"/>
      <c r="S745" s="147"/>
      <c r="T745" s="147"/>
      <c r="U745" s="147"/>
      <c r="V745" s="147"/>
      <c r="W745" s="147"/>
      <c r="X745" s="147"/>
      <c r="Y745" s="147"/>
      <c r="Z745" s="147"/>
      <c r="AA745" s="147"/>
      <c r="AB745" s="147"/>
      <c r="AC745" s="147"/>
      <c r="AD745" s="147"/>
      <c r="AE745" s="147"/>
      <c r="AF745" s="147"/>
      <c r="AG745" s="147"/>
    </row>
    <row r="746">
      <c r="A746" s="147"/>
      <c r="B746" s="147"/>
      <c r="C746" s="147"/>
      <c r="D746" s="147"/>
      <c r="E746" s="147"/>
      <c r="F746" s="205"/>
      <c r="G746" s="147"/>
      <c r="H746" s="147"/>
      <c r="I746" s="147"/>
      <c r="J746" s="147"/>
      <c r="K746" s="147"/>
      <c r="L746" s="147"/>
      <c r="M746" s="147"/>
      <c r="N746" s="147"/>
      <c r="O746" s="147"/>
      <c r="P746" s="147"/>
      <c r="Q746" s="147"/>
      <c r="R746" s="147"/>
      <c r="S746" s="147"/>
      <c r="T746" s="147"/>
      <c r="U746" s="147"/>
      <c r="V746" s="147"/>
      <c r="W746" s="147"/>
      <c r="X746" s="147"/>
      <c r="Y746" s="147"/>
      <c r="Z746" s="147"/>
      <c r="AA746" s="147"/>
      <c r="AB746" s="147"/>
      <c r="AC746" s="147"/>
      <c r="AD746" s="147"/>
      <c r="AE746" s="147"/>
      <c r="AF746" s="147"/>
      <c r="AG746" s="147"/>
    </row>
    <row r="747">
      <c r="A747" s="147"/>
      <c r="B747" s="147"/>
      <c r="C747" s="147"/>
      <c r="D747" s="147"/>
      <c r="E747" s="147"/>
      <c r="F747" s="205"/>
      <c r="G747" s="147"/>
      <c r="H747" s="147"/>
      <c r="I747" s="147"/>
      <c r="J747" s="147"/>
      <c r="K747" s="147"/>
      <c r="L747" s="147"/>
      <c r="M747" s="147"/>
      <c r="N747" s="147"/>
      <c r="O747" s="147"/>
      <c r="P747" s="147"/>
      <c r="Q747" s="147"/>
      <c r="R747" s="147"/>
      <c r="S747" s="147"/>
      <c r="T747" s="147"/>
      <c r="U747" s="147"/>
      <c r="V747" s="147"/>
      <c r="W747" s="147"/>
      <c r="X747" s="147"/>
      <c r="Y747" s="147"/>
      <c r="Z747" s="147"/>
      <c r="AA747" s="147"/>
      <c r="AB747" s="147"/>
      <c r="AC747" s="147"/>
      <c r="AD747" s="147"/>
      <c r="AE747" s="147"/>
      <c r="AF747" s="147"/>
      <c r="AG747" s="147"/>
    </row>
    <row r="748">
      <c r="A748" s="147"/>
      <c r="B748" s="147"/>
      <c r="C748" s="147"/>
      <c r="D748" s="147"/>
      <c r="E748" s="147"/>
      <c r="F748" s="205"/>
      <c r="G748" s="147"/>
      <c r="H748" s="147"/>
      <c r="I748" s="147"/>
      <c r="J748" s="147"/>
      <c r="K748" s="147"/>
      <c r="L748" s="147"/>
      <c r="M748" s="147"/>
      <c r="N748" s="147"/>
      <c r="O748" s="147"/>
      <c r="P748" s="147"/>
      <c r="Q748" s="147"/>
      <c r="R748" s="147"/>
      <c r="S748" s="147"/>
      <c r="T748" s="147"/>
      <c r="U748" s="147"/>
      <c r="V748" s="147"/>
      <c r="W748" s="147"/>
      <c r="X748" s="147"/>
      <c r="Y748" s="147"/>
      <c r="Z748" s="147"/>
      <c r="AA748" s="147"/>
      <c r="AB748" s="147"/>
      <c r="AC748" s="147"/>
      <c r="AD748" s="147"/>
      <c r="AE748" s="147"/>
      <c r="AF748" s="147"/>
      <c r="AG748" s="147"/>
    </row>
    <row r="749">
      <c r="A749" s="147"/>
      <c r="B749" s="147"/>
      <c r="C749" s="147"/>
      <c r="D749" s="147"/>
      <c r="E749" s="147"/>
      <c r="F749" s="205"/>
      <c r="G749" s="147"/>
      <c r="H749" s="147"/>
      <c r="I749" s="147"/>
      <c r="J749" s="147"/>
      <c r="K749" s="147"/>
      <c r="L749" s="147"/>
      <c r="M749" s="147"/>
      <c r="N749" s="147"/>
      <c r="O749" s="147"/>
      <c r="P749" s="147"/>
      <c r="Q749" s="147"/>
      <c r="R749" s="147"/>
      <c r="S749" s="147"/>
      <c r="T749" s="147"/>
      <c r="U749" s="147"/>
      <c r="V749" s="147"/>
      <c r="W749" s="147"/>
      <c r="X749" s="147"/>
      <c r="Y749" s="147"/>
      <c r="Z749" s="147"/>
      <c r="AA749" s="147"/>
      <c r="AB749" s="147"/>
      <c r="AC749" s="147"/>
      <c r="AD749" s="147"/>
      <c r="AE749" s="147"/>
      <c r="AF749" s="147"/>
      <c r="AG749" s="147"/>
    </row>
    <row r="750">
      <c r="A750" s="147"/>
      <c r="B750" s="147"/>
      <c r="C750" s="147"/>
      <c r="D750" s="147"/>
      <c r="E750" s="147"/>
      <c r="F750" s="205"/>
      <c r="G750" s="147"/>
      <c r="H750" s="147"/>
      <c r="I750" s="147"/>
      <c r="J750" s="147"/>
      <c r="K750" s="147"/>
      <c r="L750" s="147"/>
      <c r="M750" s="147"/>
      <c r="N750" s="147"/>
      <c r="O750" s="147"/>
      <c r="P750" s="147"/>
      <c r="Q750" s="147"/>
      <c r="R750" s="147"/>
      <c r="S750" s="147"/>
      <c r="T750" s="147"/>
      <c r="U750" s="147"/>
      <c r="V750" s="147"/>
      <c r="W750" s="147"/>
      <c r="X750" s="147"/>
      <c r="Y750" s="147"/>
      <c r="Z750" s="147"/>
      <c r="AA750" s="147"/>
      <c r="AB750" s="147"/>
      <c r="AC750" s="147"/>
      <c r="AD750" s="147"/>
      <c r="AE750" s="147"/>
      <c r="AF750" s="147"/>
      <c r="AG750" s="147"/>
    </row>
    <row r="751">
      <c r="A751" s="147"/>
      <c r="B751" s="147"/>
      <c r="C751" s="147"/>
      <c r="D751" s="147"/>
      <c r="E751" s="147"/>
      <c r="F751" s="205"/>
      <c r="G751" s="147"/>
      <c r="H751" s="147"/>
      <c r="I751" s="147"/>
      <c r="J751" s="147"/>
      <c r="K751" s="147"/>
      <c r="L751" s="147"/>
      <c r="M751" s="147"/>
      <c r="N751" s="147"/>
      <c r="O751" s="147"/>
      <c r="P751" s="147"/>
      <c r="Q751" s="147"/>
      <c r="R751" s="147"/>
      <c r="S751" s="147"/>
      <c r="T751" s="147"/>
      <c r="U751" s="147"/>
      <c r="V751" s="147"/>
      <c r="W751" s="147"/>
      <c r="X751" s="147"/>
      <c r="Y751" s="147"/>
      <c r="Z751" s="147"/>
      <c r="AA751" s="147"/>
      <c r="AB751" s="147"/>
      <c r="AC751" s="147"/>
      <c r="AD751" s="147"/>
      <c r="AE751" s="147"/>
      <c r="AF751" s="147"/>
      <c r="AG751" s="147"/>
    </row>
    <row r="752">
      <c r="A752" s="147"/>
      <c r="B752" s="147"/>
      <c r="C752" s="147"/>
      <c r="D752" s="147"/>
      <c r="E752" s="147"/>
      <c r="F752" s="205"/>
      <c r="G752" s="147"/>
      <c r="H752" s="147"/>
      <c r="I752" s="147"/>
      <c r="J752" s="147"/>
      <c r="K752" s="147"/>
      <c r="L752" s="147"/>
      <c r="M752" s="147"/>
      <c r="N752" s="147"/>
      <c r="O752" s="147"/>
      <c r="P752" s="147"/>
      <c r="Q752" s="147"/>
      <c r="R752" s="147"/>
      <c r="S752" s="147"/>
      <c r="T752" s="147"/>
      <c r="U752" s="147"/>
      <c r="V752" s="147"/>
      <c r="W752" s="147"/>
      <c r="X752" s="147"/>
      <c r="Y752" s="147"/>
      <c r="Z752" s="147"/>
      <c r="AA752" s="147"/>
      <c r="AB752" s="147"/>
      <c r="AC752" s="147"/>
      <c r="AD752" s="147"/>
      <c r="AE752" s="147"/>
      <c r="AF752" s="147"/>
      <c r="AG752" s="147"/>
    </row>
    <row r="753">
      <c r="A753" s="147"/>
      <c r="B753" s="147"/>
      <c r="C753" s="147"/>
      <c r="D753" s="147"/>
      <c r="E753" s="147"/>
      <c r="F753" s="205"/>
      <c r="G753" s="147"/>
      <c r="H753" s="147"/>
      <c r="I753" s="147"/>
      <c r="J753" s="147"/>
      <c r="K753" s="147"/>
      <c r="L753" s="147"/>
      <c r="M753" s="147"/>
      <c r="N753" s="147"/>
      <c r="O753" s="147"/>
      <c r="P753" s="147"/>
      <c r="Q753" s="147"/>
      <c r="R753" s="147"/>
      <c r="S753" s="147"/>
      <c r="T753" s="147"/>
      <c r="U753" s="147"/>
      <c r="V753" s="147"/>
      <c r="W753" s="147"/>
      <c r="X753" s="147"/>
      <c r="Y753" s="147"/>
      <c r="Z753" s="147"/>
      <c r="AA753" s="147"/>
      <c r="AB753" s="147"/>
      <c r="AC753" s="147"/>
      <c r="AD753" s="147"/>
      <c r="AE753" s="147"/>
      <c r="AF753" s="147"/>
      <c r="AG753" s="147"/>
    </row>
    <row r="754">
      <c r="A754" s="147"/>
      <c r="B754" s="147"/>
      <c r="C754" s="147"/>
      <c r="D754" s="147"/>
      <c r="E754" s="147"/>
      <c r="F754" s="205"/>
      <c r="G754" s="147"/>
      <c r="H754" s="147"/>
      <c r="I754" s="147"/>
      <c r="J754" s="147"/>
      <c r="K754" s="147"/>
      <c r="L754" s="147"/>
      <c r="M754" s="147"/>
      <c r="N754" s="147"/>
      <c r="O754" s="147"/>
      <c r="P754" s="147"/>
      <c r="Q754" s="147"/>
      <c r="R754" s="147"/>
      <c r="S754" s="147"/>
      <c r="T754" s="147"/>
      <c r="U754" s="147"/>
      <c r="V754" s="147"/>
      <c r="W754" s="147"/>
      <c r="X754" s="147"/>
      <c r="Y754" s="147"/>
      <c r="Z754" s="147"/>
      <c r="AA754" s="147"/>
      <c r="AB754" s="147"/>
      <c r="AC754" s="147"/>
      <c r="AD754" s="147"/>
      <c r="AE754" s="147"/>
      <c r="AF754" s="147"/>
      <c r="AG754" s="147"/>
    </row>
    <row r="755">
      <c r="A755" s="147"/>
      <c r="B755" s="147"/>
      <c r="C755" s="147"/>
      <c r="D755" s="147"/>
      <c r="E755" s="147"/>
      <c r="F755" s="205"/>
      <c r="G755" s="147"/>
      <c r="H755" s="147"/>
      <c r="I755" s="147"/>
      <c r="J755" s="147"/>
      <c r="K755" s="147"/>
      <c r="L755" s="147"/>
      <c r="M755" s="147"/>
      <c r="N755" s="147"/>
      <c r="O755" s="147"/>
      <c r="P755" s="147"/>
      <c r="Q755" s="147"/>
      <c r="R755" s="147"/>
      <c r="S755" s="147"/>
      <c r="T755" s="147"/>
      <c r="U755" s="147"/>
      <c r="V755" s="147"/>
      <c r="W755" s="147"/>
      <c r="X755" s="147"/>
      <c r="Y755" s="147"/>
      <c r="Z755" s="147"/>
      <c r="AA755" s="147"/>
      <c r="AB755" s="147"/>
      <c r="AC755" s="147"/>
      <c r="AD755" s="147"/>
      <c r="AE755" s="147"/>
      <c r="AF755" s="147"/>
      <c r="AG755" s="147"/>
    </row>
    <row r="756">
      <c r="A756" s="147"/>
      <c r="B756" s="147"/>
      <c r="C756" s="147"/>
      <c r="D756" s="147"/>
      <c r="E756" s="147"/>
      <c r="F756" s="205"/>
      <c r="G756" s="147"/>
      <c r="H756" s="147"/>
      <c r="I756" s="147"/>
      <c r="J756" s="147"/>
      <c r="K756" s="147"/>
      <c r="L756" s="147"/>
      <c r="M756" s="147"/>
      <c r="N756" s="147"/>
      <c r="O756" s="147"/>
      <c r="P756" s="147"/>
      <c r="Q756" s="147"/>
      <c r="R756" s="147"/>
      <c r="S756" s="147"/>
      <c r="T756" s="147"/>
      <c r="U756" s="147"/>
      <c r="V756" s="147"/>
      <c r="W756" s="147"/>
      <c r="X756" s="147"/>
      <c r="Y756" s="147"/>
      <c r="Z756" s="147"/>
      <c r="AA756" s="147"/>
      <c r="AB756" s="147"/>
      <c r="AC756" s="147"/>
      <c r="AD756" s="147"/>
      <c r="AE756" s="147"/>
      <c r="AF756" s="147"/>
      <c r="AG756" s="147"/>
    </row>
    <row r="757">
      <c r="A757" s="147"/>
      <c r="B757" s="147"/>
      <c r="C757" s="147"/>
      <c r="D757" s="147"/>
      <c r="E757" s="147"/>
      <c r="F757" s="205"/>
      <c r="G757" s="147"/>
      <c r="H757" s="147"/>
      <c r="I757" s="147"/>
      <c r="J757" s="147"/>
      <c r="K757" s="147"/>
      <c r="L757" s="147"/>
      <c r="M757" s="147"/>
      <c r="N757" s="147"/>
      <c r="O757" s="147"/>
      <c r="P757" s="147"/>
      <c r="Q757" s="147"/>
      <c r="R757" s="147"/>
      <c r="S757" s="147"/>
      <c r="T757" s="147"/>
      <c r="U757" s="147"/>
      <c r="V757" s="147"/>
      <c r="W757" s="147"/>
      <c r="X757" s="147"/>
      <c r="Y757" s="147"/>
      <c r="Z757" s="147"/>
      <c r="AA757" s="147"/>
      <c r="AB757" s="147"/>
      <c r="AC757" s="147"/>
      <c r="AD757" s="147"/>
      <c r="AE757" s="147"/>
      <c r="AF757" s="147"/>
      <c r="AG757" s="147"/>
    </row>
    <row r="758">
      <c r="A758" s="147"/>
      <c r="B758" s="147"/>
      <c r="C758" s="147"/>
      <c r="D758" s="147"/>
      <c r="E758" s="147"/>
      <c r="F758" s="205"/>
      <c r="G758" s="147"/>
      <c r="H758" s="147"/>
      <c r="I758" s="147"/>
      <c r="J758" s="147"/>
      <c r="K758" s="147"/>
      <c r="L758" s="147"/>
      <c r="M758" s="147"/>
      <c r="N758" s="147"/>
      <c r="O758" s="147"/>
      <c r="P758" s="147"/>
      <c r="Q758" s="147"/>
      <c r="R758" s="147"/>
      <c r="S758" s="147"/>
      <c r="T758" s="147"/>
      <c r="U758" s="147"/>
      <c r="V758" s="147"/>
      <c r="W758" s="147"/>
      <c r="X758" s="147"/>
      <c r="Y758" s="147"/>
      <c r="Z758" s="147"/>
      <c r="AA758" s="147"/>
      <c r="AB758" s="147"/>
      <c r="AC758" s="147"/>
      <c r="AD758" s="147"/>
      <c r="AE758" s="147"/>
      <c r="AF758" s="147"/>
      <c r="AG758" s="147"/>
    </row>
    <row r="759">
      <c r="A759" s="147"/>
      <c r="B759" s="147"/>
      <c r="C759" s="147"/>
      <c r="D759" s="147"/>
      <c r="E759" s="147"/>
      <c r="F759" s="205"/>
      <c r="G759" s="147"/>
      <c r="H759" s="147"/>
      <c r="I759" s="147"/>
      <c r="J759" s="147"/>
      <c r="K759" s="147"/>
      <c r="L759" s="147"/>
      <c r="M759" s="147"/>
      <c r="N759" s="147"/>
      <c r="O759" s="147"/>
      <c r="P759" s="147"/>
      <c r="Q759" s="147"/>
      <c r="R759" s="147"/>
      <c r="S759" s="147"/>
      <c r="T759" s="147"/>
      <c r="U759" s="147"/>
      <c r="V759" s="147"/>
      <c r="W759" s="147"/>
      <c r="X759" s="147"/>
      <c r="Y759" s="147"/>
      <c r="Z759" s="147"/>
      <c r="AA759" s="147"/>
      <c r="AB759" s="147"/>
      <c r="AC759" s="147"/>
      <c r="AD759" s="147"/>
      <c r="AE759" s="147"/>
      <c r="AF759" s="147"/>
      <c r="AG759" s="147"/>
    </row>
    <row r="760">
      <c r="A760" s="147"/>
      <c r="B760" s="147"/>
      <c r="C760" s="147"/>
      <c r="D760" s="147"/>
      <c r="E760" s="147"/>
      <c r="F760" s="205"/>
      <c r="G760" s="147"/>
      <c r="H760" s="147"/>
      <c r="I760" s="147"/>
      <c r="J760" s="147"/>
      <c r="K760" s="147"/>
      <c r="L760" s="147"/>
      <c r="M760" s="147"/>
      <c r="N760" s="147"/>
      <c r="O760" s="147"/>
      <c r="P760" s="147"/>
      <c r="Q760" s="147"/>
      <c r="R760" s="147"/>
      <c r="S760" s="147"/>
      <c r="T760" s="147"/>
      <c r="U760" s="147"/>
      <c r="V760" s="147"/>
      <c r="W760" s="147"/>
      <c r="X760" s="147"/>
      <c r="Y760" s="147"/>
      <c r="Z760" s="147"/>
      <c r="AA760" s="147"/>
      <c r="AB760" s="147"/>
      <c r="AC760" s="147"/>
      <c r="AD760" s="147"/>
      <c r="AE760" s="147"/>
      <c r="AF760" s="147"/>
      <c r="AG760" s="147"/>
    </row>
    <row r="761">
      <c r="A761" s="147"/>
      <c r="B761" s="147"/>
      <c r="C761" s="147"/>
      <c r="D761" s="147"/>
      <c r="E761" s="147"/>
      <c r="F761" s="205"/>
      <c r="G761" s="147"/>
      <c r="H761" s="147"/>
      <c r="I761" s="147"/>
      <c r="J761" s="147"/>
      <c r="K761" s="147"/>
      <c r="L761" s="147"/>
      <c r="M761" s="147"/>
      <c r="N761" s="147"/>
      <c r="O761" s="147"/>
      <c r="P761" s="147"/>
      <c r="Q761" s="147"/>
      <c r="R761" s="147"/>
      <c r="S761" s="147"/>
      <c r="T761" s="147"/>
      <c r="U761" s="147"/>
      <c r="V761" s="147"/>
      <c r="W761" s="147"/>
      <c r="X761" s="147"/>
      <c r="Y761" s="147"/>
      <c r="Z761" s="147"/>
      <c r="AA761" s="147"/>
      <c r="AB761" s="147"/>
      <c r="AC761" s="147"/>
      <c r="AD761" s="147"/>
      <c r="AE761" s="147"/>
      <c r="AF761" s="147"/>
      <c r="AG761" s="147"/>
    </row>
    <row r="762">
      <c r="A762" s="147"/>
      <c r="B762" s="147"/>
      <c r="C762" s="147"/>
      <c r="D762" s="147"/>
      <c r="E762" s="147"/>
      <c r="F762" s="205"/>
      <c r="G762" s="147"/>
      <c r="H762" s="147"/>
      <c r="I762" s="147"/>
      <c r="J762" s="147"/>
      <c r="K762" s="147"/>
      <c r="L762" s="147"/>
      <c r="M762" s="147"/>
      <c r="N762" s="147"/>
      <c r="O762" s="147"/>
      <c r="P762" s="147"/>
      <c r="Q762" s="147"/>
      <c r="R762" s="147"/>
      <c r="S762" s="147"/>
      <c r="T762" s="147"/>
      <c r="U762" s="147"/>
      <c r="V762" s="147"/>
      <c r="W762" s="147"/>
      <c r="X762" s="147"/>
      <c r="Y762" s="147"/>
      <c r="Z762" s="147"/>
      <c r="AA762" s="147"/>
      <c r="AB762" s="147"/>
      <c r="AC762" s="147"/>
      <c r="AD762" s="147"/>
      <c r="AE762" s="147"/>
      <c r="AF762" s="147"/>
      <c r="AG762" s="147"/>
    </row>
    <row r="763">
      <c r="A763" s="147"/>
      <c r="B763" s="147"/>
      <c r="C763" s="147"/>
      <c r="D763" s="147"/>
      <c r="E763" s="147"/>
      <c r="F763" s="205"/>
      <c r="G763" s="147"/>
      <c r="H763" s="147"/>
      <c r="I763" s="147"/>
      <c r="J763" s="147"/>
      <c r="K763" s="147"/>
      <c r="L763" s="147"/>
      <c r="M763" s="147"/>
      <c r="N763" s="147"/>
      <c r="O763" s="147"/>
      <c r="P763" s="147"/>
      <c r="Q763" s="147"/>
      <c r="R763" s="147"/>
      <c r="S763" s="147"/>
      <c r="T763" s="147"/>
      <c r="U763" s="147"/>
      <c r="V763" s="147"/>
      <c r="W763" s="147"/>
      <c r="X763" s="147"/>
      <c r="Y763" s="147"/>
      <c r="Z763" s="147"/>
      <c r="AA763" s="147"/>
      <c r="AB763" s="147"/>
      <c r="AC763" s="147"/>
      <c r="AD763" s="147"/>
      <c r="AE763" s="147"/>
      <c r="AF763" s="147"/>
      <c r="AG763" s="147"/>
    </row>
    <row r="764">
      <c r="A764" s="147"/>
      <c r="B764" s="147"/>
      <c r="C764" s="147"/>
      <c r="D764" s="147"/>
      <c r="E764" s="147"/>
      <c r="F764" s="205"/>
      <c r="G764" s="147"/>
      <c r="H764" s="147"/>
      <c r="I764" s="147"/>
      <c r="J764" s="147"/>
      <c r="K764" s="147"/>
      <c r="L764" s="147"/>
      <c r="M764" s="147"/>
      <c r="N764" s="147"/>
      <c r="O764" s="147"/>
      <c r="P764" s="147"/>
      <c r="Q764" s="147"/>
      <c r="R764" s="147"/>
      <c r="S764" s="147"/>
      <c r="T764" s="147"/>
      <c r="U764" s="147"/>
      <c r="V764" s="147"/>
      <c r="W764" s="147"/>
      <c r="X764" s="147"/>
      <c r="Y764" s="147"/>
      <c r="Z764" s="147"/>
      <c r="AA764" s="147"/>
      <c r="AB764" s="147"/>
      <c r="AC764" s="147"/>
      <c r="AD764" s="147"/>
      <c r="AE764" s="147"/>
      <c r="AF764" s="147"/>
      <c r="AG764" s="147"/>
    </row>
    <row r="765">
      <c r="A765" s="147"/>
      <c r="B765" s="147"/>
      <c r="C765" s="147"/>
      <c r="D765" s="147"/>
      <c r="E765" s="147"/>
      <c r="F765" s="205"/>
      <c r="G765" s="147"/>
      <c r="H765" s="147"/>
      <c r="I765" s="147"/>
      <c r="J765" s="147"/>
      <c r="K765" s="147"/>
      <c r="L765" s="147"/>
      <c r="M765" s="147"/>
      <c r="N765" s="147"/>
      <c r="O765" s="147"/>
      <c r="P765" s="147"/>
      <c r="Q765" s="147"/>
      <c r="R765" s="147"/>
      <c r="S765" s="147"/>
      <c r="T765" s="147"/>
      <c r="U765" s="147"/>
      <c r="V765" s="147"/>
      <c r="W765" s="147"/>
      <c r="X765" s="147"/>
      <c r="Y765" s="147"/>
      <c r="Z765" s="147"/>
      <c r="AA765" s="147"/>
      <c r="AB765" s="147"/>
      <c r="AC765" s="147"/>
      <c r="AD765" s="147"/>
      <c r="AE765" s="147"/>
      <c r="AF765" s="147"/>
      <c r="AG765" s="147"/>
    </row>
    <row r="766">
      <c r="A766" s="147"/>
      <c r="B766" s="147"/>
      <c r="C766" s="147"/>
      <c r="D766" s="147"/>
      <c r="E766" s="147"/>
      <c r="F766" s="205"/>
      <c r="G766" s="147"/>
      <c r="H766" s="147"/>
      <c r="I766" s="147"/>
      <c r="J766" s="147"/>
      <c r="K766" s="147"/>
      <c r="L766" s="147"/>
      <c r="M766" s="147"/>
      <c r="N766" s="147"/>
      <c r="O766" s="147"/>
      <c r="P766" s="147"/>
      <c r="Q766" s="147"/>
      <c r="R766" s="147"/>
      <c r="S766" s="147"/>
      <c r="T766" s="147"/>
      <c r="U766" s="147"/>
      <c r="V766" s="147"/>
      <c r="W766" s="147"/>
      <c r="X766" s="147"/>
      <c r="Y766" s="147"/>
      <c r="Z766" s="147"/>
      <c r="AA766" s="147"/>
      <c r="AB766" s="147"/>
      <c r="AC766" s="147"/>
      <c r="AD766" s="147"/>
      <c r="AE766" s="147"/>
      <c r="AF766" s="147"/>
      <c r="AG766" s="147"/>
    </row>
    <row r="767">
      <c r="A767" s="147"/>
      <c r="B767" s="147"/>
      <c r="C767" s="147"/>
      <c r="D767" s="147"/>
      <c r="E767" s="147"/>
      <c r="F767" s="205"/>
      <c r="G767" s="147"/>
      <c r="H767" s="147"/>
      <c r="I767" s="147"/>
      <c r="J767" s="147"/>
      <c r="K767" s="147"/>
      <c r="L767" s="147"/>
      <c r="M767" s="147"/>
      <c r="N767" s="147"/>
      <c r="O767" s="147"/>
      <c r="P767" s="147"/>
      <c r="Q767" s="147"/>
      <c r="R767" s="147"/>
      <c r="S767" s="147"/>
      <c r="T767" s="147"/>
      <c r="U767" s="147"/>
      <c r="V767" s="147"/>
      <c r="W767" s="147"/>
      <c r="X767" s="147"/>
      <c r="Y767" s="147"/>
      <c r="Z767" s="147"/>
      <c r="AA767" s="147"/>
      <c r="AB767" s="147"/>
      <c r="AC767" s="147"/>
      <c r="AD767" s="147"/>
      <c r="AE767" s="147"/>
      <c r="AF767" s="147"/>
      <c r="AG767" s="147"/>
    </row>
    <row r="768">
      <c r="A768" s="147"/>
      <c r="B768" s="147"/>
      <c r="C768" s="147"/>
      <c r="D768" s="147"/>
      <c r="E768" s="147"/>
      <c r="F768" s="205"/>
      <c r="G768" s="147"/>
      <c r="H768" s="147"/>
      <c r="I768" s="147"/>
      <c r="J768" s="147"/>
      <c r="K768" s="147"/>
      <c r="L768" s="147"/>
      <c r="M768" s="147"/>
      <c r="N768" s="147"/>
      <c r="O768" s="147"/>
      <c r="P768" s="147"/>
      <c r="Q768" s="147"/>
      <c r="R768" s="147"/>
      <c r="S768" s="147"/>
      <c r="T768" s="147"/>
      <c r="U768" s="147"/>
      <c r="V768" s="147"/>
      <c r="W768" s="147"/>
      <c r="X768" s="147"/>
      <c r="Y768" s="147"/>
      <c r="Z768" s="147"/>
      <c r="AA768" s="147"/>
      <c r="AB768" s="147"/>
      <c r="AC768" s="147"/>
      <c r="AD768" s="147"/>
      <c r="AE768" s="147"/>
      <c r="AF768" s="147"/>
      <c r="AG768" s="147"/>
    </row>
    <row r="769">
      <c r="A769" s="147"/>
      <c r="B769" s="147"/>
      <c r="C769" s="147"/>
      <c r="D769" s="147"/>
      <c r="E769" s="147"/>
      <c r="F769" s="205"/>
      <c r="G769" s="147"/>
      <c r="H769" s="147"/>
      <c r="I769" s="147"/>
      <c r="J769" s="147"/>
      <c r="K769" s="147"/>
      <c r="L769" s="147"/>
      <c r="M769" s="147"/>
      <c r="N769" s="147"/>
      <c r="O769" s="147"/>
      <c r="P769" s="147"/>
      <c r="Q769" s="147"/>
      <c r="R769" s="147"/>
      <c r="S769" s="147"/>
      <c r="T769" s="147"/>
      <c r="U769" s="147"/>
      <c r="V769" s="147"/>
      <c r="W769" s="147"/>
      <c r="X769" s="147"/>
      <c r="Y769" s="147"/>
      <c r="Z769" s="147"/>
      <c r="AA769" s="147"/>
      <c r="AB769" s="147"/>
      <c r="AC769" s="147"/>
      <c r="AD769" s="147"/>
      <c r="AE769" s="147"/>
      <c r="AF769" s="147"/>
      <c r="AG769" s="147"/>
    </row>
    <row r="770">
      <c r="A770" s="147"/>
      <c r="B770" s="147"/>
      <c r="C770" s="147"/>
      <c r="D770" s="147"/>
      <c r="E770" s="147"/>
      <c r="F770" s="205"/>
      <c r="G770" s="147"/>
      <c r="H770" s="147"/>
      <c r="I770" s="147"/>
      <c r="J770" s="147"/>
      <c r="K770" s="147"/>
      <c r="L770" s="147"/>
      <c r="M770" s="147"/>
      <c r="N770" s="147"/>
      <c r="O770" s="147"/>
      <c r="P770" s="147"/>
      <c r="Q770" s="147"/>
      <c r="R770" s="147"/>
      <c r="S770" s="147"/>
      <c r="T770" s="147"/>
      <c r="U770" s="147"/>
      <c r="V770" s="147"/>
      <c r="W770" s="147"/>
      <c r="X770" s="147"/>
      <c r="Y770" s="147"/>
      <c r="Z770" s="147"/>
      <c r="AA770" s="147"/>
      <c r="AB770" s="147"/>
      <c r="AC770" s="147"/>
      <c r="AD770" s="147"/>
      <c r="AE770" s="147"/>
      <c r="AF770" s="147"/>
      <c r="AG770" s="147"/>
    </row>
    <row r="771">
      <c r="A771" s="147"/>
      <c r="B771" s="147"/>
      <c r="C771" s="147"/>
      <c r="D771" s="147"/>
      <c r="E771" s="147"/>
      <c r="F771" s="205"/>
      <c r="G771" s="147"/>
      <c r="H771" s="147"/>
      <c r="I771" s="147"/>
      <c r="J771" s="147"/>
      <c r="K771" s="147"/>
      <c r="L771" s="147"/>
      <c r="M771" s="147"/>
      <c r="N771" s="147"/>
      <c r="O771" s="147"/>
      <c r="P771" s="147"/>
      <c r="Q771" s="147"/>
      <c r="R771" s="147"/>
      <c r="S771" s="147"/>
      <c r="T771" s="147"/>
      <c r="U771" s="147"/>
      <c r="V771" s="147"/>
      <c r="W771" s="147"/>
      <c r="X771" s="147"/>
      <c r="Y771" s="147"/>
      <c r="Z771" s="147"/>
      <c r="AA771" s="147"/>
      <c r="AB771" s="147"/>
      <c r="AC771" s="147"/>
      <c r="AD771" s="147"/>
      <c r="AE771" s="147"/>
      <c r="AF771" s="147"/>
      <c r="AG771" s="147"/>
    </row>
    <row r="772">
      <c r="A772" s="147"/>
      <c r="B772" s="147"/>
      <c r="C772" s="147"/>
      <c r="D772" s="147"/>
      <c r="E772" s="147"/>
      <c r="F772" s="205"/>
      <c r="G772" s="147"/>
      <c r="H772" s="147"/>
      <c r="I772" s="147"/>
      <c r="J772" s="147"/>
      <c r="K772" s="147"/>
      <c r="L772" s="147"/>
      <c r="M772" s="147"/>
      <c r="N772" s="147"/>
      <c r="O772" s="147"/>
      <c r="P772" s="147"/>
      <c r="Q772" s="147"/>
      <c r="R772" s="147"/>
      <c r="S772" s="147"/>
      <c r="T772" s="147"/>
      <c r="U772" s="147"/>
      <c r="V772" s="147"/>
      <c r="W772" s="147"/>
      <c r="X772" s="147"/>
      <c r="Y772" s="147"/>
      <c r="Z772" s="147"/>
      <c r="AA772" s="147"/>
      <c r="AB772" s="147"/>
      <c r="AC772" s="147"/>
      <c r="AD772" s="147"/>
      <c r="AE772" s="147"/>
      <c r="AF772" s="147"/>
      <c r="AG772" s="147"/>
    </row>
    <row r="773">
      <c r="A773" s="147"/>
      <c r="B773" s="147"/>
      <c r="C773" s="147"/>
      <c r="D773" s="147"/>
      <c r="E773" s="147"/>
      <c r="F773" s="205"/>
      <c r="G773" s="147"/>
      <c r="H773" s="147"/>
      <c r="I773" s="147"/>
      <c r="J773" s="147"/>
      <c r="K773" s="147"/>
      <c r="L773" s="147"/>
      <c r="M773" s="147"/>
      <c r="N773" s="147"/>
      <c r="O773" s="147"/>
      <c r="P773" s="147"/>
      <c r="Q773" s="147"/>
      <c r="R773" s="147"/>
      <c r="S773" s="147"/>
      <c r="T773" s="147"/>
      <c r="U773" s="147"/>
      <c r="V773" s="147"/>
      <c r="W773" s="147"/>
      <c r="X773" s="147"/>
      <c r="Y773" s="147"/>
      <c r="Z773" s="147"/>
      <c r="AA773" s="147"/>
      <c r="AB773" s="147"/>
      <c r="AC773" s="147"/>
      <c r="AD773" s="147"/>
      <c r="AE773" s="147"/>
      <c r="AF773" s="147"/>
      <c r="AG773" s="147"/>
    </row>
    <row r="774">
      <c r="A774" s="147"/>
      <c r="B774" s="147"/>
      <c r="C774" s="147"/>
      <c r="D774" s="147"/>
      <c r="E774" s="147"/>
      <c r="F774" s="205"/>
      <c r="G774" s="147"/>
      <c r="H774" s="147"/>
      <c r="I774" s="147"/>
      <c r="J774" s="147"/>
      <c r="K774" s="147"/>
      <c r="L774" s="147"/>
      <c r="M774" s="147"/>
      <c r="N774" s="147"/>
      <c r="O774" s="147"/>
      <c r="P774" s="147"/>
      <c r="Q774" s="147"/>
      <c r="R774" s="147"/>
      <c r="S774" s="147"/>
      <c r="T774" s="147"/>
      <c r="U774" s="147"/>
      <c r="V774" s="147"/>
      <c r="W774" s="147"/>
      <c r="X774" s="147"/>
      <c r="Y774" s="147"/>
      <c r="Z774" s="147"/>
      <c r="AA774" s="147"/>
      <c r="AB774" s="147"/>
      <c r="AC774" s="147"/>
      <c r="AD774" s="147"/>
      <c r="AE774" s="147"/>
      <c r="AF774" s="147"/>
      <c r="AG774" s="147"/>
    </row>
    <row r="775">
      <c r="A775" s="147"/>
      <c r="B775" s="147"/>
      <c r="C775" s="147"/>
      <c r="D775" s="147"/>
      <c r="E775" s="147"/>
      <c r="F775" s="205"/>
      <c r="G775" s="147"/>
      <c r="H775" s="147"/>
      <c r="I775" s="147"/>
      <c r="J775" s="147"/>
      <c r="K775" s="147"/>
      <c r="L775" s="147"/>
      <c r="M775" s="147"/>
      <c r="N775" s="147"/>
      <c r="O775" s="147"/>
      <c r="P775" s="147"/>
      <c r="Q775" s="147"/>
      <c r="R775" s="147"/>
      <c r="S775" s="147"/>
      <c r="T775" s="147"/>
      <c r="U775" s="147"/>
      <c r="V775" s="147"/>
      <c r="W775" s="147"/>
      <c r="X775" s="147"/>
      <c r="Y775" s="147"/>
      <c r="Z775" s="147"/>
      <c r="AA775" s="147"/>
      <c r="AB775" s="147"/>
      <c r="AC775" s="147"/>
      <c r="AD775" s="147"/>
      <c r="AE775" s="147"/>
      <c r="AF775" s="147"/>
      <c r="AG775" s="147"/>
    </row>
    <row r="776">
      <c r="A776" s="147"/>
      <c r="B776" s="147"/>
      <c r="C776" s="147"/>
      <c r="D776" s="147"/>
      <c r="E776" s="147"/>
      <c r="F776" s="205"/>
      <c r="G776" s="147"/>
      <c r="H776" s="147"/>
      <c r="I776" s="147"/>
      <c r="J776" s="147"/>
      <c r="K776" s="147"/>
      <c r="L776" s="147"/>
      <c r="M776" s="147"/>
      <c r="N776" s="147"/>
      <c r="O776" s="147"/>
      <c r="P776" s="147"/>
      <c r="Q776" s="147"/>
      <c r="R776" s="147"/>
      <c r="S776" s="147"/>
      <c r="T776" s="147"/>
      <c r="U776" s="147"/>
      <c r="V776" s="147"/>
      <c r="W776" s="147"/>
      <c r="X776" s="147"/>
      <c r="Y776" s="147"/>
      <c r="Z776" s="147"/>
      <c r="AA776" s="147"/>
      <c r="AB776" s="147"/>
      <c r="AC776" s="147"/>
      <c r="AD776" s="147"/>
      <c r="AE776" s="147"/>
      <c r="AF776" s="147"/>
      <c r="AG776" s="147"/>
    </row>
    <row r="777">
      <c r="A777" s="147"/>
      <c r="B777" s="147"/>
      <c r="C777" s="147"/>
      <c r="D777" s="147"/>
      <c r="E777" s="147"/>
      <c r="F777" s="205"/>
      <c r="G777" s="147"/>
      <c r="H777" s="147"/>
      <c r="I777" s="147"/>
      <c r="J777" s="147"/>
      <c r="K777" s="147"/>
      <c r="L777" s="147"/>
      <c r="M777" s="147"/>
      <c r="N777" s="147"/>
      <c r="O777" s="147"/>
      <c r="P777" s="147"/>
      <c r="Q777" s="147"/>
      <c r="R777" s="147"/>
      <c r="S777" s="147"/>
      <c r="T777" s="147"/>
      <c r="U777" s="147"/>
      <c r="V777" s="147"/>
      <c r="W777" s="147"/>
      <c r="X777" s="147"/>
      <c r="Y777" s="147"/>
      <c r="Z777" s="147"/>
      <c r="AA777" s="147"/>
      <c r="AB777" s="147"/>
      <c r="AC777" s="147"/>
      <c r="AD777" s="147"/>
      <c r="AE777" s="147"/>
      <c r="AF777" s="147"/>
      <c r="AG777" s="147"/>
    </row>
    <row r="778">
      <c r="A778" s="147"/>
      <c r="B778" s="147"/>
      <c r="C778" s="147"/>
      <c r="D778" s="147"/>
      <c r="E778" s="147"/>
      <c r="F778" s="205"/>
      <c r="G778" s="147"/>
      <c r="H778" s="147"/>
      <c r="I778" s="147"/>
      <c r="J778" s="147"/>
      <c r="K778" s="147"/>
      <c r="L778" s="147"/>
      <c r="M778" s="147"/>
      <c r="N778" s="147"/>
      <c r="O778" s="147"/>
      <c r="P778" s="147"/>
      <c r="Q778" s="147"/>
      <c r="R778" s="147"/>
      <c r="S778" s="147"/>
      <c r="T778" s="147"/>
      <c r="U778" s="147"/>
      <c r="V778" s="147"/>
      <c r="W778" s="147"/>
      <c r="X778" s="147"/>
      <c r="Y778" s="147"/>
      <c r="Z778" s="147"/>
      <c r="AA778" s="147"/>
      <c r="AB778" s="147"/>
      <c r="AC778" s="147"/>
      <c r="AD778" s="147"/>
      <c r="AE778" s="147"/>
      <c r="AF778" s="147"/>
      <c r="AG778" s="147"/>
    </row>
    <row r="779">
      <c r="A779" s="147"/>
      <c r="B779" s="147"/>
      <c r="C779" s="147"/>
      <c r="D779" s="147"/>
      <c r="E779" s="147"/>
      <c r="F779" s="205"/>
      <c r="G779" s="147"/>
      <c r="H779" s="147"/>
      <c r="I779" s="147"/>
      <c r="J779" s="147"/>
      <c r="K779" s="147"/>
      <c r="L779" s="147"/>
      <c r="M779" s="147"/>
      <c r="N779" s="147"/>
      <c r="O779" s="147"/>
      <c r="P779" s="147"/>
      <c r="Q779" s="147"/>
      <c r="R779" s="147"/>
      <c r="S779" s="147"/>
      <c r="T779" s="147"/>
      <c r="U779" s="147"/>
      <c r="V779" s="147"/>
      <c r="W779" s="147"/>
      <c r="X779" s="147"/>
      <c r="Y779" s="147"/>
      <c r="Z779" s="147"/>
      <c r="AA779" s="147"/>
      <c r="AB779" s="147"/>
      <c r="AC779" s="147"/>
      <c r="AD779" s="147"/>
      <c r="AE779" s="147"/>
      <c r="AF779" s="147"/>
      <c r="AG779" s="147"/>
    </row>
    <row r="780">
      <c r="A780" s="147"/>
      <c r="B780" s="147"/>
      <c r="C780" s="147"/>
      <c r="D780" s="147"/>
      <c r="E780" s="147"/>
      <c r="F780" s="205"/>
      <c r="G780" s="147"/>
      <c r="H780" s="147"/>
      <c r="I780" s="147"/>
      <c r="J780" s="147"/>
      <c r="K780" s="147"/>
      <c r="L780" s="147"/>
      <c r="M780" s="147"/>
      <c r="N780" s="147"/>
      <c r="O780" s="147"/>
      <c r="P780" s="147"/>
      <c r="Q780" s="147"/>
      <c r="R780" s="147"/>
      <c r="S780" s="147"/>
      <c r="T780" s="147"/>
      <c r="U780" s="147"/>
      <c r="V780" s="147"/>
      <c r="W780" s="147"/>
      <c r="X780" s="147"/>
      <c r="Y780" s="147"/>
      <c r="Z780" s="147"/>
      <c r="AA780" s="147"/>
      <c r="AB780" s="147"/>
      <c r="AC780" s="147"/>
      <c r="AD780" s="147"/>
      <c r="AE780" s="147"/>
      <c r="AF780" s="147"/>
      <c r="AG780" s="147"/>
    </row>
    <row r="781">
      <c r="A781" s="147"/>
      <c r="B781" s="147"/>
      <c r="C781" s="147"/>
      <c r="D781" s="147"/>
      <c r="E781" s="147"/>
      <c r="F781" s="205"/>
      <c r="G781" s="147"/>
      <c r="H781" s="147"/>
      <c r="I781" s="147"/>
      <c r="J781" s="147"/>
      <c r="K781" s="147"/>
      <c r="L781" s="147"/>
      <c r="M781" s="147"/>
      <c r="N781" s="147"/>
      <c r="O781" s="147"/>
      <c r="P781" s="147"/>
      <c r="Q781" s="147"/>
      <c r="R781" s="147"/>
      <c r="S781" s="147"/>
      <c r="T781" s="147"/>
      <c r="U781" s="147"/>
      <c r="V781" s="147"/>
      <c r="W781" s="147"/>
      <c r="X781" s="147"/>
      <c r="Y781" s="147"/>
      <c r="Z781" s="147"/>
      <c r="AA781" s="147"/>
      <c r="AB781" s="147"/>
      <c r="AC781" s="147"/>
      <c r="AD781" s="147"/>
      <c r="AE781" s="147"/>
      <c r="AF781" s="147"/>
      <c r="AG781" s="147"/>
    </row>
    <row r="782">
      <c r="A782" s="147"/>
      <c r="B782" s="147"/>
      <c r="C782" s="147"/>
      <c r="D782" s="147"/>
      <c r="E782" s="147"/>
      <c r="F782" s="205"/>
      <c r="G782" s="147"/>
      <c r="H782" s="147"/>
      <c r="I782" s="147"/>
      <c r="J782" s="147"/>
      <c r="K782" s="147"/>
      <c r="L782" s="147"/>
      <c r="M782" s="147"/>
      <c r="N782" s="147"/>
      <c r="O782" s="147"/>
      <c r="P782" s="147"/>
      <c r="Q782" s="147"/>
      <c r="R782" s="147"/>
      <c r="S782" s="147"/>
      <c r="T782" s="147"/>
      <c r="U782" s="147"/>
      <c r="V782" s="147"/>
      <c r="W782" s="147"/>
      <c r="X782" s="147"/>
      <c r="Y782" s="147"/>
      <c r="Z782" s="147"/>
      <c r="AA782" s="147"/>
      <c r="AB782" s="147"/>
      <c r="AC782" s="147"/>
      <c r="AD782" s="147"/>
      <c r="AE782" s="147"/>
      <c r="AF782" s="147"/>
      <c r="AG782" s="147"/>
    </row>
    <row r="783">
      <c r="A783" s="147"/>
      <c r="B783" s="147"/>
      <c r="C783" s="147"/>
      <c r="D783" s="147"/>
      <c r="E783" s="147"/>
      <c r="F783" s="205"/>
      <c r="G783" s="147"/>
      <c r="H783" s="147"/>
      <c r="I783" s="147"/>
      <c r="J783" s="147"/>
      <c r="K783" s="147"/>
      <c r="L783" s="147"/>
      <c r="M783" s="147"/>
      <c r="N783" s="147"/>
      <c r="O783" s="147"/>
      <c r="P783" s="147"/>
      <c r="Q783" s="147"/>
      <c r="R783" s="147"/>
      <c r="S783" s="147"/>
      <c r="T783" s="147"/>
      <c r="U783" s="147"/>
      <c r="V783" s="147"/>
      <c r="W783" s="147"/>
      <c r="X783" s="147"/>
      <c r="Y783" s="147"/>
      <c r="Z783" s="147"/>
      <c r="AA783" s="147"/>
      <c r="AB783" s="147"/>
      <c r="AC783" s="147"/>
      <c r="AD783" s="147"/>
      <c r="AE783" s="147"/>
      <c r="AF783" s="147"/>
      <c r="AG783" s="147"/>
    </row>
    <row r="784">
      <c r="A784" s="147"/>
      <c r="B784" s="147"/>
      <c r="C784" s="147"/>
      <c r="D784" s="147"/>
      <c r="E784" s="147"/>
      <c r="F784" s="205"/>
      <c r="G784" s="147"/>
      <c r="H784" s="147"/>
      <c r="I784" s="147"/>
      <c r="J784" s="147"/>
      <c r="K784" s="147"/>
      <c r="L784" s="147"/>
      <c r="M784" s="147"/>
      <c r="N784" s="147"/>
      <c r="O784" s="147"/>
      <c r="P784" s="147"/>
      <c r="Q784" s="147"/>
      <c r="R784" s="147"/>
      <c r="S784" s="147"/>
      <c r="T784" s="147"/>
      <c r="U784" s="147"/>
      <c r="V784" s="147"/>
      <c r="W784" s="147"/>
      <c r="X784" s="147"/>
      <c r="Y784" s="147"/>
      <c r="Z784" s="147"/>
      <c r="AA784" s="147"/>
      <c r="AB784" s="147"/>
      <c r="AC784" s="147"/>
      <c r="AD784" s="147"/>
      <c r="AE784" s="147"/>
      <c r="AF784" s="147"/>
      <c r="AG784" s="147"/>
    </row>
    <row r="785">
      <c r="A785" s="147"/>
      <c r="B785" s="147"/>
      <c r="C785" s="147"/>
      <c r="D785" s="147"/>
      <c r="E785" s="147"/>
      <c r="F785" s="205"/>
      <c r="G785" s="147"/>
      <c r="H785" s="147"/>
      <c r="I785" s="147"/>
      <c r="J785" s="147"/>
      <c r="K785" s="147"/>
      <c r="L785" s="147"/>
      <c r="M785" s="147"/>
      <c r="N785" s="147"/>
      <c r="O785" s="147"/>
      <c r="P785" s="147"/>
      <c r="Q785" s="147"/>
      <c r="R785" s="147"/>
      <c r="S785" s="147"/>
      <c r="T785" s="147"/>
      <c r="U785" s="147"/>
      <c r="V785" s="147"/>
      <c r="W785" s="147"/>
      <c r="X785" s="147"/>
      <c r="Y785" s="147"/>
      <c r="Z785" s="147"/>
      <c r="AA785" s="147"/>
      <c r="AB785" s="147"/>
      <c r="AC785" s="147"/>
      <c r="AD785" s="147"/>
      <c r="AE785" s="147"/>
      <c r="AF785" s="147"/>
      <c r="AG785" s="147"/>
    </row>
    <row r="786">
      <c r="A786" s="147"/>
      <c r="B786" s="147"/>
      <c r="C786" s="147"/>
      <c r="D786" s="147"/>
      <c r="E786" s="147"/>
      <c r="F786" s="205"/>
      <c r="G786" s="147"/>
      <c r="H786" s="147"/>
      <c r="I786" s="147"/>
      <c r="J786" s="147"/>
      <c r="K786" s="147"/>
      <c r="L786" s="147"/>
      <c r="M786" s="147"/>
      <c r="N786" s="147"/>
      <c r="O786" s="147"/>
      <c r="P786" s="147"/>
      <c r="Q786" s="147"/>
      <c r="R786" s="147"/>
      <c r="S786" s="147"/>
      <c r="T786" s="147"/>
      <c r="U786" s="147"/>
      <c r="V786" s="147"/>
      <c r="W786" s="147"/>
      <c r="X786" s="147"/>
      <c r="Y786" s="147"/>
      <c r="Z786" s="147"/>
      <c r="AA786" s="147"/>
      <c r="AB786" s="147"/>
      <c r="AC786" s="147"/>
      <c r="AD786" s="147"/>
      <c r="AE786" s="147"/>
      <c r="AF786" s="147"/>
      <c r="AG786" s="147"/>
    </row>
    <row r="787">
      <c r="A787" s="147"/>
      <c r="B787" s="147"/>
      <c r="C787" s="147"/>
      <c r="D787" s="147"/>
      <c r="E787" s="147"/>
      <c r="F787" s="205"/>
      <c r="G787" s="147"/>
      <c r="H787" s="147"/>
      <c r="I787" s="147"/>
      <c r="J787" s="147"/>
      <c r="K787" s="147"/>
      <c r="L787" s="147"/>
      <c r="M787" s="147"/>
      <c r="N787" s="147"/>
      <c r="O787" s="147"/>
      <c r="P787" s="147"/>
      <c r="Q787" s="147"/>
      <c r="R787" s="147"/>
      <c r="S787" s="147"/>
      <c r="T787" s="147"/>
      <c r="U787" s="147"/>
      <c r="V787" s="147"/>
      <c r="W787" s="147"/>
      <c r="X787" s="147"/>
      <c r="Y787" s="147"/>
      <c r="Z787" s="147"/>
      <c r="AA787" s="147"/>
      <c r="AB787" s="147"/>
      <c r="AC787" s="147"/>
      <c r="AD787" s="147"/>
      <c r="AE787" s="147"/>
      <c r="AF787" s="147"/>
      <c r="AG787" s="147"/>
    </row>
    <row r="788">
      <c r="A788" s="147"/>
      <c r="B788" s="147"/>
      <c r="C788" s="147"/>
      <c r="D788" s="147"/>
      <c r="E788" s="147"/>
      <c r="F788" s="205"/>
      <c r="G788" s="147"/>
      <c r="H788" s="147"/>
      <c r="I788" s="147"/>
      <c r="J788" s="147"/>
      <c r="K788" s="147"/>
      <c r="L788" s="147"/>
      <c r="M788" s="147"/>
      <c r="N788" s="147"/>
      <c r="O788" s="147"/>
      <c r="P788" s="147"/>
      <c r="Q788" s="147"/>
      <c r="R788" s="147"/>
      <c r="S788" s="147"/>
      <c r="T788" s="147"/>
      <c r="U788" s="147"/>
      <c r="V788" s="147"/>
      <c r="W788" s="147"/>
      <c r="X788" s="147"/>
      <c r="Y788" s="147"/>
      <c r="Z788" s="147"/>
      <c r="AA788" s="147"/>
      <c r="AB788" s="147"/>
      <c r="AC788" s="147"/>
      <c r="AD788" s="147"/>
      <c r="AE788" s="147"/>
      <c r="AF788" s="147"/>
      <c r="AG788" s="147"/>
    </row>
    <row r="789">
      <c r="A789" s="147"/>
      <c r="B789" s="147"/>
      <c r="C789" s="147"/>
      <c r="D789" s="147"/>
      <c r="E789" s="147"/>
      <c r="F789" s="205"/>
      <c r="G789" s="147"/>
      <c r="H789" s="147"/>
      <c r="I789" s="147"/>
      <c r="J789" s="147"/>
      <c r="K789" s="147"/>
      <c r="L789" s="147"/>
      <c r="M789" s="147"/>
      <c r="N789" s="147"/>
      <c r="O789" s="147"/>
      <c r="P789" s="147"/>
      <c r="Q789" s="147"/>
      <c r="R789" s="147"/>
      <c r="S789" s="147"/>
      <c r="T789" s="147"/>
      <c r="U789" s="147"/>
      <c r="V789" s="147"/>
      <c r="W789" s="147"/>
      <c r="X789" s="147"/>
      <c r="Y789" s="147"/>
      <c r="Z789" s="147"/>
      <c r="AA789" s="147"/>
      <c r="AB789" s="147"/>
      <c r="AC789" s="147"/>
      <c r="AD789" s="147"/>
      <c r="AE789" s="147"/>
      <c r="AF789" s="147"/>
      <c r="AG789" s="147"/>
    </row>
    <row r="790">
      <c r="A790" s="147"/>
      <c r="B790" s="147"/>
      <c r="C790" s="147"/>
      <c r="D790" s="147"/>
      <c r="E790" s="147"/>
      <c r="F790" s="205"/>
      <c r="G790" s="147"/>
      <c r="H790" s="147"/>
      <c r="I790" s="147"/>
      <c r="J790" s="147"/>
      <c r="K790" s="147"/>
      <c r="L790" s="147"/>
      <c r="M790" s="147"/>
      <c r="N790" s="147"/>
      <c r="O790" s="147"/>
      <c r="P790" s="147"/>
      <c r="Q790" s="147"/>
      <c r="R790" s="147"/>
      <c r="S790" s="147"/>
      <c r="T790" s="147"/>
      <c r="U790" s="147"/>
      <c r="V790" s="147"/>
      <c r="W790" s="147"/>
      <c r="X790" s="147"/>
      <c r="Y790" s="147"/>
      <c r="Z790" s="147"/>
      <c r="AA790" s="147"/>
      <c r="AB790" s="147"/>
      <c r="AC790" s="147"/>
      <c r="AD790" s="147"/>
      <c r="AE790" s="147"/>
      <c r="AF790" s="147"/>
      <c r="AG790" s="147"/>
    </row>
    <row r="791">
      <c r="A791" s="147"/>
      <c r="B791" s="147"/>
      <c r="C791" s="147"/>
      <c r="D791" s="147"/>
      <c r="E791" s="147"/>
      <c r="F791" s="205"/>
      <c r="G791" s="147"/>
      <c r="H791" s="147"/>
      <c r="I791" s="147"/>
      <c r="J791" s="147"/>
      <c r="K791" s="147"/>
      <c r="L791" s="147"/>
      <c r="M791" s="147"/>
      <c r="N791" s="147"/>
      <c r="O791" s="147"/>
      <c r="P791" s="147"/>
      <c r="Q791" s="147"/>
      <c r="R791" s="147"/>
      <c r="S791" s="147"/>
      <c r="T791" s="147"/>
      <c r="U791" s="147"/>
      <c r="V791" s="147"/>
      <c r="W791" s="147"/>
      <c r="X791" s="147"/>
      <c r="Y791" s="147"/>
      <c r="Z791" s="147"/>
      <c r="AA791" s="147"/>
      <c r="AB791" s="147"/>
      <c r="AC791" s="147"/>
      <c r="AD791" s="147"/>
      <c r="AE791" s="147"/>
      <c r="AF791" s="147"/>
      <c r="AG791" s="147"/>
    </row>
    <row r="792">
      <c r="A792" s="147"/>
      <c r="B792" s="147"/>
      <c r="C792" s="147"/>
      <c r="D792" s="147"/>
      <c r="E792" s="147"/>
      <c r="F792" s="205"/>
      <c r="G792" s="147"/>
      <c r="H792" s="147"/>
      <c r="I792" s="147"/>
      <c r="J792" s="147"/>
      <c r="K792" s="147"/>
      <c r="L792" s="147"/>
      <c r="M792" s="147"/>
      <c r="N792" s="147"/>
      <c r="O792" s="147"/>
      <c r="P792" s="147"/>
      <c r="Q792" s="147"/>
      <c r="R792" s="147"/>
      <c r="S792" s="147"/>
      <c r="T792" s="147"/>
      <c r="U792" s="147"/>
      <c r="V792" s="147"/>
      <c r="W792" s="147"/>
      <c r="X792" s="147"/>
      <c r="Y792" s="147"/>
      <c r="Z792" s="147"/>
      <c r="AA792" s="147"/>
      <c r="AB792" s="147"/>
      <c r="AC792" s="147"/>
      <c r="AD792" s="147"/>
      <c r="AE792" s="147"/>
      <c r="AF792" s="147"/>
      <c r="AG792" s="147"/>
    </row>
    <row r="793">
      <c r="A793" s="147"/>
      <c r="B793" s="147"/>
      <c r="C793" s="147"/>
      <c r="D793" s="147"/>
      <c r="E793" s="147"/>
      <c r="F793" s="205"/>
      <c r="G793" s="147"/>
      <c r="H793" s="147"/>
      <c r="I793" s="147"/>
      <c r="J793" s="147"/>
      <c r="K793" s="147"/>
      <c r="L793" s="147"/>
      <c r="M793" s="147"/>
      <c r="N793" s="147"/>
      <c r="O793" s="147"/>
      <c r="P793" s="147"/>
      <c r="Q793" s="147"/>
      <c r="R793" s="147"/>
      <c r="S793" s="147"/>
      <c r="T793" s="147"/>
      <c r="U793" s="147"/>
      <c r="V793" s="147"/>
      <c r="W793" s="147"/>
      <c r="X793" s="147"/>
      <c r="Y793" s="147"/>
      <c r="Z793" s="147"/>
      <c r="AA793" s="147"/>
      <c r="AB793" s="147"/>
      <c r="AC793" s="147"/>
      <c r="AD793" s="147"/>
      <c r="AE793" s="147"/>
      <c r="AF793" s="147"/>
      <c r="AG793" s="147"/>
    </row>
    <row r="794">
      <c r="A794" s="147"/>
      <c r="B794" s="147"/>
      <c r="C794" s="147"/>
      <c r="D794" s="147"/>
      <c r="E794" s="147"/>
      <c r="F794" s="205"/>
      <c r="G794" s="147"/>
      <c r="H794" s="147"/>
      <c r="I794" s="147"/>
      <c r="J794" s="147"/>
      <c r="K794" s="147"/>
      <c r="L794" s="147"/>
      <c r="M794" s="147"/>
      <c r="N794" s="147"/>
      <c r="O794" s="147"/>
      <c r="P794" s="147"/>
      <c r="Q794" s="147"/>
      <c r="R794" s="147"/>
      <c r="S794" s="147"/>
      <c r="T794" s="147"/>
      <c r="U794" s="147"/>
      <c r="V794" s="147"/>
      <c r="W794" s="147"/>
      <c r="X794" s="147"/>
      <c r="Y794" s="147"/>
      <c r="Z794" s="147"/>
      <c r="AA794" s="147"/>
      <c r="AB794" s="147"/>
      <c r="AC794" s="147"/>
      <c r="AD794" s="147"/>
      <c r="AE794" s="147"/>
      <c r="AF794" s="147"/>
      <c r="AG794" s="147"/>
    </row>
    <row r="795">
      <c r="A795" s="147"/>
      <c r="B795" s="147"/>
      <c r="C795" s="147"/>
      <c r="D795" s="147"/>
      <c r="E795" s="147"/>
      <c r="F795" s="205"/>
      <c r="G795" s="147"/>
      <c r="H795" s="147"/>
      <c r="I795" s="147"/>
      <c r="J795" s="147"/>
      <c r="K795" s="147"/>
      <c r="L795" s="147"/>
      <c r="M795" s="147"/>
      <c r="N795" s="147"/>
      <c r="O795" s="147"/>
      <c r="P795" s="147"/>
      <c r="Q795" s="147"/>
      <c r="R795" s="147"/>
      <c r="S795" s="147"/>
      <c r="T795" s="147"/>
      <c r="U795" s="147"/>
      <c r="V795" s="147"/>
      <c r="W795" s="147"/>
      <c r="X795" s="147"/>
      <c r="Y795" s="147"/>
      <c r="Z795" s="147"/>
      <c r="AA795" s="147"/>
      <c r="AB795" s="147"/>
      <c r="AC795" s="147"/>
      <c r="AD795" s="147"/>
      <c r="AE795" s="147"/>
      <c r="AF795" s="147"/>
      <c r="AG795" s="147"/>
    </row>
    <row r="796">
      <c r="A796" s="147"/>
      <c r="B796" s="147"/>
      <c r="C796" s="147"/>
      <c r="D796" s="147"/>
      <c r="E796" s="147"/>
      <c r="F796" s="205"/>
      <c r="G796" s="147"/>
      <c r="H796" s="147"/>
      <c r="I796" s="147"/>
      <c r="J796" s="147"/>
      <c r="K796" s="147"/>
      <c r="L796" s="147"/>
      <c r="M796" s="147"/>
      <c r="N796" s="147"/>
      <c r="O796" s="147"/>
      <c r="P796" s="147"/>
      <c r="Q796" s="147"/>
      <c r="R796" s="147"/>
      <c r="S796" s="147"/>
      <c r="T796" s="147"/>
      <c r="U796" s="147"/>
      <c r="V796" s="147"/>
      <c r="W796" s="147"/>
      <c r="X796" s="147"/>
      <c r="Y796" s="147"/>
      <c r="Z796" s="147"/>
      <c r="AA796" s="147"/>
      <c r="AB796" s="147"/>
      <c r="AC796" s="147"/>
      <c r="AD796" s="147"/>
      <c r="AE796" s="147"/>
      <c r="AF796" s="147"/>
      <c r="AG796" s="147"/>
    </row>
    <row r="797">
      <c r="A797" s="147"/>
      <c r="B797" s="147"/>
      <c r="C797" s="147"/>
      <c r="D797" s="147"/>
      <c r="E797" s="147"/>
      <c r="F797" s="205"/>
      <c r="G797" s="147"/>
      <c r="H797" s="147"/>
      <c r="I797" s="147"/>
      <c r="J797" s="147"/>
      <c r="K797" s="147"/>
      <c r="L797" s="147"/>
      <c r="M797" s="147"/>
      <c r="N797" s="147"/>
      <c r="O797" s="147"/>
      <c r="P797" s="147"/>
      <c r="Q797" s="147"/>
      <c r="R797" s="147"/>
      <c r="S797" s="147"/>
      <c r="T797" s="147"/>
      <c r="U797" s="147"/>
      <c r="V797" s="147"/>
      <c r="W797" s="147"/>
      <c r="X797" s="147"/>
      <c r="Y797" s="147"/>
      <c r="Z797" s="147"/>
      <c r="AA797" s="147"/>
      <c r="AB797" s="147"/>
      <c r="AC797" s="147"/>
      <c r="AD797" s="147"/>
      <c r="AE797" s="147"/>
      <c r="AF797" s="147"/>
      <c r="AG797" s="147"/>
    </row>
    <row r="798">
      <c r="A798" s="147"/>
      <c r="B798" s="147"/>
      <c r="C798" s="147"/>
      <c r="D798" s="147"/>
      <c r="E798" s="147"/>
      <c r="F798" s="205"/>
      <c r="G798" s="147"/>
      <c r="H798" s="147"/>
      <c r="I798" s="147"/>
      <c r="J798" s="147"/>
      <c r="K798" s="147"/>
      <c r="L798" s="147"/>
      <c r="M798" s="147"/>
      <c r="N798" s="147"/>
      <c r="O798" s="147"/>
      <c r="P798" s="147"/>
      <c r="Q798" s="147"/>
      <c r="R798" s="147"/>
      <c r="S798" s="147"/>
      <c r="T798" s="147"/>
      <c r="U798" s="147"/>
      <c r="V798" s="147"/>
      <c r="W798" s="147"/>
      <c r="X798" s="147"/>
      <c r="Y798" s="147"/>
      <c r="Z798" s="147"/>
      <c r="AA798" s="147"/>
      <c r="AB798" s="147"/>
      <c r="AC798" s="147"/>
      <c r="AD798" s="147"/>
      <c r="AE798" s="147"/>
      <c r="AF798" s="147"/>
      <c r="AG798" s="147"/>
    </row>
    <row r="799">
      <c r="A799" s="147"/>
      <c r="B799" s="147"/>
      <c r="C799" s="147"/>
      <c r="D799" s="147"/>
      <c r="E799" s="147"/>
      <c r="F799" s="205"/>
      <c r="G799" s="147"/>
      <c r="H799" s="147"/>
      <c r="I799" s="147"/>
      <c r="J799" s="147"/>
      <c r="K799" s="147"/>
      <c r="L799" s="147"/>
      <c r="M799" s="147"/>
      <c r="N799" s="147"/>
      <c r="O799" s="147"/>
      <c r="P799" s="147"/>
      <c r="Q799" s="147"/>
      <c r="R799" s="147"/>
      <c r="S799" s="147"/>
      <c r="T799" s="147"/>
      <c r="U799" s="147"/>
      <c r="V799" s="147"/>
      <c r="W799" s="147"/>
      <c r="X799" s="147"/>
      <c r="Y799" s="147"/>
      <c r="Z799" s="147"/>
      <c r="AA799" s="147"/>
      <c r="AB799" s="147"/>
      <c r="AC799" s="147"/>
      <c r="AD799" s="147"/>
      <c r="AE799" s="147"/>
      <c r="AF799" s="147"/>
      <c r="AG799" s="147"/>
    </row>
    <row r="800">
      <c r="A800" s="147"/>
      <c r="B800" s="147"/>
      <c r="C800" s="147"/>
      <c r="D800" s="147"/>
      <c r="E800" s="147"/>
      <c r="F800" s="205"/>
      <c r="G800" s="147"/>
      <c r="H800" s="147"/>
      <c r="I800" s="147"/>
      <c r="J800" s="147"/>
      <c r="K800" s="147"/>
      <c r="L800" s="147"/>
      <c r="M800" s="147"/>
      <c r="N800" s="147"/>
      <c r="O800" s="147"/>
      <c r="P800" s="147"/>
      <c r="Q800" s="147"/>
      <c r="R800" s="147"/>
      <c r="S800" s="147"/>
      <c r="T800" s="147"/>
      <c r="U800" s="147"/>
      <c r="V800" s="147"/>
      <c r="W800" s="147"/>
      <c r="X800" s="147"/>
      <c r="Y800" s="147"/>
      <c r="Z800" s="147"/>
      <c r="AA800" s="147"/>
      <c r="AB800" s="147"/>
      <c r="AC800" s="147"/>
      <c r="AD800" s="147"/>
      <c r="AE800" s="147"/>
      <c r="AF800" s="147"/>
      <c r="AG800" s="147"/>
    </row>
    <row r="801">
      <c r="A801" s="147"/>
      <c r="B801" s="147"/>
      <c r="C801" s="147"/>
      <c r="D801" s="147"/>
      <c r="E801" s="147"/>
      <c r="F801" s="205"/>
      <c r="G801" s="147"/>
      <c r="H801" s="147"/>
      <c r="I801" s="147"/>
      <c r="J801" s="147"/>
      <c r="K801" s="147"/>
      <c r="L801" s="147"/>
      <c r="M801" s="147"/>
      <c r="N801" s="147"/>
      <c r="O801" s="147"/>
      <c r="P801" s="147"/>
      <c r="Q801" s="147"/>
      <c r="R801" s="147"/>
      <c r="S801" s="147"/>
      <c r="T801" s="147"/>
      <c r="U801" s="147"/>
      <c r="V801" s="147"/>
      <c r="W801" s="147"/>
      <c r="X801" s="147"/>
      <c r="Y801" s="147"/>
      <c r="Z801" s="147"/>
      <c r="AA801" s="147"/>
      <c r="AB801" s="147"/>
      <c r="AC801" s="147"/>
      <c r="AD801" s="147"/>
      <c r="AE801" s="147"/>
      <c r="AF801" s="147"/>
      <c r="AG801" s="147"/>
    </row>
    <row r="802">
      <c r="A802" s="147"/>
      <c r="B802" s="147"/>
      <c r="C802" s="147"/>
      <c r="D802" s="147"/>
      <c r="E802" s="147"/>
      <c r="F802" s="205"/>
      <c r="G802" s="147"/>
      <c r="H802" s="147"/>
      <c r="I802" s="147"/>
      <c r="J802" s="147"/>
      <c r="K802" s="147"/>
      <c r="L802" s="147"/>
      <c r="M802" s="147"/>
      <c r="N802" s="147"/>
      <c r="O802" s="147"/>
      <c r="P802" s="147"/>
      <c r="Q802" s="147"/>
      <c r="R802" s="147"/>
      <c r="S802" s="147"/>
      <c r="T802" s="147"/>
      <c r="U802" s="147"/>
      <c r="V802" s="147"/>
      <c r="W802" s="147"/>
      <c r="X802" s="147"/>
      <c r="Y802" s="147"/>
      <c r="Z802" s="147"/>
      <c r="AA802" s="147"/>
      <c r="AB802" s="147"/>
      <c r="AC802" s="147"/>
      <c r="AD802" s="147"/>
      <c r="AE802" s="147"/>
      <c r="AF802" s="147"/>
      <c r="AG802" s="147"/>
    </row>
    <row r="803">
      <c r="A803" s="147"/>
      <c r="B803" s="147"/>
      <c r="C803" s="147"/>
      <c r="D803" s="147"/>
      <c r="E803" s="147"/>
      <c r="F803" s="205"/>
      <c r="G803" s="147"/>
      <c r="H803" s="147"/>
      <c r="I803" s="147"/>
      <c r="J803" s="147"/>
      <c r="K803" s="147"/>
      <c r="L803" s="147"/>
      <c r="M803" s="147"/>
      <c r="N803" s="147"/>
      <c r="O803" s="147"/>
      <c r="P803" s="147"/>
      <c r="Q803" s="147"/>
      <c r="R803" s="147"/>
      <c r="S803" s="147"/>
      <c r="T803" s="147"/>
      <c r="U803" s="147"/>
      <c r="V803" s="147"/>
      <c r="W803" s="147"/>
      <c r="X803" s="147"/>
      <c r="Y803" s="147"/>
      <c r="Z803" s="147"/>
      <c r="AA803" s="147"/>
      <c r="AB803" s="147"/>
      <c r="AC803" s="147"/>
      <c r="AD803" s="147"/>
      <c r="AE803" s="147"/>
      <c r="AF803" s="147"/>
      <c r="AG803" s="147"/>
    </row>
    <row r="804">
      <c r="A804" s="147"/>
      <c r="B804" s="147"/>
      <c r="C804" s="147"/>
      <c r="D804" s="147"/>
      <c r="E804" s="147"/>
      <c r="F804" s="205"/>
      <c r="G804" s="147"/>
      <c r="H804" s="147"/>
      <c r="I804" s="147"/>
      <c r="J804" s="147"/>
      <c r="K804" s="147"/>
      <c r="L804" s="147"/>
      <c r="M804" s="147"/>
      <c r="N804" s="147"/>
      <c r="O804" s="147"/>
      <c r="P804" s="147"/>
      <c r="Q804" s="147"/>
      <c r="R804" s="147"/>
      <c r="S804" s="147"/>
      <c r="T804" s="147"/>
      <c r="U804" s="147"/>
      <c r="V804" s="147"/>
      <c r="W804" s="147"/>
      <c r="X804" s="147"/>
      <c r="Y804" s="147"/>
      <c r="Z804" s="147"/>
      <c r="AA804" s="147"/>
      <c r="AB804" s="147"/>
      <c r="AC804" s="147"/>
      <c r="AD804" s="147"/>
      <c r="AE804" s="147"/>
      <c r="AF804" s="147"/>
      <c r="AG804" s="147"/>
    </row>
    <row r="805">
      <c r="A805" s="147"/>
      <c r="B805" s="147"/>
      <c r="C805" s="147"/>
      <c r="D805" s="147"/>
      <c r="E805" s="147"/>
      <c r="F805" s="205"/>
      <c r="G805" s="147"/>
      <c r="H805" s="147"/>
      <c r="I805" s="147"/>
      <c r="J805" s="147"/>
      <c r="K805" s="147"/>
      <c r="L805" s="147"/>
      <c r="M805" s="147"/>
      <c r="N805" s="147"/>
      <c r="O805" s="147"/>
      <c r="P805" s="147"/>
      <c r="Q805" s="147"/>
      <c r="R805" s="147"/>
      <c r="S805" s="147"/>
      <c r="T805" s="147"/>
      <c r="U805" s="147"/>
      <c r="V805" s="147"/>
      <c r="W805" s="147"/>
      <c r="X805" s="147"/>
      <c r="Y805" s="147"/>
      <c r="Z805" s="147"/>
      <c r="AA805" s="147"/>
      <c r="AB805" s="147"/>
      <c r="AC805" s="147"/>
      <c r="AD805" s="147"/>
      <c r="AE805" s="147"/>
      <c r="AF805" s="147"/>
      <c r="AG805" s="147"/>
    </row>
    <row r="806">
      <c r="A806" s="147"/>
      <c r="B806" s="147"/>
      <c r="C806" s="147"/>
      <c r="D806" s="147"/>
      <c r="E806" s="147"/>
      <c r="F806" s="205"/>
      <c r="G806" s="147"/>
      <c r="H806" s="147"/>
      <c r="I806" s="147"/>
      <c r="J806" s="147"/>
      <c r="K806" s="147"/>
      <c r="L806" s="147"/>
      <c r="M806" s="147"/>
      <c r="N806" s="147"/>
      <c r="O806" s="147"/>
      <c r="P806" s="147"/>
      <c r="Q806" s="147"/>
      <c r="R806" s="147"/>
      <c r="S806" s="147"/>
      <c r="T806" s="147"/>
      <c r="U806" s="147"/>
      <c r="V806" s="147"/>
      <c r="W806" s="147"/>
      <c r="X806" s="147"/>
      <c r="Y806" s="147"/>
      <c r="Z806" s="147"/>
      <c r="AA806" s="147"/>
      <c r="AB806" s="147"/>
      <c r="AC806" s="147"/>
      <c r="AD806" s="147"/>
      <c r="AE806" s="147"/>
      <c r="AF806" s="147"/>
      <c r="AG806" s="147"/>
    </row>
    <row r="807">
      <c r="A807" s="147"/>
      <c r="B807" s="147"/>
      <c r="C807" s="147"/>
      <c r="D807" s="147"/>
      <c r="E807" s="147"/>
      <c r="F807" s="205"/>
      <c r="G807" s="147"/>
      <c r="H807" s="147"/>
      <c r="I807" s="147"/>
      <c r="J807" s="147"/>
      <c r="K807" s="147"/>
      <c r="L807" s="147"/>
      <c r="M807" s="147"/>
      <c r="N807" s="147"/>
      <c r="O807" s="147"/>
      <c r="P807" s="147"/>
      <c r="Q807" s="147"/>
      <c r="R807" s="147"/>
      <c r="S807" s="147"/>
      <c r="T807" s="147"/>
      <c r="U807" s="147"/>
      <c r="V807" s="147"/>
      <c r="W807" s="147"/>
      <c r="X807" s="147"/>
      <c r="Y807" s="147"/>
      <c r="Z807" s="147"/>
      <c r="AA807" s="147"/>
      <c r="AB807" s="147"/>
      <c r="AC807" s="147"/>
      <c r="AD807" s="147"/>
      <c r="AE807" s="147"/>
      <c r="AF807" s="147"/>
      <c r="AG807" s="147"/>
    </row>
    <row r="808">
      <c r="A808" s="147"/>
      <c r="B808" s="147"/>
      <c r="C808" s="147"/>
      <c r="D808" s="147"/>
      <c r="E808" s="147"/>
      <c r="F808" s="205"/>
      <c r="G808" s="147"/>
      <c r="H808" s="147"/>
      <c r="I808" s="147"/>
      <c r="J808" s="147"/>
      <c r="K808" s="147"/>
      <c r="L808" s="147"/>
      <c r="M808" s="147"/>
      <c r="N808" s="147"/>
      <c r="O808" s="147"/>
      <c r="P808" s="147"/>
      <c r="Q808" s="147"/>
      <c r="R808" s="147"/>
      <c r="S808" s="147"/>
      <c r="T808" s="147"/>
      <c r="U808" s="147"/>
      <c r="V808" s="147"/>
      <c r="W808" s="147"/>
      <c r="X808" s="147"/>
      <c r="Y808" s="147"/>
      <c r="Z808" s="147"/>
      <c r="AA808" s="147"/>
      <c r="AB808" s="147"/>
      <c r="AC808" s="147"/>
      <c r="AD808" s="147"/>
      <c r="AE808" s="147"/>
      <c r="AF808" s="147"/>
      <c r="AG808" s="147"/>
    </row>
    <row r="809">
      <c r="A809" s="147"/>
      <c r="B809" s="147"/>
      <c r="C809" s="147"/>
      <c r="D809" s="147"/>
      <c r="E809" s="147"/>
      <c r="F809" s="205"/>
      <c r="G809" s="147"/>
      <c r="H809" s="147"/>
      <c r="I809" s="147"/>
      <c r="J809" s="147"/>
      <c r="K809" s="147"/>
      <c r="L809" s="147"/>
      <c r="M809" s="147"/>
      <c r="N809" s="147"/>
      <c r="O809" s="147"/>
      <c r="P809" s="147"/>
      <c r="Q809" s="147"/>
      <c r="R809" s="147"/>
      <c r="S809" s="147"/>
      <c r="T809" s="147"/>
      <c r="U809" s="147"/>
      <c r="V809" s="147"/>
      <c r="W809" s="147"/>
      <c r="X809" s="147"/>
      <c r="Y809" s="147"/>
      <c r="Z809" s="147"/>
      <c r="AA809" s="147"/>
      <c r="AB809" s="147"/>
      <c r="AC809" s="147"/>
      <c r="AD809" s="147"/>
      <c r="AE809" s="147"/>
      <c r="AF809" s="147"/>
      <c r="AG809" s="147"/>
    </row>
    <row r="810">
      <c r="A810" s="147"/>
      <c r="B810" s="147"/>
      <c r="C810" s="147"/>
      <c r="D810" s="147"/>
      <c r="E810" s="147"/>
      <c r="F810" s="205"/>
      <c r="G810" s="147"/>
      <c r="H810" s="147"/>
      <c r="I810" s="147"/>
      <c r="J810" s="147"/>
      <c r="K810" s="147"/>
      <c r="L810" s="147"/>
      <c r="M810" s="147"/>
      <c r="N810" s="147"/>
      <c r="O810" s="147"/>
      <c r="P810" s="147"/>
      <c r="Q810" s="147"/>
      <c r="R810" s="147"/>
      <c r="S810" s="147"/>
      <c r="T810" s="147"/>
      <c r="U810" s="147"/>
      <c r="V810" s="147"/>
      <c r="W810" s="147"/>
      <c r="X810" s="147"/>
      <c r="Y810" s="147"/>
      <c r="Z810" s="147"/>
      <c r="AA810" s="147"/>
      <c r="AB810" s="147"/>
      <c r="AC810" s="147"/>
      <c r="AD810" s="147"/>
      <c r="AE810" s="147"/>
      <c r="AF810" s="147"/>
      <c r="AG810" s="147"/>
    </row>
    <row r="811">
      <c r="A811" s="147"/>
      <c r="B811" s="147"/>
      <c r="C811" s="147"/>
      <c r="D811" s="147"/>
      <c r="E811" s="147"/>
      <c r="F811" s="205"/>
      <c r="G811" s="147"/>
      <c r="H811" s="147"/>
      <c r="I811" s="147"/>
      <c r="J811" s="147"/>
      <c r="K811" s="147"/>
      <c r="L811" s="147"/>
      <c r="M811" s="147"/>
      <c r="N811" s="147"/>
      <c r="O811" s="147"/>
      <c r="P811" s="147"/>
      <c r="Q811" s="147"/>
      <c r="R811" s="147"/>
      <c r="S811" s="147"/>
      <c r="T811" s="147"/>
      <c r="U811" s="147"/>
      <c r="V811" s="147"/>
      <c r="W811" s="147"/>
      <c r="X811" s="147"/>
      <c r="Y811" s="147"/>
      <c r="Z811" s="147"/>
      <c r="AA811" s="147"/>
      <c r="AB811" s="147"/>
      <c r="AC811" s="147"/>
      <c r="AD811" s="147"/>
      <c r="AE811" s="147"/>
      <c r="AF811" s="147"/>
      <c r="AG811" s="147"/>
    </row>
    <row r="812">
      <c r="A812" s="147"/>
      <c r="B812" s="147"/>
      <c r="C812" s="147"/>
      <c r="D812" s="147"/>
      <c r="E812" s="147"/>
      <c r="F812" s="205"/>
      <c r="G812" s="147"/>
      <c r="H812" s="147"/>
      <c r="I812" s="147"/>
      <c r="J812" s="147"/>
      <c r="K812" s="147"/>
      <c r="L812" s="147"/>
      <c r="M812" s="147"/>
      <c r="N812" s="147"/>
      <c r="O812" s="147"/>
      <c r="P812" s="147"/>
      <c r="Q812" s="147"/>
      <c r="R812" s="147"/>
      <c r="S812" s="147"/>
      <c r="T812" s="147"/>
      <c r="U812" s="147"/>
      <c r="V812" s="147"/>
      <c r="W812" s="147"/>
      <c r="X812" s="147"/>
      <c r="Y812" s="147"/>
      <c r="Z812" s="147"/>
      <c r="AA812" s="147"/>
      <c r="AB812" s="147"/>
      <c r="AC812" s="147"/>
      <c r="AD812" s="147"/>
      <c r="AE812" s="147"/>
      <c r="AF812" s="147"/>
      <c r="AG812" s="147"/>
    </row>
    <row r="813">
      <c r="A813" s="147"/>
      <c r="B813" s="147"/>
      <c r="C813" s="147"/>
      <c r="D813" s="147"/>
      <c r="E813" s="147"/>
      <c r="F813" s="205"/>
      <c r="G813" s="147"/>
      <c r="H813" s="147"/>
      <c r="I813" s="147"/>
      <c r="J813" s="147"/>
      <c r="K813" s="147"/>
      <c r="L813" s="147"/>
      <c r="M813" s="147"/>
      <c r="N813" s="147"/>
      <c r="O813" s="147"/>
      <c r="P813" s="147"/>
      <c r="Q813" s="147"/>
      <c r="R813" s="147"/>
      <c r="S813" s="147"/>
      <c r="T813" s="147"/>
      <c r="U813" s="147"/>
      <c r="V813" s="147"/>
      <c r="W813" s="147"/>
      <c r="X813" s="147"/>
      <c r="Y813" s="147"/>
      <c r="Z813" s="147"/>
      <c r="AA813" s="147"/>
      <c r="AB813" s="147"/>
      <c r="AC813" s="147"/>
      <c r="AD813" s="147"/>
      <c r="AE813" s="147"/>
      <c r="AF813" s="147"/>
      <c r="AG813" s="147"/>
    </row>
    <row r="814">
      <c r="A814" s="147"/>
      <c r="B814" s="147"/>
      <c r="C814" s="147"/>
      <c r="D814" s="147"/>
      <c r="E814" s="147"/>
      <c r="F814" s="205"/>
      <c r="G814" s="147"/>
      <c r="H814" s="147"/>
      <c r="I814" s="147"/>
      <c r="J814" s="147"/>
      <c r="K814" s="147"/>
      <c r="L814" s="147"/>
      <c r="M814" s="147"/>
      <c r="N814" s="147"/>
      <c r="O814" s="147"/>
      <c r="P814" s="147"/>
      <c r="Q814" s="147"/>
      <c r="R814" s="147"/>
      <c r="S814" s="147"/>
      <c r="T814" s="147"/>
      <c r="U814" s="147"/>
      <c r="V814" s="147"/>
      <c r="W814" s="147"/>
      <c r="X814" s="147"/>
      <c r="Y814" s="147"/>
      <c r="Z814" s="147"/>
      <c r="AA814" s="147"/>
      <c r="AB814" s="147"/>
      <c r="AC814" s="147"/>
      <c r="AD814" s="147"/>
      <c r="AE814" s="147"/>
      <c r="AF814" s="147"/>
      <c r="AG814" s="147"/>
    </row>
    <row r="815">
      <c r="A815" s="147"/>
      <c r="B815" s="147"/>
      <c r="C815" s="147"/>
      <c r="D815" s="147"/>
      <c r="E815" s="147"/>
      <c r="F815" s="205"/>
      <c r="G815" s="147"/>
      <c r="H815" s="147"/>
      <c r="I815" s="147"/>
      <c r="J815" s="147"/>
      <c r="K815" s="147"/>
      <c r="L815" s="147"/>
      <c r="M815" s="147"/>
      <c r="N815" s="147"/>
      <c r="O815" s="147"/>
      <c r="P815" s="147"/>
      <c r="Q815" s="147"/>
      <c r="R815" s="147"/>
      <c r="S815" s="147"/>
      <c r="T815" s="147"/>
      <c r="U815" s="147"/>
      <c r="V815" s="147"/>
      <c r="W815" s="147"/>
      <c r="X815" s="147"/>
      <c r="Y815" s="147"/>
      <c r="Z815" s="147"/>
      <c r="AA815" s="147"/>
      <c r="AB815" s="147"/>
      <c r="AC815" s="147"/>
      <c r="AD815" s="147"/>
      <c r="AE815" s="147"/>
      <c r="AF815" s="147"/>
      <c r="AG815" s="147"/>
    </row>
    <row r="816">
      <c r="A816" s="147"/>
      <c r="B816" s="147"/>
      <c r="C816" s="147"/>
      <c r="D816" s="147"/>
      <c r="E816" s="147"/>
      <c r="F816" s="205"/>
      <c r="G816" s="147"/>
      <c r="H816" s="147"/>
      <c r="I816" s="147"/>
      <c r="J816" s="147"/>
      <c r="K816" s="147"/>
      <c r="L816" s="147"/>
      <c r="M816" s="147"/>
      <c r="N816" s="147"/>
      <c r="O816" s="147"/>
      <c r="P816" s="147"/>
      <c r="Q816" s="147"/>
      <c r="R816" s="147"/>
      <c r="S816" s="147"/>
      <c r="T816" s="147"/>
      <c r="U816" s="147"/>
      <c r="V816" s="147"/>
      <c r="W816" s="147"/>
      <c r="X816" s="147"/>
      <c r="Y816" s="147"/>
      <c r="Z816" s="147"/>
      <c r="AA816" s="147"/>
      <c r="AB816" s="147"/>
      <c r="AC816" s="147"/>
      <c r="AD816" s="147"/>
      <c r="AE816" s="147"/>
      <c r="AF816" s="147"/>
      <c r="AG816" s="147"/>
    </row>
    <row r="817">
      <c r="A817" s="147"/>
      <c r="B817" s="147"/>
      <c r="C817" s="147"/>
      <c r="D817" s="147"/>
      <c r="E817" s="147"/>
      <c r="F817" s="205"/>
      <c r="G817" s="147"/>
      <c r="H817" s="147"/>
      <c r="I817" s="147"/>
      <c r="J817" s="147"/>
      <c r="K817" s="147"/>
      <c r="L817" s="147"/>
      <c r="M817" s="147"/>
      <c r="N817" s="147"/>
      <c r="O817" s="147"/>
      <c r="P817" s="147"/>
      <c r="Q817" s="147"/>
      <c r="R817" s="147"/>
      <c r="S817" s="147"/>
      <c r="T817" s="147"/>
      <c r="U817" s="147"/>
      <c r="V817" s="147"/>
      <c r="W817" s="147"/>
      <c r="X817" s="147"/>
      <c r="Y817" s="147"/>
      <c r="Z817" s="147"/>
      <c r="AA817" s="147"/>
      <c r="AB817" s="147"/>
      <c r="AC817" s="147"/>
      <c r="AD817" s="147"/>
      <c r="AE817" s="147"/>
      <c r="AF817" s="147"/>
      <c r="AG817" s="147"/>
    </row>
    <row r="818">
      <c r="A818" s="147"/>
      <c r="B818" s="147"/>
      <c r="C818" s="147"/>
      <c r="D818" s="147"/>
      <c r="E818" s="147"/>
      <c r="F818" s="205"/>
      <c r="G818" s="147"/>
      <c r="H818" s="147"/>
      <c r="I818" s="147"/>
      <c r="J818" s="147"/>
      <c r="K818" s="147"/>
      <c r="L818" s="147"/>
      <c r="M818" s="147"/>
      <c r="N818" s="147"/>
      <c r="O818" s="147"/>
      <c r="P818" s="147"/>
      <c r="Q818" s="147"/>
      <c r="R818" s="147"/>
      <c r="S818" s="147"/>
      <c r="T818" s="147"/>
      <c r="U818" s="147"/>
      <c r="V818" s="147"/>
      <c r="W818" s="147"/>
      <c r="X818" s="147"/>
      <c r="Y818" s="147"/>
      <c r="Z818" s="147"/>
      <c r="AA818" s="147"/>
      <c r="AB818" s="147"/>
      <c r="AC818" s="147"/>
      <c r="AD818" s="147"/>
      <c r="AE818" s="147"/>
      <c r="AF818" s="147"/>
      <c r="AG818" s="147"/>
    </row>
    <row r="819">
      <c r="A819" s="147"/>
      <c r="B819" s="147"/>
      <c r="C819" s="147"/>
      <c r="D819" s="147"/>
      <c r="E819" s="147"/>
      <c r="F819" s="205"/>
      <c r="G819" s="147"/>
      <c r="H819" s="147"/>
      <c r="I819" s="147"/>
      <c r="J819" s="147"/>
      <c r="K819" s="147"/>
      <c r="L819" s="147"/>
      <c r="M819" s="147"/>
      <c r="N819" s="147"/>
      <c r="O819" s="147"/>
      <c r="P819" s="147"/>
      <c r="Q819" s="147"/>
      <c r="R819" s="147"/>
      <c r="S819" s="147"/>
      <c r="T819" s="147"/>
      <c r="U819" s="147"/>
      <c r="V819" s="147"/>
      <c r="W819" s="147"/>
      <c r="X819" s="147"/>
      <c r="Y819" s="147"/>
      <c r="Z819" s="147"/>
      <c r="AA819" s="147"/>
      <c r="AB819" s="147"/>
      <c r="AC819" s="147"/>
      <c r="AD819" s="147"/>
      <c r="AE819" s="147"/>
      <c r="AF819" s="147"/>
      <c r="AG819" s="147"/>
    </row>
    <row r="820">
      <c r="A820" s="147"/>
      <c r="B820" s="147"/>
      <c r="C820" s="147"/>
      <c r="D820" s="147"/>
      <c r="E820" s="147"/>
      <c r="F820" s="205"/>
      <c r="G820" s="147"/>
      <c r="H820" s="147"/>
      <c r="I820" s="147"/>
      <c r="J820" s="147"/>
      <c r="K820" s="147"/>
      <c r="L820" s="147"/>
      <c r="M820" s="147"/>
      <c r="N820" s="147"/>
      <c r="O820" s="147"/>
      <c r="P820" s="147"/>
      <c r="Q820" s="147"/>
      <c r="R820" s="147"/>
      <c r="S820" s="147"/>
      <c r="T820" s="147"/>
      <c r="U820" s="147"/>
      <c r="V820" s="147"/>
      <c r="W820" s="147"/>
      <c r="X820" s="147"/>
      <c r="Y820" s="147"/>
      <c r="Z820" s="147"/>
      <c r="AA820" s="147"/>
      <c r="AB820" s="147"/>
      <c r="AC820" s="147"/>
      <c r="AD820" s="147"/>
      <c r="AE820" s="147"/>
      <c r="AF820" s="147"/>
      <c r="AG820" s="147"/>
    </row>
    <row r="821">
      <c r="A821" s="147"/>
      <c r="B821" s="147"/>
      <c r="C821" s="147"/>
      <c r="D821" s="147"/>
      <c r="E821" s="147"/>
      <c r="F821" s="205"/>
      <c r="G821" s="147"/>
      <c r="H821" s="147"/>
      <c r="I821" s="147"/>
      <c r="J821" s="147"/>
      <c r="K821" s="147"/>
      <c r="L821" s="147"/>
      <c r="M821" s="147"/>
      <c r="N821" s="147"/>
      <c r="O821" s="147"/>
      <c r="P821" s="147"/>
      <c r="Q821" s="147"/>
      <c r="R821" s="147"/>
      <c r="S821" s="147"/>
      <c r="T821" s="147"/>
      <c r="U821" s="147"/>
      <c r="V821" s="147"/>
      <c r="W821" s="147"/>
      <c r="X821" s="147"/>
      <c r="Y821" s="147"/>
      <c r="Z821" s="147"/>
      <c r="AA821" s="147"/>
      <c r="AB821" s="147"/>
      <c r="AC821" s="147"/>
      <c r="AD821" s="147"/>
      <c r="AE821" s="147"/>
      <c r="AF821" s="147"/>
      <c r="AG821" s="147"/>
    </row>
    <row r="822">
      <c r="A822" s="147"/>
      <c r="B822" s="147"/>
      <c r="C822" s="147"/>
      <c r="D822" s="147"/>
      <c r="E822" s="147"/>
      <c r="F822" s="205"/>
      <c r="G822" s="147"/>
      <c r="H822" s="147"/>
      <c r="I822" s="147"/>
      <c r="J822" s="147"/>
      <c r="K822" s="147"/>
      <c r="L822" s="147"/>
      <c r="M822" s="147"/>
      <c r="N822" s="147"/>
      <c r="O822" s="147"/>
      <c r="P822" s="147"/>
      <c r="Q822" s="147"/>
      <c r="R822" s="147"/>
      <c r="S822" s="147"/>
      <c r="T822" s="147"/>
      <c r="U822" s="147"/>
      <c r="V822" s="147"/>
      <c r="W822" s="147"/>
      <c r="X822" s="147"/>
      <c r="Y822" s="147"/>
      <c r="Z822" s="147"/>
      <c r="AA822" s="147"/>
      <c r="AB822" s="147"/>
      <c r="AC822" s="147"/>
      <c r="AD822" s="147"/>
      <c r="AE822" s="147"/>
      <c r="AF822" s="147"/>
      <c r="AG822" s="147"/>
    </row>
    <row r="823">
      <c r="A823" s="147"/>
      <c r="B823" s="147"/>
      <c r="C823" s="147"/>
      <c r="D823" s="147"/>
      <c r="E823" s="147"/>
      <c r="F823" s="205"/>
      <c r="G823" s="147"/>
      <c r="H823" s="147"/>
      <c r="I823" s="147"/>
      <c r="J823" s="147"/>
      <c r="K823" s="147"/>
      <c r="L823" s="147"/>
      <c r="M823" s="147"/>
      <c r="N823" s="147"/>
      <c r="O823" s="147"/>
      <c r="P823" s="147"/>
      <c r="Q823" s="147"/>
      <c r="R823" s="147"/>
      <c r="S823" s="147"/>
      <c r="T823" s="147"/>
      <c r="U823" s="147"/>
      <c r="V823" s="147"/>
      <c r="W823" s="147"/>
      <c r="X823" s="147"/>
      <c r="Y823" s="147"/>
      <c r="Z823" s="147"/>
      <c r="AA823" s="147"/>
      <c r="AB823" s="147"/>
      <c r="AC823" s="147"/>
      <c r="AD823" s="147"/>
      <c r="AE823" s="147"/>
      <c r="AF823" s="147"/>
      <c r="AG823" s="147"/>
    </row>
    <row r="824">
      <c r="A824" s="147"/>
      <c r="B824" s="147"/>
      <c r="C824" s="147"/>
      <c r="D824" s="147"/>
      <c r="E824" s="147"/>
      <c r="F824" s="205"/>
      <c r="G824" s="147"/>
      <c r="H824" s="147"/>
      <c r="I824" s="147"/>
      <c r="J824" s="147"/>
      <c r="K824" s="147"/>
      <c r="L824" s="147"/>
      <c r="M824" s="147"/>
      <c r="N824" s="147"/>
      <c r="O824" s="147"/>
      <c r="P824" s="147"/>
      <c r="Q824" s="147"/>
      <c r="R824" s="147"/>
      <c r="S824" s="147"/>
      <c r="T824" s="147"/>
      <c r="U824" s="147"/>
      <c r="V824" s="147"/>
      <c r="W824" s="147"/>
      <c r="X824" s="147"/>
      <c r="Y824" s="147"/>
      <c r="Z824" s="147"/>
      <c r="AA824" s="147"/>
      <c r="AB824" s="147"/>
      <c r="AC824" s="147"/>
      <c r="AD824" s="147"/>
      <c r="AE824" s="147"/>
      <c r="AF824" s="147"/>
      <c r="AG824" s="147"/>
    </row>
    <row r="825">
      <c r="A825" s="147"/>
      <c r="B825" s="147"/>
      <c r="C825" s="147"/>
      <c r="D825" s="147"/>
      <c r="E825" s="147"/>
      <c r="F825" s="205"/>
      <c r="G825" s="147"/>
      <c r="H825" s="147"/>
      <c r="I825" s="147"/>
      <c r="J825" s="147"/>
      <c r="K825" s="147"/>
      <c r="L825" s="147"/>
      <c r="M825" s="147"/>
      <c r="N825" s="147"/>
      <c r="O825" s="147"/>
      <c r="P825" s="147"/>
      <c r="Q825" s="147"/>
      <c r="R825" s="147"/>
      <c r="S825" s="147"/>
      <c r="T825" s="147"/>
      <c r="U825" s="147"/>
      <c r="V825" s="147"/>
      <c r="W825" s="147"/>
      <c r="X825" s="147"/>
      <c r="Y825" s="147"/>
      <c r="Z825" s="147"/>
      <c r="AA825" s="147"/>
      <c r="AB825" s="147"/>
      <c r="AC825" s="147"/>
      <c r="AD825" s="147"/>
      <c r="AE825" s="147"/>
      <c r="AF825" s="147"/>
      <c r="AG825" s="147"/>
    </row>
    <row r="826">
      <c r="A826" s="147"/>
      <c r="B826" s="147"/>
      <c r="C826" s="147"/>
      <c r="D826" s="147"/>
      <c r="E826" s="147"/>
      <c r="F826" s="205"/>
      <c r="G826" s="147"/>
      <c r="H826" s="147"/>
      <c r="I826" s="147"/>
      <c r="J826" s="147"/>
      <c r="K826" s="147"/>
      <c r="L826" s="147"/>
      <c r="M826" s="147"/>
      <c r="N826" s="147"/>
      <c r="O826" s="147"/>
      <c r="P826" s="147"/>
      <c r="Q826" s="147"/>
      <c r="R826" s="147"/>
      <c r="S826" s="147"/>
      <c r="T826" s="147"/>
      <c r="U826" s="147"/>
      <c r="V826" s="147"/>
      <c r="W826" s="147"/>
      <c r="X826" s="147"/>
      <c r="Y826" s="147"/>
      <c r="Z826" s="147"/>
      <c r="AA826" s="147"/>
      <c r="AB826" s="147"/>
      <c r="AC826" s="147"/>
      <c r="AD826" s="147"/>
      <c r="AE826" s="147"/>
      <c r="AF826" s="147"/>
      <c r="AG826" s="147"/>
    </row>
    <row r="827">
      <c r="A827" s="147"/>
      <c r="B827" s="147"/>
      <c r="C827" s="147"/>
      <c r="D827" s="147"/>
      <c r="E827" s="147"/>
      <c r="F827" s="205"/>
      <c r="G827" s="147"/>
      <c r="H827" s="147"/>
      <c r="I827" s="147"/>
      <c r="J827" s="147"/>
      <c r="K827" s="147"/>
      <c r="L827" s="147"/>
      <c r="M827" s="147"/>
      <c r="N827" s="147"/>
      <c r="O827" s="147"/>
      <c r="P827" s="147"/>
      <c r="Q827" s="147"/>
      <c r="R827" s="147"/>
      <c r="S827" s="147"/>
      <c r="T827" s="147"/>
      <c r="U827" s="147"/>
      <c r="V827" s="147"/>
      <c r="W827" s="147"/>
      <c r="X827" s="147"/>
      <c r="Y827" s="147"/>
      <c r="Z827" s="147"/>
      <c r="AA827" s="147"/>
      <c r="AB827" s="147"/>
      <c r="AC827" s="147"/>
      <c r="AD827" s="147"/>
      <c r="AE827" s="147"/>
      <c r="AF827" s="147"/>
      <c r="AG827" s="147"/>
    </row>
    <row r="828">
      <c r="A828" s="147"/>
      <c r="B828" s="147"/>
      <c r="C828" s="147"/>
      <c r="D828" s="147"/>
      <c r="E828" s="147"/>
      <c r="F828" s="205"/>
      <c r="G828" s="147"/>
      <c r="H828" s="147"/>
      <c r="I828" s="147"/>
      <c r="J828" s="147"/>
      <c r="K828" s="147"/>
      <c r="L828" s="147"/>
      <c r="M828" s="147"/>
      <c r="N828" s="147"/>
      <c r="O828" s="147"/>
      <c r="P828" s="147"/>
      <c r="Q828" s="147"/>
      <c r="R828" s="147"/>
      <c r="S828" s="147"/>
      <c r="T828" s="147"/>
      <c r="U828" s="147"/>
      <c r="V828" s="147"/>
      <c r="W828" s="147"/>
      <c r="X828" s="147"/>
      <c r="Y828" s="147"/>
      <c r="Z828" s="147"/>
      <c r="AA828" s="147"/>
      <c r="AB828" s="147"/>
      <c r="AC828" s="147"/>
      <c r="AD828" s="147"/>
      <c r="AE828" s="147"/>
      <c r="AF828" s="147"/>
      <c r="AG828" s="147"/>
    </row>
    <row r="829">
      <c r="A829" s="147"/>
      <c r="B829" s="147"/>
      <c r="C829" s="147"/>
      <c r="D829" s="147"/>
      <c r="E829" s="147"/>
      <c r="F829" s="205"/>
      <c r="G829" s="147"/>
      <c r="H829" s="147"/>
      <c r="I829" s="147"/>
      <c r="J829" s="147"/>
      <c r="K829" s="147"/>
      <c r="L829" s="147"/>
      <c r="M829" s="147"/>
      <c r="N829" s="147"/>
      <c r="O829" s="147"/>
      <c r="P829" s="147"/>
      <c r="Q829" s="147"/>
      <c r="R829" s="147"/>
      <c r="S829" s="147"/>
      <c r="T829" s="147"/>
      <c r="U829" s="147"/>
      <c r="V829" s="147"/>
      <c r="W829" s="147"/>
      <c r="X829" s="147"/>
      <c r="Y829" s="147"/>
      <c r="Z829" s="147"/>
      <c r="AA829" s="147"/>
      <c r="AB829" s="147"/>
      <c r="AC829" s="147"/>
      <c r="AD829" s="147"/>
      <c r="AE829" s="147"/>
      <c r="AF829" s="147"/>
      <c r="AG829" s="147"/>
    </row>
    <row r="830">
      <c r="A830" s="147"/>
      <c r="B830" s="147"/>
      <c r="C830" s="147"/>
      <c r="D830" s="147"/>
      <c r="E830" s="147"/>
      <c r="F830" s="205"/>
      <c r="G830" s="147"/>
      <c r="H830" s="147"/>
      <c r="I830" s="147"/>
      <c r="J830" s="147"/>
      <c r="K830" s="147"/>
      <c r="L830" s="147"/>
      <c r="M830" s="147"/>
      <c r="N830" s="147"/>
      <c r="O830" s="147"/>
      <c r="P830" s="147"/>
      <c r="Q830" s="147"/>
      <c r="R830" s="147"/>
      <c r="S830" s="147"/>
      <c r="T830" s="147"/>
      <c r="U830" s="147"/>
      <c r="V830" s="147"/>
      <c r="W830" s="147"/>
      <c r="X830" s="147"/>
      <c r="Y830" s="147"/>
      <c r="Z830" s="147"/>
      <c r="AA830" s="147"/>
      <c r="AB830" s="147"/>
      <c r="AC830" s="147"/>
      <c r="AD830" s="147"/>
      <c r="AE830" s="147"/>
      <c r="AF830" s="147"/>
      <c r="AG830" s="147"/>
    </row>
    <row r="831">
      <c r="A831" s="147"/>
      <c r="B831" s="147"/>
      <c r="C831" s="147"/>
      <c r="D831" s="147"/>
      <c r="E831" s="147"/>
      <c r="F831" s="205"/>
      <c r="G831" s="147"/>
      <c r="H831" s="147"/>
      <c r="I831" s="147"/>
      <c r="J831" s="147"/>
      <c r="K831" s="147"/>
      <c r="L831" s="147"/>
      <c r="M831" s="147"/>
      <c r="N831" s="147"/>
      <c r="O831" s="147"/>
      <c r="P831" s="147"/>
      <c r="Q831" s="147"/>
      <c r="R831" s="147"/>
      <c r="S831" s="147"/>
      <c r="T831" s="147"/>
      <c r="U831" s="147"/>
      <c r="V831" s="147"/>
      <c r="W831" s="147"/>
      <c r="X831" s="147"/>
      <c r="Y831" s="147"/>
      <c r="Z831" s="147"/>
      <c r="AA831" s="147"/>
      <c r="AB831" s="147"/>
      <c r="AC831" s="147"/>
      <c r="AD831" s="147"/>
      <c r="AE831" s="147"/>
      <c r="AF831" s="147"/>
      <c r="AG831" s="147"/>
    </row>
    <row r="832">
      <c r="A832" s="147"/>
      <c r="B832" s="147"/>
      <c r="C832" s="147"/>
      <c r="D832" s="147"/>
      <c r="E832" s="147"/>
      <c r="F832" s="205"/>
      <c r="G832" s="147"/>
      <c r="H832" s="147"/>
      <c r="I832" s="147"/>
      <c r="J832" s="147"/>
      <c r="K832" s="147"/>
      <c r="L832" s="147"/>
      <c r="M832" s="147"/>
      <c r="N832" s="147"/>
      <c r="O832" s="147"/>
      <c r="P832" s="147"/>
      <c r="Q832" s="147"/>
      <c r="R832" s="147"/>
      <c r="S832" s="147"/>
      <c r="T832" s="147"/>
      <c r="U832" s="147"/>
      <c r="V832" s="147"/>
      <c r="W832" s="147"/>
      <c r="X832" s="147"/>
      <c r="Y832" s="147"/>
      <c r="Z832" s="147"/>
      <c r="AA832" s="147"/>
      <c r="AB832" s="147"/>
      <c r="AC832" s="147"/>
      <c r="AD832" s="147"/>
      <c r="AE832" s="147"/>
      <c r="AF832" s="147"/>
      <c r="AG832" s="147"/>
    </row>
    <row r="833">
      <c r="A833" s="147"/>
      <c r="B833" s="147"/>
      <c r="C833" s="147"/>
      <c r="D833" s="147"/>
      <c r="E833" s="147"/>
      <c r="F833" s="205"/>
      <c r="G833" s="147"/>
      <c r="H833" s="147"/>
      <c r="I833" s="147"/>
      <c r="J833" s="147"/>
      <c r="K833" s="147"/>
      <c r="L833" s="147"/>
      <c r="M833" s="147"/>
      <c r="N833" s="147"/>
      <c r="O833" s="147"/>
      <c r="P833" s="147"/>
      <c r="Q833" s="147"/>
      <c r="R833" s="147"/>
      <c r="S833" s="147"/>
      <c r="T833" s="147"/>
      <c r="U833" s="147"/>
      <c r="V833" s="147"/>
      <c r="W833" s="147"/>
      <c r="X833" s="147"/>
      <c r="Y833" s="147"/>
      <c r="Z833" s="147"/>
      <c r="AA833" s="147"/>
      <c r="AB833" s="147"/>
      <c r="AC833" s="147"/>
      <c r="AD833" s="147"/>
      <c r="AE833" s="147"/>
      <c r="AF833" s="147"/>
      <c r="AG833" s="147"/>
    </row>
    <row r="834">
      <c r="A834" s="147"/>
      <c r="B834" s="147"/>
      <c r="C834" s="147"/>
      <c r="D834" s="147"/>
      <c r="E834" s="147"/>
      <c r="F834" s="205"/>
      <c r="G834" s="147"/>
      <c r="H834" s="147"/>
      <c r="I834" s="147"/>
      <c r="J834" s="147"/>
      <c r="K834" s="147"/>
      <c r="L834" s="147"/>
      <c r="M834" s="147"/>
      <c r="N834" s="147"/>
      <c r="O834" s="147"/>
      <c r="P834" s="147"/>
      <c r="Q834" s="147"/>
      <c r="R834" s="147"/>
      <c r="S834" s="147"/>
      <c r="T834" s="147"/>
      <c r="U834" s="147"/>
      <c r="V834" s="147"/>
      <c r="W834" s="147"/>
      <c r="X834" s="147"/>
      <c r="Y834" s="147"/>
      <c r="Z834" s="147"/>
      <c r="AA834" s="147"/>
      <c r="AB834" s="147"/>
      <c r="AC834" s="147"/>
      <c r="AD834" s="147"/>
      <c r="AE834" s="147"/>
      <c r="AF834" s="147"/>
      <c r="AG834" s="147"/>
    </row>
    <row r="835">
      <c r="A835" s="147"/>
      <c r="B835" s="147"/>
      <c r="C835" s="147"/>
      <c r="D835" s="147"/>
      <c r="E835" s="147"/>
      <c r="F835" s="205"/>
      <c r="G835" s="147"/>
      <c r="H835" s="147"/>
      <c r="I835" s="147"/>
      <c r="J835" s="147"/>
      <c r="K835" s="147"/>
      <c r="L835" s="147"/>
      <c r="M835" s="147"/>
      <c r="N835" s="147"/>
      <c r="O835" s="147"/>
      <c r="P835" s="147"/>
      <c r="Q835" s="147"/>
      <c r="R835" s="147"/>
      <c r="S835" s="147"/>
      <c r="T835" s="147"/>
      <c r="U835" s="147"/>
      <c r="V835" s="147"/>
      <c r="W835" s="147"/>
      <c r="X835" s="147"/>
      <c r="Y835" s="147"/>
      <c r="Z835" s="147"/>
      <c r="AA835" s="147"/>
      <c r="AB835" s="147"/>
      <c r="AC835" s="147"/>
      <c r="AD835" s="147"/>
      <c r="AE835" s="147"/>
      <c r="AF835" s="147"/>
      <c r="AG835" s="147"/>
    </row>
    <row r="836">
      <c r="A836" s="147"/>
      <c r="B836" s="147"/>
      <c r="C836" s="147"/>
      <c r="D836" s="147"/>
      <c r="E836" s="147"/>
      <c r="F836" s="205"/>
      <c r="G836" s="147"/>
      <c r="H836" s="147"/>
      <c r="I836" s="147"/>
      <c r="J836" s="147"/>
      <c r="K836" s="147"/>
      <c r="L836" s="147"/>
      <c r="M836" s="147"/>
      <c r="N836" s="147"/>
      <c r="O836" s="147"/>
      <c r="P836" s="147"/>
      <c r="Q836" s="147"/>
      <c r="R836" s="147"/>
      <c r="S836" s="147"/>
      <c r="T836" s="147"/>
      <c r="U836" s="147"/>
      <c r="V836" s="147"/>
      <c r="W836" s="147"/>
      <c r="X836" s="147"/>
      <c r="Y836" s="147"/>
      <c r="Z836" s="147"/>
      <c r="AA836" s="147"/>
      <c r="AB836" s="147"/>
      <c r="AC836" s="147"/>
      <c r="AD836" s="147"/>
      <c r="AE836" s="147"/>
      <c r="AF836" s="147"/>
      <c r="AG836" s="147"/>
    </row>
    <row r="837">
      <c r="A837" s="147"/>
      <c r="B837" s="147"/>
      <c r="C837" s="147"/>
      <c r="D837" s="147"/>
      <c r="E837" s="147"/>
      <c r="F837" s="205"/>
      <c r="G837" s="147"/>
      <c r="H837" s="147"/>
      <c r="I837" s="147"/>
      <c r="J837" s="147"/>
      <c r="K837" s="147"/>
      <c r="L837" s="147"/>
      <c r="M837" s="147"/>
      <c r="N837" s="147"/>
      <c r="O837" s="147"/>
      <c r="P837" s="147"/>
      <c r="Q837" s="147"/>
      <c r="R837" s="147"/>
      <c r="S837" s="147"/>
      <c r="T837" s="147"/>
      <c r="U837" s="147"/>
      <c r="V837" s="147"/>
      <c r="W837" s="147"/>
      <c r="X837" s="147"/>
      <c r="Y837" s="147"/>
      <c r="Z837" s="147"/>
      <c r="AA837" s="147"/>
      <c r="AB837" s="147"/>
      <c r="AC837" s="147"/>
      <c r="AD837" s="147"/>
      <c r="AE837" s="147"/>
      <c r="AF837" s="147"/>
      <c r="AG837" s="147"/>
    </row>
    <row r="838">
      <c r="A838" s="147"/>
      <c r="B838" s="147"/>
      <c r="C838" s="147"/>
      <c r="D838" s="147"/>
      <c r="E838" s="147"/>
      <c r="F838" s="205"/>
      <c r="G838" s="147"/>
      <c r="H838" s="147"/>
      <c r="I838" s="147"/>
      <c r="J838" s="147"/>
      <c r="K838" s="147"/>
      <c r="L838" s="147"/>
      <c r="M838" s="147"/>
      <c r="N838" s="147"/>
      <c r="O838" s="147"/>
      <c r="P838" s="147"/>
      <c r="Q838" s="147"/>
      <c r="R838" s="147"/>
      <c r="S838" s="147"/>
      <c r="T838" s="147"/>
      <c r="U838" s="147"/>
      <c r="V838" s="147"/>
      <c r="W838" s="147"/>
      <c r="X838" s="147"/>
      <c r="Y838" s="147"/>
      <c r="Z838" s="147"/>
      <c r="AA838" s="147"/>
      <c r="AB838" s="147"/>
      <c r="AC838" s="147"/>
      <c r="AD838" s="147"/>
      <c r="AE838" s="147"/>
      <c r="AF838" s="147"/>
      <c r="AG838" s="147"/>
    </row>
    <row r="839">
      <c r="A839" s="147"/>
      <c r="B839" s="147"/>
      <c r="C839" s="147"/>
      <c r="D839" s="147"/>
      <c r="E839" s="147"/>
      <c r="F839" s="205"/>
      <c r="G839" s="147"/>
      <c r="H839" s="147"/>
      <c r="I839" s="147"/>
      <c r="J839" s="147"/>
      <c r="K839" s="147"/>
      <c r="L839" s="147"/>
      <c r="M839" s="147"/>
      <c r="N839" s="147"/>
      <c r="O839" s="147"/>
      <c r="P839" s="147"/>
      <c r="Q839" s="147"/>
      <c r="R839" s="147"/>
      <c r="S839" s="147"/>
      <c r="T839" s="147"/>
      <c r="U839" s="147"/>
      <c r="V839" s="147"/>
      <c r="W839" s="147"/>
      <c r="X839" s="147"/>
      <c r="Y839" s="147"/>
      <c r="Z839" s="147"/>
      <c r="AA839" s="147"/>
      <c r="AB839" s="147"/>
      <c r="AC839" s="147"/>
      <c r="AD839" s="147"/>
      <c r="AE839" s="147"/>
      <c r="AF839" s="147"/>
      <c r="AG839" s="147"/>
    </row>
    <row r="840">
      <c r="A840" s="147"/>
      <c r="B840" s="147"/>
      <c r="C840" s="147"/>
      <c r="D840" s="147"/>
      <c r="E840" s="147"/>
      <c r="F840" s="205"/>
      <c r="G840" s="147"/>
      <c r="H840" s="147"/>
      <c r="I840" s="147"/>
      <c r="J840" s="147"/>
      <c r="K840" s="147"/>
      <c r="L840" s="147"/>
      <c r="M840" s="147"/>
      <c r="N840" s="147"/>
      <c r="O840" s="147"/>
      <c r="P840" s="147"/>
      <c r="Q840" s="147"/>
      <c r="R840" s="147"/>
      <c r="S840" s="147"/>
      <c r="T840" s="147"/>
      <c r="U840" s="147"/>
      <c r="V840" s="147"/>
      <c r="W840" s="147"/>
      <c r="X840" s="147"/>
      <c r="Y840" s="147"/>
      <c r="Z840" s="147"/>
      <c r="AA840" s="147"/>
      <c r="AB840" s="147"/>
      <c r="AC840" s="147"/>
      <c r="AD840" s="147"/>
      <c r="AE840" s="147"/>
      <c r="AF840" s="147"/>
      <c r="AG840" s="147"/>
    </row>
    <row r="841">
      <c r="A841" s="147"/>
      <c r="B841" s="147"/>
      <c r="C841" s="147"/>
      <c r="D841" s="147"/>
      <c r="E841" s="147"/>
      <c r="F841" s="205"/>
      <c r="G841" s="147"/>
      <c r="H841" s="147"/>
      <c r="I841" s="147"/>
      <c r="J841" s="147"/>
      <c r="K841" s="147"/>
      <c r="L841" s="147"/>
      <c r="M841" s="147"/>
      <c r="N841" s="147"/>
      <c r="O841" s="147"/>
      <c r="P841" s="147"/>
      <c r="Q841" s="147"/>
      <c r="R841" s="147"/>
      <c r="S841" s="147"/>
      <c r="T841" s="147"/>
      <c r="U841" s="147"/>
      <c r="V841" s="147"/>
      <c r="W841" s="147"/>
      <c r="X841" s="147"/>
      <c r="Y841" s="147"/>
      <c r="Z841" s="147"/>
      <c r="AA841" s="147"/>
      <c r="AB841" s="147"/>
      <c r="AC841" s="147"/>
      <c r="AD841" s="147"/>
      <c r="AE841" s="147"/>
      <c r="AF841" s="147"/>
      <c r="AG841" s="147"/>
    </row>
    <row r="842">
      <c r="A842" s="147"/>
      <c r="B842" s="147"/>
      <c r="C842" s="147"/>
      <c r="D842" s="147"/>
      <c r="E842" s="147"/>
      <c r="F842" s="205"/>
      <c r="G842" s="147"/>
      <c r="H842" s="147"/>
      <c r="I842" s="147"/>
      <c r="J842" s="147"/>
      <c r="K842" s="147"/>
      <c r="L842" s="147"/>
      <c r="M842" s="147"/>
      <c r="N842" s="147"/>
      <c r="O842" s="147"/>
      <c r="P842" s="147"/>
      <c r="Q842" s="147"/>
      <c r="R842" s="147"/>
      <c r="S842" s="147"/>
      <c r="T842" s="147"/>
      <c r="U842" s="147"/>
      <c r="V842" s="147"/>
      <c r="W842" s="147"/>
      <c r="X842" s="147"/>
      <c r="Y842" s="147"/>
      <c r="Z842" s="147"/>
      <c r="AA842" s="147"/>
      <c r="AB842" s="147"/>
      <c r="AC842" s="147"/>
      <c r="AD842" s="147"/>
      <c r="AE842" s="147"/>
      <c r="AF842" s="147"/>
      <c r="AG842" s="147"/>
    </row>
    <row r="843">
      <c r="A843" s="147"/>
      <c r="B843" s="147"/>
      <c r="C843" s="147"/>
      <c r="D843" s="147"/>
      <c r="E843" s="147"/>
      <c r="F843" s="205"/>
      <c r="G843" s="147"/>
      <c r="H843" s="147"/>
      <c r="I843" s="147"/>
      <c r="J843" s="147"/>
      <c r="K843" s="147"/>
      <c r="L843" s="147"/>
      <c r="M843" s="147"/>
      <c r="N843" s="147"/>
      <c r="O843" s="147"/>
      <c r="P843" s="147"/>
      <c r="Q843" s="147"/>
      <c r="R843" s="147"/>
      <c r="S843" s="147"/>
      <c r="T843" s="147"/>
      <c r="U843" s="147"/>
      <c r="V843" s="147"/>
      <c r="W843" s="147"/>
      <c r="X843" s="147"/>
      <c r="Y843" s="147"/>
      <c r="Z843" s="147"/>
      <c r="AA843" s="147"/>
      <c r="AB843" s="147"/>
      <c r="AC843" s="147"/>
      <c r="AD843" s="147"/>
      <c r="AE843" s="147"/>
      <c r="AF843" s="147"/>
      <c r="AG843" s="147"/>
    </row>
    <row r="844">
      <c r="A844" s="147"/>
      <c r="B844" s="147"/>
      <c r="C844" s="147"/>
      <c r="D844" s="147"/>
      <c r="E844" s="147"/>
      <c r="F844" s="205"/>
      <c r="G844" s="147"/>
      <c r="H844" s="147"/>
      <c r="I844" s="147"/>
      <c r="J844" s="147"/>
      <c r="K844" s="147"/>
      <c r="L844" s="147"/>
      <c r="M844" s="147"/>
      <c r="N844" s="147"/>
      <c r="O844" s="147"/>
      <c r="P844" s="147"/>
      <c r="Q844" s="147"/>
      <c r="R844" s="147"/>
      <c r="S844" s="147"/>
      <c r="T844" s="147"/>
      <c r="U844" s="147"/>
      <c r="V844" s="147"/>
      <c r="W844" s="147"/>
      <c r="X844" s="147"/>
      <c r="Y844" s="147"/>
      <c r="Z844" s="147"/>
      <c r="AA844" s="147"/>
      <c r="AB844" s="147"/>
      <c r="AC844" s="147"/>
      <c r="AD844" s="147"/>
      <c r="AE844" s="147"/>
      <c r="AF844" s="147"/>
      <c r="AG844" s="147"/>
    </row>
    <row r="845">
      <c r="A845" s="147"/>
      <c r="B845" s="147"/>
      <c r="C845" s="147"/>
      <c r="D845" s="147"/>
      <c r="E845" s="147"/>
      <c r="F845" s="205"/>
      <c r="G845" s="147"/>
      <c r="H845" s="147"/>
      <c r="I845" s="147"/>
      <c r="J845" s="147"/>
      <c r="K845" s="147"/>
      <c r="L845" s="147"/>
      <c r="M845" s="147"/>
      <c r="N845" s="147"/>
      <c r="O845" s="147"/>
      <c r="P845" s="147"/>
      <c r="Q845" s="147"/>
      <c r="R845" s="147"/>
      <c r="S845" s="147"/>
      <c r="T845" s="147"/>
      <c r="U845" s="147"/>
      <c r="V845" s="147"/>
      <c r="W845" s="147"/>
      <c r="X845" s="147"/>
      <c r="Y845" s="147"/>
      <c r="Z845" s="147"/>
      <c r="AA845" s="147"/>
      <c r="AB845" s="147"/>
      <c r="AC845" s="147"/>
      <c r="AD845" s="147"/>
      <c r="AE845" s="147"/>
      <c r="AF845" s="147"/>
      <c r="AG845" s="147"/>
    </row>
    <row r="846">
      <c r="A846" s="147"/>
      <c r="B846" s="147"/>
      <c r="C846" s="147"/>
      <c r="D846" s="147"/>
      <c r="E846" s="147"/>
      <c r="F846" s="205"/>
      <c r="G846" s="147"/>
      <c r="H846" s="147"/>
      <c r="I846" s="147"/>
      <c r="J846" s="147"/>
      <c r="K846" s="147"/>
      <c r="L846" s="147"/>
      <c r="M846" s="147"/>
      <c r="N846" s="147"/>
      <c r="O846" s="147"/>
      <c r="P846" s="147"/>
      <c r="Q846" s="147"/>
      <c r="R846" s="147"/>
      <c r="S846" s="147"/>
      <c r="T846" s="147"/>
      <c r="U846" s="147"/>
      <c r="V846" s="147"/>
      <c r="W846" s="147"/>
      <c r="X846" s="147"/>
      <c r="Y846" s="147"/>
      <c r="Z846" s="147"/>
      <c r="AA846" s="147"/>
      <c r="AB846" s="147"/>
      <c r="AC846" s="147"/>
      <c r="AD846" s="147"/>
      <c r="AE846" s="147"/>
      <c r="AF846" s="147"/>
      <c r="AG846" s="147"/>
    </row>
    <row r="847">
      <c r="A847" s="147"/>
      <c r="B847" s="147"/>
      <c r="C847" s="147"/>
      <c r="D847" s="147"/>
      <c r="E847" s="147"/>
      <c r="F847" s="205"/>
      <c r="G847" s="147"/>
      <c r="H847" s="147"/>
      <c r="I847" s="147"/>
      <c r="J847" s="147"/>
      <c r="K847" s="147"/>
      <c r="L847" s="147"/>
      <c r="M847" s="147"/>
      <c r="N847" s="147"/>
      <c r="O847" s="147"/>
      <c r="P847" s="147"/>
      <c r="Q847" s="147"/>
      <c r="R847" s="147"/>
      <c r="S847" s="147"/>
      <c r="T847" s="147"/>
      <c r="U847" s="147"/>
      <c r="V847" s="147"/>
      <c r="W847" s="147"/>
      <c r="X847" s="147"/>
      <c r="Y847" s="147"/>
      <c r="Z847" s="147"/>
      <c r="AA847" s="147"/>
      <c r="AB847" s="147"/>
      <c r="AC847" s="147"/>
      <c r="AD847" s="147"/>
      <c r="AE847" s="147"/>
      <c r="AF847" s="147"/>
      <c r="AG847" s="147"/>
    </row>
    <row r="848">
      <c r="A848" s="147"/>
      <c r="B848" s="147"/>
      <c r="C848" s="147"/>
      <c r="D848" s="147"/>
      <c r="E848" s="147"/>
      <c r="F848" s="205"/>
      <c r="G848" s="147"/>
      <c r="H848" s="147"/>
      <c r="I848" s="147"/>
      <c r="J848" s="147"/>
      <c r="K848" s="147"/>
      <c r="L848" s="147"/>
      <c r="M848" s="147"/>
      <c r="N848" s="147"/>
      <c r="O848" s="147"/>
      <c r="P848" s="147"/>
      <c r="Q848" s="147"/>
      <c r="R848" s="147"/>
      <c r="S848" s="147"/>
      <c r="T848" s="147"/>
      <c r="U848" s="147"/>
      <c r="V848" s="147"/>
      <c r="W848" s="147"/>
      <c r="X848" s="147"/>
      <c r="Y848" s="147"/>
      <c r="Z848" s="147"/>
      <c r="AA848" s="147"/>
      <c r="AB848" s="147"/>
      <c r="AC848" s="147"/>
      <c r="AD848" s="147"/>
      <c r="AE848" s="147"/>
      <c r="AF848" s="147"/>
      <c r="AG848" s="147"/>
    </row>
    <row r="849">
      <c r="A849" s="147"/>
      <c r="B849" s="147"/>
      <c r="C849" s="147"/>
      <c r="D849" s="147"/>
      <c r="E849" s="147"/>
      <c r="F849" s="205"/>
      <c r="G849" s="147"/>
      <c r="H849" s="147"/>
      <c r="I849" s="147"/>
      <c r="J849" s="147"/>
      <c r="K849" s="147"/>
      <c r="L849" s="147"/>
      <c r="M849" s="147"/>
      <c r="N849" s="147"/>
      <c r="O849" s="147"/>
      <c r="P849" s="147"/>
      <c r="Q849" s="147"/>
      <c r="R849" s="147"/>
      <c r="S849" s="147"/>
      <c r="T849" s="147"/>
      <c r="U849" s="147"/>
      <c r="V849" s="147"/>
      <c r="W849" s="147"/>
      <c r="X849" s="147"/>
      <c r="Y849" s="147"/>
      <c r="Z849" s="147"/>
      <c r="AA849" s="147"/>
      <c r="AB849" s="147"/>
      <c r="AC849" s="147"/>
      <c r="AD849" s="147"/>
      <c r="AE849" s="147"/>
      <c r="AF849" s="147"/>
      <c r="AG849" s="147"/>
    </row>
    <row r="850">
      <c r="A850" s="147"/>
      <c r="B850" s="147"/>
      <c r="C850" s="147"/>
      <c r="D850" s="147"/>
      <c r="E850" s="147"/>
      <c r="F850" s="205"/>
      <c r="G850" s="147"/>
      <c r="H850" s="147"/>
      <c r="I850" s="147"/>
      <c r="J850" s="147"/>
      <c r="K850" s="147"/>
      <c r="L850" s="147"/>
      <c r="M850" s="147"/>
      <c r="N850" s="147"/>
      <c r="O850" s="147"/>
      <c r="P850" s="147"/>
      <c r="Q850" s="147"/>
      <c r="R850" s="147"/>
      <c r="S850" s="147"/>
      <c r="T850" s="147"/>
      <c r="U850" s="147"/>
      <c r="V850" s="147"/>
      <c r="W850" s="147"/>
      <c r="X850" s="147"/>
      <c r="Y850" s="147"/>
      <c r="Z850" s="147"/>
      <c r="AA850" s="147"/>
      <c r="AB850" s="147"/>
      <c r="AC850" s="147"/>
      <c r="AD850" s="147"/>
      <c r="AE850" s="147"/>
      <c r="AF850" s="147"/>
      <c r="AG850" s="147"/>
    </row>
    <row r="851">
      <c r="A851" s="147"/>
      <c r="B851" s="147"/>
      <c r="C851" s="147"/>
      <c r="D851" s="147"/>
      <c r="E851" s="147"/>
      <c r="F851" s="205"/>
      <c r="G851" s="147"/>
      <c r="H851" s="147"/>
      <c r="I851" s="147"/>
      <c r="J851" s="147"/>
      <c r="K851" s="147"/>
      <c r="L851" s="147"/>
      <c r="M851" s="147"/>
      <c r="N851" s="147"/>
      <c r="O851" s="147"/>
      <c r="P851" s="147"/>
      <c r="Q851" s="147"/>
      <c r="R851" s="147"/>
      <c r="S851" s="147"/>
      <c r="T851" s="147"/>
      <c r="U851" s="147"/>
      <c r="V851" s="147"/>
      <c r="W851" s="147"/>
      <c r="X851" s="147"/>
      <c r="Y851" s="147"/>
      <c r="Z851" s="147"/>
      <c r="AA851" s="147"/>
      <c r="AB851" s="147"/>
      <c r="AC851" s="147"/>
      <c r="AD851" s="147"/>
      <c r="AE851" s="147"/>
      <c r="AF851" s="147"/>
      <c r="AG851" s="147"/>
    </row>
    <row r="852">
      <c r="A852" s="147"/>
      <c r="B852" s="147"/>
      <c r="C852" s="147"/>
      <c r="D852" s="147"/>
      <c r="E852" s="147"/>
      <c r="F852" s="205"/>
      <c r="G852" s="147"/>
      <c r="H852" s="147"/>
      <c r="I852" s="147"/>
      <c r="J852" s="147"/>
      <c r="K852" s="147"/>
      <c r="L852" s="147"/>
      <c r="M852" s="147"/>
      <c r="N852" s="147"/>
      <c r="O852" s="147"/>
      <c r="P852" s="147"/>
      <c r="Q852" s="147"/>
      <c r="R852" s="147"/>
      <c r="S852" s="147"/>
      <c r="T852" s="147"/>
      <c r="U852" s="147"/>
      <c r="V852" s="147"/>
      <c r="W852" s="147"/>
      <c r="X852" s="147"/>
      <c r="Y852" s="147"/>
      <c r="Z852" s="147"/>
      <c r="AA852" s="147"/>
      <c r="AB852" s="147"/>
      <c r="AC852" s="147"/>
      <c r="AD852" s="147"/>
      <c r="AE852" s="147"/>
      <c r="AF852" s="147"/>
      <c r="AG852" s="147"/>
    </row>
    <row r="853">
      <c r="A853" s="147"/>
      <c r="B853" s="147"/>
      <c r="C853" s="147"/>
      <c r="D853" s="147"/>
      <c r="E853" s="147"/>
      <c r="F853" s="205"/>
      <c r="G853" s="147"/>
      <c r="H853" s="147"/>
      <c r="I853" s="147"/>
      <c r="J853" s="147"/>
      <c r="K853" s="147"/>
      <c r="L853" s="147"/>
      <c r="M853" s="147"/>
      <c r="N853" s="147"/>
      <c r="O853" s="147"/>
      <c r="P853" s="147"/>
      <c r="Q853" s="147"/>
      <c r="R853" s="147"/>
      <c r="S853" s="147"/>
      <c r="T853" s="147"/>
      <c r="U853" s="147"/>
      <c r="V853" s="147"/>
      <c r="W853" s="147"/>
      <c r="X853" s="147"/>
      <c r="Y853" s="147"/>
      <c r="Z853" s="147"/>
      <c r="AA853" s="147"/>
      <c r="AB853" s="147"/>
      <c r="AC853" s="147"/>
      <c r="AD853" s="147"/>
      <c r="AE853" s="147"/>
      <c r="AF853" s="147"/>
      <c r="AG853" s="147"/>
    </row>
    <row r="854">
      <c r="A854" s="147"/>
      <c r="B854" s="147"/>
      <c r="C854" s="147"/>
      <c r="D854" s="147"/>
      <c r="E854" s="147"/>
      <c r="F854" s="205"/>
      <c r="G854" s="147"/>
      <c r="H854" s="147"/>
      <c r="I854" s="147"/>
      <c r="J854" s="147"/>
      <c r="K854" s="147"/>
      <c r="L854" s="147"/>
      <c r="M854" s="147"/>
      <c r="N854" s="147"/>
      <c r="O854" s="147"/>
      <c r="P854" s="147"/>
      <c r="Q854" s="147"/>
      <c r="R854" s="147"/>
      <c r="S854" s="147"/>
      <c r="T854" s="147"/>
      <c r="U854" s="147"/>
      <c r="V854" s="147"/>
      <c r="W854" s="147"/>
      <c r="X854" s="147"/>
      <c r="Y854" s="147"/>
      <c r="Z854" s="147"/>
      <c r="AA854" s="147"/>
      <c r="AB854" s="147"/>
      <c r="AC854" s="147"/>
      <c r="AD854" s="147"/>
      <c r="AE854" s="147"/>
      <c r="AF854" s="147"/>
      <c r="AG854" s="147"/>
    </row>
    <row r="855">
      <c r="A855" s="147"/>
      <c r="B855" s="147"/>
      <c r="C855" s="147"/>
      <c r="D855" s="147"/>
      <c r="E855" s="147"/>
      <c r="F855" s="205"/>
      <c r="G855" s="147"/>
      <c r="H855" s="147"/>
      <c r="I855" s="147"/>
      <c r="J855" s="147"/>
      <c r="K855" s="147"/>
      <c r="L855" s="147"/>
      <c r="M855" s="147"/>
      <c r="N855" s="147"/>
      <c r="O855" s="147"/>
      <c r="P855" s="147"/>
      <c r="Q855" s="147"/>
      <c r="R855" s="147"/>
      <c r="S855" s="147"/>
      <c r="T855" s="147"/>
      <c r="U855" s="147"/>
      <c r="V855" s="147"/>
      <c r="W855" s="147"/>
      <c r="X855" s="147"/>
      <c r="Y855" s="147"/>
      <c r="Z855" s="147"/>
      <c r="AA855" s="147"/>
      <c r="AB855" s="147"/>
      <c r="AC855" s="147"/>
      <c r="AD855" s="147"/>
      <c r="AE855" s="147"/>
      <c r="AF855" s="147"/>
      <c r="AG855" s="147"/>
    </row>
    <row r="856">
      <c r="A856" s="147"/>
      <c r="B856" s="147"/>
      <c r="C856" s="147"/>
      <c r="D856" s="147"/>
      <c r="E856" s="147"/>
      <c r="F856" s="205"/>
      <c r="G856" s="147"/>
      <c r="H856" s="147"/>
      <c r="I856" s="147"/>
      <c r="J856" s="147"/>
      <c r="K856" s="147"/>
      <c r="L856" s="147"/>
      <c r="M856" s="147"/>
      <c r="N856" s="147"/>
      <c r="O856" s="147"/>
      <c r="P856" s="147"/>
      <c r="Q856" s="147"/>
      <c r="R856" s="147"/>
      <c r="S856" s="147"/>
      <c r="T856" s="147"/>
      <c r="U856" s="147"/>
      <c r="V856" s="147"/>
      <c r="W856" s="147"/>
      <c r="X856" s="147"/>
      <c r="Y856" s="147"/>
      <c r="Z856" s="147"/>
      <c r="AA856" s="147"/>
      <c r="AB856" s="147"/>
      <c r="AC856" s="147"/>
      <c r="AD856" s="147"/>
      <c r="AE856" s="147"/>
      <c r="AF856" s="147"/>
      <c r="AG856" s="147"/>
    </row>
    <row r="857">
      <c r="A857" s="147"/>
      <c r="B857" s="147"/>
      <c r="C857" s="147"/>
      <c r="D857" s="147"/>
      <c r="E857" s="147"/>
      <c r="F857" s="205"/>
      <c r="G857" s="147"/>
      <c r="H857" s="147"/>
      <c r="I857" s="147"/>
      <c r="J857" s="147"/>
      <c r="K857" s="147"/>
      <c r="L857" s="147"/>
      <c r="M857" s="147"/>
      <c r="N857" s="147"/>
      <c r="O857" s="147"/>
      <c r="P857" s="147"/>
      <c r="Q857" s="147"/>
      <c r="R857" s="147"/>
      <c r="S857" s="147"/>
      <c r="T857" s="147"/>
      <c r="U857" s="147"/>
      <c r="V857" s="147"/>
      <c r="W857" s="147"/>
      <c r="X857" s="147"/>
      <c r="Y857" s="147"/>
      <c r="Z857" s="147"/>
      <c r="AA857" s="147"/>
      <c r="AB857" s="147"/>
      <c r="AC857" s="147"/>
      <c r="AD857" s="147"/>
      <c r="AE857" s="147"/>
      <c r="AF857" s="147"/>
      <c r="AG857" s="147"/>
    </row>
    <row r="858">
      <c r="A858" s="147"/>
      <c r="B858" s="147"/>
      <c r="C858" s="147"/>
      <c r="D858" s="147"/>
      <c r="E858" s="147"/>
      <c r="F858" s="205"/>
      <c r="G858" s="147"/>
      <c r="H858" s="147"/>
      <c r="I858" s="147"/>
      <c r="J858" s="147"/>
      <c r="K858" s="147"/>
      <c r="L858" s="147"/>
      <c r="M858" s="147"/>
      <c r="N858" s="147"/>
      <c r="O858" s="147"/>
      <c r="P858" s="147"/>
      <c r="Q858" s="147"/>
      <c r="R858" s="147"/>
      <c r="S858" s="147"/>
      <c r="T858" s="147"/>
      <c r="U858" s="147"/>
      <c r="V858" s="147"/>
      <c r="W858" s="147"/>
      <c r="X858" s="147"/>
      <c r="Y858" s="147"/>
      <c r="Z858" s="147"/>
      <c r="AA858" s="147"/>
      <c r="AB858" s="147"/>
      <c r="AC858" s="147"/>
      <c r="AD858" s="147"/>
      <c r="AE858" s="147"/>
      <c r="AF858" s="147"/>
      <c r="AG858" s="147"/>
    </row>
    <row r="859">
      <c r="A859" s="147"/>
      <c r="B859" s="147"/>
      <c r="C859" s="147"/>
      <c r="D859" s="147"/>
      <c r="E859" s="147"/>
      <c r="F859" s="205"/>
      <c r="G859" s="147"/>
      <c r="H859" s="147"/>
      <c r="I859" s="147"/>
      <c r="J859" s="147"/>
      <c r="K859" s="147"/>
      <c r="L859" s="147"/>
      <c r="M859" s="147"/>
      <c r="N859" s="147"/>
      <c r="O859" s="147"/>
      <c r="P859" s="147"/>
      <c r="Q859" s="147"/>
      <c r="R859" s="147"/>
      <c r="S859" s="147"/>
      <c r="T859" s="147"/>
      <c r="U859" s="147"/>
      <c r="V859" s="147"/>
      <c r="W859" s="147"/>
      <c r="X859" s="147"/>
      <c r="Y859" s="147"/>
      <c r="Z859" s="147"/>
      <c r="AA859" s="147"/>
      <c r="AB859" s="147"/>
      <c r="AC859" s="147"/>
      <c r="AD859" s="147"/>
      <c r="AE859" s="147"/>
      <c r="AF859" s="147"/>
      <c r="AG859" s="147"/>
    </row>
    <row r="860">
      <c r="A860" s="147"/>
      <c r="B860" s="147"/>
      <c r="C860" s="147"/>
      <c r="D860" s="147"/>
      <c r="E860" s="147"/>
      <c r="F860" s="205"/>
      <c r="G860" s="147"/>
      <c r="H860" s="147"/>
      <c r="I860" s="147"/>
      <c r="J860" s="147"/>
      <c r="K860" s="147"/>
      <c r="L860" s="147"/>
      <c r="M860" s="147"/>
      <c r="N860" s="147"/>
      <c r="O860" s="147"/>
      <c r="P860" s="147"/>
      <c r="Q860" s="147"/>
      <c r="R860" s="147"/>
      <c r="S860" s="147"/>
      <c r="T860" s="147"/>
      <c r="U860" s="147"/>
      <c r="V860" s="147"/>
      <c r="W860" s="147"/>
      <c r="X860" s="147"/>
      <c r="Y860" s="147"/>
      <c r="Z860" s="147"/>
      <c r="AA860" s="147"/>
      <c r="AB860" s="147"/>
      <c r="AC860" s="147"/>
      <c r="AD860" s="147"/>
      <c r="AE860" s="147"/>
      <c r="AF860" s="147"/>
      <c r="AG860" s="147"/>
    </row>
    <row r="861">
      <c r="A861" s="147"/>
      <c r="B861" s="147"/>
      <c r="C861" s="147"/>
      <c r="D861" s="147"/>
      <c r="E861" s="147"/>
      <c r="F861" s="205"/>
      <c r="G861" s="147"/>
      <c r="H861" s="147"/>
      <c r="I861" s="147"/>
      <c r="J861" s="147"/>
      <c r="K861" s="147"/>
      <c r="L861" s="147"/>
      <c r="M861" s="147"/>
      <c r="N861" s="147"/>
      <c r="O861" s="147"/>
      <c r="P861" s="147"/>
      <c r="Q861" s="147"/>
      <c r="R861" s="147"/>
      <c r="S861" s="147"/>
      <c r="T861" s="147"/>
      <c r="U861" s="147"/>
      <c r="V861" s="147"/>
      <c r="W861" s="147"/>
      <c r="X861" s="147"/>
      <c r="Y861" s="147"/>
      <c r="Z861" s="147"/>
      <c r="AA861" s="147"/>
      <c r="AB861" s="147"/>
      <c r="AC861" s="147"/>
      <c r="AD861" s="147"/>
      <c r="AE861" s="147"/>
      <c r="AF861" s="147"/>
      <c r="AG861" s="147"/>
    </row>
    <row r="862">
      <c r="A862" s="147"/>
      <c r="B862" s="147"/>
      <c r="C862" s="147"/>
      <c r="D862" s="147"/>
      <c r="E862" s="147"/>
      <c r="F862" s="205"/>
      <c r="G862" s="147"/>
      <c r="H862" s="147"/>
      <c r="I862" s="147"/>
      <c r="J862" s="147"/>
      <c r="K862" s="147"/>
      <c r="L862" s="147"/>
      <c r="M862" s="147"/>
      <c r="N862" s="147"/>
      <c r="O862" s="147"/>
      <c r="P862" s="147"/>
      <c r="Q862" s="147"/>
      <c r="R862" s="147"/>
      <c r="S862" s="147"/>
      <c r="T862" s="147"/>
      <c r="U862" s="147"/>
      <c r="V862" s="147"/>
      <c r="W862" s="147"/>
      <c r="X862" s="147"/>
      <c r="Y862" s="147"/>
      <c r="Z862" s="147"/>
      <c r="AA862" s="147"/>
      <c r="AB862" s="147"/>
      <c r="AC862" s="147"/>
      <c r="AD862" s="147"/>
      <c r="AE862" s="147"/>
      <c r="AF862" s="147"/>
      <c r="AG862" s="147"/>
    </row>
    <row r="863">
      <c r="A863" s="147"/>
      <c r="B863" s="147"/>
      <c r="C863" s="147"/>
      <c r="D863" s="147"/>
      <c r="E863" s="147"/>
      <c r="F863" s="205"/>
      <c r="G863" s="147"/>
      <c r="H863" s="147"/>
      <c r="I863" s="147"/>
      <c r="J863" s="147"/>
      <c r="K863" s="147"/>
      <c r="L863" s="147"/>
      <c r="M863" s="147"/>
      <c r="N863" s="147"/>
      <c r="O863" s="147"/>
      <c r="P863" s="147"/>
      <c r="Q863" s="147"/>
      <c r="R863" s="147"/>
      <c r="S863" s="147"/>
      <c r="T863" s="147"/>
      <c r="U863" s="147"/>
      <c r="V863" s="147"/>
      <c r="W863" s="147"/>
      <c r="X863" s="147"/>
      <c r="Y863" s="147"/>
      <c r="Z863" s="147"/>
      <c r="AA863" s="147"/>
      <c r="AB863" s="147"/>
      <c r="AC863" s="147"/>
      <c r="AD863" s="147"/>
      <c r="AE863" s="147"/>
      <c r="AF863" s="147"/>
      <c r="AG863" s="147"/>
    </row>
    <row r="864">
      <c r="A864" s="147"/>
      <c r="B864" s="147"/>
      <c r="C864" s="147"/>
      <c r="D864" s="147"/>
      <c r="E864" s="147"/>
      <c r="F864" s="205"/>
      <c r="G864" s="147"/>
      <c r="H864" s="147"/>
      <c r="I864" s="147"/>
      <c r="J864" s="147"/>
      <c r="K864" s="147"/>
      <c r="L864" s="147"/>
      <c r="M864" s="147"/>
      <c r="N864" s="147"/>
      <c r="O864" s="147"/>
      <c r="P864" s="147"/>
      <c r="Q864" s="147"/>
      <c r="R864" s="147"/>
      <c r="S864" s="147"/>
      <c r="T864" s="147"/>
      <c r="U864" s="147"/>
      <c r="V864" s="147"/>
      <c r="W864" s="147"/>
      <c r="X864" s="147"/>
      <c r="Y864" s="147"/>
      <c r="Z864" s="147"/>
      <c r="AA864" s="147"/>
      <c r="AB864" s="147"/>
      <c r="AC864" s="147"/>
      <c r="AD864" s="147"/>
      <c r="AE864" s="147"/>
      <c r="AF864" s="147"/>
      <c r="AG864" s="147"/>
    </row>
    <row r="865">
      <c r="A865" s="147"/>
      <c r="B865" s="147"/>
      <c r="C865" s="147"/>
      <c r="D865" s="147"/>
      <c r="E865" s="147"/>
      <c r="F865" s="205"/>
      <c r="G865" s="147"/>
      <c r="H865" s="147"/>
      <c r="I865" s="147"/>
      <c r="J865" s="147"/>
      <c r="K865" s="147"/>
      <c r="L865" s="147"/>
      <c r="M865" s="147"/>
      <c r="N865" s="147"/>
      <c r="O865" s="147"/>
      <c r="P865" s="147"/>
      <c r="Q865" s="147"/>
      <c r="R865" s="147"/>
      <c r="S865" s="147"/>
      <c r="T865" s="147"/>
      <c r="U865" s="147"/>
      <c r="V865" s="147"/>
      <c r="W865" s="147"/>
      <c r="X865" s="147"/>
      <c r="Y865" s="147"/>
      <c r="Z865" s="147"/>
      <c r="AA865" s="147"/>
      <c r="AB865" s="147"/>
      <c r="AC865" s="147"/>
      <c r="AD865" s="147"/>
      <c r="AE865" s="147"/>
      <c r="AF865" s="147"/>
      <c r="AG865" s="147"/>
    </row>
    <row r="866">
      <c r="A866" s="147"/>
      <c r="B866" s="147"/>
      <c r="C866" s="147"/>
      <c r="D866" s="147"/>
      <c r="E866" s="147"/>
      <c r="F866" s="205"/>
      <c r="G866" s="147"/>
      <c r="H866" s="147"/>
      <c r="I866" s="147"/>
      <c r="J866" s="147"/>
      <c r="K866" s="147"/>
      <c r="L866" s="147"/>
      <c r="M866" s="147"/>
      <c r="N866" s="147"/>
      <c r="O866" s="147"/>
      <c r="P866" s="147"/>
      <c r="Q866" s="147"/>
      <c r="R866" s="147"/>
      <c r="S866" s="147"/>
      <c r="T866" s="147"/>
      <c r="U866" s="147"/>
      <c r="V866" s="147"/>
      <c r="W866" s="147"/>
      <c r="X866" s="147"/>
      <c r="Y866" s="147"/>
      <c r="Z866" s="147"/>
      <c r="AA866" s="147"/>
      <c r="AB866" s="147"/>
      <c r="AC866" s="147"/>
      <c r="AD866" s="147"/>
      <c r="AE866" s="147"/>
      <c r="AF866" s="147"/>
      <c r="AG866" s="147"/>
    </row>
    <row r="867">
      <c r="A867" s="147"/>
      <c r="B867" s="147"/>
      <c r="C867" s="147"/>
      <c r="D867" s="147"/>
      <c r="E867" s="147"/>
      <c r="F867" s="205"/>
      <c r="G867" s="147"/>
      <c r="H867" s="147"/>
      <c r="I867" s="147"/>
      <c r="J867" s="147"/>
      <c r="K867" s="147"/>
      <c r="L867" s="147"/>
      <c r="M867" s="147"/>
      <c r="N867" s="147"/>
      <c r="O867" s="147"/>
      <c r="P867" s="147"/>
      <c r="Q867" s="147"/>
      <c r="R867" s="147"/>
      <c r="S867" s="147"/>
      <c r="T867" s="147"/>
      <c r="U867" s="147"/>
      <c r="V867" s="147"/>
      <c r="W867" s="147"/>
      <c r="X867" s="147"/>
      <c r="Y867" s="147"/>
      <c r="Z867" s="147"/>
      <c r="AA867" s="147"/>
      <c r="AB867" s="147"/>
      <c r="AC867" s="147"/>
      <c r="AD867" s="147"/>
      <c r="AE867" s="147"/>
      <c r="AF867" s="147"/>
      <c r="AG867" s="147"/>
    </row>
    <row r="868">
      <c r="A868" s="147"/>
      <c r="B868" s="147"/>
      <c r="C868" s="147"/>
      <c r="D868" s="147"/>
      <c r="E868" s="147"/>
      <c r="F868" s="205"/>
      <c r="G868" s="147"/>
      <c r="H868" s="147"/>
      <c r="I868" s="147"/>
      <c r="J868" s="147"/>
      <c r="K868" s="147"/>
      <c r="L868" s="147"/>
      <c r="M868" s="147"/>
      <c r="N868" s="147"/>
      <c r="O868" s="147"/>
      <c r="P868" s="147"/>
      <c r="Q868" s="147"/>
      <c r="R868" s="147"/>
      <c r="S868" s="147"/>
      <c r="T868" s="147"/>
      <c r="U868" s="147"/>
      <c r="V868" s="147"/>
      <c r="W868" s="147"/>
      <c r="X868" s="147"/>
      <c r="Y868" s="147"/>
      <c r="Z868" s="147"/>
      <c r="AA868" s="147"/>
      <c r="AB868" s="147"/>
      <c r="AC868" s="147"/>
      <c r="AD868" s="147"/>
      <c r="AE868" s="147"/>
      <c r="AF868" s="147"/>
      <c r="AG868" s="147"/>
    </row>
    <row r="869">
      <c r="A869" s="147"/>
      <c r="B869" s="147"/>
      <c r="C869" s="147"/>
      <c r="D869" s="147"/>
      <c r="E869" s="147"/>
      <c r="F869" s="205"/>
      <c r="G869" s="147"/>
      <c r="H869" s="147"/>
      <c r="I869" s="147"/>
      <c r="J869" s="147"/>
      <c r="K869" s="147"/>
      <c r="L869" s="147"/>
      <c r="M869" s="147"/>
      <c r="N869" s="147"/>
      <c r="O869" s="147"/>
      <c r="P869" s="147"/>
      <c r="Q869" s="147"/>
      <c r="R869" s="147"/>
      <c r="S869" s="147"/>
      <c r="T869" s="147"/>
      <c r="U869" s="147"/>
      <c r="V869" s="147"/>
      <c r="W869" s="147"/>
      <c r="X869" s="147"/>
      <c r="Y869" s="147"/>
      <c r="Z869" s="147"/>
      <c r="AA869" s="147"/>
      <c r="AB869" s="147"/>
      <c r="AC869" s="147"/>
      <c r="AD869" s="147"/>
      <c r="AE869" s="147"/>
      <c r="AF869" s="147"/>
      <c r="AG869" s="147"/>
    </row>
    <row r="870">
      <c r="A870" s="147"/>
      <c r="B870" s="147"/>
      <c r="C870" s="147"/>
      <c r="D870" s="147"/>
      <c r="E870" s="147"/>
      <c r="F870" s="205"/>
      <c r="G870" s="147"/>
      <c r="H870" s="147"/>
      <c r="I870" s="147"/>
      <c r="J870" s="147"/>
      <c r="K870" s="147"/>
      <c r="L870" s="147"/>
      <c r="M870" s="147"/>
      <c r="N870" s="147"/>
      <c r="O870" s="147"/>
      <c r="P870" s="147"/>
      <c r="Q870" s="147"/>
      <c r="R870" s="147"/>
      <c r="S870" s="147"/>
      <c r="T870" s="147"/>
      <c r="U870" s="147"/>
      <c r="V870" s="147"/>
      <c r="W870" s="147"/>
      <c r="X870" s="147"/>
      <c r="Y870" s="147"/>
      <c r="Z870" s="147"/>
      <c r="AA870" s="147"/>
      <c r="AB870" s="147"/>
      <c r="AC870" s="147"/>
      <c r="AD870" s="147"/>
      <c r="AE870" s="147"/>
      <c r="AF870" s="147"/>
      <c r="AG870" s="147"/>
    </row>
    <row r="871">
      <c r="A871" s="147"/>
      <c r="B871" s="147"/>
      <c r="C871" s="147"/>
      <c r="D871" s="147"/>
      <c r="E871" s="147"/>
      <c r="F871" s="205"/>
      <c r="G871" s="147"/>
      <c r="H871" s="147"/>
      <c r="I871" s="147"/>
      <c r="J871" s="147"/>
      <c r="K871" s="147"/>
      <c r="L871" s="147"/>
      <c r="M871" s="147"/>
      <c r="N871" s="147"/>
      <c r="O871" s="147"/>
      <c r="P871" s="147"/>
      <c r="Q871" s="147"/>
      <c r="R871" s="147"/>
      <c r="S871" s="147"/>
      <c r="T871" s="147"/>
      <c r="U871" s="147"/>
      <c r="V871" s="147"/>
      <c r="W871" s="147"/>
      <c r="X871" s="147"/>
      <c r="Y871" s="147"/>
      <c r="Z871" s="147"/>
      <c r="AA871" s="147"/>
      <c r="AB871" s="147"/>
      <c r="AC871" s="147"/>
      <c r="AD871" s="147"/>
      <c r="AE871" s="147"/>
      <c r="AF871" s="147"/>
      <c r="AG871" s="147"/>
    </row>
    <row r="872">
      <c r="A872" s="147"/>
      <c r="B872" s="147"/>
      <c r="C872" s="147"/>
      <c r="D872" s="147"/>
      <c r="E872" s="147"/>
      <c r="F872" s="205"/>
      <c r="G872" s="147"/>
      <c r="H872" s="147"/>
      <c r="I872" s="147"/>
      <c r="J872" s="147"/>
      <c r="K872" s="147"/>
      <c r="L872" s="147"/>
      <c r="M872" s="147"/>
      <c r="N872" s="147"/>
      <c r="O872" s="147"/>
      <c r="P872" s="147"/>
      <c r="Q872" s="147"/>
      <c r="R872" s="147"/>
      <c r="S872" s="147"/>
      <c r="T872" s="147"/>
      <c r="U872" s="147"/>
      <c r="V872" s="147"/>
      <c r="W872" s="147"/>
      <c r="X872" s="147"/>
      <c r="Y872" s="147"/>
      <c r="Z872" s="147"/>
      <c r="AA872" s="147"/>
      <c r="AB872" s="147"/>
      <c r="AC872" s="147"/>
      <c r="AD872" s="147"/>
      <c r="AE872" s="147"/>
      <c r="AF872" s="147"/>
      <c r="AG872" s="147"/>
    </row>
    <row r="873">
      <c r="A873" s="147"/>
      <c r="B873" s="147"/>
      <c r="C873" s="147"/>
      <c r="D873" s="147"/>
      <c r="E873" s="147"/>
      <c r="F873" s="205"/>
      <c r="G873" s="147"/>
      <c r="H873" s="147"/>
      <c r="I873" s="147"/>
      <c r="J873" s="147"/>
      <c r="K873" s="147"/>
      <c r="L873" s="147"/>
      <c r="M873" s="147"/>
      <c r="N873" s="147"/>
      <c r="O873" s="147"/>
      <c r="P873" s="147"/>
      <c r="Q873" s="147"/>
      <c r="R873" s="147"/>
      <c r="S873" s="147"/>
      <c r="T873" s="147"/>
      <c r="U873" s="147"/>
      <c r="V873" s="147"/>
      <c r="W873" s="147"/>
      <c r="X873" s="147"/>
      <c r="Y873" s="147"/>
      <c r="Z873" s="147"/>
      <c r="AA873" s="147"/>
      <c r="AB873" s="147"/>
      <c r="AC873" s="147"/>
      <c r="AD873" s="147"/>
      <c r="AE873" s="147"/>
      <c r="AF873" s="147"/>
      <c r="AG873" s="147"/>
    </row>
    <row r="874">
      <c r="A874" s="147"/>
      <c r="B874" s="147"/>
      <c r="C874" s="147"/>
      <c r="D874" s="147"/>
      <c r="E874" s="147"/>
      <c r="F874" s="205"/>
      <c r="G874" s="147"/>
      <c r="H874" s="147"/>
      <c r="I874" s="147"/>
      <c r="J874" s="147"/>
      <c r="K874" s="147"/>
      <c r="L874" s="147"/>
      <c r="M874" s="147"/>
      <c r="N874" s="147"/>
      <c r="O874" s="147"/>
      <c r="P874" s="147"/>
      <c r="Q874" s="147"/>
      <c r="R874" s="147"/>
      <c r="S874" s="147"/>
      <c r="T874" s="147"/>
      <c r="U874" s="147"/>
      <c r="V874" s="147"/>
      <c r="W874" s="147"/>
      <c r="X874" s="147"/>
      <c r="Y874" s="147"/>
      <c r="Z874" s="147"/>
      <c r="AA874" s="147"/>
      <c r="AB874" s="147"/>
      <c r="AC874" s="147"/>
      <c r="AD874" s="147"/>
      <c r="AE874" s="147"/>
      <c r="AF874" s="147"/>
      <c r="AG874" s="147"/>
    </row>
    <row r="875">
      <c r="A875" s="147"/>
      <c r="B875" s="147"/>
      <c r="C875" s="147"/>
      <c r="D875" s="147"/>
      <c r="E875" s="147"/>
      <c r="F875" s="205"/>
      <c r="G875" s="147"/>
      <c r="H875" s="147"/>
      <c r="I875" s="147"/>
      <c r="J875" s="147"/>
      <c r="K875" s="147"/>
      <c r="L875" s="147"/>
      <c r="M875" s="147"/>
      <c r="N875" s="147"/>
      <c r="O875" s="147"/>
      <c r="P875" s="147"/>
      <c r="Q875" s="147"/>
      <c r="R875" s="147"/>
      <c r="S875" s="147"/>
      <c r="T875" s="147"/>
      <c r="U875" s="147"/>
      <c r="V875" s="147"/>
      <c r="W875" s="147"/>
      <c r="X875" s="147"/>
      <c r="Y875" s="147"/>
      <c r="Z875" s="147"/>
      <c r="AA875" s="147"/>
      <c r="AB875" s="147"/>
      <c r="AC875" s="147"/>
      <c r="AD875" s="147"/>
      <c r="AE875" s="147"/>
      <c r="AF875" s="147"/>
      <c r="AG875" s="147"/>
    </row>
    <row r="876">
      <c r="A876" s="147"/>
      <c r="B876" s="147"/>
      <c r="C876" s="147"/>
      <c r="D876" s="147"/>
      <c r="E876" s="147"/>
      <c r="F876" s="205"/>
      <c r="G876" s="147"/>
      <c r="H876" s="147"/>
      <c r="I876" s="147"/>
      <c r="J876" s="147"/>
      <c r="K876" s="147"/>
      <c r="L876" s="147"/>
      <c r="M876" s="147"/>
      <c r="N876" s="147"/>
      <c r="O876" s="147"/>
      <c r="P876" s="147"/>
      <c r="Q876" s="147"/>
      <c r="R876" s="147"/>
      <c r="S876" s="147"/>
      <c r="T876" s="147"/>
      <c r="U876" s="147"/>
      <c r="V876" s="147"/>
      <c r="W876" s="147"/>
      <c r="X876" s="147"/>
      <c r="Y876" s="147"/>
      <c r="Z876" s="147"/>
      <c r="AA876" s="147"/>
      <c r="AB876" s="147"/>
      <c r="AC876" s="147"/>
      <c r="AD876" s="147"/>
      <c r="AE876" s="147"/>
      <c r="AF876" s="147"/>
      <c r="AG876" s="147"/>
    </row>
    <row r="877">
      <c r="A877" s="147"/>
      <c r="B877" s="147"/>
      <c r="C877" s="147"/>
      <c r="D877" s="147"/>
      <c r="E877" s="147"/>
      <c r="F877" s="205"/>
      <c r="G877" s="147"/>
      <c r="H877" s="147"/>
      <c r="I877" s="147"/>
      <c r="J877" s="147"/>
      <c r="K877" s="147"/>
      <c r="L877" s="147"/>
      <c r="M877" s="147"/>
      <c r="N877" s="147"/>
      <c r="O877" s="147"/>
      <c r="P877" s="147"/>
      <c r="Q877" s="147"/>
      <c r="R877" s="147"/>
      <c r="S877" s="147"/>
      <c r="T877" s="147"/>
      <c r="U877" s="147"/>
      <c r="V877" s="147"/>
      <c r="W877" s="147"/>
      <c r="X877" s="147"/>
      <c r="Y877" s="147"/>
      <c r="Z877" s="147"/>
      <c r="AA877" s="147"/>
      <c r="AB877" s="147"/>
      <c r="AC877" s="147"/>
      <c r="AD877" s="147"/>
      <c r="AE877" s="147"/>
      <c r="AF877" s="147"/>
      <c r="AG877" s="147"/>
    </row>
    <row r="878">
      <c r="A878" s="147"/>
      <c r="B878" s="147"/>
      <c r="C878" s="147"/>
      <c r="D878" s="147"/>
      <c r="E878" s="147"/>
      <c r="F878" s="205"/>
      <c r="G878" s="147"/>
      <c r="H878" s="147"/>
      <c r="I878" s="147"/>
      <c r="J878" s="147"/>
      <c r="K878" s="147"/>
      <c r="L878" s="147"/>
      <c r="M878" s="147"/>
      <c r="N878" s="147"/>
      <c r="O878" s="147"/>
      <c r="P878" s="147"/>
      <c r="Q878" s="147"/>
      <c r="R878" s="147"/>
      <c r="S878" s="147"/>
      <c r="T878" s="147"/>
      <c r="U878" s="147"/>
      <c r="V878" s="147"/>
      <c r="W878" s="147"/>
      <c r="X878" s="147"/>
      <c r="Y878" s="147"/>
      <c r="Z878" s="147"/>
      <c r="AA878" s="147"/>
      <c r="AB878" s="147"/>
      <c r="AC878" s="147"/>
      <c r="AD878" s="147"/>
      <c r="AE878" s="147"/>
      <c r="AF878" s="147"/>
      <c r="AG878" s="147"/>
    </row>
    <row r="879">
      <c r="A879" s="147"/>
      <c r="B879" s="147"/>
      <c r="C879" s="147"/>
      <c r="D879" s="147"/>
      <c r="E879" s="147"/>
      <c r="F879" s="205"/>
      <c r="G879" s="147"/>
      <c r="H879" s="147"/>
      <c r="I879" s="147"/>
      <c r="J879" s="147"/>
      <c r="K879" s="147"/>
      <c r="L879" s="147"/>
      <c r="M879" s="147"/>
      <c r="N879" s="147"/>
      <c r="O879" s="147"/>
      <c r="P879" s="147"/>
      <c r="Q879" s="147"/>
      <c r="R879" s="147"/>
      <c r="S879" s="147"/>
      <c r="T879" s="147"/>
      <c r="U879" s="147"/>
      <c r="V879" s="147"/>
      <c r="W879" s="147"/>
      <c r="X879" s="147"/>
      <c r="Y879" s="147"/>
      <c r="Z879" s="147"/>
      <c r="AA879" s="147"/>
      <c r="AB879" s="147"/>
      <c r="AC879" s="147"/>
      <c r="AD879" s="147"/>
      <c r="AE879" s="147"/>
      <c r="AF879" s="147"/>
      <c r="AG879" s="147"/>
    </row>
    <row r="880">
      <c r="A880" s="147"/>
      <c r="B880" s="147"/>
      <c r="C880" s="147"/>
      <c r="D880" s="147"/>
      <c r="E880" s="147"/>
      <c r="F880" s="205"/>
      <c r="G880" s="147"/>
      <c r="H880" s="147"/>
      <c r="I880" s="147"/>
      <c r="J880" s="147"/>
      <c r="K880" s="147"/>
      <c r="L880" s="147"/>
      <c r="M880" s="147"/>
      <c r="N880" s="147"/>
      <c r="O880" s="147"/>
      <c r="P880" s="147"/>
      <c r="Q880" s="147"/>
      <c r="R880" s="147"/>
      <c r="S880" s="147"/>
      <c r="T880" s="147"/>
      <c r="U880" s="147"/>
      <c r="V880" s="147"/>
      <c r="W880" s="147"/>
      <c r="X880" s="147"/>
      <c r="Y880" s="147"/>
      <c r="Z880" s="147"/>
      <c r="AA880" s="147"/>
      <c r="AB880" s="147"/>
      <c r="AC880" s="147"/>
      <c r="AD880" s="147"/>
      <c r="AE880" s="147"/>
      <c r="AF880" s="147"/>
      <c r="AG880" s="147"/>
    </row>
    <row r="881">
      <c r="A881" s="147"/>
      <c r="B881" s="147"/>
      <c r="C881" s="147"/>
      <c r="D881" s="147"/>
      <c r="E881" s="147"/>
      <c r="F881" s="205"/>
      <c r="G881" s="147"/>
      <c r="H881" s="147"/>
      <c r="I881" s="147"/>
      <c r="J881" s="147"/>
      <c r="K881" s="147"/>
      <c r="L881" s="147"/>
      <c r="M881" s="147"/>
      <c r="N881" s="147"/>
      <c r="O881" s="147"/>
      <c r="P881" s="147"/>
      <c r="Q881" s="147"/>
      <c r="R881" s="147"/>
      <c r="S881" s="147"/>
      <c r="T881" s="147"/>
      <c r="U881" s="147"/>
      <c r="V881" s="147"/>
      <c r="W881" s="147"/>
      <c r="X881" s="147"/>
      <c r="Y881" s="147"/>
      <c r="Z881" s="147"/>
      <c r="AA881" s="147"/>
      <c r="AB881" s="147"/>
      <c r="AC881" s="147"/>
      <c r="AD881" s="147"/>
      <c r="AE881" s="147"/>
      <c r="AF881" s="147"/>
      <c r="AG881" s="147"/>
    </row>
    <row r="882">
      <c r="A882" s="147"/>
      <c r="B882" s="147"/>
      <c r="C882" s="147"/>
      <c r="D882" s="147"/>
      <c r="E882" s="147"/>
      <c r="F882" s="205"/>
      <c r="G882" s="147"/>
      <c r="H882" s="147"/>
      <c r="I882" s="147"/>
      <c r="J882" s="147"/>
      <c r="K882" s="147"/>
      <c r="L882" s="147"/>
      <c r="M882" s="147"/>
      <c r="N882" s="147"/>
      <c r="O882" s="147"/>
      <c r="P882" s="147"/>
      <c r="Q882" s="147"/>
      <c r="R882" s="147"/>
      <c r="S882" s="147"/>
      <c r="T882" s="147"/>
      <c r="U882" s="147"/>
      <c r="V882" s="147"/>
      <c r="W882" s="147"/>
      <c r="X882" s="147"/>
      <c r="Y882" s="147"/>
      <c r="Z882" s="147"/>
      <c r="AA882" s="147"/>
      <c r="AB882" s="147"/>
      <c r="AC882" s="147"/>
      <c r="AD882" s="147"/>
      <c r="AE882" s="147"/>
      <c r="AF882" s="147"/>
      <c r="AG882" s="147"/>
    </row>
    <row r="883">
      <c r="A883" s="147"/>
      <c r="B883" s="147"/>
      <c r="C883" s="147"/>
      <c r="D883" s="147"/>
      <c r="E883" s="147"/>
      <c r="F883" s="205"/>
      <c r="G883" s="147"/>
      <c r="H883" s="147"/>
      <c r="I883" s="147"/>
      <c r="J883" s="147"/>
      <c r="K883" s="147"/>
      <c r="L883" s="147"/>
      <c r="M883" s="147"/>
      <c r="N883" s="147"/>
      <c r="O883" s="147"/>
      <c r="P883" s="147"/>
      <c r="Q883" s="147"/>
      <c r="R883" s="147"/>
      <c r="S883" s="147"/>
      <c r="T883" s="147"/>
      <c r="U883" s="147"/>
      <c r="V883" s="147"/>
      <c r="W883" s="147"/>
      <c r="X883" s="147"/>
      <c r="Y883" s="147"/>
      <c r="Z883" s="147"/>
      <c r="AA883" s="147"/>
      <c r="AB883" s="147"/>
      <c r="AC883" s="147"/>
      <c r="AD883" s="147"/>
      <c r="AE883" s="147"/>
      <c r="AF883" s="147"/>
      <c r="AG883" s="147"/>
    </row>
    <row r="884">
      <c r="A884" s="147"/>
      <c r="B884" s="147"/>
      <c r="C884" s="147"/>
      <c r="D884" s="147"/>
      <c r="E884" s="147"/>
      <c r="F884" s="205"/>
      <c r="G884" s="147"/>
      <c r="H884" s="147"/>
      <c r="I884" s="147"/>
      <c r="J884" s="147"/>
      <c r="K884" s="147"/>
      <c r="L884" s="147"/>
      <c r="M884" s="147"/>
      <c r="N884" s="147"/>
      <c r="O884" s="147"/>
      <c r="P884" s="147"/>
      <c r="Q884" s="147"/>
      <c r="R884" s="147"/>
      <c r="S884" s="147"/>
      <c r="T884" s="147"/>
      <c r="U884" s="147"/>
      <c r="V884" s="147"/>
      <c r="W884" s="147"/>
      <c r="X884" s="147"/>
      <c r="Y884" s="147"/>
      <c r="Z884" s="147"/>
      <c r="AA884" s="147"/>
      <c r="AB884" s="147"/>
      <c r="AC884" s="147"/>
      <c r="AD884" s="147"/>
      <c r="AE884" s="147"/>
      <c r="AF884" s="147"/>
      <c r="AG884" s="147"/>
    </row>
    <row r="885">
      <c r="A885" s="147"/>
      <c r="B885" s="147"/>
      <c r="C885" s="147"/>
      <c r="D885" s="147"/>
      <c r="E885" s="147"/>
      <c r="F885" s="205"/>
      <c r="G885" s="147"/>
      <c r="H885" s="147"/>
      <c r="I885" s="147"/>
      <c r="J885" s="147"/>
      <c r="K885" s="147"/>
      <c r="L885" s="147"/>
      <c r="M885" s="147"/>
      <c r="N885" s="147"/>
      <c r="O885" s="147"/>
      <c r="P885" s="147"/>
      <c r="Q885" s="147"/>
      <c r="R885" s="147"/>
      <c r="S885" s="147"/>
      <c r="T885" s="147"/>
      <c r="U885" s="147"/>
      <c r="V885" s="147"/>
      <c r="W885" s="147"/>
      <c r="X885" s="147"/>
      <c r="Y885" s="147"/>
      <c r="Z885" s="147"/>
      <c r="AA885" s="147"/>
      <c r="AB885" s="147"/>
      <c r="AC885" s="147"/>
      <c r="AD885" s="147"/>
      <c r="AE885" s="147"/>
      <c r="AF885" s="147"/>
      <c r="AG885" s="147"/>
    </row>
    <row r="886">
      <c r="A886" s="147"/>
      <c r="B886" s="147"/>
      <c r="C886" s="147"/>
      <c r="D886" s="147"/>
      <c r="E886" s="147"/>
      <c r="F886" s="205"/>
      <c r="G886" s="147"/>
      <c r="H886" s="147"/>
      <c r="I886" s="147"/>
      <c r="J886" s="147"/>
      <c r="K886" s="147"/>
      <c r="L886" s="147"/>
      <c r="M886" s="147"/>
      <c r="N886" s="147"/>
      <c r="O886" s="147"/>
      <c r="P886" s="147"/>
      <c r="Q886" s="147"/>
      <c r="R886" s="147"/>
      <c r="S886" s="147"/>
      <c r="T886" s="147"/>
      <c r="U886" s="147"/>
      <c r="V886" s="147"/>
      <c r="W886" s="147"/>
      <c r="X886" s="147"/>
      <c r="Y886" s="147"/>
      <c r="Z886" s="147"/>
      <c r="AA886" s="147"/>
      <c r="AB886" s="147"/>
      <c r="AC886" s="147"/>
      <c r="AD886" s="147"/>
      <c r="AE886" s="147"/>
      <c r="AF886" s="147"/>
      <c r="AG886" s="147"/>
    </row>
    <row r="887">
      <c r="A887" s="147"/>
      <c r="B887" s="147"/>
      <c r="C887" s="147"/>
      <c r="D887" s="147"/>
      <c r="E887" s="147"/>
      <c r="F887" s="205"/>
      <c r="G887" s="147"/>
      <c r="H887" s="147"/>
      <c r="I887" s="147"/>
      <c r="J887" s="147"/>
      <c r="K887" s="147"/>
      <c r="L887" s="147"/>
      <c r="M887" s="147"/>
      <c r="N887" s="147"/>
      <c r="O887" s="147"/>
      <c r="P887" s="147"/>
      <c r="Q887" s="147"/>
      <c r="R887" s="147"/>
      <c r="S887" s="147"/>
      <c r="T887" s="147"/>
      <c r="U887" s="147"/>
      <c r="V887" s="147"/>
      <c r="W887" s="147"/>
      <c r="X887" s="147"/>
      <c r="Y887" s="147"/>
      <c r="Z887" s="147"/>
      <c r="AA887" s="147"/>
      <c r="AB887" s="147"/>
      <c r="AC887" s="147"/>
      <c r="AD887" s="147"/>
      <c r="AE887" s="147"/>
      <c r="AF887" s="147"/>
      <c r="AG887" s="147"/>
    </row>
    <row r="888">
      <c r="A888" s="147"/>
      <c r="B888" s="147"/>
      <c r="C888" s="147"/>
      <c r="D888" s="147"/>
      <c r="E888" s="147"/>
      <c r="F888" s="205"/>
      <c r="G888" s="147"/>
      <c r="H888" s="147"/>
      <c r="I888" s="147"/>
      <c r="J888" s="147"/>
      <c r="K888" s="147"/>
      <c r="L888" s="147"/>
      <c r="M888" s="147"/>
      <c r="N888" s="147"/>
      <c r="O888" s="147"/>
      <c r="P888" s="147"/>
      <c r="Q888" s="147"/>
      <c r="R888" s="147"/>
      <c r="S888" s="147"/>
      <c r="T888" s="147"/>
      <c r="U888" s="147"/>
      <c r="V888" s="147"/>
      <c r="W888" s="147"/>
      <c r="X888" s="147"/>
      <c r="Y888" s="147"/>
      <c r="Z888" s="147"/>
      <c r="AA888" s="147"/>
      <c r="AB888" s="147"/>
      <c r="AC888" s="147"/>
      <c r="AD888" s="147"/>
      <c r="AE888" s="147"/>
      <c r="AF888" s="147"/>
      <c r="AG888" s="147"/>
    </row>
    <row r="889">
      <c r="A889" s="147"/>
      <c r="B889" s="147"/>
      <c r="C889" s="147"/>
      <c r="D889" s="147"/>
      <c r="E889" s="147"/>
      <c r="F889" s="205"/>
      <c r="G889" s="147"/>
      <c r="H889" s="147"/>
      <c r="I889" s="147"/>
      <c r="J889" s="147"/>
      <c r="K889" s="147"/>
      <c r="L889" s="147"/>
      <c r="M889" s="147"/>
      <c r="N889" s="147"/>
      <c r="O889" s="147"/>
      <c r="P889" s="147"/>
      <c r="Q889" s="147"/>
      <c r="R889" s="147"/>
      <c r="S889" s="147"/>
      <c r="T889" s="147"/>
      <c r="U889" s="147"/>
      <c r="V889" s="147"/>
      <c r="W889" s="147"/>
      <c r="X889" s="147"/>
      <c r="Y889" s="147"/>
      <c r="Z889" s="147"/>
      <c r="AA889" s="147"/>
      <c r="AB889" s="147"/>
      <c r="AC889" s="147"/>
      <c r="AD889" s="147"/>
      <c r="AE889" s="147"/>
      <c r="AF889" s="147"/>
      <c r="AG889" s="147"/>
    </row>
    <row r="890">
      <c r="A890" s="147"/>
      <c r="B890" s="147"/>
      <c r="C890" s="147"/>
      <c r="D890" s="147"/>
      <c r="E890" s="147"/>
      <c r="F890" s="205"/>
      <c r="G890" s="147"/>
      <c r="H890" s="147"/>
      <c r="I890" s="147"/>
      <c r="J890" s="147"/>
      <c r="K890" s="147"/>
      <c r="L890" s="147"/>
      <c r="M890" s="147"/>
      <c r="N890" s="147"/>
      <c r="O890" s="147"/>
      <c r="P890" s="147"/>
      <c r="Q890" s="147"/>
      <c r="R890" s="147"/>
      <c r="S890" s="147"/>
      <c r="T890" s="147"/>
      <c r="U890" s="147"/>
      <c r="V890" s="147"/>
      <c r="W890" s="147"/>
      <c r="X890" s="147"/>
      <c r="Y890" s="147"/>
      <c r="Z890" s="147"/>
      <c r="AA890" s="147"/>
      <c r="AB890" s="147"/>
      <c r="AC890" s="147"/>
      <c r="AD890" s="147"/>
      <c r="AE890" s="147"/>
      <c r="AF890" s="147"/>
      <c r="AG890" s="147"/>
    </row>
    <row r="891">
      <c r="A891" s="147"/>
      <c r="B891" s="147"/>
      <c r="C891" s="147"/>
      <c r="D891" s="147"/>
      <c r="E891" s="147"/>
      <c r="F891" s="205"/>
      <c r="G891" s="147"/>
      <c r="H891" s="147"/>
      <c r="I891" s="147"/>
      <c r="J891" s="147"/>
      <c r="K891" s="147"/>
      <c r="L891" s="147"/>
      <c r="M891" s="147"/>
      <c r="N891" s="147"/>
      <c r="O891" s="147"/>
      <c r="P891" s="147"/>
      <c r="Q891" s="147"/>
      <c r="R891" s="147"/>
      <c r="S891" s="147"/>
      <c r="T891" s="147"/>
      <c r="U891" s="147"/>
      <c r="V891" s="147"/>
      <c r="W891" s="147"/>
      <c r="X891" s="147"/>
      <c r="Y891" s="147"/>
      <c r="Z891" s="147"/>
      <c r="AA891" s="147"/>
      <c r="AB891" s="147"/>
      <c r="AC891" s="147"/>
      <c r="AD891" s="147"/>
      <c r="AE891" s="147"/>
      <c r="AF891" s="147"/>
      <c r="AG891" s="147"/>
    </row>
    <row r="892">
      <c r="A892" s="147"/>
      <c r="B892" s="147"/>
      <c r="C892" s="147"/>
      <c r="D892" s="147"/>
      <c r="E892" s="147"/>
      <c r="F892" s="205"/>
      <c r="G892" s="147"/>
      <c r="H892" s="147"/>
      <c r="I892" s="147"/>
      <c r="J892" s="147"/>
      <c r="K892" s="147"/>
      <c r="L892" s="147"/>
      <c r="M892" s="147"/>
      <c r="N892" s="147"/>
      <c r="O892" s="147"/>
      <c r="P892" s="147"/>
      <c r="Q892" s="147"/>
      <c r="R892" s="147"/>
      <c r="S892" s="147"/>
      <c r="T892" s="147"/>
      <c r="U892" s="147"/>
      <c r="V892" s="147"/>
      <c r="W892" s="147"/>
      <c r="X892" s="147"/>
      <c r="Y892" s="147"/>
      <c r="Z892" s="147"/>
      <c r="AA892" s="147"/>
      <c r="AB892" s="147"/>
      <c r="AC892" s="147"/>
      <c r="AD892" s="147"/>
      <c r="AE892" s="147"/>
      <c r="AF892" s="147"/>
      <c r="AG892" s="147"/>
    </row>
    <row r="893">
      <c r="A893" s="147"/>
      <c r="B893" s="147"/>
      <c r="C893" s="147"/>
      <c r="D893" s="147"/>
      <c r="E893" s="147"/>
      <c r="F893" s="205"/>
      <c r="G893" s="147"/>
      <c r="H893" s="147"/>
      <c r="I893" s="147"/>
      <c r="J893" s="147"/>
      <c r="K893" s="147"/>
      <c r="L893" s="147"/>
      <c r="M893" s="147"/>
      <c r="N893" s="147"/>
      <c r="O893" s="147"/>
      <c r="P893" s="147"/>
      <c r="Q893" s="147"/>
      <c r="R893" s="147"/>
      <c r="S893" s="147"/>
      <c r="T893" s="147"/>
      <c r="U893" s="147"/>
      <c r="V893" s="147"/>
      <c r="W893" s="147"/>
      <c r="X893" s="147"/>
      <c r="Y893" s="147"/>
      <c r="Z893" s="147"/>
      <c r="AA893" s="147"/>
      <c r="AB893" s="147"/>
      <c r="AC893" s="147"/>
      <c r="AD893" s="147"/>
      <c r="AE893" s="147"/>
      <c r="AF893" s="147"/>
      <c r="AG893" s="147"/>
    </row>
    <row r="894">
      <c r="A894" s="147"/>
      <c r="B894" s="147"/>
      <c r="C894" s="147"/>
      <c r="D894" s="147"/>
      <c r="E894" s="147"/>
      <c r="F894" s="205"/>
      <c r="G894" s="147"/>
      <c r="H894" s="147"/>
      <c r="I894" s="147"/>
      <c r="J894" s="147"/>
      <c r="K894" s="147"/>
      <c r="L894" s="147"/>
      <c r="M894" s="147"/>
      <c r="N894" s="147"/>
      <c r="O894" s="147"/>
      <c r="P894" s="147"/>
      <c r="Q894" s="147"/>
      <c r="R894" s="147"/>
      <c r="S894" s="147"/>
      <c r="T894" s="147"/>
      <c r="U894" s="147"/>
      <c r="V894" s="147"/>
      <c r="W894" s="147"/>
      <c r="X894" s="147"/>
      <c r="Y894" s="147"/>
      <c r="Z894" s="147"/>
      <c r="AA894" s="147"/>
      <c r="AB894" s="147"/>
      <c r="AC894" s="147"/>
      <c r="AD894" s="147"/>
      <c r="AE894" s="147"/>
      <c r="AF894" s="147"/>
      <c r="AG894" s="147"/>
    </row>
    <row r="895">
      <c r="A895" s="147"/>
      <c r="B895" s="147"/>
      <c r="C895" s="147"/>
      <c r="D895" s="147"/>
      <c r="E895" s="147"/>
      <c r="F895" s="205"/>
      <c r="G895" s="147"/>
      <c r="H895" s="147"/>
      <c r="I895" s="147"/>
      <c r="J895" s="147"/>
      <c r="K895" s="147"/>
      <c r="L895" s="147"/>
      <c r="M895" s="147"/>
      <c r="N895" s="147"/>
      <c r="O895" s="147"/>
      <c r="P895" s="147"/>
      <c r="Q895" s="147"/>
      <c r="R895" s="147"/>
      <c r="S895" s="147"/>
      <c r="T895" s="147"/>
      <c r="U895" s="147"/>
      <c r="V895" s="147"/>
      <c r="W895" s="147"/>
      <c r="X895" s="147"/>
      <c r="Y895" s="147"/>
      <c r="Z895" s="147"/>
      <c r="AA895" s="147"/>
      <c r="AB895" s="147"/>
      <c r="AC895" s="147"/>
      <c r="AD895" s="147"/>
      <c r="AE895" s="147"/>
      <c r="AF895" s="147"/>
      <c r="AG895" s="147"/>
    </row>
    <row r="896">
      <c r="A896" s="147"/>
      <c r="B896" s="147"/>
      <c r="C896" s="147"/>
      <c r="D896" s="147"/>
      <c r="E896" s="147"/>
      <c r="F896" s="205"/>
      <c r="G896" s="147"/>
      <c r="H896" s="147"/>
      <c r="I896" s="147"/>
      <c r="J896" s="147"/>
      <c r="K896" s="147"/>
      <c r="L896" s="147"/>
      <c r="M896" s="147"/>
      <c r="N896" s="147"/>
      <c r="O896" s="147"/>
      <c r="P896" s="147"/>
      <c r="Q896" s="147"/>
      <c r="R896" s="147"/>
      <c r="S896" s="147"/>
      <c r="T896" s="147"/>
      <c r="U896" s="147"/>
      <c r="V896" s="147"/>
      <c r="W896" s="147"/>
      <c r="X896" s="147"/>
      <c r="Y896" s="147"/>
      <c r="Z896" s="147"/>
      <c r="AA896" s="147"/>
      <c r="AB896" s="147"/>
      <c r="AC896" s="147"/>
      <c r="AD896" s="147"/>
      <c r="AE896" s="147"/>
      <c r="AF896" s="147"/>
      <c r="AG896" s="147"/>
    </row>
    <row r="897">
      <c r="A897" s="147"/>
      <c r="B897" s="147"/>
      <c r="C897" s="147"/>
      <c r="D897" s="147"/>
      <c r="E897" s="147"/>
      <c r="F897" s="205"/>
      <c r="G897" s="147"/>
      <c r="H897" s="147"/>
      <c r="I897" s="147"/>
      <c r="J897" s="147"/>
      <c r="K897" s="147"/>
      <c r="L897" s="147"/>
      <c r="M897" s="147"/>
      <c r="N897" s="147"/>
      <c r="O897" s="147"/>
      <c r="P897" s="147"/>
      <c r="Q897" s="147"/>
      <c r="R897" s="147"/>
      <c r="S897" s="147"/>
      <c r="T897" s="147"/>
      <c r="U897" s="147"/>
      <c r="V897" s="147"/>
      <c r="W897" s="147"/>
      <c r="X897" s="147"/>
      <c r="Y897" s="147"/>
      <c r="Z897" s="147"/>
      <c r="AA897" s="147"/>
      <c r="AB897" s="147"/>
      <c r="AC897" s="147"/>
      <c r="AD897" s="147"/>
      <c r="AE897" s="147"/>
      <c r="AF897" s="147"/>
      <c r="AG897" s="147"/>
    </row>
    <row r="898">
      <c r="A898" s="147"/>
      <c r="B898" s="147"/>
      <c r="C898" s="147"/>
      <c r="D898" s="147"/>
      <c r="E898" s="147"/>
      <c r="F898" s="205"/>
      <c r="G898" s="147"/>
      <c r="H898" s="147"/>
      <c r="I898" s="147"/>
      <c r="J898" s="147"/>
      <c r="K898" s="147"/>
      <c r="L898" s="147"/>
      <c r="M898" s="147"/>
      <c r="N898" s="147"/>
      <c r="O898" s="147"/>
      <c r="P898" s="147"/>
      <c r="Q898" s="147"/>
      <c r="R898" s="147"/>
      <c r="S898" s="147"/>
      <c r="T898" s="147"/>
      <c r="U898" s="147"/>
      <c r="V898" s="147"/>
      <c r="W898" s="147"/>
      <c r="X898" s="147"/>
      <c r="Y898" s="147"/>
      <c r="Z898" s="147"/>
      <c r="AA898" s="147"/>
      <c r="AB898" s="147"/>
      <c r="AC898" s="147"/>
      <c r="AD898" s="147"/>
      <c r="AE898" s="147"/>
      <c r="AF898" s="147"/>
      <c r="AG898" s="147"/>
    </row>
    <row r="899">
      <c r="A899" s="147"/>
      <c r="B899" s="147"/>
      <c r="C899" s="147"/>
      <c r="D899" s="147"/>
      <c r="E899" s="147"/>
      <c r="F899" s="205"/>
      <c r="G899" s="147"/>
      <c r="H899" s="147"/>
      <c r="I899" s="147"/>
      <c r="J899" s="147"/>
      <c r="K899" s="147"/>
      <c r="L899" s="147"/>
      <c r="M899" s="147"/>
      <c r="N899" s="147"/>
      <c r="O899" s="147"/>
      <c r="P899" s="147"/>
      <c r="Q899" s="147"/>
      <c r="R899" s="147"/>
      <c r="S899" s="147"/>
      <c r="T899" s="147"/>
      <c r="U899" s="147"/>
      <c r="V899" s="147"/>
      <c r="W899" s="147"/>
      <c r="X899" s="147"/>
      <c r="Y899" s="147"/>
      <c r="Z899" s="147"/>
      <c r="AA899" s="147"/>
      <c r="AB899" s="147"/>
      <c r="AC899" s="147"/>
      <c r="AD899" s="147"/>
      <c r="AE899" s="147"/>
      <c r="AF899" s="147"/>
      <c r="AG899" s="147"/>
    </row>
    <row r="900">
      <c r="A900" s="147"/>
      <c r="B900" s="147"/>
      <c r="C900" s="147"/>
      <c r="D900" s="147"/>
      <c r="E900" s="147"/>
      <c r="F900" s="205"/>
      <c r="G900" s="147"/>
      <c r="H900" s="147"/>
      <c r="I900" s="147"/>
      <c r="J900" s="147"/>
      <c r="K900" s="147"/>
      <c r="L900" s="147"/>
      <c r="M900" s="147"/>
      <c r="N900" s="147"/>
      <c r="O900" s="147"/>
      <c r="P900" s="147"/>
      <c r="Q900" s="147"/>
      <c r="R900" s="147"/>
      <c r="S900" s="147"/>
      <c r="T900" s="147"/>
      <c r="U900" s="147"/>
      <c r="V900" s="147"/>
      <c r="W900" s="147"/>
      <c r="X900" s="147"/>
      <c r="Y900" s="147"/>
      <c r="Z900" s="147"/>
      <c r="AA900" s="147"/>
      <c r="AB900" s="147"/>
      <c r="AC900" s="147"/>
      <c r="AD900" s="147"/>
      <c r="AE900" s="147"/>
      <c r="AF900" s="147"/>
      <c r="AG900" s="147"/>
    </row>
    <row r="901">
      <c r="A901" s="147"/>
      <c r="B901" s="147"/>
      <c r="C901" s="147"/>
      <c r="D901" s="147"/>
      <c r="E901" s="147"/>
      <c r="F901" s="205"/>
      <c r="G901" s="147"/>
      <c r="H901" s="147"/>
      <c r="I901" s="147"/>
      <c r="J901" s="147"/>
      <c r="K901" s="147"/>
      <c r="L901" s="147"/>
      <c r="M901" s="147"/>
      <c r="N901" s="147"/>
      <c r="O901" s="147"/>
      <c r="P901" s="147"/>
      <c r="Q901" s="147"/>
      <c r="R901" s="147"/>
      <c r="S901" s="147"/>
      <c r="T901" s="147"/>
      <c r="U901" s="147"/>
      <c r="V901" s="147"/>
      <c r="W901" s="147"/>
      <c r="X901" s="147"/>
      <c r="Y901" s="147"/>
      <c r="Z901" s="147"/>
      <c r="AA901" s="147"/>
      <c r="AB901" s="147"/>
      <c r="AC901" s="147"/>
      <c r="AD901" s="147"/>
      <c r="AE901" s="147"/>
      <c r="AF901" s="147"/>
      <c r="AG901" s="147"/>
    </row>
    <row r="902">
      <c r="A902" s="147"/>
      <c r="B902" s="147"/>
      <c r="C902" s="147"/>
      <c r="D902" s="147"/>
      <c r="E902" s="147"/>
      <c r="F902" s="205"/>
      <c r="G902" s="147"/>
      <c r="H902" s="147"/>
      <c r="I902" s="147"/>
      <c r="J902" s="147"/>
      <c r="K902" s="147"/>
      <c r="L902" s="147"/>
      <c r="M902" s="147"/>
      <c r="N902" s="147"/>
      <c r="O902" s="147"/>
      <c r="P902" s="147"/>
      <c r="Q902" s="147"/>
      <c r="R902" s="147"/>
      <c r="S902" s="147"/>
      <c r="T902" s="147"/>
      <c r="U902" s="147"/>
      <c r="V902" s="147"/>
      <c r="W902" s="147"/>
      <c r="X902" s="147"/>
      <c r="Y902" s="147"/>
      <c r="Z902" s="147"/>
      <c r="AA902" s="147"/>
      <c r="AB902" s="147"/>
      <c r="AC902" s="147"/>
      <c r="AD902" s="147"/>
      <c r="AE902" s="147"/>
      <c r="AF902" s="147"/>
      <c r="AG902" s="147"/>
    </row>
    <row r="903">
      <c r="A903" s="147"/>
      <c r="B903" s="147"/>
      <c r="C903" s="147"/>
      <c r="D903" s="147"/>
      <c r="E903" s="147"/>
      <c r="F903" s="205"/>
      <c r="G903" s="147"/>
      <c r="H903" s="147"/>
      <c r="I903" s="147"/>
      <c r="J903" s="147"/>
      <c r="K903" s="147"/>
      <c r="L903" s="147"/>
      <c r="M903" s="147"/>
      <c r="N903" s="147"/>
      <c r="O903" s="147"/>
      <c r="P903" s="147"/>
      <c r="Q903" s="147"/>
      <c r="R903" s="147"/>
      <c r="S903" s="147"/>
      <c r="T903" s="147"/>
      <c r="U903" s="147"/>
      <c r="V903" s="147"/>
      <c r="W903" s="147"/>
      <c r="X903" s="147"/>
      <c r="Y903" s="147"/>
      <c r="Z903" s="147"/>
      <c r="AA903" s="147"/>
      <c r="AB903" s="147"/>
      <c r="AC903" s="147"/>
      <c r="AD903" s="147"/>
      <c r="AE903" s="147"/>
      <c r="AF903" s="147"/>
      <c r="AG903" s="147"/>
    </row>
    <row r="904">
      <c r="A904" s="147"/>
      <c r="B904" s="147"/>
      <c r="C904" s="147"/>
      <c r="D904" s="147"/>
      <c r="E904" s="147"/>
      <c r="F904" s="205"/>
      <c r="G904" s="147"/>
      <c r="H904" s="147"/>
      <c r="I904" s="147"/>
      <c r="J904" s="147"/>
      <c r="K904" s="147"/>
      <c r="L904" s="147"/>
      <c r="M904" s="147"/>
      <c r="N904" s="147"/>
      <c r="O904" s="147"/>
      <c r="P904" s="147"/>
      <c r="Q904" s="147"/>
      <c r="R904" s="147"/>
      <c r="S904" s="147"/>
      <c r="T904" s="147"/>
      <c r="U904" s="147"/>
      <c r="V904" s="147"/>
      <c r="W904" s="147"/>
      <c r="X904" s="147"/>
      <c r="Y904" s="147"/>
      <c r="Z904" s="147"/>
      <c r="AA904" s="147"/>
      <c r="AB904" s="147"/>
      <c r="AC904" s="147"/>
      <c r="AD904" s="147"/>
      <c r="AE904" s="147"/>
      <c r="AF904" s="147"/>
      <c r="AG904" s="147"/>
    </row>
    <row r="905">
      <c r="A905" s="147"/>
      <c r="B905" s="147"/>
      <c r="C905" s="147"/>
      <c r="D905" s="147"/>
      <c r="E905" s="147"/>
      <c r="F905" s="205"/>
      <c r="G905" s="147"/>
      <c r="H905" s="147"/>
      <c r="I905" s="147"/>
      <c r="J905" s="147"/>
      <c r="K905" s="147"/>
      <c r="L905" s="147"/>
      <c r="M905" s="147"/>
      <c r="N905" s="147"/>
      <c r="O905" s="147"/>
      <c r="P905" s="147"/>
      <c r="Q905" s="147"/>
      <c r="R905" s="147"/>
      <c r="S905" s="147"/>
      <c r="T905" s="147"/>
      <c r="U905" s="147"/>
      <c r="V905" s="147"/>
      <c r="W905" s="147"/>
      <c r="X905" s="147"/>
      <c r="Y905" s="147"/>
      <c r="Z905" s="147"/>
      <c r="AA905" s="147"/>
      <c r="AB905" s="147"/>
      <c r="AC905" s="147"/>
      <c r="AD905" s="147"/>
      <c r="AE905" s="147"/>
      <c r="AF905" s="147"/>
      <c r="AG905" s="147"/>
    </row>
    <row r="906">
      <c r="A906" s="147"/>
      <c r="B906" s="147"/>
      <c r="C906" s="147"/>
      <c r="D906" s="147"/>
      <c r="E906" s="147"/>
      <c r="F906" s="205"/>
      <c r="G906" s="147"/>
      <c r="H906" s="147"/>
      <c r="I906" s="147"/>
      <c r="J906" s="147"/>
      <c r="K906" s="147"/>
      <c r="L906" s="147"/>
      <c r="M906" s="147"/>
      <c r="N906" s="147"/>
      <c r="O906" s="147"/>
      <c r="P906" s="147"/>
      <c r="Q906" s="147"/>
      <c r="R906" s="147"/>
      <c r="S906" s="147"/>
      <c r="T906" s="147"/>
      <c r="U906" s="147"/>
      <c r="V906" s="147"/>
      <c r="W906" s="147"/>
      <c r="X906" s="147"/>
      <c r="Y906" s="147"/>
      <c r="Z906" s="147"/>
      <c r="AA906" s="147"/>
      <c r="AB906" s="147"/>
      <c r="AC906" s="147"/>
      <c r="AD906" s="147"/>
      <c r="AE906" s="147"/>
      <c r="AF906" s="147"/>
      <c r="AG906" s="147"/>
    </row>
    <row r="907">
      <c r="A907" s="147"/>
      <c r="B907" s="147"/>
      <c r="C907" s="147"/>
      <c r="D907" s="147"/>
      <c r="E907" s="147"/>
      <c r="F907" s="205"/>
      <c r="G907" s="147"/>
      <c r="H907" s="147"/>
      <c r="I907" s="147"/>
      <c r="J907" s="147"/>
      <c r="K907" s="147"/>
      <c r="L907" s="147"/>
      <c r="M907" s="147"/>
      <c r="N907" s="147"/>
      <c r="O907" s="147"/>
      <c r="P907" s="147"/>
      <c r="Q907" s="147"/>
      <c r="R907" s="147"/>
      <c r="S907" s="147"/>
      <c r="T907" s="147"/>
      <c r="U907" s="147"/>
      <c r="V907" s="147"/>
      <c r="W907" s="147"/>
      <c r="X907" s="147"/>
      <c r="Y907" s="147"/>
      <c r="Z907" s="147"/>
      <c r="AA907" s="147"/>
      <c r="AB907" s="147"/>
      <c r="AC907" s="147"/>
      <c r="AD907" s="147"/>
      <c r="AE907" s="147"/>
      <c r="AF907" s="147"/>
      <c r="AG907" s="147"/>
    </row>
    <row r="908">
      <c r="A908" s="147"/>
      <c r="B908" s="147"/>
      <c r="C908" s="147"/>
      <c r="D908" s="147"/>
      <c r="E908" s="147"/>
      <c r="F908" s="205"/>
      <c r="G908" s="147"/>
      <c r="H908" s="147"/>
      <c r="I908" s="147"/>
      <c r="J908" s="147"/>
      <c r="K908" s="147"/>
      <c r="L908" s="147"/>
      <c r="M908" s="147"/>
      <c r="N908" s="147"/>
      <c r="O908" s="147"/>
      <c r="P908" s="147"/>
      <c r="Q908" s="147"/>
      <c r="R908" s="147"/>
      <c r="S908" s="147"/>
      <c r="T908" s="147"/>
      <c r="U908" s="147"/>
      <c r="V908" s="147"/>
      <c r="W908" s="147"/>
      <c r="X908" s="147"/>
      <c r="Y908" s="147"/>
      <c r="Z908" s="147"/>
      <c r="AA908" s="147"/>
      <c r="AB908" s="147"/>
      <c r="AC908" s="147"/>
      <c r="AD908" s="147"/>
      <c r="AE908" s="147"/>
      <c r="AF908" s="147"/>
      <c r="AG908" s="147"/>
    </row>
    <row r="909">
      <c r="A909" s="147"/>
      <c r="B909" s="147"/>
      <c r="C909" s="147"/>
      <c r="D909" s="147"/>
      <c r="E909" s="147"/>
      <c r="F909" s="205"/>
      <c r="G909" s="147"/>
      <c r="H909" s="147"/>
      <c r="I909" s="147"/>
      <c r="J909" s="147"/>
      <c r="K909" s="147"/>
      <c r="L909" s="147"/>
      <c r="M909" s="147"/>
      <c r="N909" s="147"/>
      <c r="O909" s="147"/>
      <c r="P909" s="147"/>
      <c r="Q909" s="147"/>
      <c r="R909" s="147"/>
      <c r="S909" s="147"/>
      <c r="T909" s="147"/>
      <c r="U909" s="147"/>
      <c r="V909" s="147"/>
      <c r="W909" s="147"/>
      <c r="X909" s="147"/>
      <c r="Y909" s="147"/>
      <c r="Z909" s="147"/>
      <c r="AA909" s="147"/>
      <c r="AB909" s="147"/>
      <c r="AC909" s="147"/>
      <c r="AD909" s="147"/>
      <c r="AE909" s="147"/>
      <c r="AF909" s="147"/>
      <c r="AG909" s="147"/>
    </row>
    <row r="910">
      <c r="A910" s="147"/>
      <c r="B910" s="147"/>
      <c r="C910" s="147"/>
      <c r="D910" s="147"/>
      <c r="E910" s="147"/>
      <c r="F910" s="205"/>
      <c r="G910" s="147"/>
      <c r="H910" s="147"/>
      <c r="I910" s="147"/>
      <c r="J910" s="147"/>
      <c r="K910" s="147"/>
      <c r="L910" s="147"/>
      <c r="M910" s="147"/>
      <c r="N910" s="147"/>
      <c r="O910" s="147"/>
      <c r="P910" s="147"/>
      <c r="Q910" s="147"/>
      <c r="R910" s="147"/>
      <c r="S910" s="147"/>
      <c r="T910" s="147"/>
      <c r="U910" s="147"/>
      <c r="V910" s="147"/>
      <c r="W910" s="147"/>
      <c r="X910" s="147"/>
      <c r="Y910" s="147"/>
      <c r="Z910" s="147"/>
      <c r="AA910" s="147"/>
      <c r="AB910" s="147"/>
      <c r="AC910" s="147"/>
      <c r="AD910" s="147"/>
      <c r="AE910" s="147"/>
      <c r="AF910" s="147"/>
      <c r="AG910" s="147"/>
    </row>
    <row r="911">
      <c r="A911" s="147"/>
      <c r="B911" s="147"/>
      <c r="C911" s="147"/>
      <c r="D911" s="147"/>
      <c r="E911" s="147"/>
      <c r="F911" s="205"/>
      <c r="G911" s="147"/>
      <c r="H911" s="147"/>
      <c r="I911" s="147"/>
      <c r="J911" s="147"/>
      <c r="K911" s="147"/>
      <c r="L911" s="147"/>
      <c r="M911" s="147"/>
      <c r="N911" s="147"/>
      <c r="O911" s="147"/>
      <c r="P911" s="147"/>
      <c r="Q911" s="147"/>
      <c r="R911" s="147"/>
      <c r="S911" s="147"/>
      <c r="T911" s="147"/>
      <c r="U911" s="147"/>
      <c r="V911" s="147"/>
      <c r="W911" s="147"/>
      <c r="X911" s="147"/>
      <c r="Y911" s="147"/>
      <c r="Z911" s="147"/>
      <c r="AA911" s="147"/>
      <c r="AB911" s="147"/>
      <c r="AC911" s="147"/>
      <c r="AD911" s="147"/>
      <c r="AE911" s="147"/>
      <c r="AF911" s="147"/>
      <c r="AG911" s="147"/>
    </row>
    <row r="912">
      <c r="A912" s="147"/>
      <c r="B912" s="147"/>
      <c r="C912" s="147"/>
      <c r="D912" s="147"/>
      <c r="E912" s="147"/>
      <c r="F912" s="205"/>
      <c r="G912" s="147"/>
      <c r="H912" s="147"/>
      <c r="I912" s="147"/>
      <c r="J912" s="147"/>
      <c r="K912" s="147"/>
      <c r="L912" s="147"/>
      <c r="M912" s="147"/>
      <c r="N912" s="147"/>
      <c r="O912" s="147"/>
      <c r="P912" s="147"/>
      <c r="Q912" s="147"/>
      <c r="R912" s="147"/>
      <c r="S912" s="147"/>
      <c r="T912" s="147"/>
      <c r="U912" s="147"/>
      <c r="V912" s="147"/>
      <c r="W912" s="147"/>
      <c r="X912" s="147"/>
      <c r="Y912" s="147"/>
      <c r="Z912" s="147"/>
      <c r="AA912" s="147"/>
      <c r="AB912" s="147"/>
      <c r="AC912" s="147"/>
      <c r="AD912" s="147"/>
      <c r="AE912" s="147"/>
      <c r="AF912" s="147"/>
      <c r="AG912" s="147"/>
    </row>
    <row r="913">
      <c r="A913" s="147"/>
      <c r="B913" s="147"/>
      <c r="C913" s="147"/>
      <c r="D913" s="147"/>
      <c r="E913" s="147"/>
      <c r="F913" s="205"/>
      <c r="G913" s="147"/>
      <c r="H913" s="147"/>
      <c r="I913" s="147"/>
      <c r="J913" s="147"/>
      <c r="K913" s="147"/>
      <c r="L913" s="147"/>
      <c r="M913" s="147"/>
      <c r="N913" s="147"/>
      <c r="O913" s="147"/>
      <c r="P913" s="147"/>
      <c r="Q913" s="147"/>
      <c r="R913" s="147"/>
      <c r="S913" s="147"/>
      <c r="T913" s="147"/>
      <c r="U913" s="147"/>
      <c r="V913" s="147"/>
      <c r="W913" s="147"/>
      <c r="X913" s="147"/>
      <c r="Y913" s="147"/>
      <c r="Z913" s="147"/>
      <c r="AA913" s="147"/>
      <c r="AB913" s="147"/>
      <c r="AC913" s="147"/>
      <c r="AD913" s="147"/>
      <c r="AE913" s="147"/>
      <c r="AF913" s="147"/>
      <c r="AG913" s="147"/>
    </row>
    <row r="914">
      <c r="A914" s="147"/>
      <c r="B914" s="147"/>
      <c r="C914" s="147"/>
      <c r="D914" s="147"/>
      <c r="E914" s="147"/>
      <c r="F914" s="205"/>
      <c r="G914" s="147"/>
      <c r="H914" s="147"/>
      <c r="I914" s="147"/>
      <c r="J914" s="147"/>
      <c r="K914" s="147"/>
      <c r="L914" s="147"/>
      <c r="M914" s="147"/>
      <c r="N914" s="147"/>
      <c r="O914" s="147"/>
      <c r="P914" s="147"/>
      <c r="Q914" s="147"/>
      <c r="R914" s="147"/>
      <c r="S914" s="147"/>
      <c r="T914" s="147"/>
      <c r="U914" s="147"/>
      <c r="V914" s="147"/>
      <c r="W914" s="147"/>
      <c r="X914" s="147"/>
      <c r="Y914" s="147"/>
      <c r="Z914" s="147"/>
      <c r="AA914" s="147"/>
      <c r="AB914" s="147"/>
      <c r="AC914" s="147"/>
      <c r="AD914" s="147"/>
      <c r="AE914" s="147"/>
      <c r="AF914" s="147"/>
      <c r="AG914" s="147"/>
    </row>
    <row r="915">
      <c r="A915" s="147"/>
      <c r="B915" s="147"/>
      <c r="C915" s="147"/>
      <c r="D915" s="147"/>
      <c r="E915" s="147"/>
      <c r="F915" s="205"/>
      <c r="G915" s="147"/>
      <c r="H915" s="147"/>
      <c r="I915" s="147"/>
      <c r="J915" s="147"/>
      <c r="K915" s="147"/>
      <c r="L915" s="147"/>
      <c r="M915" s="147"/>
      <c r="N915" s="147"/>
      <c r="O915" s="147"/>
      <c r="P915" s="147"/>
      <c r="Q915" s="147"/>
      <c r="R915" s="147"/>
      <c r="S915" s="147"/>
      <c r="T915" s="147"/>
      <c r="U915" s="147"/>
      <c r="V915" s="147"/>
      <c r="W915" s="147"/>
      <c r="X915" s="147"/>
      <c r="Y915" s="147"/>
      <c r="Z915" s="147"/>
      <c r="AA915" s="147"/>
      <c r="AB915" s="147"/>
      <c r="AC915" s="147"/>
      <c r="AD915" s="147"/>
      <c r="AE915" s="147"/>
      <c r="AF915" s="147"/>
      <c r="AG915" s="147"/>
    </row>
    <row r="916">
      <c r="A916" s="147"/>
      <c r="B916" s="147"/>
      <c r="C916" s="147"/>
      <c r="D916" s="147"/>
      <c r="E916" s="147"/>
      <c r="F916" s="205"/>
      <c r="G916" s="147"/>
      <c r="H916" s="147"/>
      <c r="I916" s="147"/>
      <c r="J916" s="147"/>
      <c r="K916" s="147"/>
      <c r="L916" s="147"/>
      <c r="M916" s="147"/>
      <c r="N916" s="147"/>
      <c r="O916" s="147"/>
      <c r="P916" s="147"/>
      <c r="Q916" s="147"/>
      <c r="R916" s="147"/>
      <c r="S916" s="147"/>
      <c r="T916" s="147"/>
      <c r="U916" s="147"/>
      <c r="V916" s="147"/>
      <c r="W916" s="147"/>
      <c r="X916" s="147"/>
      <c r="Y916" s="147"/>
      <c r="Z916" s="147"/>
      <c r="AA916" s="147"/>
      <c r="AB916" s="147"/>
      <c r="AC916" s="147"/>
      <c r="AD916" s="147"/>
      <c r="AE916" s="147"/>
      <c r="AF916" s="147"/>
      <c r="AG916" s="147"/>
    </row>
    <row r="917">
      <c r="A917" s="147"/>
      <c r="B917" s="147"/>
      <c r="C917" s="147"/>
      <c r="D917" s="147"/>
      <c r="E917" s="147"/>
      <c r="F917" s="205"/>
      <c r="G917" s="147"/>
      <c r="H917" s="147"/>
      <c r="I917" s="147"/>
      <c r="J917" s="147"/>
      <c r="K917" s="147"/>
      <c r="L917" s="147"/>
      <c r="M917" s="147"/>
      <c r="N917" s="147"/>
      <c r="O917" s="147"/>
      <c r="P917" s="147"/>
      <c r="Q917" s="147"/>
      <c r="R917" s="147"/>
      <c r="S917" s="147"/>
      <c r="T917" s="147"/>
      <c r="U917" s="147"/>
      <c r="V917" s="147"/>
      <c r="W917" s="147"/>
      <c r="X917" s="147"/>
      <c r="Y917" s="147"/>
      <c r="Z917" s="147"/>
      <c r="AA917" s="147"/>
      <c r="AB917" s="147"/>
      <c r="AC917" s="147"/>
      <c r="AD917" s="147"/>
      <c r="AE917" s="147"/>
      <c r="AF917" s="147"/>
      <c r="AG917" s="147"/>
    </row>
    <row r="918">
      <c r="A918" s="147"/>
      <c r="B918" s="147"/>
      <c r="C918" s="147"/>
      <c r="D918" s="147"/>
      <c r="E918" s="147"/>
      <c r="F918" s="205"/>
      <c r="G918" s="147"/>
      <c r="H918" s="147"/>
      <c r="I918" s="147"/>
      <c r="J918" s="147"/>
      <c r="K918" s="147"/>
      <c r="L918" s="147"/>
      <c r="M918" s="147"/>
      <c r="N918" s="147"/>
      <c r="O918" s="147"/>
      <c r="P918" s="147"/>
      <c r="Q918" s="147"/>
      <c r="R918" s="147"/>
      <c r="S918" s="147"/>
      <c r="T918" s="147"/>
      <c r="U918" s="147"/>
      <c r="V918" s="147"/>
      <c r="W918" s="147"/>
      <c r="X918" s="147"/>
      <c r="Y918" s="147"/>
      <c r="Z918" s="147"/>
      <c r="AA918" s="147"/>
      <c r="AB918" s="147"/>
      <c r="AC918" s="147"/>
      <c r="AD918" s="147"/>
      <c r="AE918" s="147"/>
      <c r="AF918" s="147"/>
      <c r="AG918" s="147"/>
    </row>
    <row r="919">
      <c r="A919" s="147"/>
      <c r="B919" s="147"/>
      <c r="C919" s="147"/>
      <c r="D919" s="147"/>
      <c r="E919" s="147"/>
      <c r="F919" s="205"/>
      <c r="G919" s="147"/>
      <c r="H919" s="147"/>
      <c r="I919" s="147"/>
      <c r="J919" s="147"/>
      <c r="K919" s="147"/>
      <c r="L919" s="147"/>
      <c r="M919" s="147"/>
      <c r="N919" s="147"/>
      <c r="O919" s="147"/>
      <c r="P919" s="147"/>
      <c r="Q919" s="147"/>
      <c r="R919" s="147"/>
      <c r="S919" s="147"/>
      <c r="T919" s="147"/>
      <c r="U919" s="147"/>
      <c r="V919" s="147"/>
      <c r="W919" s="147"/>
      <c r="X919" s="147"/>
      <c r="Y919" s="147"/>
      <c r="Z919" s="147"/>
      <c r="AA919" s="147"/>
      <c r="AB919" s="147"/>
      <c r="AC919" s="147"/>
      <c r="AD919" s="147"/>
      <c r="AE919" s="147"/>
      <c r="AF919" s="147"/>
      <c r="AG919" s="147"/>
    </row>
    <row r="920">
      <c r="A920" s="147"/>
      <c r="B920" s="147"/>
      <c r="C920" s="147"/>
      <c r="D920" s="147"/>
      <c r="E920" s="147"/>
      <c r="F920" s="205"/>
      <c r="G920" s="147"/>
      <c r="H920" s="147"/>
      <c r="I920" s="147"/>
      <c r="J920" s="147"/>
      <c r="K920" s="147"/>
      <c r="L920" s="147"/>
      <c r="M920" s="147"/>
      <c r="N920" s="147"/>
      <c r="O920" s="147"/>
      <c r="P920" s="147"/>
      <c r="Q920" s="147"/>
      <c r="R920" s="147"/>
      <c r="S920" s="147"/>
      <c r="T920" s="147"/>
      <c r="U920" s="147"/>
      <c r="V920" s="147"/>
      <c r="W920" s="147"/>
      <c r="X920" s="147"/>
      <c r="Y920" s="147"/>
      <c r="Z920" s="147"/>
      <c r="AA920" s="147"/>
      <c r="AB920" s="147"/>
      <c r="AC920" s="147"/>
      <c r="AD920" s="147"/>
      <c r="AE920" s="147"/>
      <c r="AF920" s="147"/>
      <c r="AG920" s="147"/>
    </row>
    <row r="921">
      <c r="A921" s="147"/>
      <c r="B921" s="147"/>
      <c r="C921" s="147"/>
      <c r="D921" s="147"/>
      <c r="E921" s="147"/>
      <c r="F921" s="205"/>
      <c r="G921" s="147"/>
      <c r="H921" s="147"/>
      <c r="I921" s="147"/>
      <c r="J921" s="147"/>
      <c r="K921" s="147"/>
      <c r="L921" s="147"/>
      <c r="M921" s="147"/>
      <c r="N921" s="147"/>
      <c r="O921" s="147"/>
      <c r="P921" s="147"/>
      <c r="Q921" s="147"/>
      <c r="R921" s="147"/>
      <c r="S921" s="147"/>
      <c r="T921" s="147"/>
      <c r="U921" s="147"/>
      <c r="V921" s="147"/>
      <c r="W921" s="147"/>
      <c r="X921" s="147"/>
      <c r="Y921" s="147"/>
      <c r="Z921" s="147"/>
      <c r="AA921" s="147"/>
      <c r="AB921" s="147"/>
      <c r="AC921" s="147"/>
      <c r="AD921" s="147"/>
      <c r="AE921" s="147"/>
      <c r="AF921" s="147"/>
      <c r="AG921" s="147"/>
    </row>
    <row r="922">
      <c r="A922" s="147"/>
      <c r="B922" s="147"/>
      <c r="C922" s="147"/>
      <c r="D922" s="147"/>
      <c r="E922" s="147"/>
      <c r="F922" s="205"/>
      <c r="G922" s="147"/>
      <c r="H922" s="147"/>
      <c r="I922" s="147"/>
      <c r="J922" s="147"/>
      <c r="K922" s="147"/>
      <c r="L922" s="147"/>
      <c r="M922" s="147"/>
      <c r="N922" s="147"/>
      <c r="O922" s="147"/>
      <c r="P922" s="147"/>
      <c r="Q922" s="147"/>
      <c r="R922" s="147"/>
      <c r="S922" s="147"/>
      <c r="T922" s="147"/>
      <c r="U922" s="147"/>
      <c r="V922" s="147"/>
      <c r="W922" s="147"/>
      <c r="X922" s="147"/>
      <c r="Y922" s="147"/>
      <c r="Z922" s="147"/>
      <c r="AA922" s="147"/>
      <c r="AB922" s="147"/>
      <c r="AC922" s="147"/>
      <c r="AD922" s="147"/>
      <c r="AE922" s="147"/>
      <c r="AF922" s="147"/>
      <c r="AG922" s="147"/>
    </row>
    <row r="923">
      <c r="A923" s="147"/>
      <c r="B923" s="147"/>
      <c r="C923" s="147"/>
      <c r="D923" s="147"/>
      <c r="E923" s="147"/>
      <c r="F923" s="205"/>
      <c r="G923" s="147"/>
      <c r="H923" s="147"/>
      <c r="I923" s="147"/>
      <c r="J923" s="147"/>
      <c r="K923" s="147"/>
      <c r="L923" s="147"/>
      <c r="M923" s="147"/>
      <c r="N923" s="147"/>
      <c r="O923" s="147"/>
      <c r="P923" s="147"/>
      <c r="Q923" s="147"/>
      <c r="R923" s="147"/>
      <c r="S923" s="147"/>
      <c r="T923" s="147"/>
      <c r="U923" s="147"/>
      <c r="V923" s="147"/>
      <c r="W923" s="147"/>
      <c r="X923" s="147"/>
      <c r="Y923" s="147"/>
      <c r="Z923" s="147"/>
      <c r="AA923" s="147"/>
      <c r="AB923" s="147"/>
      <c r="AC923" s="147"/>
      <c r="AD923" s="147"/>
      <c r="AE923" s="147"/>
      <c r="AF923" s="147"/>
      <c r="AG923" s="147"/>
    </row>
    <row r="924">
      <c r="A924" s="147"/>
      <c r="B924" s="147"/>
      <c r="C924" s="147"/>
      <c r="D924" s="147"/>
      <c r="E924" s="147"/>
      <c r="F924" s="205"/>
      <c r="G924" s="147"/>
      <c r="H924" s="147"/>
      <c r="I924" s="147"/>
      <c r="J924" s="147"/>
      <c r="K924" s="147"/>
      <c r="L924" s="147"/>
      <c r="M924" s="147"/>
      <c r="N924" s="147"/>
      <c r="O924" s="147"/>
      <c r="P924" s="147"/>
      <c r="Q924" s="147"/>
      <c r="R924" s="147"/>
      <c r="S924" s="147"/>
      <c r="T924" s="147"/>
      <c r="U924" s="147"/>
      <c r="V924" s="147"/>
      <c r="W924" s="147"/>
      <c r="X924" s="147"/>
      <c r="Y924" s="147"/>
      <c r="Z924" s="147"/>
      <c r="AA924" s="147"/>
      <c r="AB924" s="147"/>
      <c r="AC924" s="147"/>
      <c r="AD924" s="147"/>
      <c r="AE924" s="147"/>
      <c r="AF924" s="147"/>
      <c r="AG924" s="147"/>
    </row>
    <row r="925">
      <c r="A925" s="147"/>
      <c r="B925" s="147"/>
      <c r="C925" s="147"/>
      <c r="D925" s="147"/>
      <c r="E925" s="147"/>
      <c r="F925" s="205"/>
      <c r="G925" s="147"/>
      <c r="H925" s="147"/>
      <c r="I925" s="147"/>
      <c r="J925" s="147"/>
      <c r="K925" s="147"/>
      <c r="L925" s="147"/>
      <c r="M925" s="147"/>
      <c r="N925" s="147"/>
      <c r="O925" s="147"/>
      <c r="P925" s="147"/>
      <c r="Q925" s="147"/>
      <c r="R925" s="147"/>
      <c r="S925" s="147"/>
      <c r="T925" s="147"/>
      <c r="U925" s="147"/>
      <c r="V925" s="147"/>
      <c r="W925" s="147"/>
      <c r="X925" s="147"/>
      <c r="Y925" s="147"/>
      <c r="Z925" s="147"/>
      <c r="AA925" s="147"/>
      <c r="AB925" s="147"/>
      <c r="AC925" s="147"/>
      <c r="AD925" s="147"/>
      <c r="AE925" s="147"/>
      <c r="AF925" s="147"/>
      <c r="AG925" s="147"/>
    </row>
    <row r="926">
      <c r="A926" s="147"/>
      <c r="B926" s="147"/>
      <c r="C926" s="147"/>
      <c r="D926" s="147"/>
      <c r="E926" s="147"/>
      <c r="F926" s="205"/>
      <c r="G926" s="147"/>
      <c r="H926" s="147"/>
      <c r="I926" s="147"/>
      <c r="J926" s="147"/>
      <c r="K926" s="147"/>
      <c r="L926" s="147"/>
      <c r="M926" s="147"/>
      <c r="N926" s="147"/>
      <c r="O926" s="147"/>
      <c r="P926" s="147"/>
      <c r="Q926" s="147"/>
      <c r="R926" s="147"/>
      <c r="S926" s="147"/>
      <c r="T926" s="147"/>
      <c r="U926" s="147"/>
      <c r="V926" s="147"/>
      <c r="W926" s="147"/>
      <c r="X926" s="147"/>
      <c r="Y926" s="147"/>
      <c r="Z926" s="147"/>
      <c r="AA926" s="147"/>
      <c r="AB926" s="147"/>
      <c r="AC926" s="147"/>
      <c r="AD926" s="147"/>
      <c r="AE926" s="147"/>
      <c r="AF926" s="147"/>
      <c r="AG926" s="147"/>
    </row>
    <row r="927">
      <c r="A927" s="147"/>
      <c r="B927" s="147"/>
      <c r="C927" s="147"/>
      <c r="D927" s="147"/>
      <c r="E927" s="147"/>
      <c r="F927" s="205"/>
      <c r="G927" s="147"/>
      <c r="H927" s="147"/>
      <c r="I927" s="147"/>
      <c r="J927" s="147"/>
      <c r="K927" s="147"/>
      <c r="L927" s="147"/>
      <c r="M927" s="147"/>
      <c r="N927" s="147"/>
      <c r="O927" s="147"/>
      <c r="P927" s="147"/>
      <c r="Q927" s="147"/>
      <c r="R927" s="147"/>
      <c r="S927" s="147"/>
      <c r="T927" s="147"/>
      <c r="U927" s="147"/>
      <c r="V927" s="147"/>
      <c r="W927" s="147"/>
      <c r="X927" s="147"/>
      <c r="Y927" s="147"/>
      <c r="Z927" s="147"/>
      <c r="AA927" s="147"/>
      <c r="AB927" s="147"/>
      <c r="AC927" s="147"/>
      <c r="AD927" s="147"/>
      <c r="AE927" s="147"/>
      <c r="AF927" s="147"/>
      <c r="AG927" s="147"/>
    </row>
    <row r="928">
      <c r="A928" s="147"/>
      <c r="B928" s="147"/>
      <c r="C928" s="147"/>
      <c r="D928" s="147"/>
      <c r="E928" s="147"/>
      <c r="F928" s="205"/>
      <c r="G928" s="147"/>
      <c r="H928" s="147"/>
      <c r="I928" s="147"/>
      <c r="J928" s="147"/>
      <c r="K928" s="147"/>
      <c r="L928" s="147"/>
      <c r="M928" s="147"/>
      <c r="N928" s="147"/>
      <c r="O928" s="147"/>
      <c r="P928" s="147"/>
      <c r="Q928" s="147"/>
      <c r="R928" s="147"/>
      <c r="S928" s="147"/>
      <c r="T928" s="147"/>
      <c r="U928" s="147"/>
      <c r="V928" s="147"/>
      <c r="W928" s="147"/>
      <c r="X928" s="147"/>
      <c r="Y928" s="147"/>
      <c r="Z928" s="147"/>
      <c r="AA928" s="147"/>
      <c r="AB928" s="147"/>
      <c r="AC928" s="147"/>
      <c r="AD928" s="147"/>
      <c r="AE928" s="147"/>
      <c r="AF928" s="147"/>
      <c r="AG928" s="147"/>
    </row>
    <row r="929">
      <c r="A929" s="147"/>
      <c r="B929" s="147"/>
      <c r="C929" s="147"/>
      <c r="D929" s="147"/>
      <c r="E929" s="147"/>
      <c r="F929" s="205"/>
      <c r="G929" s="147"/>
      <c r="H929" s="147"/>
      <c r="I929" s="147"/>
      <c r="J929" s="147"/>
      <c r="K929" s="147"/>
      <c r="L929" s="147"/>
      <c r="M929" s="147"/>
      <c r="N929" s="147"/>
      <c r="O929" s="147"/>
      <c r="P929" s="147"/>
      <c r="Q929" s="147"/>
      <c r="R929" s="147"/>
      <c r="S929" s="147"/>
      <c r="T929" s="147"/>
      <c r="U929" s="147"/>
      <c r="V929" s="147"/>
      <c r="W929" s="147"/>
      <c r="X929" s="147"/>
      <c r="Y929" s="147"/>
      <c r="Z929" s="147"/>
      <c r="AA929" s="147"/>
      <c r="AB929" s="147"/>
      <c r="AC929" s="147"/>
      <c r="AD929" s="147"/>
      <c r="AE929" s="147"/>
      <c r="AF929" s="147"/>
      <c r="AG929" s="147"/>
    </row>
    <row r="930">
      <c r="A930" s="147"/>
      <c r="B930" s="147"/>
      <c r="C930" s="147"/>
      <c r="D930" s="147"/>
      <c r="E930" s="147"/>
      <c r="F930" s="205"/>
      <c r="G930" s="147"/>
      <c r="H930" s="147"/>
      <c r="I930" s="147"/>
      <c r="J930" s="147"/>
      <c r="K930" s="147"/>
      <c r="L930" s="147"/>
      <c r="M930" s="147"/>
      <c r="N930" s="147"/>
      <c r="O930" s="147"/>
      <c r="P930" s="147"/>
      <c r="Q930" s="147"/>
      <c r="R930" s="147"/>
      <c r="S930" s="147"/>
      <c r="T930" s="147"/>
      <c r="U930" s="147"/>
      <c r="V930" s="147"/>
      <c r="W930" s="147"/>
      <c r="X930" s="147"/>
      <c r="Y930" s="147"/>
      <c r="Z930" s="147"/>
      <c r="AA930" s="147"/>
      <c r="AB930" s="147"/>
      <c r="AC930" s="147"/>
      <c r="AD930" s="147"/>
      <c r="AE930" s="147"/>
      <c r="AF930" s="147"/>
      <c r="AG930" s="147"/>
    </row>
    <row r="931">
      <c r="A931" s="147"/>
      <c r="B931" s="147"/>
      <c r="C931" s="147"/>
      <c r="D931" s="147"/>
      <c r="E931" s="147"/>
      <c r="F931" s="205"/>
      <c r="G931" s="147"/>
      <c r="H931" s="147"/>
      <c r="I931" s="147"/>
      <c r="J931" s="147"/>
      <c r="K931" s="147"/>
      <c r="L931" s="147"/>
      <c r="M931" s="147"/>
      <c r="N931" s="147"/>
      <c r="O931" s="147"/>
      <c r="P931" s="147"/>
      <c r="Q931" s="147"/>
      <c r="R931" s="147"/>
      <c r="S931" s="147"/>
      <c r="T931" s="147"/>
      <c r="U931" s="147"/>
      <c r="V931" s="147"/>
      <c r="W931" s="147"/>
      <c r="X931" s="147"/>
      <c r="Y931" s="147"/>
      <c r="Z931" s="147"/>
      <c r="AA931" s="147"/>
      <c r="AB931" s="147"/>
      <c r="AC931" s="147"/>
      <c r="AD931" s="147"/>
      <c r="AE931" s="147"/>
      <c r="AF931" s="147"/>
      <c r="AG931" s="147"/>
    </row>
    <row r="932">
      <c r="A932" s="147"/>
      <c r="B932" s="147"/>
      <c r="C932" s="147"/>
      <c r="D932" s="147"/>
      <c r="E932" s="147"/>
      <c r="F932" s="205"/>
      <c r="G932" s="147"/>
      <c r="H932" s="147"/>
      <c r="I932" s="147"/>
      <c r="J932" s="147"/>
      <c r="K932" s="147"/>
      <c r="L932" s="147"/>
      <c r="M932" s="147"/>
      <c r="N932" s="147"/>
      <c r="O932" s="147"/>
      <c r="P932" s="147"/>
      <c r="Q932" s="147"/>
      <c r="R932" s="147"/>
      <c r="S932" s="147"/>
      <c r="T932" s="147"/>
      <c r="U932" s="147"/>
      <c r="V932" s="147"/>
      <c r="W932" s="147"/>
      <c r="X932" s="147"/>
      <c r="Y932" s="147"/>
      <c r="Z932" s="147"/>
      <c r="AA932" s="147"/>
      <c r="AB932" s="147"/>
      <c r="AC932" s="147"/>
      <c r="AD932" s="147"/>
      <c r="AE932" s="147"/>
      <c r="AF932" s="147"/>
      <c r="AG932" s="147"/>
    </row>
    <row r="933">
      <c r="A933" s="147"/>
      <c r="B933" s="147"/>
      <c r="C933" s="147"/>
      <c r="D933" s="147"/>
      <c r="E933" s="147"/>
      <c r="F933" s="205"/>
      <c r="G933" s="147"/>
      <c r="H933" s="147"/>
      <c r="I933" s="147"/>
      <c r="J933" s="147"/>
      <c r="K933" s="147"/>
      <c r="L933" s="147"/>
      <c r="M933" s="147"/>
      <c r="N933" s="147"/>
      <c r="O933" s="147"/>
      <c r="P933" s="147"/>
      <c r="Q933" s="147"/>
      <c r="R933" s="147"/>
      <c r="S933" s="147"/>
      <c r="T933" s="147"/>
      <c r="U933" s="147"/>
      <c r="V933" s="147"/>
      <c r="W933" s="147"/>
      <c r="X933" s="147"/>
      <c r="Y933" s="147"/>
      <c r="Z933" s="147"/>
      <c r="AA933" s="147"/>
      <c r="AB933" s="147"/>
      <c r="AC933" s="147"/>
      <c r="AD933" s="147"/>
      <c r="AE933" s="147"/>
      <c r="AF933" s="147"/>
      <c r="AG933" s="147"/>
    </row>
    <row r="934">
      <c r="A934" s="147"/>
      <c r="B934" s="147"/>
      <c r="C934" s="147"/>
      <c r="D934" s="147"/>
      <c r="E934" s="147"/>
      <c r="F934" s="205"/>
      <c r="G934" s="147"/>
      <c r="H934" s="147"/>
      <c r="I934" s="147"/>
      <c r="J934" s="147"/>
      <c r="K934" s="147"/>
      <c r="L934" s="147"/>
      <c r="M934" s="147"/>
      <c r="N934" s="147"/>
      <c r="O934" s="147"/>
      <c r="P934" s="147"/>
      <c r="Q934" s="147"/>
      <c r="R934" s="147"/>
      <c r="S934" s="147"/>
      <c r="T934" s="147"/>
      <c r="U934" s="147"/>
      <c r="V934" s="147"/>
      <c r="W934" s="147"/>
      <c r="X934" s="147"/>
      <c r="Y934" s="147"/>
      <c r="Z934" s="147"/>
      <c r="AA934" s="147"/>
      <c r="AB934" s="147"/>
      <c r="AC934" s="147"/>
      <c r="AD934" s="147"/>
      <c r="AE934" s="147"/>
      <c r="AF934" s="147"/>
      <c r="AG934" s="147"/>
    </row>
    <row r="935">
      <c r="A935" s="147"/>
      <c r="B935" s="147"/>
      <c r="C935" s="147"/>
      <c r="D935" s="147"/>
      <c r="E935" s="147"/>
      <c r="F935" s="205"/>
      <c r="G935" s="147"/>
      <c r="H935" s="147"/>
      <c r="I935" s="147"/>
      <c r="J935" s="147"/>
      <c r="K935" s="147"/>
      <c r="L935" s="147"/>
      <c r="M935" s="147"/>
      <c r="N935" s="147"/>
      <c r="O935" s="147"/>
      <c r="P935" s="147"/>
      <c r="Q935" s="147"/>
      <c r="R935" s="147"/>
      <c r="S935" s="147"/>
      <c r="T935" s="147"/>
      <c r="U935" s="147"/>
      <c r="V935" s="147"/>
      <c r="W935" s="147"/>
      <c r="X935" s="147"/>
      <c r="Y935" s="147"/>
      <c r="Z935" s="147"/>
      <c r="AA935" s="147"/>
      <c r="AB935" s="147"/>
      <c r="AC935" s="147"/>
      <c r="AD935" s="147"/>
      <c r="AE935" s="147"/>
      <c r="AF935" s="147"/>
      <c r="AG935" s="147"/>
    </row>
    <row r="936">
      <c r="A936" s="147"/>
      <c r="B936" s="147"/>
      <c r="C936" s="147"/>
      <c r="D936" s="147"/>
      <c r="E936" s="147"/>
      <c r="F936" s="205"/>
      <c r="G936" s="147"/>
      <c r="H936" s="147"/>
      <c r="I936" s="147"/>
      <c r="J936" s="147"/>
      <c r="K936" s="147"/>
      <c r="L936" s="147"/>
      <c r="M936" s="147"/>
      <c r="N936" s="147"/>
      <c r="O936" s="147"/>
      <c r="P936" s="147"/>
      <c r="Q936" s="147"/>
      <c r="R936" s="147"/>
      <c r="S936" s="147"/>
      <c r="T936" s="147"/>
      <c r="U936" s="147"/>
      <c r="V936" s="147"/>
      <c r="W936" s="147"/>
      <c r="X936" s="147"/>
      <c r="Y936" s="147"/>
      <c r="Z936" s="147"/>
      <c r="AA936" s="147"/>
      <c r="AB936" s="147"/>
      <c r="AC936" s="147"/>
      <c r="AD936" s="147"/>
      <c r="AE936" s="147"/>
      <c r="AF936" s="147"/>
      <c r="AG936" s="147"/>
    </row>
    <row r="937">
      <c r="A937" s="147"/>
      <c r="B937" s="147"/>
      <c r="C937" s="147"/>
      <c r="D937" s="147"/>
      <c r="E937" s="147"/>
      <c r="F937" s="205"/>
      <c r="G937" s="147"/>
      <c r="H937" s="147"/>
      <c r="I937" s="147"/>
      <c r="J937" s="147"/>
      <c r="K937" s="147"/>
      <c r="L937" s="147"/>
      <c r="M937" s="147"/>
      <c r="N937" s="147"/>
      <c r="O937" s="147"/>
      <c r="P937" s="147"/>
      <c r="Q937" s="147"/>
      <c r="R937" s="147"/>
      <c r="S937" s="147"/>
      <c r="T937" s="147"/>
      <c r="U937" s="147"/>
      <c r="V937" s="147"/>
      <c r="W937" s="147"/>
      <c r="X937" s="147"/>
      <c r="Y937" s="147"/>
      <c r="Z937" s="147"/>
      <c r="AA937" s="147"/>
      <c r="AB937" s="147"/>
      <c r="AC937" s="147"/>
      <c r="AD937" s="147"/>
      <c r="AE937" s="147"/>
      <c r="AF937" s="147"/>
      <c r="AG937" s="147"/>
    </row>
    <row r="938">
      <c r="A938" s="147"/>
      <c r="B938" s="147"/>
      <c r="C938" s="147"/>
      <c r="D938" s="147"/>
      <c r="E938" s="147"/>
      <c r="F938" s="205"/>
      <c r="G938" s="147"/>
      <c r="H938" s="147"/>
      <c r="I938" s="147"/>
      <c r="J938" s="147"/>
      <c r="K938" s="147"/>
      <c r="L938" s="147"/>
      <c r="M938" s="147"/>
      <c r="N938" s="147"/>
      <c r="O938" s="147"/>
      <c r="P938" s="147"/>
      <c r="Q938" s="147"/>
      <c r="R938" s="147"/>
      <c r="S938" s="147"/>
      <c r="T938" s="147"/>
      <c r="U938" s="147"/>
      <c r="V938" s="147"/>
      <c r="W938" s="147"/>
      <c r="X938" s="147"/>
      <c r="Y938" s="147"/>
      <c r="Z938" s="147"/>
      <c r="AA938" s="147"/>
      <c r="AB938" s="147"/>
      <c r="AC938" s="147"/>
      <c r="AD938" s="147"/>
      <c r="AE938" s="147"/>
      <c r="AF938" s="147"/>
      <c r="AG938" s="147"/>
    </row>
    <row r="939">
      <c r="A939" s="147"/>
      <c r="B939" s="147"/>
      <c r="C939" s="147"/>
      <c r="D939" s="147"/>
      <c r="E939" s="147"/>
      <c r="F939" s="205"/>
      <c r="G939" s="147"/>
      <c r="H939" s="147"/>
      <c r="I939" s="147"/>
      <c r="J939" s="147"/>
      <c r="K939" s="147"/>
      <c r="L939" s="147"/>
      <c r="M939" s="147"/>
      <c r="N939" s="147"/>
      <c r="O939" s="147"/>
      <c r="P939" s="147"/>
      <c r="Q939" s="147"/>
      <c r="R939" s="147"/>
      <c r="S939" s="147"/>
      <c r="T939" s="147"/>
      <c r="U939" s="147"/>
      <c r="V939" s="147"/>
      <c r="W939" s="147"/>
      <c r="X939" s="147"/>
      <c r="Y939" s="147"/>
      <c r="Z939" s="147"/>
      <c r="AA939" s="147"/>
      <c r="AB939" s="147"/>
      <c r="AC939" s="147"/>
      <c r="AD939" s="147"/>
      <c r="AE939" s="147"/>
      <c r="AF939" s="147"/>
      <c r="AG939" s="147"/>
    </row>
    <row r="940">
      <c r="A940" s="147"/>
      <c r="B940" s="147"/>
      <c r="C940" s="147"/>
      <c r="D940" s="147"/>
      <c r="E940" s="147"/>
      <c r="F940" s="205"/>
      <c r="G940" s="147"/>
      <c r="H940" s="147"/>
      <c r="I940" s="147"/>
      <c r="J940" s="147"/>
      <c r="K940" s="147"/>
      <c r="L940" s="147"/>
      <c r="M940" s="147"/>
      <c r="N940" s="147"/>
      <c r="O940" s="147"/>
      <c r="P940" s="147"/>
      <c r="Q940" s="147"/>
      <c r="R940" s="147"/>
      <c r="S940" s="147"/>
      <c r="T940" s="147"/>
      <c r="U940" s="147"/>
      <c r="V940" s="147"/>
      <c r="W940" s="147"/>
      <c r="X940" s="147"/>
      <c r="Y940" s="147"/>
      <c r="Z940" s="147"/>
      <c r="AA940" s="147"/>
      <c r="AB940" s="147"/>
      <c r="AC940" s="147"/>
      <c r="AD940" s="147"/>
      <c r="AE940" s="147"/>
      <c r="AF940" s="147"/>
      <c r="AG940" s="147"/>
    </row>
    <row r="941">
      <c r="A941" s="147"/>
      <c r="B941" s="147"/>
      <c r="C941" s="147"/>
      <c r="D941" s="147"/>
      <c r="E941" s="147"/>
      <c r="F941" s="205"/>
      <c r="G941" s="147"/>
      <c r="H941" s="147"/>
      <c r="I941" s="147"/>
      <c r="J941" s="147"/>
      <c r="K941" s="147"/>
      <c r="L941" s="147"/>
      <c r="M941" s="147"/>
      <c r="N941" s="147"/>
      <c r="O941" s="147"/>
      <c r="P941" s="147"/>
      <c r="Q941" s="147"/>
      <c r="R941" s="147"/>
      <c r="S941" s="147"/>
      <c r="T941" s="147"/>
      <c r="U941" s="147"/>
      <c r="V941" s="147"/>
      <c r="W941" s="147"/>
      <c r="X941" s="147"/>
      <c r="Y941" s="147"/>
      <c r="Z941" s="147"/>
      <c r="AA941" s="147"/>
      <c r="AB941" s="147"/>
      <c r="AC941" s="147"/>
      <c r="AD941" s="147"/>
      <c r="AE941" s="147"/>
      <c r="AF941" s="147"/>
      <c r="AG941" s="147"/>
    </row>
    <row r="942">
      <c r="A942" s="147"/>
      <c r="B942" s="147"/>
      <c r="C942" s="147"/>
      <c r="D942" s="147"/>
      <c r="E942" s="147"/>
      <c r="F942" s="205"/>
      <c r="G942" s="147"/>
      <c r="H942" s="147"/>
      <c r="I942" s="147"/>
      <c r="J942" s="147"/>
      <c r="K942" s="147"/>
      <c r="L942" s="147"/>
      <c r="M942" s="147"/>
      <c r="N942" s="147"/>
      <c r="O942" s="147"/>
      <c r="P942" s="147"/>
      <c r="Q942" s="147"/>
      <c r="R942" s="147"/>
      <c r="S942" s="147"/>
      <c r="T942" s="147"/>
      <c r="U942" s="147"/>
      <c r="V942" s="147"/>
      <c r="W942" s="147"/>
      <c r="X942" s="147"/>
      <c r="Y942" s="147"/>
      <c r="Z942" s="147"/>
      <c r="AA942" s="147"/>
      <c r="AB942" s="147"/>
      <c r="AC942" s="147"/>
      <c r="AD942" s="147"/>
      <c r="AE942" s="147"/>
      <c r="AF942" s="147"/>
      <c r="AG942" s="147"/>
    </row>
    <row r="943">
      <c r="A943" s="147"/>
      <c r="B943" s="147"/>
      <c r="C943" s="147"/>
      <c r="D943" s="147"/>
      <c r="E943" s="147"/>
      <c r="F943" s="205"/>
      <c r="G943" s="147"/>
      <c r="H943" s="147"/>
      <c r="I943" s="147"/>
      <c r="J943" s="147"/>
      <c r="K943" s="147"/>
      <c r="L943" s="147"/>
      <c r="M943" s="147"/>
      <c r="N943" s="147"/>
      <c r="O943" s="147"/>
      <c r="P943" s="147"/>
      <c r="Q943" s="147"/>
      <c r="R943" s="147"/>
      <c r="S943" s="147"/>
      <c r="T943" s="147"/>
      <c r="U943" s="147"/>
      <c r="V943" s="147"/>
      <c r="W943" s="147"/>
      <c r="X943" s="147"/>
      <c r="Y943" s="147"/>
      <c r="Z943" s="147"/>
      <c r="AA943" s="147"/>
      <c r="AB943" s="147"/>
      <c r="AC943" s="147"/>
      <c r="AD943" s="147"/>
      <c r="AE943" s="147"/>
      <c r="AF943" s="147"/>
      <c r="AG943" s="147"/>
    </row>
    <row r="944">
      <c r="A944" s="147"/>
      <c r="B944" s="147"/>
      <c r="C944" s="147"/>
      <c r="D944" s="147"/>
      <c r="E944" s="147"/>
      <c r="F944" s="205"/>
      <c r="G944" s="147"/>
      <c r="H944" s="147"/>
      <c r="I944" s="147"/>
      <c r="J944" s="147"/>
      <c r="K944" s="147"/>
      <c r="L944" s="147"/>
      <c r="M944" s="147"/>
      <c r="N944" s="147"/>
      <c r="O944" s="147"/>
      <c r="P944" s="147"/>
      <c r="Q944" s="147"/>
      <c r="R944" s="147"/>
      <c r="S944" s="147"/>
      <c r="T944" s="147"/>
      <c r="U944" s="147"/>
      <c r="V944" s="147"/>
      <c r="W944" s="147"/>
      <c r="X944" s="147"/>
      <c r="Y944" s="147"/>
      <c r="Z944" s="147"/>
      <c r="AA944" s="147"/>
      <c r="AB944" s="147"/>
      <c r="AC944" s="147"/>
      <c r="AD944" s="147"/>
      <c r="AE944" s="147"/>
      <c r="AF944" s="147"/>
      <c r="AG944" s="147"/>
    </row>
    <row r="945">
      <c r="A945" s="147"/>
      <c r="B945" s="147"/>
      <c r="C945" s="147"/>
      <c r="D945" s="147"/>
      <c r="E945" s="147"/>
      <c r="F945" s="205"/>
      <c r="G945" s="147"/>
      <c r="H945" s="147"/>
      <c r="I945" s="147"/>
      <c r="J945" s="147"/>
      <c r="K945" s="147"/>
      <c r="L945" s="147"/>
      <c r="M945" s="147"/>
      <c r="N945" s="147"/>
      <c r="O945" s="147"/>
      <c r="P945" s="147"/>
      <c r="Q945" s="147"/>
      <c r="R945" s="147"/>
      <c r="S945" s="147"/>
      <c r="T945" s="147"/>
      <c r="U945" s="147"/>
      <c r="V945" s="147"/>
      <c r="W945" s="147"/>
      <c r="X945" s="147"/>
      <c r="Y945" s="147"/>
      <c r="Z945" s="147"/>
      <c r="AA945" s="147"/>
      <c r="AB945" s="147"/>
      <c r="AC945" s="147"/>
      <c r="AD945" s="147"/>
      <c r="AE945" s="147"/>
      <c r="AF945" s="147"/>
      <c r="AG945" s="147"/>
    </row>
    <row r="946">
      <c r="A946" s="147"/>
      <c r="B946" s="147"/>
      <c r="C946" s="147"/>
      <c r="D946" s="147"/>
      <c r="E946" s="147"/>
      <c r="F946" s="205"/>
      <c r="G946" s="147"/>
      <c r="H946" s="147"/>
      <c r="I946" s="147"/>
      <c r="J946" s="147"/>
      <c r="K946" s="147"/>
      <c r="L946" s="147"/>
      <c r="M946" s="147"/>
      <c r="N946" s="147"/>
      <c r="O946" s="147"/>
      <c r="P946" s="147"/>
      <c r="Q946" s="147"/>
      <c r="R946" s="147"/>
      <c r="S946" s="147"/>
      <c r="T946" s="147"/>
      <c r="U946" s="147"/>
      <c r="V946" s="147"/>
      <c r="W946" s="147"/>
      <c r="X946" s="147"/>
      <c r="Y946" s="147"/>
      <c r="Z946" s="147"/>
      <c r="AA946" s="147"/>
      <c r="AB946" s="147"/>
      <c r="AC946" s="147"/>
      <c r="AD946" s="147"/>
      <c r="AE946" s="147"/>
      <c r="AF946" s="147"/>
      <c r="AG946" s="147"/>
    </row>
    <row r="947">
      <c r="A947" s="147"/>
      <c r="B947" s="147"/>
      <c r="C947" s="147"/>
      <c r="D947" s="147"/>
      <c r="E947" s="147"/>
      <c r="F947" s="205"/>
      <c r="G947" s="147"/>
      <c r="H947" s="147"/>
      <c r="I947" s="147"/>
      <c r="J947" s="147"/>
      <c r="K947" s="147"/>
      <c r="L947" s="147"/>
      <c r="M947" s="147"/>
      <c r="N947" s="147"/>
      <c r="O947" s="147"/>
      <c r="P947" s="147"/>
      <c r="Q947" s="147"/>
      <c r="R947" s="147"/>
      <c r="S947" s="147"/>
      <c r="T947" s="147"/>
      <c r="U947" s="147"/>
      <c r="V947" s="147"/>
      <c r="W947" s="147"/>
      <c r="X947" s="147"/>
      <c r="Y947" s="147"/>
      <c r="Z947" s="147"/>
      <c r="AA947" s="147"/>
      <c r="AB947" s="147"/>
      <c r="AC947" s="147"/>
      <c r="AD947" s="147"/>
      <c r="AE947" s="147"/>
      <c r="AF947" s="147"/>
      <c r="AG947" s="147"/>
    </row>
    <row r="948">
      <c r="A948" s="147"/>
      <c r="B948" s="147"/>
      <c r="C948" s="147"/>
      <c r="D948" s="147"/>
      <c r="E948" s="147"/>
      <c r="F948" s="205"/>
      <c r="G948" s="147"/>
      <c r="H948" s="147"/>
      <c r="I948" s="147"/>
      <c r="J948" s="147"/>
      <c r="K948" s="147"/>
      <c r="L948" s="147"/>
      <c r="M948" s="147"/>
      <c r="N948" s="147"/>
      <c r="O948" s="147"/>
      <c r="P948" s="147"/>
      <c r="Q948" s="147"/>
      <c r="R948" s="147"/>
      <c r="S948" s="147"/>
      <c r="T948" s="147"/>
      <c r="U948" s="147"/>
      <c r="V948" s="147"/>
      <c r="W948" s="147"/>
      <c r="X948" s="147"/>
      <c r="Y948" s="147"/>
      <c r="Z948" s="147"/>
      <c r="AA948" s="147"/>
      <c r="AB948" s="147"/>
      <c r="AC948" s="147"/>
      <c r="AD948" s="147"/>
      <c r="AE948" s="147"/>
      <c r="AF948" s="147"/>
      <c r="AG948" s="147"/>
    </row>
    <row r="949">
      <c r="A949" s="147"/>
      <c r="B949" s="147"/>
      <c r="C949" s="147"/>
      <c r="D949" s="147"/>
      <c r="E949" s="147"/>
      <c r="F949" s="205"/>
      <c r="G949" s="147"/>
      <c r="H949" s="147"/>
      <c r="I949" s="147"/>
      <c r="J949" s="147"/>
      <c r="K949" s="147"/>
      <c r="L949" s="147"/>
      <c r="M949" s="147"/>
      <c r="N949" s="147"/>
      <c r="O949" s="147"/>
      <c r="P949" s="147"/>
      <c r="Q949" s="147"/>
      <c r="R949" s="147"/>
      <c r="S949" s="147"/>
      <c r="T949" s="147"/>
      <c r="U949" s="147"/>
      <c r="V949" s="147"/>
      <c r="W949" s="147"/>
      <c r="X949" s="147"/>
      <c r="Y949" s="147"/>
      <c r="Z949" s="147"/>
      <c r="AA949" s="147"/>
      <c r="AB949" s="147"/>
      <c r="AC949" s="147"/>
      <c r="AD949" s="147"/>
      <c r="AE949" s="147"/>
      <c r="AF949" s="147"/>
      <c r="AG949" s="147"/>
    </row>
    <row r="950">
      <c r="A950" s="147"/>
      <c r="B950" s="147"/>
      <c r="C950" s="147"/>
      <c r="D950" s="147"/>
      <c r="E950" s="147"/>
      <c r="F950" s="205"/>
      <c r="G950" s="147"/>
      <c r="H950" s="147"/>
      <c r="I950" s="147"/>
      <c r="J950" s="147"/>
      <c r="K950" s="147"/>
      <c r="L950" s="147"/>
      <c r="M950" s="147"/>
      <c r="N950" s="147"/>
      <c r="O950" s="147"/>
      <c r="P950" s="147"/>
      <c r="Q950" s="147"/>
      <c r="R950" s="147"/>
      <c r="S950" s="147"/>
      <c r="T950" s="147"/>
      <c r="U950" s="147"/>
      <c r="V950" s="147"/>
      <c r="W950" s="147"/>
      <c r="X950" s="147"/>
      <c r="Y950" s="147"/>
      <c r="Z950" s="147"/>
      <c r="AA950" s="147"/>
      <c r="AB950" s="147"/>
      <c r="AC950" s="147"/>
      <c r="AD950" s="147"/>
      <c r="AE950" s="147"/>
      <c r="AF950" s="147"/>
      <c r="AG950" s="147"/>
    </row>
    <row r="951">
      <c r="A951" s="147"/>
      <c r="B951" s="147"/>
      <c r="C951" s="147"/>
      <c r="D951" s="147"/>
      <c r="E951" s="147"/>
      <c r="F951" s="205"/>
      <c r="G951" s="147"/>
      <c r="H951" s="147"/>
      <c r="I951" s="147"/>
      <c r="J951" s="147"/>
      <c r="K951" s="147"/>
      <c r="L951" s="147"/>
      <c r="M951" s="147"/>
      <c r="N951" s="147"/>
      <c r="O951" s="147"/>
      <c r="P951" s="147"/>
      <c r="Q951" s="147"/>
      <c r="R951" s="147"/>
      <c r="S951" s="147"/>
      <c r="T951" s="147"/>
      <c r="U951" s="147"/>
      <c r="V951" s="147"/>
      <c r="W951" s="147"/>
      <c r="X951" s="147"/>
      <c r="Y951" s="147"/>
      <c r="Z951" s="147"/>
      <c r="AA951" s="147"/>
      <c r="AB951" s="147"/>
      <c r="AC951" s="147"/>
      <c r="AD951" s="147"/>
      <c r="AE951" s="147"/>
      <c r="AF951" s="147"/>
      <c r="AG951" s="147"/>
    </row>
    <row r="952">
      <c r="A952" s="147"/>
      <c r="B952" s="147"/>
      <c r="C952" s="147"/>
      <c r="D952" s="147"/>
      <c r="E952" s="147"/>
      <c r="F952" s="205"/>
      <c r="G952" s="147"/>
      <c r="H952" s="147"/>
      <c r="I952" s="147"/>
      <c r="J952" s="147"/>
      <c r="K952" s="147"/>
      <c r="L952" s="147"/>
      <c r="M952" s="147"/>
      <c r="N952" s="147"/>
      <c r="O952" s="147"/>
      <c r="P952" s="147"/>
      <c r="Q952" s="147"/>
      <c r="R952" s="147"/>
      <c r="S952" s="147"/>
      <c r="T952" s="147"/>
      <c r="U952" s="147"/>
      <c r="V952" s="147"/>
      <c r="W952" s="147"/>
      <c r="X952" s="147"/>
      <c r="Y952" s="147"/>
      <c r="Z952" s="147"/>
      <c r="AA952" s="147"/>
      <c r="AB952" s="147"/>
      <c r="AC952" s="147"/>
      <c r="AD952" s="147"/>
      <c r="AE952" s="147"/>
      <c r="AF952" s="147"/>
      <c r="AG952" s="147"/>
    </row>
    <row r="953">
      <c r="A953" s="147"/>
      <c r="B953" s="147"/>
      <c r="C953" s="147"/>
      <c r="D953" s="147"/>
      <c r="E953" s="147"/>
      <c r="F953" s="205"/>
      <c r="G953" s="147"/>
      <c r="H953" s="147"/>
      <c r="I953" s="147"/>
      <c r="J953" s="147"/>
      <c r="K953" s="147"/>
      <c r="L953" s="147"/>
      <c r="M953" s="147"/>
      <c r="N953" s="147"/>
      <c r="O953" s="147"/>
      <c r="P953" s="147"/>
      <c r="Q953" s="147"/>
      <c r="R953" s="147"/>
      <c r="S953" s="147"/>
      <c r="T953" s="147"/>
      <c r="U953" s="147"/>
      <c r="V953" s="147"/>
      <c r="W953" s="147"/>
      <c r="X953" s="147"/>
      <c r="Y953" s="147"/>
      <c r="Z953" s="147"/>
      <c r="AA953" s="147"/>
      <c r="AB953" s="147"/>
      <c r="AC953" s="147"/>
      <c r="AD953" s="147"/>
      <c r="AE953" s="147"/>
      <c r="AF953" s="147"/>
      <c r="AG953" s="147"/>
    </row>
    <row r="954">
      <c r="A954" s="147"/>
      <c r="B954" s="147"/>
      <c r="C954" s="147"/>
      <c r="D954" s="147"/>
      <c r="E954" s="147"/>
      <c r="F954" s="205"/>
      <c r="G954" s="147"/>
      <c r="H954" s="147"/>
      <c r="I954" s="147"/>
      <c r="J954" s="147"/>
      <c r="K954" s="147"/>
      <c r="L954" s="147"/>
      <c r="M954" s="147"/>
      <c r="N954" s="147"/>
      <c r="O954" s="147"/>
      <c r="P954" s="147"/>
      <c r="Q954" s="147"/>
      <c r="R954" s="147"/>
      <c r="S954" s="147"/>
      <c r="T954" s="147"/>
      <c r="U954" s="147"/>
      <c r="V954" s="147"/>
      <c r="W954" s="147"/>
      <c r="X954" s="147"/>
      <c r="Y954" s="147"/>
      <c r="Z954" s="147"/>
      <c r="AA954" s="147"/>
      <c r="AB954" s="147"/>
      <c r="AC954" s="147"/>
      <c r="AD954" s="147"/>
      <c r="AE954" s="147"/>
      <c r="AF954" s="147"/>
      <c r="AG954" s="147"/>
    </row>
    <row r="955">
      <c r="A955" s="147"/>
      <c r="B955" s="147"/>
      <c r="C955" s="147"/>
      <c r="D955" s="147"/>
      <c r="E955" s="147"/>
      <c r="F955" s="205"/>
      <c r="G955" s="147"/>
      <c r="H955" s="147"/>
      <c r="I955" s="147"/>
      <c r="J955" s="147"/>
      <c r="K955" s="147"/>
      <c r="L955" s="147"/>
      <c r="M955" s="147"/>
      <c r="N955" s="147"/>
      <c r="O955" s="147"/>
      <c r="P955" s="147"/>
      <c r="Q955" s="147"/>
      <c r="R955" s="147"/>
      <c r="S955" s="147"/>
      <c r="T955" s="147"/>
      <c r="U955" s="147"/>
      <c r="V955" s="147"/>
      <c r="W955" s="147"/>
      <c r="X955" s="147"/>
      <c r="Y955" s="147"/>
      <c r="Z955" s="147"/>
      <c r="AA955" s="147"/>
      <c r="AB955" s="147"/>
      <c r="AC955" s="147"/>
      <c r="AD955" s="147"/>
      <c r="AE955" s="147"/>
      <c r="AF955" s="147"/>
      <c r="AG955" s="147"/>
    </row>
    <row r="956">
      <c r="A956" s="147"/>
      <c r="B956" s="147"/>
      <c r="C956" s="147"/>
      <c r="D956" s="147"/>
      <c r="E956" s="147"/>
      <c r="F956" s="205"/>
      <c r="G956" s="147"/>
      <c r="H956" s="147"/>
      <c r="I956" s="147"/>
      <c r="J956" s="147"/>
      <c r="K956" s="147"/>
      <c r="L956" s="147"/>
      <c r="M956" s="147"/>
      <c r="N956" s="147"/>
      <c r="O956" s="147"/>
      <c r="P956" s="147"/>
      <c r="Q956" s="147"/>
      <c r="R956" s="147"/>
      <c r="S956" s="147"/>
      <c r="T956" s="147"/>
      <c r="U956" s="147"/>
      <c r="V956" s="147"/>
      <c r="W956" s="147"/>
      <c r="X956" s="147"/>
      <c r="Y956" s="147"/>
      <c r="Z956" s="147"/>
      <c r="AA956" s="147"/>
      <c r="AB956" s="147"/>
      <c r="AC956" s="147"/>
      <c r="AD956" s="147"/>
      <c r="AE956" s="147"/>
      <c r="AF956" s="147"/>
      <c r="AG956" s="147"/>
    </row>
    <row r="957">
      <c r="A957" s="147"/>
      <c r="B957" s="147"/>
      <c r="C957" s="147"/>
      <c r="D957" s="147"/>
      <c r="E957" s="147"/>
      <c r="F957" s="205"/>
      <c r="G957" s="147"/>
      <c r="H957" s="147"/>
      <c r="I957" s="147"/>
      <c r="J957" s="147"/>
      <c r="K957" s="147"/>
      <c r="L957" s="147"/>
      <c r="M957" s="147"/>
      <c r="N957" s="147"/>
      <c r="O957" s="147"/>
      <c r="P957" s="147"/>
      <c r="Q957" s="147"/>
      <c r="R957" s="147"/>
      <c r="S957" s="147"/>
      <c r="T957" s="147"/>
      <c r="U957" s="147"/>
      <c r="V957" s="147"/>
      <c r="W957" s="147"/>
      <c r="X957" s="147"/>
      <c r="Y957" s="147"/>
      <c r="Z957" s="147"/>
      <c r="AA957" s="147"/>
      <c r="AB957" s="147"/>
      <c r="AC957" s="147"/>
      <c r="AD957" s="147"/>
      <c r="AE957" s="147"/>
      <c r="AF957" s="147"/>
      <c r="AG957" s="147"/>
    </row>
    <row r="958">
      <c r="A958" s="147"/>
      <c r="B958" s="147"/>
      <c r="C958" s="147"/>
      <c r="D958" s="147"/>
      <c r="E958" s="147"/>
      <c r="F958" s="205"/>
      <c r="G958" s="147"/>
      <c r="H958" s="147"/>
      <c r="I958" s="147"/>
      <c r="J958" s="147"/>
      <c r="K958" s="147"/>
      <c r="L958" s="147"/>
      <c r="M958" s="147"/>
      <c r="N958" s="147"/>
      <c r="O958" s="147"/>
      <c r="P958" s="147"/>
      <c r="Q958" s="147"/>
      <c r="R958" s="147"/>
      <c r="S958" s="147"/>
      <c r="T958" s="147"/>
      <c r="U958" s="147"/>
      <c r="V958" s="147"/>
      <c r="W958" s="147"/>
      <c r="X958" s="147"/>
      <c r="Y958" s="147"/>
      <c r="Z958" s="147"/>
      <c r="AA958" s="147"/>
      <c r="AB958" s="147"/>
      <c r="AC958" s="147"/>
      <c r="AD958" s="147"/>
      <c r="AE958" s="147"/>
      <c r="AF958" s="147"/>
      <c r="AG958" s="147"/>
    </row>
    <row r="959">
      <c r="A959" s="147"/>
      <c r="B959" s="147"/>
      <c r="C959" s="147"/>
      <c r="D959" s="147"/>
      <c r="E959" s="147"/>
      <c r="F959" s="205"/>
      <c r="G959" s="147"/>
      <c r="H959" s="147"/>
      <c r="I959" s="147"/>
      <c r="J959" s="147"/>
      <c r="K959" s="147"/>
      <c r="L959" s="147"/>
      <c r="M959" s="147"/>
      <c r="N959" s="147"/>
      <c r="O959" s="147"/>
      <c r="P959" s="147"/>
      <c r="Q959" s="147"/>
      <c r="R959" s="147"/>
      <c r="S959" s="147"/>
      <c r="T959" s="147"/>
      <c r="U959" s="147"/>
      <c r="V959" s="147"/>
      <c r="W959" s="147"/>
      <c r="X959" s="147"/>
      <c r="Y959" s="147"/>
      <c r="Z959" s="147"/>
      <c r="AA959" s="147"/>
      <c r="AB959" s="147"/>
      <c r="AC959" s="147"/>
      <c r="AD959" s="147"/>
      <c r="AE959" s="147"/>
      <c r="AF959" s="147"/>
      <c r="AG959" s="147"/>
    </row>
    <row r="960">
      <c r="A960" s="147"/>
      <c r="B960" s="147"/>
      <c r="C960" s="147"/>
      <c r="D960" s="147"/>
      <c r="E960" s="147"/>
      <c r="F960" s="205"/>
      <c r="G960" s="147"/>
      <c r="H960" s="147"/>
      <c r="I960" s="147"/>
      <c r="J960" s="147"/>
      <c r="K960" s="147"/>
      <c r="L960" s="147"/>
      <c r="M960" s="147"/>
      <c r="N960" s="147"/>
      <c r="O960" s="147"/>
      <c r="P960" s="147"/>
      <c r="Q960" s="147"/>
      <c r="R960" s="147"/>
      <c r="S960" s="147"/>
      <c r="T960" s="147"/>
      <c r="U960" s="147"/>
      <c r="V960" s="147"/>
      <c r="W960" s="147"/>
      <c r="X960" s="147"/>
      <c r="Y960" s="147"/>
      <c r="Z960" s="147"/>
      <c r="AA960" s="147"/>
      <c r="AB960" s="147"/>
      <c r="AC960" s="147"/>
      <c r="AD960" s="147"/>
      <c r="AE960" s="147"/>
      <c r="AF960" s="147"/>
      <c r="AG960" s="147"/>
    </row>
    <row r="961">
      <c r="A961" s="147"/>
      <c r="B961" s="147"/>
      <c r="C961" s="147"/>
      <c r="D961" s="147"/>
      <c r="E961" s="147"/>
      <c r="F961" s="205"/>
      <c r="G961" s="147"/>
      <c r="H961" s="147"/>
      <c r="I961" s="147"/>
      <c r="J961" s="147"/>
      <c r="K961" s="147"/>
      <c r="L961" s="147"/>
      <c r="M961" s="147"/>
      <c r="N961" s="147"/>
      <c r="O961" s="147"/>
      <c r="P961" s="147"/>
      <c r="Q961" s="147"/>
      <c r="R961" s="147"/>
      <c r="S961" s="147"/>
      <c r="T961" s="147"/>
      <c r="U961" s="147"/>
      <c r="V961" s="147"/>
      <c r="W961" s="147"/>
      <c r="X961" s="147"/>
      <c r="Y961" s="147"/>
      <c r="Z961" s="147"/>
      <c r="AA961" s="147"/>
      <c r="AB961" s="147"/>
      <c r="AC961" s="147"/>
      <c r="AD961" s="147"/>
      <c r="AE961" s="147"/>
      <c r="AF961" s="147"/>
      <c r="AG961" s="147"/>
    </row>
    <row r="962">
      <c r="A962" s="147"/>
      <c r="B962" s="147"/>
      <c r="C962" s="147"/>
      <c r="D962" s="147"/>
      <c r="E962" s="147"/>
      <c r="F962" s="205"/>
      <c r="G962" s="147"/>
      <c r="H962" s="147"/>
      <c r="I962" s="147"/>
      <c r="J962" s="147"/>
      <c r="K962" s="147"/>
      <c r="L962" s="147"/>
      <c r="M962" s="147"/>
      <c r="N962" s="147"/>
      <c r="O962" s="147"/>
      <c r="P962" s="147"/>
      <c r="Q962" s="147"/>
      <c r="R962" s="147"/>
      <c r="S962" s="147"/>
      <c r="T962" s="147"/>
      <c r="U962" s="147"/>
      <c r="V962" s="147"/>
      <c r="W962" s="147"/>
      <c r="X962" s="147"/>
      <c r="Y962" s="147"/>
      <c r="Z962" s="147"/>
      <c r="AA962" s="147"/>
      <c r="AB962" s="147"/>
      <c r="AC962" s="147"/>
      <c r="AD962" s="147"/>
      <c r="AE962" s="147"/>
      <c r="AF962" s="147"/>
      <c r="AG962" s="147"/>
    </row>
  </sheetData>
  <hyperlinks>
    <hyperlink r:id="rId1" ref="E7"/>
    <hyperlink r:id="rId2" ref="E8"/>
    <hyperlink r:id="rId3" ref="E9"/>
    <hyperlink r:id="rId4" ref="E10"/>
    <hyperlink r:id="rId5" ref="E11"/>
    <hyperlink r:id="rId6" ref="E12"/>
    <hyperlink r:id="rId7" ref="E13"/>
    <hyperlink r:id="rId8" ref="E14"/>
    <hyperlink r:id="rId9" ref="E15"/>
    <hyperlink r:id="rId10" ref="E16"/>
    <hyperlink r:id="rId11" ref="E17"/>
    <hyperlink r:id="rId12" ref="E18"/>
    <hyperlink r:id="rId13" ref="E19"/>
    <hyperlink r:id="rId14" ref="E20"/>
    <hyperlink r:id="rId15" ref="E21"/>
    <hyperlink r:id="rId16" ref="E22"/>
    <hyperlink r:id="rId17" ref="E23"/>
    <hyperlink r:id="rId18" ref="E24"/>
    <hyperlink r:id="rId19" ref="E25"/>
    <hyperlink r:id="rId20" ref="E26"/>
    <hyperlink r:id="rId21" ref="E27"/>
    <hyperlink r:id="rId22" ref="E28"/>
    <hyperlink r:id="rId23" ref="E29"/>
    <hyperlink r:id="rId24" ref="E30"/>
    <hyperlink r:id="rId25" ref="E31"/>
    <hyperlink r:id="rId26" ref="E32"/>
    <hyperlink r:id="rId27" ref="E33"/>
    <hyperlink r:id="rId28" ref="E34"/>
    <hyperlink r:id="rId29" ref="E35"/>
  </hyperlinks>
  <drawing r:id="rId30"/>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2.63" defaultRowHeight="15.75"/>
  <cols>
    <col customWidth="1" min="1" max="1" width="29.63"/>
    <col customWidth="1" min="2" max="2" width="47.38"/>
    <col customWidth="1" min="3" max="3" width="38.25"/>
    <col customWidth="1" min="4" max="4" width="54.38"/>
  </cols>
  <sheetData>
    <row r="1">
      <c r="A1" s="292" t="s">
        <v>3301</v>
      </c>
      <c r="B1" s="292" t="s">
        <v>3302</v>
      </c>
      <c r="C1" s="292" t="s">
        <v>2845</v>
      </c>
      <c r="D1" s="292"/>
      <c r="E1" s="292"/>
      <c r="F1" s="292"/>
    </row>
    <row r="2">
      <c r="A2" s="293" t="s">
        <v>3303</v>
      </c>
      <c r="B2" s="294" t="s">
        <v>3304</v>
      </c>
      <c r="C2" s="293">
        <f t="shared" ref="C2:C5" si="1">countif(E:E,A2)</f>
        <v>0</v>
      </c>
      <c r="D2" s="292"/>
      <c r="E2" s="292"/>
      <c r="F2" s="292"/>
    </row>
    <row r="3">
      <c r="A3" s="293" t="s">
        <v>3305</v>
      </c>
      <c r="B3" s="293" t="s">
        <v>3306</v>
      </c>
      <c r="C3" s="293">
        <f t="shared" si="1"/>
        <v>0</v>
      </c>
      <c r="D3" s="292"/>
      <c r="E3" s="292"/>
      <c r="F3" s="292"/>
    </row>
    <row r="4">
      <c r="A4" s="293" t="s">
        <v>3307</v>
      </c>
      <c r="B4" s="294" t="s">
        <v>3308</v>
      </c>
      <c r="C4" s="293">
        <f t="shared" si="1"/>
        <v>0</v>
      </c>
      <c r="D4" s="292"/>
      <c r="E4" s="292"/>
      <c r="F4" s="292"/>
    </row>
    <row r="5">
      <c r="A5" s="293" t="s">
        <v>3309</v>
      </c>
      <c r="B5" s="294" t="s">
        <v>3310</v>
      </c>
      <c r="C5" s="293">
        <f t="shared" si="1"/>
        <v>0</v>
      </c>
      <c r="D5" s="292"/>
      <c r="E5" s="292"/>
      <c r="F5" s="292"/>
    </row>
    <row r="6">
      <c r="A6" s="292"/>
      <c r="B6" s="292"/>
      <c r="C6" s="293">
        <f>sum(C2:C5)</f>
        <v>0</v>
      </c>
      <c r="D6" s="292"/>
      <c r="E6" s="292"/>
      <c r="F6" s="292"/>
    </row>
    <row r="7">
      <c r="A7" s="292" t="s">
        <v>3311</v>
      </c>
      <c r="B7" s="292" t="s">
        <v>2924</v>
      </c>
      <c r="C7" s="292" t="s">
        <v>3312</v>
      </c>
      <c r="D7" s="292" t="s">
        <v>3313</v>
      </c>
      <c r="E7" s="292" t="s">
        <v>3314</v>
      </c>
      <c r="F7" s="292" t="s">
        <v>2843</v>
      </c>
    </row>
    <row r="8">
      <c r="A8" s="293" t="s">
        <v>3315</v>
      </c>
      <c r="B8" s="293" t="s">
        <v>3316</v>
      </c>
      <c r="C8" s="293" t="s">
        <v>3317</v>
      </c>
      <c r="D8" s="293" t="str">
        <f t="shared" ref="D8:D16" si="2">CONCATENATE(B8,char(10),C8,char(10))</f>
        <v>Exploring Political Attitudes under Selective Media Consumption with Large Language Models
Upasana Dutta
</v>
      </c>
      <c r="E8" s="143" t="s">
        <v>54</v>
      </c>
      <c r="F8" s="143" t="s">
        <v>3307</v>
      </c>
    </row>
    <row r="9">
      <c r="A9" s="293" t="s">
        <v>3318</v>
      </c>
      <c r="B9" s="293" t="s">
        <v>3319</v>
      </c>
      <c r="C9" s="293" t="s">
        <v>3320</v>
      </c>
      <c r="D9" s="293" t="str">
        <f t="shared" si="2"/>
        <v>Towards Conversational Dataset Discovery on the Web
Lisa-Yao Gan
</v>
      </c>
      <c r="E9" s="143" t="s">
        <v>54</v>
      </c>
      <c r="F9" s="143" t="s">
        <v>3305</v>
      </c>
    </row>
    <row r="10">
      <c r="A10" s="293" t="s">
        <v>3321</v>
      </c>
      <c r="B10" s="293" t="s">
        <v>3322</v>
      </c>
      <c r="C10" s="293" t="s">
        <v>3323</v>
      </c>
      <c r="D10" s="293" t="str">
        <f t="shared" si="2"/>
        <v>Foundational Representations for Efficient Retrieval of Structured Tabular Data
Inwon Kang
</v>
      </c>
      <c r="E10" s="143" t="s">
        <v>54</v>
      </c>
      <c r="F10" s="143" t="s">
        <v>3305</v>
      </c>
    </row>
    <row r="11">
      <c r="A11" s="293" t="s">
        <v>3324</v>
      </c>
      <c r="B11" s="293" t="s">
        <v>3325</v>
      </c>
      <c r="C11" s="293" t="s">
        <v>3326</v>
      </c>
      <c r="D11" s="293" t="str">
        <f t="shared" si="2"/>
        <v>How the Web Remembers Multilingual Collective Memory on Wikipedia and in Large Language Models
H. Laurie Lawson
</v>
      </c>
      <c r="E11" s="143" t="s">
        <v>54</v>
      </c>
      <c r="F11" s="143" t="s">
        <v>3307</v>
      </c>
    </row>
    <row r="12">
      <c r="A12" s="293" t="s">
        <v>3327</v>
      </c>
      <c r="B12" s="293" t="s">
        <v>3328</v>
      </c>
      <c r="C12" s="293" t="s">
        <v>3329</v>
      </c>
      <c r="D12" s="293" t="str">
        <f t="shared" si="2"/>
        <v>Can You Trust the Data Trust?
An Ning Shen
</v>
      </c>
      <c r="E12" s="143" t="s">
        <v>54</v>
      </c>
      <c r="F12" s="143" t="s">
        <v>3309</v>
      </c>
    </row>
    <row r="13">
      <c r="A13" s="293" t="s">
        <v>3330</v>
      </c>
      <c r="B13" s="293" t="s">
        <v>3331</v>
      </c>
      <c r="C13" s="293" t="s">
        <v>3332</v>
      </c>
      <c r="D13" s="293" t="str">
        <f t="shared" si="2"/>
        <v>Introducing Temporal Dynamics to Proactive Recommender Systems for Email Outreach
Čeněk Žid
</v>
      </c>
      <c r="E13" s="143" t="s">
        <v>54</v>
      </c>
      <c r="F13" s="143" t="s">
        <v>3309</v>
      </c>
    </row>
    <row r="14">
      <c r="A14" s="293" t="s">
        <v>3333</v>
      </c>
      <c r="B14" s="293" t="s">
        <v>3334</v>
      </c>
      <c r="C14" s="293" t="s">
        <v>3335</v>
      </c>
      <c r="D14" s="293" t="str">
        <f t="shared" si="2"/>
        <v>Tutoring Large Language Models to be Domain-adaptive, Precise, and Safe
Somnath Banerjee
</v>
      </c>
      <c r="E14" s="143" t="s">
        <v>2935</v>
      </c>
      <c r="F14" s="143" t="s">
        <v>3303</v>
      </c>
    </row>
    <row r="15">
      <c r="A15" s="293" t="s">
        <v>3336</v>
      </c>
      <c r="B15" s="293" t="s">
        <v>3337</v>
      </c>
      <c r="C15" s="293" t="s">
        <v>3338</v>
      </c>
      <c r="D15" s="293" t="str">
        <f t="shared" si="2"/>
        <v>LeTCC-ZK: Smooth, Verifiable Distributed Inference via Spline-Coded Computing
Ekaterina Pavlova
</v>
      </c>
      <c r="E15" s="143" t="s">
        <v>2935</v>
      </c>
      <c r="F15" s="143" t="s">
        <v>3303</v>
      </c>
    </row>
    <row r="16">
      <c r="A16" s="293" t="s">
        <v>3339</v>
      </c>
      <c r="B16" s="293" t="s">
        <v>3340</v>
      </c>
      <c r="C16" s="293" t="s">
        <v>3341</v>
      </c>
      <c r="D16" s="293" t="str">
        <f t="shared" si="2"/>
        <v>Edge-Mamba: Efficient and Robust Security Evaluation for the Web of Things via Selective State Spaces
Chenchong Du
</v>
      </c>
      <c r="E16" s="143" t="s">
        <v>2935</v>
      </c>
      <c r="F16" s="143" t="s">
        <v>3303</v>
      </c>
    </row>
    <row r="18">
      <c r="A18" s="293" t="s">
        <v>3342</v>
      </c>
      <c r="B18" s="293" t="s">
        <v>3343</v>
      </c>
      <c r="C18" s="293" t="s">
        <v>3344</v>
      </c>
      <c r="D18" s="293" t="str">
        <f>CONCATENATE(B18,char(10),C18,char(10))</f>
        <v>Constructing the Cycle of Mastery: LLM-Empowered Intelligent Tutoring for Programming Education
Junfeng Zhang
</v>
      </c>
      <c r="E18" s="143" t="s">
        <v>2935</v>
      </c>
      <c r="F18" s="143" t="s">
        <v>3305</v>
      </c>
    </row>
    <row r="25">
      <c r="A25" s="250"/>
    </row>
    <row r="26">
      <c r="A26" s="295"/>
    </row>
    <row r="27">
      <c r="A27" s="296"/>
    </row>
    <row r="28">
      <c r="A28" s="296"/>
    </row>
    <row r="29">
      <c r="A29" s="294"/>
    </row>
    <row r="30">
      <c r="A30" s="297"/>
    </row>
    <row r="31">
      <c r="A31" s="294"/>
    </row>
    <row r="32">
      <c r="A32" s="297"/>
    </row>
    <row r="33">
      <c r="A33" s="297"/>
    </row>
    <row r="34">
      <c r="A34" s="294"/>
    </row>
    <row r="35">
      <c r="A35" s="297"/>
    </row>
    <row r="36">
      <c r="A36" s="297"/>
    </row>
    <row r="37">
      <c r="A37" s="294"/>
    </row>
    <row r="38">
      <c r="A38" s="297"/>
    </row>
    <row r="39">
      <c r="A39" s="294"/>
    </row>
    <row r="40">
      <c r="A40" s="297"/>
    </row>
    <row r="41">
      <c r="A41" s="294"/>
    </row>
    <row r="42">
      <c r="A42" s="297"/>
    </row>
    <row r="43">
      <c r="A43" s="297"/>
    </row>
    <row r="44">
      <c r="A44" s="294"/>
    </row>
    <row r="45">
      <c r="A45" s="297"/>
    </row>
    <row r="46">
      <c r="A46" s="297"/>
    </row>
    <row r="47">
      <c r="A47" s="294"/>
    </row>
    <row r="48">
      <c r="A48" s="297"/>
    </row>
    <row r="49">
      <c r="A49" s="294"/>
    </row>
    <row r="50">
      <c r="A50" s="297"/>
    </row>
    <row r="51">
      <c r="A51" s="294"/>
    </row>
    <row r="52">
      <c r="A52" s="297"/>
    </row>
    <row r="53">
      <c r="A53" s="297"/>
    </row>
    <row r="54">
      <c r="A54" s="294"/>
    </row>
    <row r="55">
      <c r="A55" s="297"/>
    </row>
    <row r="56">
      <c r="A56" s="294"/>
    </row>
    <row r="57">
      <c r="A57" s="297"/>
    </row>
    <row r="58">
      <c r="A58" s="294"/>
    </row>
    <row r="59">
      <c r="A59" s="297"/>
    </row>
    <row r="60">
      <c r="A60" s="297"/>
    </row>
    <row r="61">
      <c r="A61" s="294"/>
    </row>
  </sheetData>
  <conditionalFormatting sqref="E8:F24">
    <cfRule type="cellIs" dxfId="5" priority="1" operator="equal">
      <formula>"TRUE"</formula>
    </cfRule>
  </conditionalFormatting>
  <dataValidations>
    <dataValidation type="list" allowBlank="1" showErrorMessage="1" sqref="E8:E16 E18">
      <formula1>"PhD Symposium,PhD Symposium Part 2,Canceled"</formula1>
    </dataValidation>
    <dataValidation type="list" allowBlank="1" showErrorMessage="1" sqref="F8:F16 F18">
      <formula1>"PhD1,PhD2,PhD3,PhD4"</formula1>
    </dataValidation>
  </dataValidation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3" max="3" width="65.63"/>
    <col customWidth="1" min="4" max="4" width="82.0"/>
    <col customWidth="1" min="5" max="5" width="45.75"/>
  </cols>
  <sheetData>
    <row r="1">
      <c r="A1" s="298" t="s">
        <v>2949</v>
      </c>
      <c r="B1" s="298" t="s">
        <v>3345</v>
      </c>
      <c r="C1" s="299" t="s">
        <v>2927</v>
      </c>
      <c r="D1" s="300" t="s">
        <v>3346</v>
      </c>
      <c r="E1" s="229" t="s">
        <v>3347</v>
      </c>
      <c r="F1" s="172"/>
      <c r="G1" s="172"/>
      <c r="H1" s="172"/>
      <c r="I1" s="172"/>
      <c r="J1" s="172"/>
      <c r="K1" s="172"/>
      <c r="L1" s="172"/>
      <c r="M1" s="172"/>
      <c r="N1" s="172"/>
      <c r="O1" s="172"/>
      <c r="P1" s="172"/>
      <c r="Q1" s="172"/>
      <c r="R1" s="172"/>
      <c r="S1" s="172"/>
      <c r="T1" s="172"/>
      <c r="U1" s="172"/>
      <c r="V1" s="172"/>
      <c r="W1" s="172"/>
      <c r="X1" s="172"/>
    </row>
    <row r="2">
      <c r="A2" s="143" t="s">
        <v>476</v>
      </c>
      <c r="B2" s="143">
        <v>110.0</v>
      </c>
      <c r="C2" s="143" t="s">
        <v>3348</v>
      </c>
      <c r="D2" s="143" t="s">
        <v>477</v>
      </c>
      <c r="E2" s="143" t="s">
        <v>3349</v>
      </c>
    </row>
    <row r="3">
      <c r="A3" s="143" t="s">
        <v>534</v>
      </c>
      <c r="B3" s="143">
        <v>366.0</v>
      </c>
      <c r="C3" s="143" t="s">
        <v>3350</v>
      </c>
      <c r="D3" s="143" t="s">
        <v>535</v>
      </c>
      <c r="E3" s="143" t="s">
        <v>3349</v>
      </c>
    </row>
    <row r="4">
      <c r="A4" s="143" t="s">
        <v>558</v>
      </c>
      <c r="B4" s="143">
        <v>434.0</v>
      </c>
      <c r="C4" s="143" t="s">
        <v>3351</v>
      </c>
      <c r="D4" s="143" t="s">
        <v>559</v>
      </c>
      <c r="E4" s="143" t="s">
        <v>3349</v>
      </c>
    </row>
    <row r="5">
      <c r="A5" s="143" t="s">
        <v>574</v>
      </c>
      <c r="B5" s="143">
        <v>507.0</v>
      </c>
      <c r="C5" s="143" t="s">
        <v>3352</v>
      </c>
      <c r="D5" s="143" t="s">
        <v>575</v>
      </c>
      <c r="E5" s="143" t="s">
        <v>3349</v>
      </c>
    </row>
    <row r="6">
      <c r="A6" s="143" t="s">
        <v>656</v>
      </c>
      <c r="B6" s="143">
        <v>730.0</v>
      </c>
      <c r="C6" s="143" t="s">
        <v>3353</v>
      </c>
      <c r="D6" s="143" t="s">
        <v>657</v>
      </c>
      <c r="E6" s="143" t="s">
        <v>3349</v>
      </c>
      <c r="F6" s="143" t="s">
        <v>3354</v>
      </c>
    </row>
    <row r="7">
      <c r="A7" s="143" t="s">
        <v>686</v>
      </c>
      <c r="B7" s="143">
        <v>822.0</v>
      </c>
      <c r="C7" s="143" t="s">
        <v>3355</v>
      </c>
      <c r="D7" s="143" t="s">
        <v>687</v>
      </c>
      <c r="E7" s="143" t="s">
        <v>3349</v>
      </c>
    </row>
    <row r="8">
      <c r="A8" s="143" t="s">
        <v>720</v>
      </c>
      <c r="B8" s="143">
        <v>939.0</v>
      </c>
      <c r="C8" s="143" t="s">
        <v>3356</v>
      </c>
      <c r="D8" s="143" t="s">
        <v>721</v>
      </c>
      <c r="E8" s="143" t="s">
        <v>3349</v>
      </c>
    </row>
    <row r="9">
      <c r="A9" s="143" t="s">
        <v>766</v>
      </c>
      <c r="B9" s="143">
        <v>1107.0</v>
      </c>
      <c r="C9" s="143" t="s">
        <v>3357</v>
      </c>
      <c r="D9" s="143" t="s">
        <v>767</v>
      </c>
      <c r="E9" s="143" t="s">
        <v>3349</v>
      </c>
    </row>
    <row r="10">
      <c r="A10" s="143" t="s">
        <v>832</v>
      </c>
      <c r="B10" s="143">
        <v>1225.0</v>
      </c>
      <c r="C10" s="143" t="s">
        <v>3358</v>
      </c>
      <c r="D10" s="143" t="s">
        <v>833</v>
      </c>
      <c r="E10" s="143" t="s">
        <v>3349</v>
      </c>
    </row>
    <row r="11">
      <c r="A11" s="143" t="s">
        <v>836</v>
      </c>
      <c r="B11" s="143">
        <v>1229.0</v>
      </c>
      <c r="C11" s="143" t="s">
        <v>3359</v>
      </c>
      <c r="D11" s="143" t="s">
        <v>837</v>
      </c>
      <c r="E11" s="143" t="s">
        <v>3349</v>
      </c>
    </row>
    <row r="12">
      <c r="A12" s="143" t="s">
        <v>856</v>
      </c>
      <c r="B12" s="143">
        <v>1286.0</v>
      </c>
      <c r="C12" s="143" t="s">
        <v>3360</v>
      </c>
      <c r="D12" s="143" t="s">
        <v>857</v>
      </c>
      <c r="E12" s="143" t="s">
        <v>3349</v>
      </c>
    </row>
    <row r="13">
      <c r="A13" s="143" t="s">
        <v>866</v>
      </c>
      <c r="B13" s="143">
        <v>1311.0</v>
      </c>
      <c r="C13" s="143" t="s">
        <v>3360</v>
      </c>
      <c r="D13" s="143" t="s">
        <v>867</v>
      </c>
      <c r="E13" s="143" t="s">
        <v>3349</v>
      </c>
    </row>
    <row r="14">
      <c r="A14" s="143" t="s">
        <v>916</v>
      </c>
      <c r="B14" s="143">
        <v>1455.0</v>
      </c>
      <c r="C14" s="143" t="s">
        <v>3361</v>
      </c>
      <c r="D14" s="143" t="s">
        <v>917</v>
      </c>
      <c r="E14" s="143" t="s">
        <v>3349</v>
      </c>
    </row>
    <row r="15">
      <c r="A15" s="143" t="s">
        <v>926</v>
      </c>
      <c r="B15" s="143">
        <v>1474.0</v>
      </c>
      <c r="C15" s="143" t="s">
        <v>3362</v>
      </c>
      <c r="D15" s="143" t="s">
        <v>927</v>
      </c>
      <c r="E15" s="143" t="s">
        <v>3349</v>
      </c>
    </row>
    <row r="16">
      <c r="A16" s="143" t="s">
        <v>932</v>
      </c>
      <c r="B16" s="143">
        <v>1495.0</v>
      </c>
      <c r="C16" s="143" t="s">
        <v>3363</v>
      </c>
      <c r="D16" s="143" t="s">
        <v>933</v>
      </c>
      <c r="E16" s="143" t="s">
        <v>3349</v>
      </c>
    </row>
    <row r="17">
      <c r="A17" s="143" t="s">
        <v>960</v>
      </c>
      <c r="B17" s="143">
        <v>1558.0</v>
      </c>
      <c r="C17" s="143" t="s">
        <v>3364</v>
      </c>
      <c r="D17" s="143" t="s">
        <v>961</v>
      </c>
      <c r="E17" s="143" t="s">
        <v>3349</v>
      </c>
    </row>
    <row r="18">
      <c r="A18" s="143" t="s">
        <v>1014</v>
      </c>
      <c r="B18" s="143">
        <v>1698.0</v>
      </c>
      <c r="C18" s="143" t="s">
        <v>3365</v>
      </c>
      <c r="D18" s="143" t="s">
        <v>1015</v>
      </c>
      <c r="E18" s="143" t="s">
        <v>3349</v>
      </c>
    </row>
    <row r="19">
      <c r="A19" s="143" t="s">
        <v>1052</v>
      </c>
      <c r="B19" s="143">
        <v>1825.0</v>
      </c>
      <c r="C19" s="143" t="s">
        <v>3366</v>
      </c>
      <c r="D19" s="143" t="s">
        <v>1053</v>
      </c>
      <c r="E19" s="143" t="s">
        <v>3349</v>
      </c>
    </row>
    <row r="20">
      <c r="A20" s="143" t="s">
        <v>1056</v>
      </c>
      <c r="B20" s="143">
        <v>1841.0</v>
      </c>
      <c r="C20" s="143" t="s">
        <v>3367</v>
      </c>
      <c r="D20" s="143" t="s">
        <v>1057</v>
      </c>
      <c r="E20" s="143" t="s">
        <v>3349</v>
      </c>
    </row>
    <row r="21">
      <c r="A21" s="143" t="s">
        <v>1070</v>
      </c>
      <c r="B21" s="143">
        <v>1865.0</v>
      </c>
      <c r="C21" s="143" t="s">
        <v>3368</v>
      </c>
      <c r="D21" s="143" t="s">
        <v>1071</v>
      </c>
      <c r="E21" s="143" t="s">
        <v>3349</v>
      </c>
    </row>
    <row r="22">
      <c r="A22" s="143" t="s">
        <v>1158</v>
      </c>
      <c r="B22" s="143">
        <v>2135.0</v>
      </c>
      <c r="C22" s="143" t="s">
        <v>3369</v>
      </c>
      <c r="D22" s="143" t="s">
        <v>1159</v>
      </c>
      <c r="E22" s="143" t="s">
        <v>3349</v>
      </c>
    </row>
    <row r="23">
      <c r="A23" s="143" t="s">
        <v>1208</v>
      </c>
      <c r="B23" s="143">
        <v>2292.0</v>
      </c>
      <c r="C23" s="143" t="s">
        <v>3370</v>
      </c>
      <c r="D23" s="143" t="s">
        <v>1209</v>
      </c>
      <c r="E23" s="143" t="s">
        <v>3349</v>
      </c>
    </row>
    <row r="24">
      <c r="A24" s="143" t="s">
        <v>1260</v>
      </c>
      <c r="B24" s="143">
        <v>2506.0</v>
      </c>
      <c r="C24" s="143" t="s">
        <v>3371</v>
      </c>
      <c r="D24" s="143" t="s">
        <v>1261</v>
      </c>
      <c r="E24" s="143" t="s">
        <v>3349</v>
      </c>
    </row>
    <row r="25">
      <c r="A25" s="143" t="s">
        <v>1262</v>
      </c>
      <c r="B25" s="143">
        <v>2508.0</v>
      </c>
      <c r="C25" s="143" t="s">
        <v>3372</v>
      </c>
      <c r="D25" s="143" t="s">
        <v>1263</v>
      </c>
      <c r="E25" s="143" t="s">
        <v>3349</v>
      </c>
    </row>
    <row r="26">
      <c r="A26" s="143" t="s">
        <v>1266</v>
      </c>
      <c r="B26" s="143">
        <v>2518.0</v>
      </c>
      <c r="C26" s="143" t="s">
        <v>3373</v>
      </c>
      <c r="D26" s="143" t="s">
        <v>1267</v>
      </c>
      <c r="E26" s="143" t="s">
        <v>3349</v>
      </c>
    </row>
    <row r="27">
      <c r="A27" s="143" t="s">
        <v>1272</v>
      </c>
      <c r="B27" s="143">
        <v>2539.0</v>
      </c>
      <c r="C27" s="143" t="s">
        <v>3374</v>
      </c>
      <c r="D27" s="143" t="s">
        <v>1273</v>
      </c>
      <c r="E27" s="143" t="s">
        <v>3349</v>
      </c>
    </row>
    <row r="28">
      <c r="A28" s="143" t="s">
        <v>1276</v>
      </c>
      <c r="B28" s="143">
        <v>2547.0</v>
      </c>
      <c r="C28" s="143" t="s">
        <v>3375</v>
      </c>
      <c r="D28" s="143" t="s">
        <v>1277</v>
      </c>
      <c r="E28" s="143" t="s">
        <v>3349</v>
      </c>
    </row>
    <row r="29">
      <c r="A29" s="143" t="s">
        <v>1308</v>
      </c>
      <c r="B29" s="143">
        <v>2666.0</v>
      </c>
      <c r="C29" s="143" t="s">
        <v>3376</v>
      </c>
      <c r="D29" s="143" t="s">
        <v>1309</v>
      </c>
      <c r="E29" s="143" t="s">
        <v>3349</v>
      </c>
    </row>
    <row r="30">
      <c r="A30" s="143" t="s">
        <v>1354</v>
      </c>
      <c r="B30" s="143">
        <v>2834.0</v>
      </c>
      <c r="C30" s="143" t="s">
        <v>3377</v>
      </c>
      <c r="D30" s="143" t="s">
        <v>1355</v>
      </c>
      <c r="E30" s="143" t="s">
        <v>3349</v>
      </c>
    </row>
    <row r="31">
      <c r="A31" s="143" t="s">
        <v>1496</v>
      </c>
      <c r="B31" s="143">
        <v>3242.0</v>
      </c>
      <c r="C31" s="143" t="s">
        <v>3378</v>
      </c>
      <c r="D31" s="143" t="s">
        <v>1497</v>
      </c>
      <c r="E31" s="143" t="s">
        <v>3349</v>
      </c>
    </row>
    <row r="32">
      <c r="A32" s="143" t="s">
        <v>1506</v>
      </c>
      <c r="B32" s="143">
        <v>3267.0</v>
      </c>
      <c r="C32" s="143" t="s">
        <v>3379</v>
      </c>
      <c r="D32" s="143" t="s">
        <v>1507</v>
      </c>
      <c r="E32" s="143" t="s">
        <v>3349</v>
      </c>
    </row>
    <row r="33">
      <c r="A33" s="143" t="s">
        <v>1562</v>
      </c>
      <c r="B33" s="143">
        <v>3426.0</v>
      </c>
      <c r="C33" s="143" t="s">
        <v>3380</v>
      </c>
      <c r="D33" s="143" t="s">
        <v>1563</v>
      </c>
      <c r="E33" s="143" t="s">
        <v>3349</v>
      </c>
    </row>
    <row r="34">
      <c r="A34" s="143" t="s">
        <v>1616</v>
      </c>
      <c r="B34" s="143">
        <v>3609.0</v>
      </c>
      <c r="C34" s="143" t="s">
        <v>3381</v>
      </c>
      <c r="D34" s="143" t="s">
        <v>1617</v>
      </c>
      <c r="E34" s="143" t="s">
        <v>3349</v>
      </c>
    </row>
    <row r="35">
      <c r="A35" s="143" t="s">
        <v>1660</v>
      </c>
      <c r="B35" s="143">
        <v>3786.0</v>
      </c>
      <c r="C35" s="143" t="s">
        <v>3382</v>
      </c>
      <c r="D35" s="143" t="s">
        <v>1661</v>
      </c>
      <c r="E35" s="143" t="s">
        <v>3349</v>
      </c>
    </row>
    <row r="36">
      <c r="A36" s="143" t="s">
        <v>1672</v>
      </c>
      <c r="B36" s="143">
        <v>3842.0</v>
      </c>
      <c r="C36" s="143" t="s">
        <v>3383</v>
      </c>
      <c r="D36" s="143" t="s">
        <v>1673</v>
      </c>
      <c r="E36" s="143" t="s">
        <v>3349</v>
      </c>
    </row>
    <row r="37">
      <c r="A37" s="143" t="s">
        <v>1796</v>
      </c>
      <c r="B37" s="143">
        <v>4490.0</v>
      </c>
      <c r="C37" s="143" t="s">
        <v>3384</v>
      </c>
      <c r="D37" s="143" t="s">
        <v>1797</v>
      </c>
      <c r="E37" s="143" t="s">
        <v>3349</v>
      </c>
    </row>
    <row r="38">
      <c r="A38" s="143" t="s">
        <v>460</v>
      </c>
      <c r="B38" s="143">
        <v>27.0</v>
      </c>
      <c r="C38" s="143" t="s">
        <v>3385</v>
      </c>
      <c r="D38" s="143" t="s">
        <v>461</v>
      </c>
      <c r="E38" s="143" t="s">
        <v>3386</v>
      </c>
    </row>
    <row r="39">
      <c r="A39" s="143" t="s">
        <v>470</v>
      </c>
      <c r="B39" s="143">
        <v>68.0</v>
      </c>
      <c r="C39" s="143" t="s">
        <v>3387</v>
      </c>
      <c r="D39" s="143" t="s">
        <v>471</v>
      </c>
      <c r="E39" s="143" t="s">
        <v>3386</v>
      </c>
    </row>
    <row r="40">
      <c r="A40" s="143" t="s">
        <v>474</v>
      </c>
      <c r="B40" s="143">
        <v>109.0</v>
      </c>
      <c r="C40" s="143" t="s">
        <v>3388</v>
      </c>
      <c r="D40" s="143" t="s">
        <v>475</v>
      </c>
      <c r="E40" s="143" t="s">
        <v>3386</v>
      </c>
    </row>
    <row r="41">
      <c r="A41" s="143" t="s">
        <v>492</v>
      </c>
      <c r="B41" s="143">
        <v>161.0</v>
      </c>
      <c r="C41" s="143" t="s">
        <v>3389</v>
      </c>
      <c r="D41" s="143" t="s">
        <v>493</v>
      </c>
      <c r="E41" s="143" t="s">
        <v>3386</v>
      </c>
    </row>
    <row r="42">
      <c r="A42" s="143" t="s">
        <v>496</v>
      </c>
      <c r="B42" s="143">
        <v>199.0</v>
      </c>
      <c r="C42" s="143" t="s">
        <v>3390</v>
      </c>
      <c r="D42" s="143" t="s">
        <v>497</v>
      </c>
      <c r="E42" s="143" t="s">
        <v>3386</v>
      </c>
    </row>
    <row r="43">
      <c r="A43" s="143" t="s">
        <v>498</v>
      </c>
      <c r="B43" s="143">
        <v>207.0</v>
      </c>
      <c r="C43" s="143" t="s">
        <v>3391</v>
      </c>
      <c r="D43" s="143" t="s">
        <v>499</v>
      </c>
      <c r="E43" s="143" t="s">
        <v>3386</v>
      </c>
    </row>
    <row r="44">
      <c r="A44" s="143" t="s">
        <v>518</v>
      </c>
      <c r="B44" s="143">
        <v>296.0</v>
      </c>
      <c r="C44" s="143" t="s">
        <v>3392</v>
      </c>
      <c r="D44" s="143" t="s">
        <v>519</v>
      </c>
      <c r="E44" s="143" t="s">
        <v>3386</v>
      </c>
    </row>
    <row r="45">
      <c r="A45" s="143" t="s">
        <v>524</v>
      </c>
      <c r="B45" s="143">
        <v>318.0</v>
      </c>
      <c r="C45" s="143" t="s">
        <v>3393</v>
      </c>
      <c r="D45" s="143" t="s">
        <v>525</v>
      </c>
      <c r="E45" s="143" t="s">
        <v>3386</v>
      </c>
    </row>
    <row r="46">
      <c r="A46" s="143" t="s">
        <v>530</v>
      </c>
      <c r="B46" s="143">
        <v>362.0</v>
      </c>
      <c r="C46" s="143" t="s">
        <v>3394</v>
      </c>
      <c r="D46" s="143" t="s">
        <v>531</v>
      </c>
      <c r="E46" s="143" t="s">
        <v>3386</v>
      </c>
    </row>
    <row r="47">
      <c r="A47" s="143" t="s">
        <v>532</v>
      </c>
      <c r="B47" s="143">
        <v>364.0</v>
      </c>
      <c r="C47" s="143" t="s">
        <v>3395</v>
      </c>
      <c r="D47" s="143" t="s">
        <v>533</v>
      </c>
      <c r="E47" s="143" t="s">
        <v>3386</v>
      </c>
    </row>
    <row r="48">
      <c r="A48" s="143" t="s">
        <v>544</v>
      </c>
      <c r="B48" s="143">
        <v>382.0</v>
      </c>
      <c r="C48" s="143" t="s">
        <v>3396</v>
      </c>
      <c r="D48" s="143" t="s">
        <v>545</v>
      </c>
      <c r="E48" s="143" t="s">
        <v>3386</v>
      </c>
    </row>
    <row r="49">
      <c r="A49" s="143" t="s">
        <v>546</v>
      </c>
      <c r="B49" s="143">
        <v>383.0</v>
      </c>
      <c r="C49" s="143" t="s">
        <v>3397</v>
      </c>
      <c r="D49" s="143" t="s">
        <v>547</v>
      </c>
      <c r="E49" s="143" t="s">
        <v>3386</v>
      </c>
    </row>
    <row r="50">
      <c r="A50" s="143" t="s">
        <v>548</v>
      </c>
      <c r="B50" s="143">
        <v>389.0</v>
      </c>
      <c r="C50" s="143" t="s">
        <v>3398</v>
      </c>
      <c r="D50" s="143" t="s">
        <v>549</v>
      </c>
      <c r="E50" s="143" t="s">
        <v>3386</v>
      </c>
    </row>
    <row r="51">
      <c r="A51" s="143" t="s">
        <v>552</v>
      </c>
      <c r="B51" s="143">
        <v>409.0</v>
      </c>
      <c r="C51" s="143" t="s">
        <v>3399</v>
      </c>
      <c r="D51" s="143" t="s">
        <v>553</v>
      </c>
      <c r="E51" s="143" t="s">
        <v>3386</v>
      </c>
    </row>
    <row r="52">
      <c r="A52" s="143" t="s">
        <v>554</v>
      </c>
      <c r="B52" s="143">
        <v>413.0</v>
      </c>
      <c r="C52" s="143" t="s">
        <v>3400</v>
      </c>
      <c r="D52" s="143" t="s">
        <v>555</v>
      </c>
      <c r="E52" s="143" t="s">
        <v>3386</v>
      </c>
    </row>
    <row r="53">
      <c r="A53" s="143" t="s">
        <v>556</v>
      </c>
      <c r="B53" s="143">
        <v>432.0</v>
      </c>
      <c r="C53" s="143" t="s">
        <v>3401</v>
      </c>
      <c r="D53" s="143" t="s">
        <v>557</v>
      </c>
      <c r="E53" s="143" t="s">
        <v>3386</v>
      </c>
    </row>
    <row r="54">
      <c r="A54" s="143" t="s">
        <v>560</v>
      </c>
      <c r="B54" s="143">
        <v>446.0</v>
      </c>
      <c r="C54" s="143" t="s">
        <v>3402</v>
      </c>
      <c r="D54" s="143" t="s">
        <v>561</v>
      </c>
      <c r="E54" s="143" t="s">
        <v>3386</v>
      </c>
    </row>
    <row r="55">
      <c r="A55" s="143" t="s">
        <v>568</v>
      </c>
      <c r="B55" s="143">
        <v>498.0</v>
      </c>
      <c r="C55" s="143" t="s">
        <v>3403</v>
      </c>
      <c r="D55" s="143" t="s">
        <v>569</v>
      </c>
      <c r="E55" s="143" t="s">
        <v>3386</v>
      </c>
    </row>
    <row r="56">
      <c r="A56" s="143" t="s">
        <v>594</v>
      </c>
      <c r="B56" s="143">
        <v>571.0</v>
      </c>
      <c r="C56" s="143" t="s">
        <v>3404</v>
      </c>
      <c r="D56" s="143" t="s">
        <v>595</v>
      </c>
      <c r="E56" s="143" t="s">
        <v>3386</v>
      </c>
    </row>
    <row r="57">
      <c r="A57" s="143" t="s">
        <v>608</v>
      </c>
      <c r="B57" s="143">
        <v>608.0</v>
      </c>
      <c r="C57" s="143" t="s">
        <v>3405</v>
      </c>
      <c r="D57" s="143" t="s">
        <v>609</v>
      </c>
      <c r="E57" s="143" t="s">
        <v>3386</v>
      </c>
    </row>
    <row r="58">
      <c r="A58" s="143" t="s">
        <v>626</v>
      </c>
      <c r="B58" s="143">
        <v>647.0</v>
      </c>
      <c r="C58" s="143" t="s">
        <v>3406</v>
      </c>
      <c r="D58" s="143" t="s">
        <v>627</v>
      </c>
      <c r="E58" s="143" t="s">
        <v>3386</v>
      </c>
    </row>
    <row r="59">
      <c r="A59" s="143" t="s">
        <v>630</v>
      </c>
      <c r="B59" s="143">
        <v>664.0</v>
      </c>
      <c r="C59" s="143" t="s">
        <v>3407</v>
      </c>
      <c r="D59" s="143" t="s">
        <v>631</v>
      </c>
      <c r="E59" s="143" t="s">
        <v>3386</v>
      </c>
    </row>
    <row r="60">
      <c r="A60" s="143" t="s">
        <v>640</v>
      </c>
      <c r="B60" s="143">
        <v>697.0</v>
      </c>
      <c r="C60" s="143" t="s">
        <v>3408</v>
      </c>
      <c r="D60" s="143" t="s">
        <v>641</v>
      </c>
      <c r="E60" s="143" t="s">
        <v>3386</v>
      </c>
    </row>
    <row r="61">
      <c r="A61" s="143" t="s">
        <v>642</v>
      </c>
      <c r="B61" s="143">
        <v>698.0</v>
      </c>
      <c r="C61" s="143" t="s">
        <v>3409</v>
      </c>
      <c r="D61" s="143" t="s">
        <v>643</v>
      </c>
      <c r="E61" s="143" t="s">
        <v>3386</v>
      </c>
    </row>
    <row r="62">
      <c r="A62" s="143" t="s">
        <v>660</v>
      </c>
      <c r="B62" s="143">
        <v>734.0</v>
      </c>
      <c r="C62" s="143" t="s">
        <v>3410</v>
      </c>
      <c r="D62" s="143" t="s">
        <v>661</v>
      </c>
      <c r="E62" s="143" t="s">
        <v>3386</v>
      </c>
    </row>
    <row r="63">
      <c r="A63" s="143" t="s">
        <v>676</v>
      </c>
      <c r="B63" s="143">
        <v>797.0</v>
      </c>
      <c r="C63" s="143" t="s">
        <v>3411</v>
      </c>
      <c r="D63" s="143" t="s">
        <v>677</v>
      </c>
      <c r="E63" s="143" t="s">
        <v>3386</v>
      </c>
    </row>
    <row r="64">
      <c r="A64" s="143" t="s">
        <v>688</v>
      </c>
      <c r="B64" s="143">
        <v>832.0</v>
      </c>
      <c r="C64" s="143" t="s">
        <v>3412</v>
      </c>
      <c r="D64" s="143" t="s">
        <v>689</v>
      </c>
      <c r="E64" s="143" t="s">
        <v>3386</v>
      </c>
    </row>
    <row r="65">
      <c r="A65" s="143" t="s">
        <v>696</v>
      </c>
      <c r="B65" s="143">
        <v>851.0</v>
      </c>
      <c r="C65" s="143" t="s">
        <v>3413</v>
      </c>
      <c r="D65" s="143" t="s">
        <v>697</v>
      </c>
      <c r="E65" s="143" t="s">
        <v>3386</v>
      </c>
    </row>
    <row r="66">
      <c r="A66" s="143" t="s">
        <v>706</v>
      </c>
      <c r="B66" s="143">
        <v>905.0</v>
      </c>
      <c r="C66" s="143" t="s">
        <v>3414</v>
      </c>
      <c r="D66" s="143" t="s">
        <v>707</v>
      </c>
      <c r="E66" s="143" t="s">
        <v>3386</v>
      </c>
    </row>
    <row r="67">
      <c r="A67" s="143" t="s">
        <v>726</v>
      </c>
      <c r="B67" s="143">
        <v>950.0</v>
      </c>
      <c r="C67" s="143" t="s">
        <v>3415</v>
      </c>
      <c r="D67" s="143" t="s">
        <v>727</v>
      </c>
      <c r="E67" s="143" t="s">
        <v>3386</v>
      </c>
    </row>
    <row r="68">
      <c r="A68" s="143" t="s">
        <v>736</v>
      </c>
      <c r="B68" s="143">
        <v>968.0</v>
      </c>
      <c r="C68" s="143" t="s">
        <v>3416</v>
      </c>
      <c r="D68" s="143" t="s">
        <v>737</v>
      </c>
      <c r="E68" s="143" t="s">
        <v>3386</v>
      </c>
    </row>
    <row r="69">
      <c r="A69" s="143" t="s">
        <v>744</v>
      </c>
      <c r="B69" s="143">
        <v>1006.0</v>
      </c>
      <c r="C69" s="143" t="s">
        <v>3417</v>
      </c>
      <c r="D69" s="143" t="s">
        <v>745</v>
      </c>
      <c r="E69" s="143" t="s">
        <v>3386</v>
      </c>
    </row>
    <row r="70">
      <c r="A70" s="143" t="s">
        <v>754</v>
      </c>
      <c r="B70" s="143">
        <v>1058.0</v>
      </c>
      <c r="C70" s="143" t="s">
        <v>3418</v>
      </c>
      <c r="D70" s="143" t="s">
        <v>755</v>
      </c>
      <c r="E70" s="143" t="s">
        <v>3386</v>
      </c>
    </row>
    <row r="71">
      <c r="A71" s="143" t="s">
        <v>764</v>
      </c>
      <c r="B71" s="143">
        <v>1097.0</v>
      </c>
      <c r="C71" s="143" t="s">
        <v>3419</v>
      </c>
      <c r="D71" s="143" t="s">
        <v>765</v>
      </c>
      <c r="E71" s="143" t="s">
        <v>3386</v>
      </c>
    </row>
    <row r="72">
      <c r="A72" s="143" t="s">
        <v>788</v>
      </c>
      <c r="B72" s="143">
        <v>1142.0</v>
      </c>
      <c r="C72" s="143" t="s">
        <v>3420</v>
      </c>
      <c r="D72" s="143" t="s">
        <v>789</v>
      </c>
      <c r="E72" s="143" t="s">
        <v>3386</v>
      </c>
    </row>
    <row r="73">
      <c r="A73" s="143" t="s">
        <v>816</v>
      </c>
      <c r="B73" s="143">
        <v>1182.0</v>
      </c>
      <c r="C73" s="143" t="s">
        <v>3421</v>
      </c>
      <c r="D73" s="143" t="s">
        <v>817</v>
      </c>
      <c r="E73" s="143" t="s">
        <v>3386</v>
      </c>
    </row>
    <row r="74">
      <c r="A74" s="143" t="s">
        <v>818</v>
      </c>
      <c r="B74" s="143">
        <v>1187.0</v>
      </c>
      <c r="C74" s="143" t="s">
        <v>3422</v>
      </c>
      <c r="D74" s="143" t="s">
        <v>819</v>
      </c>
      <c r="E74" s="143" t="s">
        <v>3386</v>
      </c>
    </row>
    <row r="75">
      <c r="A75" s="143" t="s">
        <v>848</v>
      </c>
      <c r="B75" s="143">
        <v>1255.0</v>
      </c>
      <c r="C75" s="143" t="s">
        <v>3423</v>
      </c>
      <c r="D75" s="143" t="s">
        <v>849</v>
      </c>
      <c r="E75" s="143" t="s">
        <v>3386</v>
      </c>
    </row>
    <row r="76">
      <c r="A76" s="143" t="s">
        <v>852</v>
      </c>
      <c r="B76" s="143">
        <v>1264.0</v>
      </c>
      <c r="C76" s="143" t="s">
        <v>3424</v>
      </c>
      <c r="D76" s="143" t="s">
        <v>853</v>
      </c>
      <c r="E76" s="143" t="s">
        <v>3386</v>
      </c>
    </row>
    <row r="77">
      <c r="A77" s="143" t="s">
        <v>858</v>
      </c>
      <c r="B77" s="143">
        <v>1287.0</v>
      </c>
      <c r="C77" s="143" t="s">
        <v>3425</v>
      </c>
      <c r="D77" s="143" t="s">
        <v>859</v>
      </c>
      <c r="E77" s="143" t="s">
        <v>3386</v>
      </c>
    </row>
    <row r="78">
      <c r="A78" s="143" t="s">
        <v>880</v>
      </c>
      <c r="B78" s="143">
        <v>1342.0</v>
      </c>
      <c r="C78" s="143" t="s">
        <v>3426</v>
      </c>
      <c r="D78" s="143" t="s">
        <v>881</v>
      </c>
      <c r="E78" s="143" t="s">
        <v>3386</v>
      </c>
    </row>
    <row r="79">
      <c r="A79" s="143" t="s">
        <v>888</v>
      </c>
      <c r="B79" s="143">
        <v>1354.0</v>
      </c>
      <c r="C79" s="143" t="s">
        <v>3427</v>
      </c>
      <c r="D79" s="143" t="s">
        <v>889</v>
      </c>
      <c r="E79" s="143" t="s">
        <v>3386</v>
      </c>
    </row>
    <row r="80">
      <c r="A80" s="143" t="s">
        <v>930</v>
      </c>
      <c r="B80" s="143">
        <v>1493.0</v>
      </c>
      <c r="C80" s="143" t="s">
        <v>3428</v>
      </c>
      <c r="D80" s="143" t="s">
        <v>931</v>
      </c>
      <c r="E80" s="143" t="s">
        <v>3386</v>
      </c>
    </row>
    <row r="81">
      <c r="A81" s="143" t="s">
        <v>948</v>
      </c>
      <c r="B81" s="143">
        <v>1538.0</v>
      </c>
      <c r="C81" s="143" t="s">
        <v>3429</v>
      </c>
      <c r="D81" s="143" t="s">
        <v>949</v>
      </c>
      <c r="E81" s="143" t="s">
        <v>3386</v>
      </c>
    </row>
    <row r="82">
      <c r="A82" s="143" t="s">
        <v>966</v>
      </c>
      <c r="B82" s="143">
        <v>1571.0</v>
      </c>
      <c r="C82" s="143" t="s">
        <v>3430</v>
      </c>
      <c r="D82" s="143" t="s">
        <v>967</v>
      </c>
      <c r="E82" s="143" t="s">
        <v>3386</v>
      </c>
    </row>
    <row r="83">
      <c r="A83" s="143" t="s">
        <v>968</v>
      </c>
      <c r="B83" s="143">
        <v>1574.0</v>
      </c>
      <c r="C83" s="143" t="s">
        <v>3431</v>
      </c>
      <c r="D83" s="143" t="s">
        <v>969</v>
      </c>
      <c r="E83" s="143" t="s">
        <v>3386</v>
      </c>
    </row>
    <row r="84">
      <c r="A84" s="143" t="s">
        <v>978</v>
      </c>
      <c r="B84" s="143">
        <v>1628.0</v>
      </c>
      <c r="C84" s="143" t="s">
        <v>3432</v>
      </c>
      <c r="D84" s="143" t="s">
        <v>979</v>
      </c>
      <c r="E84" s="143" t="s">
        <v>3386</v>
      </c>
    </row>
    <row r="85">
      <c r="A85" s="143" t="s">
        <v>996</v>
      </c>
      <c r="B85" s="143">
        <v>1666.0</v>
      </c>
      <c r="C85" s="143" t="s">
        <v>3433</v>
      </c>
      <c r="D85" s="143" t="s">
        <v>997</v>
      </c>
      <c r="E85" s="143" t="s">
        <v>3386</v>
      </c>
    </row>
    <row r="86">
      <c r="A86" s="143" t="s">
        <v>1000</v>
      </c>
      <c r="B86" s="143">
        <v>1672.0</v>
      </c>
      <c r="C86" s="143" t="s">
        <v>3434</v>
      </c>
      <c r="D86" s="143" t="s">
        <v>1001</v>
      </c>
      <c r="E86" s="143" t="s">
        <v>3386</v>
      </c>
    </row>
    <row r="87">
      <c r="A87" s="143" t="s">
        <v>1010</v>
      </c>
      <c r="B87" s="143">
        <v>1689.0</v>
      </c>
      <c r="C87" s="143" t="s">
        <v>3435</v>
      </c>
      <c r="D87" s="143" t="s">
        <v>1011</v>
      </c>
      <c r="E87" s="143" t="s">
        <v>3386</v>
      </c>
    </row>
    <row r="88">
      <c r="A88" s="143" t="s">
        <v>1024</v>
      </c>
      <c r="B88" s="143">
        <v>1737.0</v>
      </c>
      <c r="C88" s="143" t="s">
        <v>3436</v>
      </c>
      <c r="D88" s="143" t="s">
        <v>1025</v>
      </c>
      <c r="E88" s="143" t="s">
        <v>3386</v>
      </c>
    </row>
    <row r="89">
      <c r="A89" s="143" t="s">
        <v>1042</v>
      </c>
      <c r="B89" s="143">
        <v>1806.0</v>
      </c>
      <c r="C89" s="143" t="s">
        <v>3437</v>
      </c>
      <c r="D89" s="143" t="s">
        <v>1043</v>
      </c>
      <c r="E89" s="143" t="s">
        <v>3386</v>
      </c>
    </row>
    <row r="90">
      <c r="A90" s="143" t="s">
        <v>1054</v>
      </c>
      <c r="B90" s="143">
        <v>1831.0</v>
      </c>
      <c r="C90" s="143" t="s">
        <v>3438</v>
      </c>
      <c r="D90" s="143" t="s">
        <v>1055</v>
      </c>
      <c r="E90" s="143" t="s">
        <v>3386</v>
      </c>
    </row>
    <row r="91">
      <c r="A91" s="143" t="s">
        <v>1084</v>
      </c>
      <c r="B91" s="143">
        <v>1919.0</v>
      </c>
      <c r="C91" s="143" t="s">
        <v>3439</v>
      </c>
      <c r="D91" s="143" t="s">
        <v>1085</v>
      </c>
      <c r="E91" s="143" t="s">
        <v>3386</v>
      </c>
    </row>
    <row r="92">
      <c r="A92" s="143" t="s">
        <v>1122</v>
      </c>
      <c r="B92" s="143">
        <v>2055.0</v>
      </c>
      <c r="C92" s="143" t="s">
        <v>3440</v>
      </c>
      <c r="D92" s="143" t="s">
        <v>1123</v>
      </c>
      <c r="E92" s="143" t="s">
        <v>3386</v>
      </c>
    </row>
    <row r="93">
      <c r="A93" s="143" t="s">
        <v>1148</v>
      </c>
      <c r="B93" s="143">
        <v>2111.0</v>
      </c>
      <c r="C93" s="143" t="s">
        <v>3441</v>
      </c>
      <c r="D93" s="143" t="s">
        <v>1149</v>
      </c>
      <c r="E93" s="143" t="s">
        <v>3386</v>
      </c>
    </row>
    <row r="94">
      <c r="A94" s="143" t="s">
        <v>1168</v>
      </c>
      <c r="B94" s="143">
        <v>2152.0</v>
      </c>
      <c r="C94" s="143" t="s">
        <v>3442</v>
      </c>
      <c r="D94" s="143" t="s">
        <v>1169</v>
      </c>
      <c r="E94" s="143" t="s">
        <v>3386</v>
      </c>
    </row>
    <row r="95">
      <c r="A95" s="143" t="s">
        <v>1174</v>
      </c>
      <c r="B95" s="143">
        <v>2180.0</v>
      </c>
      <c r="C95" s="143" t="s">
        <v>3443</v>
      </c>
      <c r="D95" s="143" t="s">
        <v>1175</v>
      </c>
      <c r="E95" s="143" t="s">
        <v>3386</v>
      </c>
    </row>
    <row r="96">
      <c r="A96" s="143" t="s">
        <v>1180</v>
      </c>
      <c r="B96" s="143">
        <v>2202.0</v>
      </c>
      <c r="C96" s="143" t="s">
        <v>3444</v>
      </c>
      <c r="D96" s="143" t="s">
        <v>1181</v>
      </c>
      <c r="E96" s="143" t="s">
        <v>3386</v>
      </c>
    </row>
    <row r="97">
      <c r="A97" s="143" t="s">
        <v>1186</v>
      </c>
      <c r="B97" s="143">
        <v>2225.0</v>
      </c>
      <c r="C97" s="143" t="s">
        <v>3445</v>
      </c>
      <c r="D97" s="143" t="s">
        <v>1187</v>
      </c>
      <c r="E97" s="143" t="s">
        <v>3386</v>
      </c>
    </row>
    <row r="98">
      <c r="A98" s="143" t="s">
        <v>1202</v>
      </c>
      <c r="B98" s="143">
        <v>2273.0</v>
      </c>
      <c r="C98" s="143" t="s">
        <v>3446</v>
      </c>
      <c r="D98" s="143" t="s">
        <v>1203</v>
      </c>
      <c r="E98" s="143" t="s">
        <v>3386</v>
      </c>
    </row>
    <row r="99">
      <c r="A99" s="143" t="s">
        <v>1222</v>
      </c>
      <c r="B99" s="143">
        <v>2341.0</v>
      </c>
      <c r="C99" s="143" t="s">
        <v>3447</v>
      </c>
      <c r="D99" s="143" t="s">
        <v>1223</v>
      </c>
      <c r="E99" s="143" t="s">
        <v>3386</v>
      </c>
    </row>
    <row r="100">
      <c r="A100" s="143" t="s">
        <v>1224</v>
      </c>
      <c r="B100" s="143">
        <v>2349.0</v>
      </c>
      <c r="C100" s="143" t="s">
        <v>3448</v>
      </c>
      <c r="D100" s="143" t="s">
        <v>1225</v>
      </c>
      <c r="E100" s="143" t="s">
        <v>3386</v>
      </c>
    </row>
    <row r="101">
      <c r="A101" s="143" t="s">
        <v>1226</v>
      </c>
      <c r="B101" s="143">
        <v>2351.0</v>
      </c>
      <c r="C101" s="143" t="s">
        <v>3449</v>
      </c>
      <c r="D101" s="143" t="s">
        <v>1227</v>
      </c>
      <c r="E101" s="143" t="s">
        <v>3386</v>
      </c>
    </row>
    <row r="102">
      <c r="A102" s="143" t="s">
        <v>1244</v>
      </c>
      <c r="B102" s="143">
        <v>2417.0</v>
      </c>
      <c r="C102" s="143" t="s">
        <v>3450</v>
      </c>
      <c r="D102" s="143" t="s">
        <v>1245</v>
      </c>
      <c r="E102" s="143" t="s">
        <v>3386</v>
      </c>
    </row>
    <row r="103">
      <c r="A103" s="143" t="s">
        <v>1246</v>
      </c>
      <c r="B103" s="143">
        <v>2418.0</v>
      </c>
      <c r="C103" s="143" t="s">
        <v>3451</v>
      </c>
      <c r="D103" s="143" t="s">
        <v>1247</v>
      </c>
      <c r="E103" s="143" t="s">
        <v>3386</v>
      </c>
    </row>
    <row r="104">
      <c r="A104" s="143" t="s">
        <v>1258</v>
      </c>
      <c r="B104" s="143">
        <v>2504.0</v>
      </c>
      <c r="C104" s="143" t="s">
        <v>3452</v>
      </c>
      <c r="D104" s="143" t="s">
        <v>1259</v>
      </c>
      <c r="E104" s="143" t="s">
        <v>3386</v>
      </c>
    </row>
    <row r="105">
      <c r="A105" s="143" t="s">
        <v>1280</v>
      </c>
      <c r="B105" s="143">
        <v>2555.0</v>
      </c>
      <c r="C105" s="143" t="s">
        <v>3453</v>
      </c>
      <c r="D105" s="143" t="s">
        <v>1281</v>
      </c>
      <c r="E105" s="143" t="s">
        <v>3386</v>
      </c>
    </row>
    <row r="106">
      <c r="A106" s="143" t="s">
        <v>1294</v>
      </c>
      <c r="B106" s="143">
        <v>2623.0</v>
      </c>
      <c r="C106" s="143" t="s">
        <v>3454</v>
      </c>
      <c r="D106" s="143" t="s">
        <v>1295</v>
      </c>
      <c r="E106" s="143" t="s">
        <v>3386</v>
      </c>
    </row>
    <row r="107">
      <c r="A107" s="143" t="s">
        <v>1300</v>
      </c>
      <c r="B107" s="143">
        <v>2631.0</v>
      </c>
      <c r="C107" s="143" t="s">
        <v>3455</v>
      </c>
      <c r="D107" s="143" t="s">
        <v>1301</v>
      </c>
      <c r="E107" s="143" t="s">
        <v>3386</v>
      </c>
    </row>
    <row r="108">
      <c r="A108" s="143" t="s">
        <v>1320</v>
      </c>
      <c r="B108" s="143">
        <v>2705.0</v>
      </c>
      <c r="C108" s="143" t="s">
        <v>3456</v>
      </c>
      <c r="D108" s="143" t="s">
        <v>1321</v>
      </c>
      <c r="E108" s="143" t="s">
        <v>3386</v>
      </c>
    </row>
    <row r="109">
      <c r="A109" s="143" t="s">
        <v>1330</v>
      </c>
      <c r="B109" s="143">
        <v>2729.0</v>
      </c>
      <c r="C109" s="143" t="s">
        <v>3457</v>
      </c>
      <c r="D109" s="143" t="s">
        <v>1331</v>
      </c>
      <c r="E109" s="143" t="s">
        <v>3386</v>
      </c>
    </row>
    <row r="110">
      <c r="A110" s="143" t="s">
        <v>1336</v>
      </c>
      <c r="B110" s="143">
        <v>2752.0</v>
      </c>
      <c r="C110" s="143" t="s">
        <v>3458</v>
      </c>
      <c r="D110" s="143" t="s">
        <v>1337</v>
      </c>
      <c r="E110" s="143" t="s">
        <v>3386</v>
      </c>
    </row>
    <row r="111">
      <c r="A111" s="143" t="s">
        <v>1346</v>
      </c>
      <c r="B111" s="143">
        <v>2805.0</v>
      </c>
      <c r="C111" s="143" t="s">
        <v>3459</v>
      </c>
      <c r="D111" s="143" t="s">
        <v>1347</v>
      </c>
      <c r="E111" s="143" t="s">
        <v>3386</v>
      </c>
    </row>
    <row r="112">
      <c r="A112" s="143" t="s">
        <v>1348</v>
      </c>
      <c r="B112" s="143">
        <v>2810.0</v>
      </c>
      <c r="C112" s="143" t="s">
        <v>3460</v>
      </c>
      <c r="D112" s="143" t="s">
        <v>1349</v>
      </c>
      <c r="E112" s="143" t="s">
        <v>3386</v>
      </c>
    </row>
    <row r="113">
      <c r="A113" s="143" t="s">
        <v>1352</v>
      </c>
      <c r="B113" s="143">
        <v>2820.0</v>
      </c>
      <c r="C113" s="143" t="s">
        <v>3461</v>
      </c>
      <c r="D113" s="143" t="s">
        <v>1353</v>
      </c>
      <c r="E113" s="143" t="s">
        <v>3386</v>
      </c>
    </row>
    <row r="114">
      <c r="A114" s="143" t="s">
        <v>1358</v>
      </c>
      <c r="B114" s="143">
        <v>2848.0</v>
      </c>
      <c r="C114" s="143" t="s">
        <v>3462</v>
      </c>
      <c r="D114" s="143" t="s">
        <v>1359</v>
      </c>
      <c r="E114" s="143" t="s">
        <v>3386</v>
      </c>
    </row>
    <row r="115">
      <c r="A115" s="143" t="s">
        <v>1360</v>
      </c>
      <c r="B115" s="143">
        <v>2850.0</v>
      </c>
      <c r="C115" s="143" t="s">
        <v>3463</v>
      </c>
      <c r="D115" s="143" t="s">
        <v>1361</v>
      </c>
      <c r="E115" s="143" t="s">
        <v>3386</v>
      </c>
    </row>
    <row r="116">
      <c r="A116" s="143" t="s">
        <v>1380</v>
      </c>
      <c r="B116" s="143">
        <v>2911.0</v>
      </c>
      <c r="C116" s="143" t="s">
        <v>3464</v>
      </c>
      <c r="D116" s="143" t="s">
        <v>1381</v>
      </c>
      <c r="E116" s="143" t="s">
        <v>3386</v>
      </c>
    </row>
    <row r="117">
      <c r="A117" s="143" t="s">
        <v>1388</v>
      </c>
      <c r="B117" s="143">
        <v>2927.0</v>
      </c>
      <c r="C117" s="143" t="s">
        <v>3465</v>
      </c>
      <c r="D117" s="143" t="s">
        <v>1389</v>
      </c>
      <c r="E117" s="143" t="s">
        <v>3386</v>
      </c>
    </row>
    <row r="118">
      <c r="A118" s="143" t="s">
        <v>1390</v>
      </c>
      <c r="B118" s="143">
        <v>2931.0</v>
      </c>
      <c r="C118" s="143" t="s">
        <v>3466</v>
      </c>
      <c r="D118" s="143" t="s">
        <v>1391</v>
      </c>
      <c r="E118" s="143" t="s">
        <v>3386</v>
      </c>
    </row>
    <row r="119">
      <c r="A119" s="143" t="s">
        <v>1408</v>
      </c>
      <c r="B119" s="143">
        <v>2966.0</v>
      </c>
      <c r="C119" s="143" t="s">
        <v>3467</v>
      </c>
      <c r="D119" s="143" t="s">
        <v>1409</v>
      </c>
      <c r="E119" s="143" t="s">
        <v>3386</v>
      </c>
    </row>
    <row r="120">
      <c r="A120" s="143" t="s">
        <v>1412</v>
      </c>
      <c r="B120" s="143">
        <v>2975.0</v>
      </c>
      <c r="C120" s="143" t="s">
        <v>3468</v>
      </c>
      <c r="D120" s="143" t="s">
        <v>1413</v>
      </c>
      <c r="E120" s="143" t="s">
        <v>3386</v>
      </c>
    </row>
    <row r="121">
      <c r="A121" s="143" t="s">
        <v>1424</v>
      </c>
      <c r="B121" s="143">
        <v>3024.0</v>
      </c>
      <c r="C121" s="143" t="s">
        <v>3469</v>
      </c>
      <c r="D121" s="143" t="s">
        <v>1425</v>
      </c>
      <c r="E121" s="143" t="s">
        <v>3386</v>
      </c>
    </row>
    <row r="122">
      <c r="A122" s="143" t="s">
        <v>1434</v>
      </c>
      <c r="B122" s="143">
        <v>3049.0</v>
      </c>
      <c r="C122" s="143" t="s">
        <v>3470</v>
      </c>
      <c r="D122" s="143" t="s">
        <v>1435</v>
      </c>
      <c r="E122" s="143" t="s">
        <v>3386</v>
      </c>
    </row>
    <row r="123">
      <c r="A123" s="143" t="s">
        <v>1488</v>
      </c>
      <c r="B123" s="143">
        <v>3231.0</v>
      </c>
      <c r="C123" s="143" t="s">
        <v>3471</v>
      </c>
      <c r="D123" s="143" t="s">
        <v>1489</v>
      </c>
      <c r="E123" s="143" t="s">
        <v>3386</v>
      </c>
    </row>
    <row r="124">
      <c r="A124" s="143" t="s">
        <v>1494</v>
      </c>
      <c r="B124" s="143">
        <v>3241.0</v>
      </c>
      <c r="C124" s="143" t="s">
        <v>3472</v>
      </c>
      <c r="D124" s="143" t="s">
        <v>1495</v>
      </c>
      <c r="E124" s="143" t="s">
        <v>3386</v>
      </c>
    </row>
    <row r="125">
      <c r="A125" s="143" t="s">
        <v>1498</v>
      </c>
      <c r="B125" s="143">
        <v>3251.0</v>
      </c>
      <c r="C125" s="143" t="s">
        <v>3473</v>
      </c>
      <c r="D125" s="143" t="s">
        <v>1499</v>
      </c>
      <c r="E125" s="143" t="s">
        <v>3386</v>
      </c>
    </row>
    <row r="126">
      <c r="A126" s="143" t="s">
        <v>1580</v>
      </c>
      <c r="B126" s="143">
        <v>3479.0</v>
      </c>
      <c r="C126" s="143" t="s">
        <v>3474</v>
      </c>
      <c r="D126" s="143" t="s">
        <v>1581</v>
      </c>
      <c r="E126" s="143" t="s">
        <v>3386</v>
      </c>
    </row>
    <row r="127">
      <c r="A127" s="143" t="s">
        <v>1584</v>
      </c>
      <c r="B127" s="143">
        <v>3499.0</v>
      </c>
      <c r="C127" s="143" t="s">
        <v>3475</v>
      </c>
      <c r="D127" s="143" t="s">
        <v>1585</v>
      </c>
      <c r="E127" s="143" t="s">
        <v>3386</v>
      </c>
    </row>
    <row r="128">
      <c r="A128" s="143" t="s">
        <v>1626</v>
      </c>
      <c r="B128" s="143">
        <v>3680.0</v>
      </c>
      <c r="C128" s="143" t="s">
        <v>3476</v>
      </c>
      <c r="D128" s="143" t="s">
        <v>1627</v>
      </c>
      <c r="E128" s="143" t="s">
        <v>3386</v>
      </c>
    </row>
    <row r="129">
      <c r="A129" s="143" t="s">
        <v>1628</v>
      </c>
      <c r="B129" s="143">
        <v>3687.0</v>
      </c>
      <c r="C129" s="143" t="s">
        <v>3477</v>
      </c>
      <c r="D129" s="143" t="s">
        <v>1629</v>
      </c>
      <c r="E129" s="143" t="s">
        <v>3386</v>
      </c>
    </row>
    <row r="130">
      <c r="A130" s="143" t="s">
        <v>1666</v>
      </c>
      <c r="B130" s="143">
        <v>3807.0</v>
      </c>
      <c r="C130" s="143" t="s">
        <v>3478</v>
      </c>
      <c r="D130" s="143" t="s">
        <v>1667</v>
      </c>
      <c r="E130" s="143" t="s">
        <v>3386</v>
      </c>
    </row>
    <row r="131">
      <c r="A131" s="143" t="s">
        <v>1694</v>
      </c>
      <c r="B131" s="143">
        <v>3974.0</v>
      </c>
      <c r="C131" s="143" t="s">
        <v>3479</v>
      </c>
      <c r="D131" s="143" t="s">
        <v>1695</v>
      </c>
      <c r="E131" s="143" t="s">
        <v>3386</v>
      </c>
    </row>
    <row r="132">
      <c r="A132" s="143" t="s">
        <v>1730</v>
      </c>
      <c r="B132" s="143">
        <v>4136.0</v>
      </c>
      <c r="C132" s="143" t="s">
        <v>3480</v>
      </c>
      <c r="D132" s="143" t="s">
        <v>1731</v>
      </c>
      <c r="E132" s="143" t="s">
        <v>3386</v>
      </c>
    </row>
    <row r="133">
      <c r="A133" s="143" t="s">
        <v>1734</v>
      </c>
      <c r="B133" s="143">
        <v>4140.0</v>
      </c>
      <c r="C133" s="143" t="s">
        <v>3481</v>
      </c>
      <c r="D133" s="143" t="s">
        <v>1735</v>
      </c>
      <c r="E133" s="143" t="s">
        <v>3386</v>
      </c>
    </row>
    <row r="134">
      <c r="A134" s="143" t="s">
        <v>1738</v>
      </c>
      <c r="B134" s="143">
        <v>4167.0</v>
      </c>
      <c r="C134" s="143" t="s">
        <v>3482</v>
      </c>
      <c r="D134" s="143" t="s">
        <v>1739</v>
      </c>
      <c r="E134" s="143" t="s">
        <v>3386</v>
      </c>
    </row>
    <row r="135">
      <c r="A135" s="143" t="s">
        <v>1744</v>
      </c>
      <c r="B135" s="143">
        <v>4209.0</v>
      </c>
      <c r="C135" s="143" t="s">
        <v>3483</v>
      </c>
      <c r="D135" s="143" t="s">
        <v>1745</v>
      </c>
      <c r="E135" s="143" t="s">
        <v>3386</v>
      </c>
    </row>
    <row r="136">
      <c r="A136" s="143" t="s">
        <v>1760</v>
      </c>
      <c r="B136" s="143">
        <v>4298.0</v>
      </c>
      <c r="C136" s="143" t="s">
        <v>3484</v>
      </c>
      <c r="D136" s="143" t="s">
        <v>1761</v>
      </c>
      <c r="E136" s="143" t="s">
        <v>3386</v>
      </c>
    </row>
    <row r="137">
      <c r="A137" s="143" t="s">
        <v>634</v>
      </c>
      <c r="B137" s="143">
        <v>672.0</v>
      </c>
      <c r="C137" s="143" t="s">
        <v>3485</v>
      </c>
      <c r="D137" s="143" t="s">
        <v>635</v>
      </c>
      <c r="E137" s="143" t="s">
        <v>2885</v>
      </c>
    </row>
    <row r="138">
      <c r="A138" s="143" t="s">
        <v>682</v>
      </c>
      <c r="B138" s="143">
        <v>808.0</v>
      </c>
      <c r="C138" s="143" t="s">
        <v>3486</v>
      </c>
      <c r="D138" s="143" t="s">
        <v>683</v>
      </c>
      <c r="E138" s="143" t="s">
        <v>2885</v>
      </c>
    </row>
    <row r="139">
      <c r="A139" s="143" t="s">
        <v>862</v>
      </c>
      <c r="B139" s="143">
        <v>1304.0</v>
      </c>
      <c r="C139" s="143" t="s">
        <v>3487</v>
      </c>
      <c r="D139" s="143" t="s">
        <v>863</v>
      </c>
      <c r="E139" s="143" t="s">
        <v>2885</v>
      </c>
    </row>
    <row r="140">
      <c r="A140" s="143" t="s">
        <v>864</v>
      </c>
      <c r="B140" s="143">
        <v>1310.0</v>
      </c>
      <c r="C140" s="143" t="s">
        <v>3488</v>
      </c>
      <c r="D140" s="143" t="s">
        <v>865</v>
      </c>
      <c r="E140" s="143" t="s">
        <v>2885</v>
      </c>
    </row>
    <row r="141">
      <c r="A141" s="143" t="s">
        <v>908</v>
      </c>
      <c r="B141" s="143">
        <v>1423.0</v>
      </c>
      <c r="C141" s="143" t="s">
        <v>3489</v>
      </c>
      <c r="D141" s="143" t="s">
        <v>909</v>
      </c>
      <c r="E141" s="143" t="s">
        <v>2885</v>
      </c>
    </row>
    <row r="142">
      <c r="A142" s="143" t="s">
        <v>940</v>
      </c>
      <c r="B142" s="143">
        <v>1518.0</v>
      </c>
      <c r="C142" s="143" t="s">
        <v>3490</v>
      </c>
      <c r="D142" s="143" t="s">
        <v>941</v>
      </c>
      <c r="E142" s="143" t="s">
        <v>2885</v>
      </c>
    </row>
    <row r="143">
      <c r="A143" s="143" t="s">
        <v>1138</v>
      </c>
      <c r="B143" s="143">
        <v>2085.0</v>
      </c>
      <c r="C143" s="143" t="s">
        <v>3491</v>
      </c>
      <c r="D143" s="143" t="s">
        <v>1139</v>
      </c>
      <c r="E143" s="143" t="s">
        <v>2885</v>
      </c>
    </row>
    <row r="144">
      <c r="A144" s="143" t="s">
        <v>1144</v>
      </c>
      <c r="B144" s="143">
        <v>2102.0</v>
      </c>
      <c r="C144" s="143" t="s">
        <v>3492</v>
      </c>
      <c r="D144" s="143" t="s">
        <v>1145</v>
      </c>
      <c r="E144" s="143" t="s">
        <v>2885</v>
      </c>
    </row>
    <row r="145">
      <c r="A145" s="143" t="s">
        <v>1264</v>
      </c>
      <c r="B145" s="143">
        <v>2517.0</v>
      </c>
      <c r="C145" s="143" t="s">
        <v>3493</v>
      </c>
      <c r="D145" s="143" t="s">
        <v>1265</v>
      </c>
      <c r="E145" s="143" t="s">
        <v>2885</v>
      </c>
    </row>
    <row r="146">
      <c r="A146" s="143" t="s">
        <v>1274</v>
      </c>
      <c r="B146" s="143">
        <v>2540.0</v>
      </c>
      <c r="C146" s="143" t="s">
        <v>3494</v>
      </c>
      <c r="D146" s="143" t="s">
        <v>1275</v>
      </c>
      <c r="E146" s="143" t="s">
        <v>2885</v>
      </c>
    </row>
    <row r="147">
      <c r="A147" s="143" t="s">
        <v>1332</v>
      </c>
      <c r="B147" s="143">
        <v>2732.0</v>
      </c>
      <c r="C147" s="143" t="s">
        <v>3495</v>
      </c>
      <c r="D147" s="143" t="s">
        <v>1333</v>
      </c>
      <c r="E147" s="143" t="s">
        <v>2885</v>
      </c>
    </row>
    <row r="148">
      <c r="A148" s="143" t="s">
        <v>1456</v>
      </c>
      <c r="B148" s="143">
        <v>3145.0</v>
      </c>
      <c r="C148" s="143" t="s">
        <v>3496</v>
      </c>
      <c r="D148" s="143" t="s">
        <v>1457</v>
      </c>
      <c r="E148" s="143" t="s">
        <v>2885</v>
      </c>
    </row>
    <row r="149">
      <c r="A149" s="143" t="s">
        <v>1480</v>
      </c>
      <c r="B149" s="143">
        <v>3213.0</v>
      </c>
      <c r="C149" s="143" t="s">
        <v>3497</v>
      </c>
      <c r="D149" s="143" t="s">
        <v>1481</v>
      </c>
      <c r="E149" s="143" t="s">
        <v>2885</v>
      </c>
    </row>
    <row r="150">
      <c r="A150" s="143" t="s">
        <v>1486</v>
      </c>
      <c r="B150" s="143">
        <v>3220.0</v>
      </c>
      <c r="C150" s="143" t="s">
        <v>3498</v>
      </c>
      <c r="D150" s="143" t="s">
        <v>1487</v>
      </c>
      <c r="E150" s="143" t="s">
        <v>2885</v>
      </c>
    </row>
    <row r="151">
      <c r="A151" s="143" t="s">
        <v>1508</v>
      </c>
      <c r="B151" s="143">
        <v>3275.0</v>
      </c>
      <c r="C151" s="143" t="s">
        <v>3499</v>
      </c>
      <c r="D151" s="143" t="s">
        <v>1509</v>
      </c>
      <c r="E151" s="143" t="s">
        <v>2885</v>
      </c>
    </row>
    <row r="152">
      <c r="A152" s="143" t="s">
        <v>1528</v>
      </c>
      <c r="B152" s="143">
        <v>3335.0</v>
      </c>
      <c r="C152" s="143" t="s">
        <v>3500</v>
      </c>
      <c r="D152" s="143" t="s">
        <v>1529</v>
      </c>
      <c r="E152" s="143" t="s">
        <v>2885</v>
      </c>
    </row>
    <row r="153">
      <c r="A153" s="143" t="s">
        <v>1534</v>
      </c>
      <c r="B153" s="143">
        <v>3362.0</v>
      </c>
      <c r="C153" s="143" t="s">
        <v>3501</v>
      </c>
      <c r="D153" s="143" t="s">
        <v>1535</v>
      </c>
      <c r="E153" s="143" t="s">
        <v>2885</v>
      </c>
    </row>
    <row r="154">
      <c r="A154" s="143" t="s">
        <v>1556</v>
      </c>
      <c r="B154" s="143">
        <v>3417.0</v>
      </c>
      <c r="C154" s="143" t="s">
        <v>3502</v>
      </c>
      <c r="D154" s="143" t="s">
        <v>1557</v>
      </c>
      <c r="E154" s="143" t="s">
        <v>2885</v>
      </c>
    </row>
    <row r="155">
      <c r="A155" s="143" t="s">
        <v>1558</v>
      </c>
      <c r="B155" s="143">
        <v>3421.0</v>
      </c>
      <c r="C155" s="143" t="s">
        <v>3503</v>
      </c>
      <c r="D155" s="143" t="s">
        <v>1559</v>
      </c>
      <c r="E155" s="143" t="s">
        <v>2885</v>
      </c>
    </row>
    <row r="156">
      <c r="A156" s="143" t="s">
        <v>1588</v>
      </c>
      <c r="B156" s="143">
        <v>3519.0</v>
      </c>
      <c r="C156" s="143" t="s">
        <v>3504</v>
      </c>
      <c r="D156" s="143" t="s">
        <v>1589</v>
      </c>
      <c r="E156" s="143" t="s">
        <v>2885</v>
      </c>
    </row>
    <row r="157">
      <c r="A157" s="143" t="s">
        <v>1604</v>
      </c>
      <c r="B157" s="143">
        <v>3561.0</v>
      </c>
      <c r="C157" s="143" t="s">
        <v>3505</v>
      </c>
      <c r="D157" s="143" t="s">
        <v>1605</v>
      </c>
      <c r="E157" s="143" t="s">
        <v>2885</v>
      </c>
    </row>
    <row r="158">
      <c r="A158" s="143" t="s">
        <v>1644</v>
      </c>
      <c r="B158" s="143">
        <v>3734.0</v>
      </c>
      <c r="C158" s="143" t="s">
        <v>3506</v>
      </c>
      <c r="D158" s="143" t="s">
        <v>1645</v>
      </c>
      <c r="E158" s="143" t="s">
        <v>2885</v>
      </c>
    </row>
    <row r="159">
      <c r="A159" s="143" t="s">
        <v>1646</v>
      </c>
      <c r="B159" s="143">
        <v>3736.0</v>
      </c>
      <c r="C159" s="143" t="s">
        <v>3507</v>
      </c>
      <c r="D159" s="143" t="s">
        <v>1647</v>
      </c>
      <c r="E159" s="143" t="s">
        <v>2885</v>
      </c>
    </row>
    <row r="160">
      <c r="A160" s="143" t="s">
        <v>1648</v>
      </c>
      <c r="B160" s="143">
        <v>3748.0</v>
      </c>
      <c r="C160" s="143" t="s">
        <v>3508</v>
      </c>
      <c r="D160" s="143" t="s">
        <v>1649</v>
      </c>
      <c r="E160" s="143" t="s">
        <v>2885</v>
      </c>
    </row>
    <row r="161">
      <c r="A161" s="143" t="s">
        <v>1654</v>
      </c>
      <c r="B161" s="143">
        <v>3763.0</v>
      </c>
      <c r="C161" s="143" t="s">
        <v>3509</v>
      </c>
      <c r="D161" s="143" t="s">
        <v>1655</v>
      </c>
      <c r="E161" s="143" t="s">
        <v>2885</v>
      </c>
    </row>
    <row r="162">
      <c r="A162" s="143" t="s">
        <v>1714</v>
      </c>
      <c r="B162" s="143">
        <v>4081.0</v>
      </c>
      <c r="C162" s="143" t="s">
        <v>3510</v>
      </c>
      <c r="D162" s="143" t="s">
        <v>1715</v>
      </c>
      <c r="E162" s="143" t="s">
        <v>2885</v>
      </c>
    </row>
    <row r="163">
      <c r="A163" s="143" t="s">
        <v>1728</v>
      </c>
      <c r="B163" s="143">
        <v>4131.0</v>
      </c>
      <c r="C163" s="143" t="s">
        <v>3511</v>
      </c>
      <c r="D163" s="143" t="s">
        <v>1729</v>
      </c>
      <c r="E163" s="143" t="s">
        <v>2885</v>
      </c>
    </row>
    <row r="164">
      <c r="A164" s="143" t="s">
        <v>466</v>
      </c>
      <c r="B164" s="143">
        <v>46.0</v>
      </c>
      <c r="C164" s="143" t="s">
        <v>3512</v>
      </c>
      <c r="D164" s="143" t="s">
        <v>467</v>
      </c>
      <c r="E164" s="143" t="s">
        <v>3513</v>
      </c>
    </row>
    <row r="165">
      <c r="A165" s="143" t="s">
        <v>468</v>
      </c>
      <c r="B165" s="143">
        <v>61.0</v>
      </c>
      <c r="C165" s="143" t="s">
        <v>3514</v>
      </c>
      <c r="D165" s="143" t="s">
        <v>469</v>
      </c>
      <c r="E165" s="143" t="s">
        <v>3513</v>
      </c>
    </row>
    <row r="166">
      <c r="A166" s="143" t="s">
        <v>472</v>
      </c>
      <c r="B166" s="143">
        <v>72.0</v>
      </c>
      <c r="C166" s="143" t="s">
        <v>3515</v>
      </c>
      <c r="D166" s="143" t="s">
        <v>473</v>
      </c>
      <c r="E166" s="143" t="s">
        <v>3513</v>
      </c>
    </row>
    <row r="167">
      <c r="A167" s="143" t="s">
        <v>486</v>
      </c>
      <c r="B167" s="143">
        <v>147.0</v>
      </c>
      <c r="C167" s="143" t="s">
        <v>3516</v>
      </c>
      <c r="D167" s="143" t="s">
        <v>487</v>
      </c>
      <c r="E167" s="143" t="s">
        <v>3513</v>
      </c>
    </row>
    <row r="168">
      <c r="A168" s="143" t="s">
        <v>502</v>
      </c>
      <c r="B168" s="143">
        <v>210.0</v>
      </c>
      <c r="C168" s="143" t="s">
        <v>3517</v>
      </c>
      <c r="D168" s="143" t="s">
        <v>503</v>
      </c>
      <c r="E168" s="143" t="s">
        <v>3513</v>
      </c>
    </row>
    <row r="169">
      <c r="A169" s="143" t="s">
        <v>514</v>
      </c>
      <c r="B169" s="143">
        <v>291.0</v>
      </c>
      <c r="C169" s="143" t="s">
        <v>3518</v>
      </c>
      <c r="D169" s="143" t="s">
        <v>515</v>
      </c>
      <c r="E169" s="143" t="s">
        <v>3513</v>
      </c>
    </row>
    <row r="170">
      <c r="A170" s="143" t="s">
        <v>522</v>
      </c>
      <c r="B170" s="143">
        <v>312.0</v>
      </c>
      <c r="C170" s="143" t="s">
        <v>3519</v>
      </c>
      <c r="D170" s="143" t="s">
        <v>523</v>
      </c>
      <c r="E170" s="143" t="s">
        <v>3513</v>
      </c>
    </row>
    <row r="171">
      <c r="A171" s="143" t="s">
        <v>584</v>
      </c>
      <c r="B171" s="143">
        <v>535.0</v>
      </c>
      <c r="C171" s="143" t="s">
        <v>3520</v>
      </c>
      <c r="D171" s="143" t="s">
        <v>585</v>
      </c>
      <c r="E171" s="143" t="s">
        <v>3513</v>
      </c>
    </row>
    <row r="172">
      <c r="A172" s="143" t="s">
        <v>598</v>
      </c>
      <c r="B172" s="143">
        <v>587.0</v>
      </c>
      <c r="C172" s="143" t="s">
        <v>3521</v>
      </c>
      <c r="D172" s="143" t="s">
        <v>599</v>
      </c>
      <c r="E172" s="143" t="s">
        <v>3513</v>
      </c>
    </row>
    <row r="173">
      <c r="A173" s="143" t="s">
        <v>624</v>
      </c>
      <c r="B173" s="143">
        <v>643.0</v>
      </c>
      <c r="C173" s="143" t="s">
        <v>3522</v>
      </c>
      <c r="D173" s="143" t="s">
        <v>625</v>
      </c>
      <c r="E173" s="143" t="s">
        <v>3513</v>
      </c>
    </row>
    <row r="174">
      <c r="A174" s="143" t="s">
        <v>632</v>
      </c>
      <c r="B174" s="143">
        <v>667.0</v>
      </c>
      <c r="C174" s="143" t="s">
        <v>3523</v>
      </c>
      <c r="D174" s="143" t="s">
        <v>633</v>
      </c>
      <c r="E174" s="143" t="s">
        <v>3513</v>
      </c>
    </row>
    <row r="175">
      <c r="A175" s="143" t="s">
        <v>670</v>
      </c>
      <c r="B175" s="143">
        <v>776.0</v>
      </c>
      <c r="C175" s="143" t="s">
        <v>3524</v>
      </c>
      <c r="D175" s="143" t="s">
        <v>671</v>
      </c>
      <c r="E175" s="143" t="s">
        <v>3513</v>
      </c>
    </row>
    <row r="176">
      <c r="A176" s="143" t="s">
        <v>672</v>
      </c>
      <c r="B176" s="143">
        <v>788.0</v>
      </c>
      <c r="C176" s="143" t="s">
        <v>3525</v>
      </c>
      <c r="D176" s="143" t="s">
        <v>673</v>
      </c>
      <c r="E176" s="143" t="s">
        <v>3513</v>
      </c>
    </row>
    <row r="177">
      <c r="A177" s="143" t="s">
        <v>674</v>
      </c>
      <c r="B177" s="143">
        <v>791.0</v>
      </c>
      <c r="C177" s="143" t="s">
        <v>3526</v>
      </c>
      <c r="D177" s="143" t="s">
        <v>675</v>
      </c>
      <c r="E177" s="143" t="s">
        <v>3513</v>
      </c>
    </row>
    <row r="178">
      <c r="A178" s="143" t="s">
        <v>732</v>
      </c>
      <c r="B178" s="143">
        <v>960.0</v>
      </c>
      <c r="C178" s="143" t="s">
        <v>3527</v>
      </c>
      <c r="D178" s="143" t="s">
        <v>733</v>
      </c>
      <c r="E178" s="143" t="s">
        <v>3513</v>
      </c>
    </row>
    <row r="179">
      <c r="A179" s="143" t="s">
        <v>740</v>
      </c>
      <c r="B179" s="143">
        <v>973.0</v>
      </c>
      <c r="C179" s="143" t="s">
        <v>3528</v>
      </c>
      <c r="D179" s="143" t="s">
        <v>741</v>
      </c>
      <c r="E179" s="143" t="s">
        <v>3513</v>
      </c>
    </row>
    <row r="180">
      <c r="A180" s="143" t="s">
        <v>774</v>
      </c>
      <c r="B180" s="143">
        <v>1120.0</v>
      </c>
      <c r="C180" s="143" t="s">
        <v>3529</v>
      </c>
      <c r="D180" s="143" t="s">
        <v>775</v>
      </c>
      <c r="E180" s="143" t="s">
        <v>3513</v>
      </c>
    </row>
    <row r="181">
      <c r="A181" s="143" t="s">
        <v>786</v>
      </c>
      <c r="B181" s="143">
        <v>1138.0</v>
      </c>
      <c r="C181" s="143" t="s">
        <v>3530</v>
      </c>
      <c r="D181" s="143" t="s">
        <v>787</v>
      </c>
      <c r="E181" s="143" t="s">
        <v>3513</v>
      </c>
    </row>
    <row r="182">
      <c r="A182" s="143" t="s">
        <v>796</v>
      </c>
      <c r="B182" s="143">
        <v>1148.0</v>
      </c>
      <c r="C182" s="143" t="s">
        <v>3531</v>
      </c>
      <c r="D182" s="143" t="s">
        <v>797</v>
      </c>
      <c r="E182" s="143" t="s">
        <v>3513</v>
      </c>
    </row>
    <row r="183">
      <c r="A183" s="143" t="s">
        <v>868</v>
      </c>
      <c r="B183" s="143">
        <v>1316.0</v>
      </c>
      <c r="C183" s="143" t="s">
        <v>3532</v>
      </c>
      <c r="D183" s="143" t="s">
        <v>869</v>
      </c>
      <c r="E183" s="143" t="s">
        <v>3513</v>
      </c>
    </row>
    <row r="184">
      <c r="A184" s="143" t="s">
        <v>872</v>
      </c>
      <c r="B184" s="143">
        <v>1318.0</v>
      </c>
      <c r="C184" s="143" t="s">
        <v>3533</v>
      </c>
      <c r="D184" s="143" t="s">
        <v>873</v>
      </c>
      <c r="E184" s="143" t="s">
        <v>3513</v>
      </c>
    </row>
    <row r="185">
      <c r="A185" s="143" t="s">
        <v>886</v>
      </c>
      <c r="B185" s="143">
        <v>1353.0</v>
      </c>
      <c r="C185" s="143" t="s">
        <v>3534</v>
      </c>
      <c r="D185" s="143" t="s">
        <v>887</v>
      </c>
      <c r="E185" s="143" t="s">
        <v>3513</v>
      </c>
    </row>
    <row r="186">
      <c r="A186" s="143" t="s">
        <v>890</v>
      </c>
      <c r="B186" s="143">
        <v>1370.0</v>
      </c>
      <c r="C186" s="143" t="s">
        <v>3535</v>
      </c>
      <c r="D186" s="143" t="s">
        <v>891</v>
      </c>
      <c r="E186" s="143" t="s">
        <v>3513</v>
      </c>
    </row>
    <row r="187">
      <c r="A187" s="143" t="s">
        <v>894</v>
      </c>
      <c r="B187" s="143">
        <v>1390.0</v>
      </c>
      <c r="C187" s="143" t="s">
        <v>3536</v>
      </c>
      <c r="D187" s="143" t="s">
        <v>895</v>
      </c>
      <c r="E187" s="143" t="s">
        <v>3513</v>
      </c>
    </row>
    <row r="188">
      <c r="A188" s="143" t="s">
        <v>918</v>
      </c>
      <c r="B188" s="143">
        <v>1459.0</v>
      </c>
      <c r="C188" s="143" t="s">
        <v>3537</v>
      </c>
      <c r="D188" s="143" t="s">
        <v>919</v>
      </c>
      <c r="E188" s="143" t="s">
        <v>3513</v>
      </c>
    </row>
    <row r="189">
      <c r="A189" s="143" t="s">
        <v>954</v>
      </c>
      <c r="B189" s="143">
        <v>1547.0</v>
      </c>
      <c r="C189" s="143" t="s">
        <v>3538</v>
      </c>
      <c r="D189" s="143" t="s">
        <v>955</v>
      </c>
      <c r="E189" s="143" t="s">
        <v>3513</v>
      </c>
    </row>
    <row r="190">
      <c r="A190" s="143" t="s">
        <v>994</v>
      </c>
      <c r="B190" s="143">
        <v>1663.0</v>
      </c>
      <c r="C190" s="143" t="s">
        <v>3539</v>
      </c>
      <c r="D190" s="143" t="s">
        <v>995</v>
      </c>
      <c r="E190" s="143" t="s">
        <v>3513</v>
      </c>
    </row>
    <row r="191">
      <c r="A191" s="143" t="s">
        <v>1038</v>
      </c>
      <c r="B191" s="143">
        <v>1790.0</v>
      </c>
      <c r="C191" s="143" t="s">
        <v>3540</v>
      </c>
      <c r="D191" s="143" t="s">
        <v>1039</v>
      </c>
      <c r="E191" s="143" t="s">
        <v>3513</v>
      </c>
    </row>
    <row r="192">
      <c r="A192" s="143" t="s">
        <v>1094</v>
      </c>
      <c r="B192" s="143">
        <v>1960.0</v>
      </c>
      <c r="C192" s="143" t="s">
        <v>3541</v>
      </c>
      <c r="D192" s="143" t="s">
        <v>1095</v>
      </c>
      <c r="E192" s="143" t="s">
        <v>3513</v>
      </c>
    </row>
    <row r="193">
      <c r="A193" s="143" t="s">
        <v>1108</v>
      </c>
      <c r="B193" s="143">
        <v>2004.0</v>
      </c>
      <c r="C193" s="143" t="s">
        <v>3542</v>
      </c>
      <c r="D193" s="143" t="s">
        <v>1109</v>
      </c>
      <c r="E193" s="143" t="s">
        <v>3513</v>
      </c>
    </row>
    <row r="194">
      <c r="A194" s="143" t="s">
        <v>1176</v>
      </c>
      <c r="B194" s="143">
        <v>2187.0</v>
      </c>
      <c r="C194" s="143" t="s">
        <v>3543</v>
      </c>
      <c r="D194" s="143" t="s">
        <v>1177</v>
      </c>
      <c r="E194" s="143" t="s">
        <v>3513</v>
      </c>
    </row>
    <row r="195">
      <c r="A195" s="143" t="s">
        <v>1182</v>
      </c>
      <c r="B195" s="143">
        <v>2217.0</v>
      </c>
      <c r="C195" s="143" t="s">
        <v>3544</v>
      </c>
      <c r="D195" s="143" t="s">
        <v>1183</v>
      </c>
      <c r="E195" s="143" t="s">
        <v>3513</v>
      </c>
    </row>
    <row r="196">
      <c r="A196" s="143" t="s">
        <v>1236</v>
      </c>
      <c r="B196" s="143">
        <v>2385.0</v>
      </c>
      <c r="C196" s="143" t="s">
        <v>3545</v>
      </c>
      <c r="D196" s="143" t="s">
        <v>1237</v>
      </c>
      <c r="E196" s="143" t="s">
        <v>3513</v>
      </c>
    </row>
    <row r="197">
      <c r="A197" s="143" t="s">
        <v>1314</v>
      </c>
      <c r="B197" s="143">
        <v>2692.0</v>
      </c>
      <c r="C197" s="143" t="s">
        <v>3546</v>
      </c>
      <c r="D197" s="143" t="s">
        <v>1315</v>
      </c>
      <c r="E197" s="143" t="s">
        <v>3513</v>
      </c>
    </row>
    <row r="198">
      <c r="A198" s="143" t="s">
        <v>1340</v>
      </c>
      <c r="B198" s="143">
        <v>2781.0</v>
      </c>
      <c r="C198" s="143" t="s">
        <v>3547</v>
      </c>
      <c r="D198" s="143" t="s">
        <v>1341</v>
      </c>
      <c r="E198" s="143" t="s">
        <v>3513</v>
      </c>
    </row>
    <row r="199">
      <c r="A199" s="143" t="s">
        <v>1364</v>
      </c>
      <c r="B199" s="143">
        <v>2863.0</v>
      </c>
      <c r="C199" s="143" t="s">
        <v>3548</v>
      </c>
      <c r="D199" s="143" t="s">
        <v>1365</v>
      </c>
      <c r="E199" s="143" t="s">
        <v>3513</v>
      </c>
    </row>
    <row r="200">
      <c r="A200" s="143" t="s">
        <v>1368</v>
      </c>
      <c r="B200" s="143">
        <v>2878.0</v>
      </c>
      <c r="C200" s="143" t="s">
        <v>3549</v>
      </c>
      <c r="D200" s="143" t="s">
        <v>1369</v>
      </c>
      <c r="E200" s="143" t="s">
        <v>3513</v>
      </c>
    </row>
    <row r="201">
      <c r="A201" s="143" t="s">
        <v>1374</v>
      </c>
      <c r="B201" s="143">
        <v>2899.0</v>
      </c>
      <c r="C201" s="143" t="s">
        <v>3550</v>
      </c>
      <c r="D201" s="143" t="s">
        <v>1375</v>
      </c>
      <c r="E201" s="143" t="s">
        <v>3513</v>
      </c>
    </row>
    <row r="202">
      <c r="A202" s="143" t="s">
        <v>1392</v>
      </c>
      <c r="B202" s="143">
        <v>2935.0</v>
      </c>
      <c r="C202" s="143" t="s">
        <v>3551</v>
      </c>
      <c r="D202" s="143" t="s">
        <v>1393</v>
      </c>
      <c r="E202" s="143" t="s">
        <v>3513</v>
      </c>
    </row>
    <row r="203">
      <c r="A203" s="143" t="s">
        <v>1404</v>
      </c>
      <c r="B203" s="143">
        <v>2959.0</v>
      </c>
      <c r="C203" s="143" t="s">
        <v>3552</v>
      </c>
      <c r="D203" s="143" t="s">
        <v>1405</v>
      </c>
      <c r="E203" s="143" t="s">
        <v>3513</v>
      </c>
    </row>
    <row r="204">
      <c r="A204" s="143" t="s">
        <v>1410</v>
      </c>
      <c r="B204" s="143">
        <v>2973.0</v>
      </c>
      <c r="C204" s="143" t="s">
        <v>3553</v>
      </c>
      <c r="D204" s="143" t="s">
        <v>1411</v>
      </c>
      <c r="E204" s="143" t="s">
        <v>3513</v>
      </c>
    </row>
    <row r="205">
      <c r="A205" s="143" t="s">
        <v>1450</v>
      </c>
      <c r="B205" s="143">
        <v>3139.0</v>
      </c>
      <c r="C205" s="143" t="s">
        <v>3554</v>
      </c>
      <c r="D205" s="143" t="s">
        <v>1451</v>
      </c>
      <c r="E205" s="143" t="s">
        <v>3513</v>
      </c>
    </row>
    <row r="206">
      <c r="A206" s="143" t="s">
        <v>1510</v>
      </c>
      <c r="B206" s="143">
        <v>3285.0</v>
      </c>
      <c r="C206" s="143" t="s">
        <v>3555</v>
      </c>
      <c r="D206" s="143" t="s">
        <v>1511</v>
      </c>
      <c r="E206" s="143" t="s">
        <v>3513</v>
      </c>
    </row>
    <row r="207">
      <c r="A207" s="143" t="s">
        <v>1512</v>
      </c>
      <c r="B207" s="143">
        <v>3293.0</v>
      </c>
      <c r="C207" s="143" t="s">
        <v>3556</v>
      </c>
      <c r="D207" s="143" t="s">
        <v>1513</v>
      </c>
      <c r="E207" s="143" t="s">
        <v>3513</v>
      </c>
    </row>
    <row r="208">
      <c r="A208" s="143" t="s">
        <v>1514</v>
      </c>
      <c r="B208" s="143">
        <v>3297.0</v>
      </c>
      <c r="C208" s="143" t="s">
        <v>3557</v>
      </c>
      <c r="D208" s="143" t="s">
        <v>1515</v>
      </c>
      <c r="E208" s="143" t="s">
        <v>3513</v>
      </c>
    </row>
    <row r="209">
      <c r="A209" s="143" t="s">
        <v>1576</v>
      </c>
      <c r="B209" s="143">
        <v>3465.0</v>
      </c>
      <c r="C209" s="143" t="s">
        <v>3558</v>
      </c>
      <c r="D209" s="143" t="s">
        <v>1577</v>
      </c>
      <c r="E209" s="143" t="s">
        <v>3513</v>
      </c>
    </row>
    <row r="210">
      <c r="A210" s="143" t="s">
        <v>1598</v>
      </c>
      <c r="B210" s="143">
        <v>3538.0</v>
      </c>
      <c r="C210" s="143" t="s">
        <v>3559</v>
      </c>
      <c r="D210" s="143" t="s">
        <v>1599</v>
      </c>
      <c r="E210" s="143" t="s">
        <v>3513</v>
      </c>
    </row>
    <row r="211">
      <c r="A211" s="143" t="s">
        <v>1622</v>
      </c>
      <c r="B211" s="143">
        <v>3649.0</v>
      </c>
      <c r="C211" s="143" t="s">
        <v>3560</v>
      </c>
      <c r="D211" s="143" t="s">
        <v>1623</v>
      </c>
      <c r="E211" s="143" t="s">
        <v>3513</v>
      </c>
    </row>
    <row r="212">
      <c r="A212" s="143" t="s">
        <v>1630</v>
      </c>
      <c r="B212" s="143">
        <v>3690.0</v>
      </c>
      <c r="C212" s="143" t="s">
        <v>3561</v>
      </c>
      <c r="D212" s="143" t="s">
        <v>1631</v>
      </c>
      <c r="E212" s="143" t="s">
        <v>3513</v>
      </c>
    </row>
    <row r="213">
      <c r="A213" s="143" t="s">
        <v>1684</v>
      </c>
      <c r="B213" s="143">
        <v>3899.0</v>
      </c>
      <c r="C213" s="143" t="s">
        <v>3562</v>
      </c>
      <c r="D213" s="143" t="s">
        <v>1685</v>
      </c>
      <c r="E213" s="143" t="s">
        <v>3513</v>
      </c>
    </row>
    <row r="214">
      <c r="A214" s="143" t="s">
        <v>1698</v>
      </c>
      <c r="B214" s="143">
        <v>3988.0</v>
      </c>
      <c r="C214" s="143" t="s">
        <v>3563</v>
      </c>
      <c r="D214" s="143" t="s">
        <v>1699</v>
      </c>
      <c r="E214" s="143" t="s">
        <v>3513</v>
      </c>
      <c r="F214" s="143" t="s">
        <v>3354</v>
      </c>
    </row>
    <row r="215">
      <c r="A215" s="143" t="s">
        <v>1702</v>
      </c>
      <c r="B215" s="143">
        <v>4011.0</v>
      </c>
      <c r="C215" s="143" t="s">
        <v>3564</v>
      </c>
      <c r="D215" s="143" t="s">
        <v>1703</v>
      </c>
      <c r="E215" s="143" t="s">
        <v>3513</v>
      </c>
    </row>
    <row r="216">
      <c r="A216" s="143" t="s">
        <v>1716</v>
      </c>
      <c r="B216" s="143">
        <v>4094.0</v>
      </c>
      <c r="C216" s="143" t="s">
        <v>3565</v>
      </c>
      <c r="D216" s="143" t="s">
        <v>1717</v>
      </c>
      <c r="E216" s="143" t="s">
        <v>3513</v>
      </c>
    </row>
    <row r="217">
      <c r="A217" s="143" t="s">
        <v>1726</v>
      </c>
      <c r="B217" s="143">
        <v>4129.0</v>
      </c>
      <c r="C217" s="143" t="s">
        <v>3566</v>
      </c>
      <c r="D217" s="143" t="s">
        <v>1727</v>
      </c>
      <c r="E217" s="143" t="s">
        <v>3513</v>
      </c>
    </row>
    <row r="218">
      <c r="A218" s="143" t="s">
        <v>1736</v>
      </c>
      <c r="B218" s="143">
        <v>4146.0</v>
      </c>
      <c r="C218" s="143" t="s">
        <v>3567</v>
      </c>
      <c r="D218" s="143" t="s">
        <v>1737</v>
      </c>
      <c r="E218" s="143" t="s">
        <v>3513</v>
      </c>
    </row>
    <row r="219">
      <c r="A219" s="143" t="s">
        <v>1756</v>
      </c>
      <c r="B219" s="143">
        <v>4281.0</v>
      </c>
      <c r="C219" s="143" t="s">
        <v>3568</v>
      </c>
      <c r="D219" s="143" t="s">
        <v>1757</v>
      </c>
      <c r="E219" s="143" t="s">
        <v>3513</v>
      </c>
    </row>
    <row r="220">
      <c r="A220" s="143" t="s">
        <v>1764</v>
      </c>
      <c r="B220" s="143">
        <v>4321.0</v>
      </c>
      <c r="C220" s="143" t="s">
        <v>3569</v>
      </c>
      <c r="D220" s="143" t="s">
        <v>1765</v>
      </c>
      <c r="E220" s="143" t="s">
        <v>3513</v>
      </c>
    </row>
    <row r="221">
      <c r="A221" s="143" t="s">
        <v>1768</v>
      </c>
      <c r="B221" s="143">
        <v>4333.0</v>
      </c>
      <c r="C221" s="143" t="s">
        <v>3570</v>
      </c>
      <c r="D221" s="143" t="s">
        <v>1769</v>
      </c>
      <c r="E221" s="143" t="s">
        <v>3513</v>
      </c>
    </row>
    <row r="222">
      <c r="A222" s="143" t="s">
        <v>1776</v>
      </c>
      <c r="B222" s="143">
        <v>4372.0</v>
      </c>
      <c r="C222" s="143" t="s">
        <v>3571</v>
      </c>
      <c r="D222" s="143" t="s">
        <v>1777</v>
      </c>
      <c r="E222" s="143" t="s">
        <v>3513</v>
      </c>
    </row>
    <row r="223">
      <c r="A223" s="143" t="s">
        <v>1792</v>
      </c>
      <c r="B223" s="143">
        <v>4486.0</v>
      </c>
      <c r="C223" s="143" t="s">
        <v>3572</v>
      </c>
      <c r="D223" s="143" t="s">
        <v>1793</v>
      </c>
      <c r="E223" s="143" t="s">
        <v>3513</v>
      </c>
    </row>
    <row r="224">
      <c r="A224" s="143" t="s">
        <v>510</v>
      </c>
      <c r="B224" s="143">
        <v>280.0</v>
      </c>
      <c r="C224" s="143" t="s">
        <v>3573</v>
      </c>
      <c r="D224" s="143" t="s">
        <v>511</v>
      </c>
      <c r="E224" s="143" t="s">
        <v>3574</v>
      </c>
    </row>
    <row r="225">
      <c r="A225" s="143" t="s">
        <v>526</v>
      </c>
      <c r="B225" s="143">
        <v>334.0</v>
      </c>
      <c r="C225" s="143" t="s">
        <v>3575</v>
      </c>
      <c r="D225" s="143" t="s">
        <v>527</v>
      </c>
      <c r="E225" s="143" t="s">
        <v>3574</v>
      </c>
    </row>
    <row r="226">
      <c r="A226" s="143" t="s">
        <v>540</v>
      </c>
      <c r="B226" s="143">
        <v>379.0</v>
      </c>
      <c r="C226" s="143" t="s">
        <v>3576</v>
      </c>
      <c r="D226" s="143" t="s">
        <v>541</v>
      </c>
      <c r="E226" s="143" t="s">
        <v>3574</v>
      </c>
    </row>
    <row r="227">
      <c r="A227" s="143" t="s">
        <v>550</v>
      </c>
      <c r="B227" s="143">
        <v>405.0</v>
      </c>
      <c r="C227" s="143" t="s">
        <v>3577</v>
      </c>
      <c r="D227" s="143" t="s">
        <v>551</v>
      </c>
      <c r="E227" s="143" t="s">
        <v>3574</v>
      </c>
    </row>
    <row r="228">
      <c r="A228" s="143" t="s">
        <v>614</v>
      </c>
      <c r="B228" s="143">
        <v>625.0</v>
      </c>
      <c r="C228" s="143" t="s">
        <v>3578</v>
      </c>
      <c r="D228" s="143" t="s">
        <v>615</v>
      </c>
      <c r="E228" s="143" t="s">
        <v>3574</v>
      </c>
    </row>
    <row r="229">
      <c r="A229" s="143" t="s">
        <v>622</v>
      </c>
      <c r="B229" s="143">
        <v>642.0</v>
      </c>
      <c r="C229" s="143" t="s">
        <v>3579</v>
      </c>
      <c r="D229" s="143" t="s">
        <v>623</v>
      </c>
      <c r="E229" s="143" t="s">
        <v>3574</v>
      </c>
    </row>
    <row r="230">
      <c r="A230" s="143" t="s">
        <v>680</v>
      </c>
      <c r="B230" s="143">
        <v>806.0</v>
      </c>
      <c r="C230" s="143" t="s">
        <v>3580</v>
      </c>
      <c r="D230" s="143" t="s">
        <v>681</v>
      </c>
      <c r="E230" s="143" t="s">
        <v>3574</v>
      </c>
    </row>
    <row r="231">
      <c r="A231" s="143" t="s">
        <v>684</v>
      </c>
      <c r="B231" s="143">
        <v>819.0</v>
      </c>
      <c r="C231" s="143" t="s">
        <v>3581</v>
      </c>
      <c r="D231" s="143" t="s">
        <v>685</v>
      </c>
      <c r="E231" s="143" t="s">
        <v>3574</v>
      </c>
    </row>
    <row r="232">
      <c r="A232" s="143" t="s">
        <v>692</v>
      </c>
      <c r="B232" s="143">
        <v>848.0</v>
      </c>
      <c r="C232" s="143" t="s">
        <v>3582</v>
      </c>
      <c r="D232" s="143" t="s">
        <v>693</v>
      </c>
      <c r="E232" s="143" t="s">
        <v>3574</v>
      </c>
    </row>
    <row r="233">
      <c r="A233" s="143" t="s">
        <v>708</v>
      </c>
      <c r="B233" s="143">
        <v>907.0</v>
      </c>
      <c r="C233" s="143" t="s">
        <v>3583</v>
      </c>
      <c r="D233" s="143" t="s">
        <v>709</v>
      </c>
      <c r="E233" s="143" t="s">
        <v>3574</v>
      </c>
    </row>
    <row r="234">
      <c r="A234" s="143" t="s">
        <v>714</v>
      </c>
      <c r="B234" s="143">
        <v>921.0</v>
      </c>
      <c r="C234" s="143" t="s">
        <v>3584</v>
      </c>
      <c r="D234" s="143" t="s">
        <v>715</v>
      </c>
      <c r="E234" s="143" t="s">
        <v>3574</v>
      </c>
    </row>
    <row r="235">
      <c r="A235" s="143" t="s">
        <v>716</v>
      </c>
      <c r="B235" s="143">
        <v>923.0</v>
      </c>
      <c r="C235" s="143" t="s">
        <v>3585</v>
      </c>
      <c r="D235" s="143" t="s">
        <v>717</v>
      </c>
      <c r="E235" s="143" t="s">
        <v>3574</v>
      </c>
    </row>
    <row r="236">
      <c r="A236" s="143" t="s">
        <v>718</v>
      </c>
      <c r="B236" s="143">
        <v>936.0</v>
      </c>
      <c r="C236" s="143" t="s">
        <v>3586</v>
      </c>
      <c r="D236" s="143" t="s">
        <v>719</v>
      </c>
      <c r="E236" s="143" t="s">
        <v>3574</v>
      </c>
    </row>
    <row r="237">
      <c r="A237" s="143" t="s">
        <v>724</v>
      </c>
      <c r="B237" s="143">
        <v>946.0</v>
      </c>
      <c r="C237" s="143" t="s">
        <v>3587</v>
      </c>
      <c r="D237" s="143" t="s">
        <v>725</v>
      </c>
      <c r="E237" s="143" t="s">
        <v>3574</v>
      </c>
    </row>
    <row r="238">
      <c r="A238" s="143" t="s">
        <v>738</v>
      </c>
      <c r="B238" s="143">
        <v>971.0</v>
      </c>
      <c r="C238" s="143" t="s">
        <v>3588</v>
      </c>
      <c r="D238" s="143" t="s">
        <v>739</v>
      </c>
      <c r="E238" s="143" t="s">
        <v>3574</v>
      </c>
    </row>
    <row r="239">
      <c r="A239" s="143" t="s">
        <v>756</v>
      </c>
      <c r="B239" s="143">
        <v>1065.0</v>
      </c>
      <c r="C239" s="143" t="s">
        <v>3589</v>
      </c>
      <c r="D239" s="143" t="s">
        <v>757</v>
      </c>
      <c r="E239" s="143" t="s">
        <v>3574</v>
      </c>
    </row>
    <row r="240">
      <c r="A240" s="143" t="s">
        <v>762</v>
      </c>
      <c r="B240" s="143">
        <v>1095.0</v>
      </c>
      <c r="C240" s="143" t="s">
        <v>3590</v>
      </c>
      <c r="D240" s="143" t="s">
        <v>763</v>
      </c>
      <c r="E240" s="143" t="s">
        <v>3574</v>
      </c>
    </row>
    <row r="241">
      <c r="A241" s="143" t="s">
        <v>768</v>
      </c>
      <c r="B241" s="143">
        <v>1108.0</v>
      </c>
      <c r="C241" s="143" t="s">
        <v>3591</v>
      </c>
      <c r="D241" s="143" t="s">
        <v>769</v>
      </c>
      <c r="E241" s="143" t="s">
        <v>3574</v>
      </c>
    </row>
    <row r="242">
      <c r="A242" s="143" t="s">
        <v>778</v>
      </c>
      <c r="B242" s="143">
        <v>1124.0</v>
      </c>
      <c r="C242" s="143" t="s">
        <v>3592</v>
      </c>
      <c r="D242" s="143" t="s">
        <v>779</v>
      </c>
      <c r="E242" s="143" t="s">
        <v>3574</v>
      </c>
    </row>
    <row r="243">
      <c r="A243" s="143" t="s">
        <v>810</v>
      </c>
      <c r="B243" s="143">
        <v>1172.0</v>
      </c>
      <c r="C243" s="143" t="s">
        <v>3593</v>
      </c>
      <c r="D243" s="143" t="s">
        <v>811</v>
      </c>
      <c r="E243" s="143" t="s">
        <v>3574</v>
      </c>
    </row>
    <row r="244">
      <c r="A244" s="143" t="s">
        <v>828</v>
      </c>
      <c r="B244" s="143">
        <v>1213.0</v>
      </c>
      <c r="C244" s="143" t="s">
        <v>3594</v>
      </c>
      <c r="D244" s="143" t="s">
        <v>829</v>
      </c>
      <c r="E244" s="143" t="s">
        <v>3574</v>
      </c>
    </row>
    <row r="245">
      <c r="A245" s="143" t="s">
        <v>854</v>
      </c>
      <c r="B245" s="143">
        <v>1271.0</v>
      </c>
      <c r="C245" s="143" t="s">
        <v>3595</v>
      </c>
      <c r="D245" s="143" t="s">
        <v>855</v>
      </c>
      <c r="E245" s="143" t="s">
        <v>3574</v>
      </c>
    </row>
    <row r="246">
      <c r="A246" s="143" t="s">
        <v>884</v>
      </c>
      <c r="B246" s="143">
        <v>1350.0</v>
      </c>
      <c r="C246" s="143" t="s">
        <v>3596</v>
      </c>
      <c r="D246" s="143" t="s">
        <v>885</v>
      </c>
      <c r="E246" s="143" t="s">
        <v>3574</v>
      </c>
    </row>
    <row r="247">
      <c r="A247" s="143" t="s">
        <v>892</v>
      </c>
      <c r="B247" s="143">
        <v>1373.0</v>
      </c>
      <c r="C247" s="143" t="s">
        <v>3597</v>
      </c>
      <c r="D247" s="143" t="s">
        <v>893</v>
      </c>
      <c r="E247" s="143" t="s">
        <v>3574</v>
      </c>
    </row>
    <row r="248">
      <c r="A248" s="143" t="s">
        <v>910</v>
      </c>
      <c r="B248" s="143">
        <v>1429.0</v>
      </c>
      <c r="C248" s="143" t="s">
        <v>3598</v>
      </c>
      <c r="D248" s="143" t="s">
        <v>911</v>
      </c>
      <c r="E248" s="143" t="s">
        <v>3574</v>
      </c>
    </row>
    <row r="249">
      <c r="A249" s="143" t="s">
        <v>946</v>
      </c>
      <c r="B249" s="143">
        <v>1528.0</v>
      </c>
      <c r="C249" s="143" t="s">
        <v>3599</v>
      </c>
      <c r="D249" s="143" t="s">
        <v>947</v>
      </c>
      <c r="E249" s="143" t="s">
        <v>3574</v>
      </c>
    </row>
    <row r="250">
      <c r="A250" s="143" t="s">
        <v>952</v>
      </c>
      <c r="B250" s="143">
        <v>1541.0</v>
      </c>
      <c r="C250" s="143" t="s">
        <v>3600</v>
      </c>
      <c r="D250" s="143" t="s">
        <v>953</v>
      </c>
      <c r="E250" s="143" t="s">
        <v>3574</v>
      </c>
    </row>
    <row r="251">
      <c r="A251" s="143" t="s">
        <v>964</v>
      </c>
      <c r="B251" s="143">
        <v>1563.0</v>
      </c>
      <c r="C251" s="143" t="s">
        <v>3601</v>
      </c>
      <c r="D251" s="143" t="s">
        <v>965</v>
      </c>
      <c r="E251" s="143" t="s">
        <v>3574</v>
      </c>
    </row>
    <row r="252">
      <c r="A252" s="143" t="s">
        <v>992</v>
      </c>
      <c r="B252" s="143">
        <v>1661.0</v>
      </c>
      <c r="C252" s="143" t="s">
        <v>3602</v>
      </c>
      <c r="D252" s="143" t="s">
        <v>993</v>
      </c>
      <c r="E252" s="143" t="s">
        <v>3574</v>
      </c>
    </row>
    <row r="253">
      <c r="A253" s="143" t="s">
        <v>998</v>
      </c>
      <c r="B253" s="143">
        <v>1669.0</v>
      </c>
      <c r="C253" s="143" t="s">
        <v>3603</v>
      </c>
      <c r="D253" s="143" t="s">
        <v>999</v>
      </c>
      <c r="E253" s="143" t="s">
        <v>3574</v>
      </c>
    </row>
    <row r="254">
      <c r="A254" s="143" t="s">
        <v>1004</v>
      </c>
      <c r="B254" s="143">
        <v>1683.0</v>
      </c>
      <c r="C254" s="143" t="s">
        <v>3604</v>
      </c>
      <c r="D254" s="143" t="s">
        <v>1005</v>
      </c>
      <c r="E254" s="143" t="s">
        <v>3574</v>
      </c>
    </row>
    <row r="255">
      <c r="A255" s="143" t="s">
        <v>1018</v>
      </c>
      <c r="B255" s="143">
        <v>1704.0</v>
      </c>
      <c r="C255" s="143" t="s">
        <v>3605</v>
      </c>
      <c r="D255" s="143" t="s">
        <v>1019</v>
      </c>
      <c r="E255" s="143" t="s">
        <v>3574</v>
      </c>
    </row>
    <row r="256">
      <c r="A256" s="143" t="s">
        <v>1022</v>
      </c>
      <c r="B256" s="143">
        <v>1736.0</v>
      </c>
      <c r="C256" s="143" t="s">
        <v>3606</v>
      </c>
      <c r="D256" s="143" t="s">
        <v>1023</v>
      </c>
      <c r="E256" s="143" t="s">
        <v>3574</v>
      </c>
    </row>
    <row r="257">
      <c r="A257" s="143" t="s">
        <v>1072</v>
      </c>
      <c r="B257" s="143">
        <v>1898.0</v>
      </c>
      <c r="C257" s="143" t="s">
        <v>3607</v>
      </c>
      <c r="D257" s="143" t="s">
        <v>1073</v>
      </c>
      <c r="E257" s="143" t="s">
        <v>3574</v>
      </c>
    </row>
    <row r="258">
      <c r="A258" s="143" t="s">
        <v>1078</v>
      </c>
      <c r="B258" s="143">
        <v>1906.0</v>
      </c>
      <c r="C258" s="143" t="s">
        <v>3608</v>
      </c>
      <c r="D258" s="143" t="s">
        <v>1079</v>
      </c>
      <c r="E258" s="143" t="s">
        <v>3574</v>
      </c>
    </row>
    <row r="259">
      <c r="A259" s="143" t="s">
        <v>1082</v>
      </c>
      <c r="B259" s="143">
        <v>1913.0</v>
      </c>
      <c r="C259" s="143" t="s">
        <v>3609</v>
      </c>
      <c r="D259" s="143" t="s">
        <v>1083</v>
      </c>
      <c r="E259" s="143" t="s">
        <v>3574</v>
      </c>
    </row>
    <row r="260">
      <c r="A260" s="143" t="s">
        <v>1096</v>
      </c>
      <c r="B260" s="143">
        <v>1965.0</v>
      </c>
      <c r="C260" s="143" t="s">
        <v>3610</v>
      </c>
      <c r="D260" s="143" t="s">
        <v>1097</v>
      </c>
      <c r="E260" s="143" t="s">
        <v>3574</v>
      </c>
    </row>
    <row r="261">
      <c r="A261" s="143" t="s">
        <v>1114</v>
      </c>
      <c r="B261" s="143">
        <v>2026.0</v>
      </c>
      <c r="C261" s="143" t="s">
        <v>3611</v>
      </c>
      <c r="D261" s="143" t="s">
        <v>1115</v>
      </c>
      <c r="E261" s="143" t="s">
        <v>3574</v>
      </c>
    </row>
    <row r="262">
      <c r="A262" s="143" t="s">
        <v>1116</v>
      </c>
      <c r="B262" s="143">
        <v>2037.0</v>
      </c>
      <c r="C262" s="143" t="s">
        <v>3612</v>
      </c>
      <c r="D262" s="143" t="s">
        <v>1117</v>
      </c>
      <c r="E262" s="143" t="s">
        <v>3574</v>
      </c>
    </row>
    <row r="263">
      <c r="A263" s="143" t="s">
        <v>1124</v>
      </c>
      <c r="B263" s="143">
        <v>2060.0</v>
      </c>
      <c r="C263" s="143" t="s">
        <v>3613</v>
      </c>
      <c r="D263" s="143" t="s">
        <v>1125</v>
      </c>
      <c r="E263" s="143" t="s">
        <v>3574</v>
      </c>
    </row>
    <row r="264">
      <c r="A264" s="143" t="s">
        <v>1126</v>
      </c>
      <c r="B264" s="143">
        <v>2061.0</v>
      </c>
      <c r="C264" s="143" t="s">
        <v>3614</v>
      </c>
      <c r="D264" s="143" t="s">
        <v>1127</v>
      </c>
      <c r="E264" s="143" t="s">
        <v>3574</v>
      </c>
    </row>
    <row r="265">
      <c r="A265" s="143" t="s">
        <v>1134</v>
      </c>
      <c r="B265" s="143">
        <v>2081.0</v>
      </c>
      <c r="C265" s="143" t="s">
        <v>3615</v>
      </c>
      <c r="D265" s="143" t="s">
        <v>1135</v>
      </c>
      <c r="E265" s="143" t="s">
        <v>3574</v>
      </c>
    </row>
    <row r="266">
      <c r="A266" s="143" t="s">
        <v>1136</v>
      </c>
      <c r="B266" s="143">
        <v>2082.0</v>
      </c>
      <c r="C266" s="143" t="s">
        <v>3616</v>
      </c>
      <c r="D266" s="143" t="s">
        <v>1137</v>
      </c>
      <c r="E266" s="143" t="s">
        <v>3574</v>
      </c>
    </row>
    <row r="267">
      <c r="A267" s="143" t="s">
        <v>1140</v>
      </c>
      <c r="B267" s="143">
        <v>2092.0</v>
      </c>
      <c r="C267" s="143" t="s">
        <v>3617</v>
      </c>
      <c r="D267" s="143" t="s">
        <v>1141</v>
      </c>
      <c r="E267" s="143" t="s">
        <v>3574</v>
      </c>
    </row>
    <row r="268">
      <c r="A268" s="143" t="s">
        <v>1162</v>
      </c>
      <c r="B268" s="143">
        <v>2143.0</v>
      </c>
      <c r="C268" s="143" t="s">
        <v>3618</v>
      </c>
      <c r="D268" s="143" t="s">
        <v>1163</v>
      </c>
      <c r="E268" s="143" t="s">
        <v>3574</v>
      </c>
    </row>
    <row r="269">
      <c r="A269" s="143" t="s">
        <v>1164</v>
      </c>
      <c r="B269" s="143">
        <v>2147.0</v>
      </c>
      <c r="C269" s="143" t="s">
        <v>3619</v>
      </c>
      <c r="D269" s="143" t="s">
        <v>1165</v>
      </c>
      <c r="E269" s="143" t="s">
        <v>3574</v>
      </c>
    </row>
    <row r="270">
      <c r="A270" s="143" t="s">
        <v>1178</v>
      </c>
      <c r="B270" s="143">
        <v>2197.0</v>
      </c>
      <c r="C270" s="143" t="s">
        <v>3620</v>
      </c>
      <c r="D270" s="143" t="s">
        <v>1179</v>
      </c>
      <c r="E270" s="143" t="s">
        <v>3574</v>
      </c>
    </row>
    <row r="271">
      <c r="A271" s="143" t="s">
        <v>1192</v>
      </c>
      <c r="B271" s="143">
        <v>2253.0</v>
      </c>
      <c r="C271" s="143" t="s">
        <v>3621</v>
      </c>
      <c r="D271" s="143" t="s">
        <v>1193</v>
      </c>
      <c r="E271" s="143" t="s">
        <v>3574</v>
      </c>
    </row>
    <row r="272">
      <c r="A272" s="143" t="s">
        <v>1194</v>
      </c>
      <c r="B272" s="143">
        <v>2261.0</v>
      </c>
      <c r="C272" s="143" t="s">
        <v>3622</v>
      </c>
      <c r="D272" s="143" t="s">
        <v>1195</v>
      </c>
      <c r="E272" s="143" t="s">
        <v>3574</v>
      </c>
    </row>
    <row r="273">
      <c r="A273" s="143" t="s">
        <v>1198</v>
      </c>
      <c r="B273" s="143">
        <v>2265.0</v>
      </c>
      <c r="C273" s="143" t="s">
        <v>3623</v>
      </c>
      <c r="D273" s="143" t="s">
        <v>1199</v>
      </c>
      <c r="E273" s="143" t="s">
        <v>3574</v>
      </c>
    </row>
    <row r="274">
      <c r="A274" s="143" t="s">
        <v>1230</v>
      </c>
      <c r="B274" s="143">
        <v>2358.0</v>
      </c>
      <c r="C274" s="143" t="s">
        <v>3624</v>
      </c>
      <c r="D274" s="143" t="s">
        <v>1231</v>
      </c>
      <c r="E274" s="143" t="s">
        <v>3574</v>
      </c>
    </row>
    <row r="275">
      <c r="A275" s="143" t="s">
        <v>1232</v>
      </c>
      <c r="B275" s="143">
        <v>2360.0</v>
      </c>
      <c r="C275" s="143" t="s">
        <v>3625</v>
      </c>
      <c r="D275" s="143" t="s">
        <v>1233</v>
      </c>
      <c r="E275" s="143" t="s">
        <v>3574</v>
      </c>
    </row>
    <row r="276">
      <c r="A276" s="143" t="s">
        <v>1240</v>
      </c>
      <c r="B276" s="143">
        <v>2405.0</v>
      </c>
      <c r="C276" s="143" t="s">
        <v>3626</v>
      </c>
      <c r="D276" s="143" t="s">
        <v>1241</v>
      </c>
      <c r="E276" s="143" t="s">
        <v>3574</v>
      </c>
    </row>
    <row r="277">
      <c r="A277" s="143" t="s">
        <v>1250</v>
      </c>
      <c r="B277" s="143">
        <v>2429.0</v>
      </c>
      <c r="C277" s="143" t="s">
        <v>3627</v>
      </c>
      <c r="D277" s="143" t="s">
        <v>1251</v>
      </c>
      <c r="E277" s="143" t="s">
        <v>3574</v>
      </c>
    </row>
    <row r="278">
      <c r="A278" s="143" t="s">
        <v>1256</v>
      </c>
      <c r="B278" s="143">
        <v>2489.0</v>
      </c>
      <c r="C278" s="143" t="s">
        <v>3628</v>
      </c>
      <c r="D278" s="143" t="s">
        <v>1257</v>
      </c>
      <c r="E278" s="143" t="s">
        <v>3574</v>
      </c>
    </row>
    <row r="279">
      <c r="A279" s="143" t="s">
        <v>1268</v>
      </c>
      <c r="B279" s="143">
        <v>2521.0</v>
      </c>
      <c r="C279" s="143" t="s">
        <v>3629</v>
      </c>
      <c r="D279" s="143" t="s">
        <v>1269</v>
      </c>
      <c r="E279" s="143" t="s">
        <v>3574</v>
      </c>
    </row>
    <row r="280">
      <c r="A280" s="143" t="s">
        <v>1296</v>
      </c>
      <c r="B280" s="143">
        <v>2624.0</v>
      </c>
      <c r="C280" s="143" t="s">
        <v>3630</v>
      </c>
      <c r="D280" s="143" t="s">
        <v>1297</v>
      </c>
      <c r="E280" s="143" t="s">
        <v>3574</v>
      </c>
    </row>
    <row r="281">
      <c r="A281" s="143" t="s">
        <v>1328</v>
      </c>
      <c r="B281" s="143">
        <v>2726.0</v>
      </c>
      <c r="C281" s="143" t="s">
        <v>3631</v>
      </c>
      <c r="D281" s="143" t="s">
        <v>1329</v>
      </c>
      <c r="E281" s="143" t="s">
        <v>3574</v>
      </c>
    </row>
    <row r="282">
      <c r="A282" s="143" t="s">
        <v>1334</v>
      </c>
      <c r="B282" s="143">
        <v>2749.0</v>
      </c>
      <c r="C282" s="143" t="s">
        <v>3632</v>
      </c>
      <c r="D282" s="143" t="s">
        <v>1335</v>
      </c>
      <c r="E282" s="143" t="s">
        <v>3574</v>
      </c>
    </row>
    <row r="283">
      <c r="A283" s="143" t="s">
        <v>1342</v>
      </c>
      <c r="B283" s="143">
        <v>2788.0</v>
      </c>
      <c r="C283" s="143" t="s">
        <v>3633</v>
      </c>
      <c r="D283" s="143" t="s">
        <v>1343</v>
      </c>
      <c r="E283" s="143" t="s">
        <v>3574</v>
      </c>
    </row>
    <row r="284">
      <c r="A284" s="143" t="s">
        <v>1350</v>
      </c>
      <c r="B284" s="143">
        <v>2818.0</v>
      </c>
      <c r="C284" s="143" t="s">
        <v>3634</v>
      </c>
      <c r="D284" s="143" t="s">
        <v>1351</v>
      </c>
      <c r="E284" s="143" t="s">
        <v>3574</v>
      </c>
    </row>
    <row r="285">
      <c r="A285" s="143" t="s">
        <v>1356</v>
      </c>
      <c r="B285" s="143">
        <v>2840.0</v>
      </c>
      <c r="C285" s="143" t="s">
        <v>3635</v>
      </c>
      <c r="D285" s="143" t="s">
        <v>1357</v>
      </c>
      <c r="E285" s="143" t="s">
        <v>3574</v>
      </c>
    </row>
    <row r="286">
      <c r="A286" s="143" t="s">
        <v>1398</v>
      </c>
      <c r="B286" s="143">
        <v>2949.0</v>
      </c>
      <c r="C286" s="143" t="s">
        <v>3636</v>
      </c>
      <c r="D286" s="143" t="s">
        <v>1399</v>
      </c>
      <c r="E286" s="143" t="s">
        <v>3574</v>
      </c>
    </row>
    <row r="287">
      <c r="A287" s="143" t="s">
        <v>1402</v>
      </c>
      <c r="B287" s="143">
        <v>2956.0</v>
      </c>
      <c r="C287" s="143" t="s">
        <v>3637</v>
      </c>
      <c r="D287" s="143" t="s">
        <v>1403</v>
      </c>
      <c r="E287" s="143" t="s">
        <v>3574</v>
      </c>
    </row>
    <row r="288">
      <c r="A288" s="143" t="s">
        <v>1414</v>
      </c>
      <c r="B288" s="143">
        <v>2992.0</v>
      </c>
      <c r="C288" s="143" t="s">
        <v>3638</v>
      </c>
      <c r="D288" s="143" t="s">
        <v>1415</v>
      </c>
      <c r="E288" s="143" t="s">
        <v>3574</v>
      </c>
    </row>
    <row r="289">
      <c r="A289" s="143" t="s">
        <v>1432</v>
      </c>
      <c r="B289" s="143">
        <v>3045.0</v>
      </c>
      <c r="C289" s="143" t="s">
        <v>3639</v>
      </c>
      <c r="D289" s="143" t="s">
        <v>1433</v>
      </c>
      <c r="E289" s="143" t="s">
        <v>3574</v>
      </c>
    </row>
    <row r="290">
      <c r="A290" s="143" t="s">
        <v>1436</v>
      </c>
      <c r="B290" s="143">
        <v>3050.0</v>
      </c>
      <c r="C290" s="143" t="s">
        <v>3640</v>
      </c>
      <c r="D290" s="143" t="s">
        <v>1437</v>
      </c>
      <c r="E290" s="143" t="s">
        <v>3574</v>
      </c>
    </row>
    <row r="291">
      <c r="A291" s="143" t="s">
        <v>1438</v>
      </c>
      <c r="B291" s="143">
        <v>3064.0</v>
      </c>
      <c r="C291" s="143" t="s">
        <v>3641</v>
      </c>
      <c r="D291" s="143" t="s">
        <v>1439</v>
      </c>
      <c r="E291" s="143" t="s">
        <v>3574</v>
      </c>
    </row>
    <row r="292">
      <c r="A292" s="143" t="s">
        <v>1492</v>
      </c>
      <c r="B292" s="143">
        <v>3237.0</v>
      </c>
      <c r="C292" s="143" t="s">
        <v>3642</v>
      </c>
      <c r="D292" s="143" t="s">
        <v>1493</v>
      </c>
      <c r="E292" s="143" t="s">
        <v>3574</v>
      </c>
    </row>
    <row r="293">
      <c r="A293" s="143" t="s">
        <v>1500</v>
      </c>
      <c r="B293" s="143">
        <v>3257.0</v>
      </c>
      <c r="C293" s="143" t="s">
        <v>3643</v>
      </c>
      <c r="D293" s="143" t="s">
        <v>1501</v>
      </c>
      <c r="E293" s="143" t="s">
        <v>3574</v>
      </c>
    </row>
    <row r="294">
      <c r="A294" s="143" t="s">
        <v>1518</v>
      </c>
      <c r="B294" s="143">
        <v>3320.0</v>
      </c>
      <c r="C294" s="143" t="s">
        <v>3644</v>
      </c>
      <c r="D294" s="143" t="s">
        <v>1519</v>
      </c>
      <c r="E294" s="143" t="s">
        <v>3574</v>
      </c>
    </row>
    <row r="295">
      <c r="A295" s="143" t="s">
        <v>1524</v>
      </c>
      <c r="B295" s="143">
        <v>3328.0</v>
      </c>
      <c r="C295" s="143" t="s">
        <v>3645</v>
      </c>
      <c r="D295" s="143" t="s">
        <v>1525</v>
      </c>
      <c r="E295" s="143" t="s">
        <v>3574</v>
      </c>
    </row>
    <row r="296">
      <c r="A296" s="143" t="s">
        <v>1544</v>
      </c>
      <c r="B296" s="143">
        <v>3386.0</v>
      </c>
      <c r="C296" s="143" t="s">
        <v>3646</v>
      </c>
      <c r="D296" s="143" t="s">
        <v>1545</v>
      </c>
      <c r="E296" s="143" t="s">
        <v>3574</v>
      </c>
    </row>
    <row r="297">
      <c r="A297" s="143" t="s">
        <v>1560</v>
      </c>
      <c r="B297" s="143">
        <v>3425.0</v>
      </c>
      <c r="C297" s="143" t="s">
        <v>3647</v>
      </c>
      <c r="D297" s="143" t="s">
        <v>1561</v>
      </c>
      <c r="E297" s="143" t="s">
        <v>3574</v>
      </c>
    </row>
    <row r="298">
      <c r="A298" s="143" t="s">
        <v>1564</v>
      </c>
      <c r="B298" s="143">
        <v>3447.0</v>
      </c>
      <c r="C298" s="143" t="s">
        <v>3648</v>
      </c>
      <c r="D298" s="143" t="s">
        <v>1565</v>
      </c>
      <c r="E298" s="143" t="s">
        <v>3574</v>
      </c>
    </row>
    <row r="299">
      <c r="A299" s="143" t="s">
        <v>1574</v>
      </c>
      <c r="B299" s="143">
        <v>3464.0</v>
      </c>
      <c r="C299" s="143" t="s">
        <v>3649</v>
      </c>
      <c r="D299" s="143" t="s">
        <v>1575</v>
      </c>
      <c r="E299" s="143" t="s">
        <v>3574</v>
      </c>
    </row>
    <row r="300">
      <c r="A300" s="143" t="s">
        <v>1586</v>
      </c>
      <c r="B300" s="143">
        <v>3504.0</v>
      </c>
      <c r="C300" s="143" t="s">
        <v>3650</v>
      </c>
      <c r="D300" s="143" t="s">
        <v>1587</v>
      </c>
      <c r="E300" s="143" t="s">
        <v>3574</v>
      </c>
    </row>
    <row r="301">
      <c r="A301" s="143" t="s">
        <v>1614</v>
      </c>
      <c r="B301" s="143">
        <v>3599.0</v>
      </c>
      <c r="C301" s="143" t="s">
        <v>3651</v>
      </c>
      <c r="D301" s="143" t="s">
        <v>1615</v>
      </c>
      <c r="E301" s="143" t="s">
        <v>3574</v>
      </c>
    </row>
    <row r="302">
      <c r="A302" s="143" t="s">
        <v>1636</v>
      </c>
      <c r="B302" s="143">
        <v>3717.0</v>
      </c>
      <c r="C302" s="143" t="s">
        <v>3652</v>
      </c>
      <c r="D302" s="143" t="s">
        <v>1637</v>
      </c>
      <c r="E302" s="143" t="s">
        <v>3574</v>
      </c>
    </row>
    <row r="303">
      <c r="A303" s="143" t="s">
        <v>1650</v>
      </c>
      <c r="B303" s="143">
        <v>3755.0</v>
      </c>
      <c r="C303" s="143" t="s">
        <v>3653</v>
      </c>
      <c r="D303" s="143" t="s">
        <v>1651</v>
      </c>
      <c r="E303" s="143" t="s">
        <v>3574</v>
      </c>
    </row>
    <row r="304">
      <c r="A304" s="143" t="s">
        <v>1652</v>
      </c>
      <c r="B304" s="143">
        <v>3759.0</v>
      </c>
      <c r="C304" s="143" t="s">
        <v>3654</v>
      </c>
      <c r="D304" s="143" t="s">
        <v>1653</v>
      </c>
      <c r="E304" s="143" t="s">
        <v>3574</v>
      </c>
    </row>
    <row r="305">
      <c r="A305" s="143" t="s">
        <v>1658</v>
      </c>
      <c r="B305" s="143">
        <v>3783.0</v>
      </c>
      <c r="C305" s="143" t="s">
        <v>3655</v>
      </c>
      <c r="D305" s="143" t="s">
        <v>1659</v>
      </c>
      <c r="E305" s="143" t="s">
        <v>3574</v>
      </c>
    </row>
    <row r="306">
      <c r="A306" s="143" t="s">
        <v>1690</v>
      </c>
      <c r="B306" s="143">
        <v>3911.0</v>
      </c>
      <c r="C306" s="143" t="s">
        <v>3656</v>
      </c>
      <c r="D306" s="143" t="s">
        <v>1691</v>
      </c>
      <c r="E306" s="143" t="s">
        <v>3574</v>
      </c>
    </row>
    <row r="307">
      <c r="A307" s="143" t="s">
        <v>1742</v>
      </c>
      <c r="B307" s="143">
        <v>4197.0</v>
      </c>
      <c r="C307" s="143" t="s">
        <v>3657</v>
      </c>
      <c r="D307" s="143" t="s">
        <v>1743</v>
      </c>
      <c r="E307" s="143" t="s">
        <v>3574</v>
      </c>
    </row>
    <row r="308">
      <c r="A308" s="143" t="s">
        <v>1746</v>
      </c>
      <c r="B308" s="143">
        <v>4227.0</v>
      </c>
      <c r="C308" s="143" t="s">
        <v>3658</v>
      </c>
      <c r="D308" s="143" t="s">
        <v>1747</v>
      </c>
      <c r="E308" s="143" t="s">
        <v>3574</v>
      </c>
    </row>
    <row r="309">
      <c r="A309" s="143" t="s">
        <v>1786</v>
      </c>
      <c r="B309" s="143">
        <v>4426.0</v>
      </c>
      <c r="C309" s="143" t="s">
        <v>3659</v>
      </c>
      <c r="D309" s="143" t="s">
        <v>1787</v>
      </c>
      <c r="E309" s="143" t="s">
        <v>3574</v>
      </c>
    </row>
    <row r="310">
      <c r="A310" s="143" t="s">
        <v>1790</v>
      </c>
      <c r="B310" s="143">
        <v>4474.0</v>
      </c>
      <c r="C310" s="143" t="s">
        <v>3660</v>
      </c>
      <c r="D310" s="143" t="s">
        <v>1791</v>
      </c>
      <c r="E310" s="143" t="s">
        <v>3574</v>
      </c>
    </row>
    <row r="311">
      <c r="A311" s="143" t="s">
        <v>1804</v>
      </c>
      <c r="B311" s="143">
        <v>4558.0</v>
      </c>
      <c r="C311" s="143" t="s">
        <v>3661</v>
      </c>
      <c r="D311" s="143" t="s">
        <v>1805</v>
      </c>
      <c r="E311" s="143" t="s">
        <v>3574</v>
      </c>
    </row>
    <row r="312">
      <c r="A312" s="143" t="s">
        <v>482</v>
      </c>
      <c r="B312" s="143">
        <v>134.0</v>
      </c>
      <c r="C312" s="143" t="s">
        <v>3662</v>
      </c>
      <c r="D312" s="143" t="s">
        <v>483</v>
      </c>
      <c r="E312" s="143" t="s">
        <v>2891</v>
      </c>
    </row>
    <row r="313">
      <c r="A313" s="143" t="s">
        <v>490</v>
      </c>
      <c r="B313" s="143">
        <v>153.0</v>
      </c>
      <c r="C313" s="143" t="s">
        <v>3663</v>
      </c>
      <c r="D313" s="143" t="s">
        <v>491</v>
      </c>
      <c r="E313" s="143" t="s">
        <v>2891</v>
      </c>
    </row>
    <row r="314">
      <c r="A314" s="143" t="s">
        <v>494</v>
      </c>
      <c r="B314" s="143">
        <v>188.0</v>
      </c>
      <c r="C314" s="143" t="s">
        <v>3664</v>
      </c>
      <c r="D314" s="143" t="s">
        <v>495</v>
      </c>
      <c r="E314" s="143" t="s">
        <v>2891</v>
      </c>
    </row>
    <row r="315">
      <c r="A315" s="143" t="s">
        <v>538</v>
      </c>
      <c r="B315" s="143">
        <v>376.0</v>
      </c>
      <c r="C315" s="143" t="s">
        <v>3665</v>
      </c>
      <c r="D315" s="143" t="s">
        <v>539</v>
      </c>
      <c r="E315" s="143" t="s">
        <v>2891</v>
      </c>
    </row>
    <row r="316">
      <c r="A316" s="143" t="s">
        <v>582</v>
      </c>
      <c r="B316" s="143">
        <v>524.0</v>
      </c>
      <c r="C316" s="143" t="s">
        <v>3666</v>
      </c>
      <c r="D316" s="143" t="s">
        <v>583</v>
      </c>
      <c r="E316" s="143" t="s">
        <v>2891</v>
      </c>
    </row>
    <row r="317">
      <c r="A317" s="143" t="s">
        <v>590</v>
      </c>
      <c r="B317" s="143">
        <v>564.0</v>
      </c>
      <c r="C317" s="143" t="s">
        <v>3667</v>
      </c>
      <c r="D317" s="143" t="s">
        <v>591</v>
      </c>
      <c r="E317" s="143" t="s">
        <v>2891</v>
      </c>
    </row>
    <row r="318">
      <c r="A318" s="143" t="s">
        <v>618</v>
      </c>
      <c r="B318" s="143">
        <v>632.0</v>
      </c>
      <c r="C318" s="143" t="s">
        <v>3668</v>
      </c>
      <c r="D318" s="143" t="s">
        <v>619</v>
      </c>
      <c r="E318" s="143" t="s">
        <v>2891</v>
      </c>
    </row>
    <row r="319">
      <c r="A319" s="143" t="s">
        <v>638</v>
      </c>
      <c r="B319" s="143">
        <v>685.0</v>
      </c>
      <c r="C319" s="143" t="s">
        <v>3669</v>
      </c>
      <c r="D319" s="143" t="s">
        <v>639</v>
      </c>
      <c r="E319" s="143" t="s">
        <v>2891</v>
      </c>
    </row>
    <row r="320">
      <c r="A320" s="143" t="s">
        <v>646</v>
      </c>
      <c r="B320" s="143">
        <v>711.0</v>
      </c>
      <c r="C320" s="143" t="s">
        <v>3670</v>
      </c>
      <c r="D320" s="143" t="s">
        <v>647</v>
      </c>
      <c r="E320" s="143" t="s">
        <v>2891</v>
      </c>
    </row>
    <row r="321">
      <c r="A321" s="143" t="s">
        <v>652</v>
      </c>
      <c r="B321" s="143">
        <v>726.0</v>
      </c>
      <c r="C321" s="143" t="s">
        <v>3671</v>
      </c>
      <c r="D321" s="143" t="s">
        <v>653</v>
      </c>
      <c r="E321" s="143" t="s">
        <v>2891</v>
      </c>
    </row>
    <row r="322">
      <c r="A322" s="143" t="s">
        <v>698</v>
      </c>
      <c r="B322" s="143">
        <v>857.0</v>
      </c>
      <c r="C322" s="143" t="s">
        <v>3672</v>
      </c>
      <c r="D322" s="143" t="s">
        <v>699</v>
      </c>
      <c r="E322" s="143" t="s">
        <v>2891</v>
      </c>
    </row>
    <row r="323">
      <c r="A323" s="143" t="s">
        <v>728</v>
      </c>
      <c r="B323" s="143">
        <v>955.0</v>
      </c>
      <c r="C323" s="143" t="s">
        <v>3673</v>
      </c>
      <c r="D323" s="143" t="s">
        <v>729</v>
      </c>
      <c r="E323" s="143" t="s">
        <v>2891</v>
      </c>
    </row>
    <row r="324">
      <c r="A324" s="143" t="s">
        <v>742</v>
      </c>
      <c r="B324" s="143">
        <v>991.0</v>
      </c>
      <c r="C324" s="143" t="s">
        <v>3674</v>
      </c>
      <c r="D324" s="143" t="s">
        <v>743</v>
      </c>
      <c r="E324" s="143" t="s">
        <v>2891</v>
      </c>
    </row>
    <row r="325">
      <c r="A325" s="143" t="s">
        <v>790</v>
      </c>
      <c r="B325" s="143">
        <v>1144.0</v>
      </c>
      <c r="C325" s="143" t="s">
        <v>3675</v>
      </c>
      <c r="D325" s="143" t="s">
        <v>791</v>
      </c>
      <c r="E325" s="143" t="s">
        <v>2891</v>
      </c>
    </row>
    <row r="326">
      <c r="A326" s="143" t="s">
        <v>792</v>
      </c>
      <c r="B326" s="143">
        <v>1145.0</v>
      </c>
      <c r="C326" s="143" t="s">
        <v>3676</v>
      </c>
      <c r="D326" s="143" t="s">
        <v>793</v>
      </c>
      <c r="E326" s="143" t="s">
        <v>2891</v>
      </c>
    </row>
    <row r="327">
      <c r="A327" s="143" t="s">
        <v>800</v>
      </c>
      <c r="B327" s="143">
        <v>1151.0</v>
      </c>
      <c r="C327" s="143" t="s">
        <v>3677</v>
      </c>
      <c r="D327" s="143" t="s">
        <v>801</v>
      </c>
      <c r="E327" s="143" t="s">
        <v>2891</v>
      </c>
    </row>
    <row r="328">
      <c r="A328" s="143" t="s">
        <v>804</v>
      </c>
      <c r="B328" s="143">
        <v>1157.0</v>
      </c>
      <c r="C328" s="143" t="s">
        <v>3678</v>
      </c>
      <c r="D328" s="143" t="s">
        <v>805</v>
      </c>
      <c r="E328" s="143" t="s">
        <v>2891</v>
      </c>
    </row>
    <row r="329">
      <c r="A329" s="143" t="s">
        <v>820</v>
      </c>
      <c r="B329" s="143">
        <v>1188.0</v>
      </c>
      <c r="C329" s="143" t="s">
        <v>3679</v>
      </c>
      <c r="D329" s="143" t="s">
        <v>821</v>
      </c>
      <c r="E329" s="143" t="s">
        <v>2891</v>
      </c>
    </row>
    <row r="330">
      <c r="A330" s="143" t="s">
        <v>842</v>
      </c>
      <c r="B330" s="143">
        <v>1246.0</v>
      </c>
      <c r="C330" s="143" t="s">
        <v>3680</v>
      </c>
      <c r="D330" s="143" t="s">
        <v>843</v>
      </c>
      <c r="E330" s="143" t="s">
        <v>2891</v>
      </c>
    </row>
    <row r="331">
      <c r="A331" s="143" t="s">
        <v>876</v>
      </c>
      <c r="B331" s="143">
        <v>1329.0</v>
      </c>
      <c r="C331" s="143" t="s">
        <v>3681</v>
      </c>
      <c r="D331" s="143" t="s">
        <v>877</v>
      </c>
      <c r="E331" s="143" t="s">
        <v>2891</v>
      </c>
    </row>
    <row r="332">
      <c r="A332" s="143" t="s">
        <v>898</v>
      </c>
      <c r="B332" s="143">
        <v>1398.0</v>
      </c>
      <c r="C332" s="143" t="s">
        <v>3682</v>
      </c>
      <c r="D332" s="143" t="s">
        <v>899</v>
      </c>
      <c r="E332" s="143" t="s">
        <v>2891</v>
      </c>
    </row>
    <row r="333">
      <c r="A333" s="143" t="s">
        <v>902</v>
      </c>
      <c r="B333" s="143">
        <v>1402.0</v>
      </c>
      <c r="C333" s="143" t="s">
        <v>3683</v>
      </c>
      <c r="D333" s="143" t="s">
        <v>903</v>
      </c>
      <c r="E333" s="143" t="s">
        <v>2891</v>
      </c>
    </row>
    <row r="334">
      <c r="A334" s="143" t="s">
        <v>936</v>
      </c>
      <c r="B334" s="143">
        <v>1508.0</v>
      </c>
      <c r="C334" s="143" t="s">
        <v>3684</v>
      </c>
      <c r="D334" s="143" t="s">
        <v>937</v>
      </c>
      <c r="E334" s="143" t="s">
        <v>2891</v>
      </c>
    </row>
    <row r="335">
      <c r="A335" s="143" t="s">
        <v>944</v>
      </c>
      <c r="B335" s="143">
        <v>1524.0</v>
      </c>
      <c r="C335" s="143" t="s">
        <v>3685</v>
      </c>
      <c r="D335" s="143" t="s">
        <v>945</v>
      </c>
      <c r="E335" s="143" t="s">
        <v>2891</v>
      </c>
    </row>
    <row r="336">
      <c r="A336" s="143" t="s">
        <v>986</v>
      </c>
      <c r="B336" s="143">
        <v>1651.0</v>
      </c>
      <c r="C336" s="143" t="s">
        <v>3686</v>
      </c>
      <c r="D336" s="143" t="s">
        <v>987</v>
      </c>
      <c r="E336" s="143" t="s">
        <v>2891</v>
      </c>
    </row>
    <row r="337">
      <c r="A337" s="143" t="s">
        <v>988</v>
      </c>
      <c r="B337" s="143">
        <v>1656.0</v>
      </c>
      <c r="C337" s="143" t="s">
        <v>3687</v>
      </c>
      <c r="D337" s="143" t="s">
        <v>989</v>
      </c>
      <c r="E337" s="143" t="s">
        <v>2891</v>
      </c>
    </row>
    <row r="338">
      <c r="A338" s="143" t="s">
        <v>1030</v>
      </c>
      <c r="B338" s="143">
        <v>1751.0</v>
      </c>
      <c r="C338" s="143" t="s">
        <v>3688</v>
      </c>
      <c r="D338" s="143" t="s">
        <v>1031</v>
      </c>
      <c r="E338" s="143" t="s">
        <v>2891</v>
      </c>
    </row>
    <row r="339">
      <c r="A339" s="143" t="s">
        <v>1032</v>
      </c>
      <c r="B339" s="143">
        <v>1779.0</v>
      </c>
      <c r="C339" s="143" t="s">
        <v>3689</v>
      </c>
      <c r="D339" s="143" t="s">
        <v>1033</v>
      </c>
      <c r="E339" s="143" t="s">
        <v>2891</v>
      </c>
      <c r="F339" s="143" t="s">
        <v>3354</v>
      </c>
    </row>
    <row r="340">
      <c r="A340" s="143" t="s">
        <v>1044</v>
      </c>
      <c r="B340" s="143">
        <v>1811.0</v>
      </c>
      <c r="C340" s="143" t="s">
        <v>3690</v>
      </c>
      <c r="D340" s="143" t="s">
        <v>1045</v>
      </c>
      <c r="E340" s="143" t="s">
        <v>2891</v>
      </c>
    </row>
    <row r="341">
      <c r="A341" s="143" t="s">
        <v>1050</v>
      </c>
      <c r="B341" s="143">
        <v>1818.0</v>
      </c>
      <c r="C341" s="143" t="s">
        <v>3691</v>
      </c>
      <c r="D341" s="143" t="s">
        <v>1051</v>
      </c>
      <c r="E341" s="143" t="s">
        <v>2891</v>
      </c>
    </row>
    <row r="342">
      <c r="A342" s="143" t="s">
        <v>1058</v>
      </c>
      <c r="B342" s="143">
        <v>1843.0</v>
      </c>
      <c r="C342" s="143" t="s">
        <v>3692</v>
      </c>
      <c r="D342" s="143" t="s">
        <v>1059</v>
      </c>
      <c r="E342" s="143" t="s">
        <v>2891</v>
      </c>
    </row>
    <row r="343">
      <c r="A343" s="143" t="s">
        <v>1074</v>
      </c>
      <c r="B343" s="143">
        <v>1899.0</v>
      </c>
      <c r="C343" s="143" t="s">
        <v>3693</v>
      </c>
      <c r="D343" s="143" t="s">
        <v>1075</v>
      </c>
      <c r="E343" s="143" t="s">
        <v>2891</v>
      </c>
    </row>
    <row r="344">
      <c r="A344" s="143" t="s">
        <v>1076</v>
      </c>
      <c r="B344" s="143">
        <v>1900.0</v>
      </c>
      <c r="C344" s="143" t="s">
        <v>3694</v>
      </c>
      <c r="D344" s="143" t="s">
        <v>1077</v>
      </c>
      <c r="E344" s="143" t="s">
        <v>2891</v>
      </c>
    </row>
    <row r="345">
      <c r="A345" s="143" t="s">
        <v>1092</v>
      </c>
      <c r="B345" s="143">
        <v>1957.0</v>
      </c>
      <c r="C345" s="143" t="s">
        <v>3695</v>
      </c>
      <c r="D345" s="143" t="s">
        <v>1093</v>
      </c>
      <c r="E345" s="143" t="s">
        <v>2891</v>
      </c>
    </row>
    <row r="346">
      <c r="A346" s="143" t="s">
        <v>1098</v>
      </c>
      <c r="B346" s="143">
        <v>1977.0</v>
      </c>
      <c r="C346" s="143" t="s">
        <v>3696</v>
      </c>
      <c r="D346" s="143" t="s">
        <v>1099</v>
      </c>
      <c r="E346" s="143" t="s">
        <v>2891</v>
      </c>
    </row>
    <row r="347">
      <c r="A347" s="143" t="s">
        <v>1106</v>
      </c>
      <c r="B347" s="143">
        <v>1994.0</v>
      </c>
      <c r="C347" s="143" t="s">
        <v>3697</v>
      </c>
      <c r="D347" s="143" t="s">
        <v>1107</v>
      </c>
      <c r="E347" s="143" t="s">
        <v>2891</v>
      </c>
    </row>
    <row r="348">
      <c r="A348" s="143" t="s">
        <v>1110</v>
      </c>
      <c r="B348" s="143">
        <v>2018.0</v>
      </c>
      <c r="C348" s="143" t="s">
        <v>3698</v>
      </c>
      <c r="D348" s="143" t="s">
        <v>1111</v>
      </c>
      <c r="E348" s="143" t="s">
        <v>2891</v>
      </c>
    </row>
    <row r="349">
      <c r="A349" s="143" t="s">
        <v>1142</v>
      </c>
      <c r="B349" s="143">
        <v>2100.0</v>
      </c>
      <c r="C349" s="143" t="s">
        <v>3699</v>
      </c>
      <c r="D349" s="143" t="s">
        <v>1143</v>
      </c>
      <c r="E349" s="143" t="s">
        <v>2891</v>
      </c>
    </row>
    <row r="350">
      <c r="A350" s="143" t="s">
        <v>1170</v>
      </c>
      <c r="B350" s="143">
        <v>2161.0</v>
      </c>
      <c r="C350" s="143" t="s">
        <v>3700</v>
      </c>
      <c r="D350" s="143" t="s">
        <v>1171</v>
      </c>
      <c r="E350" s="143" t="s">
        <v>2891</v>
      </c>
    </row>
    <row r="351">
      <c r="A351" s="143" t="s">
        <v>1190</v>
      </c>
      <c r="B351" s="143">
        <v>2246.0</v>
      </c>
      <c r="C351" s="143" t="s">
        <v>3701</v>
      </c>
      <c r="D351" s="143" t="s">
        <v>1191</v>
      </c>
      <c r="E351" s="143" t="s">
        <v>2891</v>
      </c>
    </row>
    <row r="352">
      <c r="A352" s="143" t="s">
        <v>1204</v>
      </c>
      <c r="B352" s="143">
        <v>2275.0</v>
      </c>
      <c r="C352" s="143" t="s">
        <v>3702</v>
      </c>
      <c r="D352" s="143" t="s">
        <v>1205</v>
      </c>
      <c r="E352" s="143" t="s">
        <v>2891</v>
      </c>
    </row>
    <row r="353">
      <c r="A353" s="143" t="s">
        <v>1206</v>
      </c>
      <c r="B353" s="143">
        <v>2287.0</v>
      </c>
      <c r="C353" s="143" t="s">
        <v>3703</v>
      </c>
      <c r="D353" s="143" t="s">
        <v>1207</v>
      </c>
      <c r="E353" s="143" t="s">
        <v>2891</v>
      </c>
    </row>
    <row r="354">
      <c r="A354" s="143" t="s">
        <v>1214</v>
      </c>
      <c r="B354" s="143">
        <v>2311.0</v>
      </c>
      <c r="C354" s="143" t="s">
        <v>3704</v>
      </c>
      <c r="D354" s="143" t="s">
        <v>1215</v>
      </c>
      <c r="E354" s="143" t="s">
        <v>2891</v>
      </c>
    </row>
    <row r="355">
      <c r="A355" s="143" t="s">
        <v>1218</v>
      </c>
      <c r="B355" s="143">
        <v>2324.0</v>
      </c>
      <c r="C355" s="143" t="s">
        <v>3705</v>
      </c>
      <c r="D355" s="143" t="s">
        <v>1219</v>
      </c>
      <c r="E355" s="143" t="s">
        <v>2891</v>
      </c>
    </row>
    <row r="356">
      <c r="A356" s="143" t="s">
        <v>1220</v>
      </c>
      <c r="B356" s="143">
        <v>2337.0</v>
      </c>
      <c r="C356" s="143" t="s">
        <v>3706</v>
      </c>
      <c r="D356" s="143" t="s">
        <v>1221</v>
      </c>
      <c r="E356" s="143" t="s">
        <v>2891</v>
      </c>
    </row>
    <row r="357">
      <c r="A357" s="143" t="s">
        <v>1234</v>
      </c>
      <c r="B357" s="143">
        <v>2375.0</v>
      </c>
      <c r="C357" s="143" t="s">
        <v>3707</v>
      </c>
      <c r="D357" s="143" t="s">
        <v>1235</v>
      </c>
      <c r="E357" s="143" t="s">
        <v>2891</v>
      </c>
    </row>
    <row r="358">
      <c r="A358" s="143" t="s">
        <v>1270</v>
      </c>
      <c r="B358" s="143">
        <v>2533.0</v>
      </c>
      <c r="C358" s="143" t="s">
        <v>3708</v>
      </c>
      <c r="D358" s="143" t="s">
        <v>1271</v>
      </c>
      <c r="E358" s="143" t="s">
        <v>2891</v>
      </c>
    </row>
    <row r="359">
      <c r="A359" s="143" t="s">
        <v>1278</v>
      </c>
      <c r="B359" s="143">
        <v>2548.0</v>
      </c>
      <c r="C359" s="143" t="s">
        <v>3709</v>
      </c>
      <c r="D359" s="143" t="s">
        <v>1279</v>
      </c>
      <c r="E359" s="143" t="s">
        <v>2891</v>
      </c>
    </row>
    <row r="360">
      <c r="A360" s="143" t="s">
        <v>1302</v>
      </c>
      <c r="B360" s="143">
        <v>2632.0</v>
      </c>
      <c r="C360" s="143" t="s">
        <v>3710</v>
      </c>
      <c r="D360" s="143" t="s">
        <v>1303</v>
      </c>
      <c r="E360" s="143" t="s">
        <v>2891</v>
      </c>
    </row>
    <row r="361">
      <c r="A361" s="143" t="s">
        <v>1318</v>
      </c>
      <c r="B361" s="143">
        <v>2703.0</v>
      </c>
      <c r="C361" s="143" t="s">
        <v>3711</v>
      </c>
      <c r="D361" s="143" t="s">
        <v>1319</v>
      </c>
      <c r="E361" s="143" t="s">
        <v>2891</v>
      </c>
    </row>
    <row r="362">
      <c r="A362" s="143" t="s">
        <v>1326</v>
      </c>
      <c r="B362" s="143">
        <v>2724.0</v>
      </c>
      <c r="C362" s="143" t="s">
        <v>3712</v>
      </c>
      <c r="D362" s="143" t="s">
        <v>1327</v>
      </c>
      <c r="E362" s="143" t="s">
        <v>2891</v>
      </c>
    </row>
    <row r="363">
      <c r="A363" s="143" t="s">
        <v>1372</v>
      </c>
      <c r="B363" s="143">
        <v>2893.0</v>
      </c>
      <c r="C363" s="143" t="s">
        <v>3713</v>
      </c>
      <c r="D363" s="143" t="s">
        <v>1373</v>
      </c>
      <c r="E363" s="143" t="s">
        <v>2891</v>
      </c>
    </row>
    <row r="364">
      <c r="A364" s="143" t="s">
        <v>1378</v>
      </c>
      <c r="B364" s="143">
        <v>2908.0</v>
      </c>
      <c r="C364" s="143" t="s">
        <v>3714</v>
      </c>
      <c r="D364" s="143" t="s">
        <v>1379</v>
      </c>
      <c r="E364" s="143" t="s">
        <v>2891</v>
      </c>
    </row>
    <row r="365">
      <c r="A365" s="143" t="s">
        <v>1382</v>
      </c>
      <c r="B365" s="143">
        <v>2914.0</v>
      </c>
      <c r="C365" s="143" t="s">
        <v>3715</v>
      </c>
      <c r="D365" s="143" t="s">
        <v>1383</v>
      </c>
      <c r="E365" s="143" t="s">
        <v>2891</v>
      </c>
    </row>
    <row r="366">
      <c r="A366" s="143" t="s">
        <v>1384</v>
      </c>
      <c r="B366" s="143">
        <v>2915.0</v>
      </c>
      <c r="C366" s="143" t="s">
        <v>3716</v>
      </c>
      <c r="D366" s="143" t="s">
        <v>3717</v>
      </c>
      <c r="E366" s="143" t="s">
        <v>2891</v>
      </c>
    </row>
    <row r="367">
      <c r="A367" s="143" t="s">
        <v>1416</v>
      </c>
      <c r="B367" s="143">
        <v>3003.0</v>
      </c>
      <c r="C367" s="143" t="s">
        <v>3718</v>
      </c>
      <c r="D367" s="143" t="s">
        <v>1417</v>
      </c>
      <c r="E367" s="143" t="s">
        <v>2891</v>
      </c>
    </row>
    <row r="368">
      <c r="A368" s="143" t="s">
        <v>1418</v>
      </c>
      <c r="B368" s="143">
        <v>3005.0</v>
      </c>
      <c r="C368" s="143" t="s">
        <v>3719</v>
      </c>
      <c r="D368" s="143" t="s">
        <v>1419</v>
      </c>
      <c r="E368" s="143" t="s">
        <v>2891</v>
      </c>
    </row>
    <row r="369">
      <c r="A369" s="143" t="s">
        <v>1448</v>
      </c>
      <c r="B369" s="143">
        <v>3136.0</v>
      </c>
      <c r="C369" s="143" t="s">
        <v>3720</v>
      </c>
      <c r="D369" s="143" t="s">
        <v>1449</v>
      </c>
      <c r="E369" s="143" t="s">
        <v>2891</v>
      </c>
    </row>
    <row r="370">
      <c r="A370" s="143" t="s">
        <v>1452</v>
      </c>
      <c r="B370" s="143">
        <v>3141.0</v>
      </c>
      <c r="C370" s="143" t="s">
        <v>3721</v>
      </c>
      <c r="D370" s="143" t="s">
        <v>1453</v>
      </c>
      <c r="E370" s="143" t="s">
        <v>2891</v>
      </c>
    </row>
    <row r="371">
      <c r="A371" s="143" t="s">
        <v>1478</v>
      </c>
      <c r="B371" s="143">
        <v>3199.0</v>
      </c>
      <c r="C371" s="143" t="s">
        <v>3722</v>
      </c>
      <c r="D371" s="143" t="s">
        <v>1479</v>
      </c>
      <c r="E371" s="143" t="s">
        <v>2891</v>
      </c>
    </row>
    <row r="372">
      <c r="A372" s="143" t="s">
        <v>1516</v>
      </c>
      <c r="B372" s="143">
        <v>3315.0</v>
      </c>
      <c r="C372" s="143" t="s">
        <v>3723</v>
      </c>
      <c r="D372" s="143" t="s">
        <v>1517</v>
      </c>
      <c r="E372" s="143" t="s">
        <v>2891</v>
      </c>
    </row>
    <row r="373">
      <c r="A373" s="143" t="s">
        <v>1526</v>
      </c>
      <c r="B373" s="143">
        <v>3329.0</v>
      </c>
      <c r="C373" s="143" t="s">
        <v>3724</v>
      </c>
      <c r="D373" s="143" t="s">
        <v>1527</v>
      </c>
      <c r="E373" s="143" t="s">
        <v>2891</v>
      </c>
    </row>
    <row r="374">
      <c r="A374" s="143" t="s">
        <v>1538</v>
      </c>
      <c r="B374" s="143">
        <v>3367.0</v>
      </c>
      <c r="C374" s="143" t="s">
        <v>3725</v>
      </c>
      <c r="D374" s="143" t="s">
        <v>1539</v>
      </c>
      <c r="E374" s="143" t="s">
        <v>2891</v>
      </c>
    </row>
    <row r="375">
      <c r="A375" s="143" t="s">
        <v>1546</v>
      </c>
      <c r="B375" s="143">
        <v>3389.0</v>
      </c>
      <c r="C375" s="143" t="s">
        <v>3726</v>
      </c>
      <c r="D375" s="143" t="s">
        <v>1547</v>
      </c>
      <c r="E375" s="143" t="s">
        <v>2891</v>
      </c>
    </row>
    <row r="376">
      <c r="A376" s="143" t="s">
        <v>1592</v>
      </c>
      <c r="B376" s="143">
        <v>3526.0</v>
      </c>
      <c r="C376" s="143" t="s">
        <v>3727</v>
      </c>
      <c r="D376" s="143" t="s">
        <v>1593</v>
      </c>
      <c r="E376" s="143" t="s">
        <v>2891</v>
      </c>
    </row>
    <row r="377">
      <c r="A377" s="143" t="s">
        <v>1624</v>
      </c>
      <c r="B377" s="143">
        <v>3671.0</v>
      </c>
      <c r="C377" s="143" t="s">
        <v>3728</v>
      </c>
      <c r="D377" s="143" t="s">
        <v>1625</v>
      </c>
      <c r="E377" s="143" t="s">
        <v>2891</v>
      </c>
    </row>
    <row r="378">
      <c r="A378" s="143" t="s">
        <v>1640</v>
      </c>
      <c r="B378" s="143">
        <v>3728.0</v>
      </c>
      <c r="C378" s="143" t="s">
        <v>3729</v>
      </c>
      <c r="D378" s="143" t="s">
        <v>1641</v>
      </c>
      <c r="E378" s="143" t="s">
        <v>2891</v>
      </c>
    </row>
    <row r="379">
      <c r="A379" s="143" t="s">
        <v>1662</v>
      </c>
      <c r="B379" s="143">
        <v>3788.0</v>
      </c>
      <c r="C379" s="143" t="s">
        <v>3730</v>
      </c>
      <c r="D379" s="143" t="s">
        <v>1663</v>
      </c>
      <c r="E379" s="143" t="s">
        <v>2891</v>
      </c>
    </row>
    <row r="380">
      <c r="A380" s="143" t="s">
        <v>1664</v>
      </c>
      <c r="B380" s="143">
        <v>3795.0</v>
      </c>
      <c r="C380" s="143" t="s">
        <v>3731</v>
      </c>
      <c r="D380" s="143" t="s">
        <v>1665</v>
      </c>
      <c r="E380" s="143" t="s">
        <v>2891</v>
      </c>
    </row>
    <row r="381">
      <c r="A381" s="143" t="s">
        <v>1668</v>
      </c>
      <c r="B381" s="143">
        <v>3839.0</v>
      </c>
      <c r="C381" s="143" t="s">
        <v>3732</v>
      </c>
      <c r="D381" s="143" t="s">
        <v>1669</v>
      </c>
      <c r="E381" s="143" t="s">
        <v>2891</v>
      </c>
    </row>
    <row r="382">
      <c r="A382" s="143" t="s">
        <v>1676</v>
      </c>
      <c r="B382" s="143">
        <v>3851.0</v>
      </c>
      <c r="C382" s="143" t="s">
        <v>3733</v>
      </c>
      <c r="D382" s="143" t="s">
        <v>1677</v>
      </c>
      <c r="E382" s="143" t="s">
        <v>2891</v>
      </c>
    </row>
    <row r="383">
      <c r="A383" s="143" t="s">
        <v>1686</v>
      </c>
      <c r="B383" s="143">
        <v>3901.0</v>
      </c>
      <c r="C383" s="143" t="s">
        <v>3734</v>
      </c>
      <c r="D383" s="143" t="s">
        <v>1687</v>
      </c>
      <c r="E383" s="143" t="s">
        <v>2891</v>
      </c>
    </row>
    <row r="384">
      <c r="A384" s="143" t="s">
        <v>1700</v>
      </c>
      <c r="B384" s="143">
        <v>4002.0</v>
      </c>
      <c r="C384" s="143" t="s">
        <v>3735</v>
      </c>
      <c r="D384" s="143" t="s">
        <v>1701</v>
      </c>
      <c r="E384" s="143" t="s">
        <v>2891</v>
      </c>
    </row>
    <row r="385">
      <c r="A385" s="143" t="s">
        <v>1704</v>
      </c>
      <c r="B385" s="143">
        <v>4030.0</v>
      </c>
      <c r="C385" s="143" t="s">
        <v>3736</v>
      </c>
      <c r="D385" s="143" t="s">
        <v>1705</v>
      </c>
      <c r="E385" s="143" t="s">
        <v>2891</v>
      </c>
    </row>
    <row r="386">
      <c r="A386" s="143" t="s">
        <v>1706</v>
      </c>
      <c r="B386" s="143">
        <v>4039.0</v>
      </c>
      <c r="C386" s="143" t="s">
        <v>3737</v>
      </c>
      <c r="D386" s="143" t="s">
        <v>1707</v>
      </c>
      <c r="E386" s="143" t="s">
        <v>2891</v>
      </c>
    </row>
    <row r="387">
      <c r="A387" s="143" t="s">
        <v>1708</v>
      </c>
      <c r="B387" s="143">
        <v>4054.0</v>
      </c>
      <c r="C387" s="143" t="s">
        <v>3738</v>
      </c>
      <c r="D387" s="143" t="s">
        <v>1709</v>
      </c>
      <c r="E387" s="143" t="s">
        <v>2891</v>
      </c>
    </row>
    <row r="388">
      <c r="A388" s="143" t="s">
        <v>1724</v>
      </c>
      <c r="B388" s="143">
        <v>4128.0</v>
      </c>
      <c r="C388" s="143" t="s">
        <v>3739</v>
      </c>
      <c r="D388" s="143" t="s">
        <v>1725</v>
      </c>
      <c r="E388" s="143" t="s">
        <v>2891</v>
      </c>
    </row>
    <row r="389">
      <c r="A389" s="143" t="s">
        <v>1754</v>
      </c>
      <c r="B389" s="143">
        <v>4268.0</v>
      </c>
      <c r="C389" s="143" t="s">
        <v>3740</v>
      </c>
      <c r="D389" s="143" t="s">
        <v>1755</v>
      </c>
      <c r="E389" s="143" t="s">
        <v>2891</v>
      </c>
    </row>
    <row r="390">
      <c r="A390" s="143" t="s">
        <v>1774</v>
      </c>
      <c r="B390" s="143">
        <v>4371.0</v>
      </c>
      <c r="C390" s="143" t="s">
        <v>3741</v>
      </c>
      <c r="D390" s="143" t="s">
        <v>1775</v>
      </c>
      <c r="E390" s="143" t="s">
        <v>2891</v>
      </c>
    </row>
    <row r="391">
      <c r="A391" s="143" t="s">
        <v>1798</v>
      </c>
      <c r="B391" s="143">
        <v>4498.0</v>
      </c>
      <c r="C391" s="143" t="s">
        <v>3742</v>
      </c>
      <c r="D391" s="143" t="s">
        <v>1799</v>
      </c>
      <c r="E391" s="143" t="s">
        <v>2891</v>
      </c>
    </row>
    <row r="392">
      <c r="A392" s="143" t="s">
        <v>1806</v>
      </c>
      <c r="B392" s="143">
        <v>4567.0</v>
      </c>
      <c r="C392" s="143" t="s">
        <v>3743</v>
      </c>
      <c r="D392" s="143" t="s">
        <v>1807</v>
      </c>
      <c r="E392" s="143" t="s">
        <v>2891</v>
      </c>
    </row>
    <row r="393">
      <c r="A393" s="143" t="s">
        <v>480</v>
      </c>
      <c r="B393" s="143">
        <v>126.0</v>
      </c>
      <c r="C393" s="143" t="s">
        <v>3744</v>
      </c>
      <c r="D393" s="143" t="s">
        <v>481</v>
      </c>
      <c r="E393" s="143" t="s">
        <v>3745</v>
      </c>
    </row>
    <row r="394">
      <c r="A394" s="143" t="s">
        <v>512</v>
      </c>
      <c r="B394" s="143">
        <v>282.0</v>
      </c>
      <c r="C394" s="143" t="s">
        <v>3746</v>
      </c>
      <c r="D394" s="143" t="s">
        <v>513</v>
      </c>
      <c r="E394" s="143" t="s">
        <v>3745</v>
      </c>
    </row>
    <row r="395">
      <c r="A395" s="143" t="s">
        <v>520</v>
      </c>
      <c r="B395" s="143">
        <v>310.0</v>
      </c>
      <c r="C395" s="143" t="s">
        <v>3747</v>
      </c>
      <c r="D395" s="143" t="s">
        <v>521</v>
      </c>
      <c r="E395" s="143" t="s">
        <v>3745</v>
      </c>
    </row>
    <row r="396">
      <c r="A396" s="143" t="s">
        <v>528</v>
      </c>
      <c r="B396" s="143">
        <v>347.0</v>
      </c>
      <c r="C396" s="143" t="s">
        <v>3748</v>
      </c>
      <c r="D396" s="143" t="s">
        <v>529</v>
      </c>
      <c r="E396" s="143" t="s">
        <v>3745</v>
      </c>
    </row>
    <row r="397">
      <c r="A397" s="143" t="s">
        <v>542</v>
      </c>
      <c r="B397" s="143">
        <v>381.0</v>
      </c>
      <c r="C397" s="143" t="s">
        <v>3749</v>
      </c>
      <c r="D397" s="143" t="s">
        <v>543</v>
      </c>
      <c r="E397" s="143" t="s">
        <v>3745</v>
      </c>
    </row>
    <row r="398">
      <c r="A398" s="143" t="s">
        <v>592</v>
      </c>
      <c r="B398" s="143">
        <v>570.0</v>
      </c>
      <c r="C398" s="143" t="s">
        <v>3750</v>
      </c>
      <c r="D398" s="143" t="s">
        <v>593</v>
      </c>
      <c r="E398" s="143" t="s">
        <v>3745</v>
      </c>
    </row>
    <row r="399">
      <c r="A399" s="143" t="s">
        <v>654</v>
      </c>
      <c r="B399" s="143">
        <v>729.0</v>
      </c>
      <c r="C399" s="143" t="s">
        <v>3751</v>
      </c>
      <c r="D399" s="143" t="s">
        <v>655</v>
      </c>
      <c r="E399" s="143" t="s">
        <v>3745</v>
      </c>
    </row>
    <row r="400">
      <c r="A400" s="143" t="s">
        <v>664</v>
      </c>
      <c r="B400" s="143">
        <v>747.0</v>
      </c>
      <c r="C400" s="143" t="s">
        <v>3752</v>
      </c>
      <c r="D400" s="143" t="s">
        <v>665</v>
      </c>
      <c r="E400" s="143" t="s">
        <v>3745</v>
      </c>
    </row>
    <row r="401">
      <c r="A401" s="143" t="s">
        <v>712</v>
      </c>
      <c r="B401" s="143">
        <v>920.0</v>
      </c>
      <c r="C401" s="143" t="s">
        <v>3753</v>
      </c>
      <c r="D401" s="143" t="s">
        <v>713</v>
      </c>
      <c r="E401" s="143" t="s">
        <v>3745</v>
      </c>
    </row>
    <row r="402">
      <c r="A402" s="143" t="s">
        <v>760</v>
      </c>
      <c r="B402" s="143">
        <v>1085.0</v>
      </c>
      <c r="C402" s="143" t="s">
        <v>3754</v>
      </c>
      <c r="D402" s="143" t="s">
        <v>761</v>
      </c>
      <c r="E402" s="143" t="s">
        <v>3745</v>
      </c>
    </row>
    <row r="403">
      <c r="A403" s="143" t="s">
        <v>780</v>
      </c>
      <c r="B403" s="143">
        <v>1127.0</v>
      </c>
      <c r="C403" s="143" t="s">
        <v>3755</v>
      </c>
      <c r="D403" s="143" t="s">
        <v>781</v>
      </c>
      <c r="E403" s="143" t="s">
        <v>3745</v>
      </c>
    </row>
    <row r="404">
      <c r="A404" s="143" t="s">
        <v>784</v>
      </c>
      <c r="B404" s="143">
        <v>1133.0</v>
      </c>
      <c r="C404" s="143" t="s">
        <v>3755</v>
      </c>
      <c r="D404" s="143" t="s">
        <v>785</v>
      </c>
      <c r="E404" s="143" t="s">
        <v>3745</v>
      </c>
    </row>
    <row r="405">
      <c r="A405" s="143" t="s">
        <v>922</v>
      </c>
      <c r="B405" s="143">
        <v>1466.0</v>
      </c>
      <c r="C405" s="143" t="s">
        <v>3756</v>
      </c>
      <c r="D405" s="143" t="s">
        <v>923</v>
      </c>
      <c r="E405" s="143" t="s">
        <v>3745</v>
      </c>
    </row>
    <row r="406">
      <c r="A406" s="143" t="s">
        <v>1086</v>
      </c>
      <c r="B406" s="143">
        <v>1934.0</v>
      </c>
      <c r="C406" s="143" t="s">
        <v>3757</v>
      </c>
      <c r="D406" s="143" t="s">
        <v>1087</v>
      </c>
      <c r="E406" s="143" t="s">
        <v>3745</v>
      </c>
    </row>
    <row r="407">
      <c r="A407" s="143" t="s">
        <v>1102</v>
      </c>
      <c r="B407" s="143">
        <v>1982.0</v>
      </c>
      <c r="C407" s="143" t="s">
        <v>3758</v>
      </c>
      <c r="D407" s="143" t="s">
        <v>1103</v>
      </c>
      <c r="E407" s="143" t="s">
        <v>3745</v>
      </c>
    </row>
    <row r="408">
      <c r="A408" s="143" t="s">
        <v>1118</v>
      </c>
      <c r="B408" s="143">
        <v>2045.0</v>
      </c>
      <c r="C408" s="143" t="s">
        <v>3759</v>
      </c>
      <c r="D408" s="143" t="s">
        <v>1119</v>
      </c>
      <c r="E408" s="143" t="s">
        <v>3745</v>
      </c>
    </row>
    <row r="409">
      <c r="A409" s="143" t="s">
        <v>1120</v>
      </c>
      <c r="B409" s="143">
        <v>2049.0</v>
      </c>
      <c r="C409" s="143" t="s">
        <v>3760</v>
      </c>
      <c r="D409" s="143" t="s">
        <v>1121</v>
      </c>
      <c r="E409" s="143" t="s">
        <v>3745</v>
      </c>
    </row>
    <row r="410">
      <c r="A410" s="143" t="s">
        <v>1160</v>
      </c>
      <c r="B410" s="143">
        <v>2136.0</v>
      </c>
      <c r="C410" s="143" t="s">
        <v>3761</v>
      </c>
      <c r="D410" s="143" t="s">
        <v>1161</v>
      </c>
      <c r="E410" s="143" t="s">
        <v>3745</v>
      </c>
    </row>
    <row r="411">
      <c r="A411" s="143" t="s">
        <v>1200</v>
      </c>
      <c r="B411" s="143">
        <v>2272.0</v>
      </c>
      <c r="C411" s="143" t="s">
        <v>3762</v>
      </c>
      <c r="D411" s="143" t="s">
        <v>1201</v>
      </c>
      <c r="E411" s="143" t="s">
        <v>3745</v>
      </c>
    </row>
    <row r="412">
      <c r="A412" s="143" t="s">
        <v>1216</v>
      </c>
      <c r="B412" s="143">
        <v>2316.0</v>
      </c>
      <c r="C412" s="143" t="s">
        <v>3763</v>
      </c>
      <c r="D412" s="143" t="s">
        <v>1217</v>
      </c>
      <c r="E412" s="143" t="s">
        <v>3745</v>
      </c>
    </row>
    <row r="413">
      <c r="A413" s="143" t="s">
        <v>1252</v>
      </c>
      <c r="B413" s="143">
        <v>2437.0</v>
      </c>
      <c r="C413" s="143" t="s">
        <v>3764</v>
      </c>
      <c r="D413" s="143" t="s">
        <v>1253</v>
      </c>
      <c r="E413" s="143" t="s">
        <v>3745</v>
      </c>
    </row>
    <row r="414">
      <c r="A414" s="143" t="s">
        <v>1286</v>
      </c>
      <c r="B414" s="143">
        <v>2581.0</v>
      </c>
      <c r="C414" s="143" t="s">
        <v>3765</v>
      </c>
      <c r="D414" s="143" t="s">
        <v>1287</v>
      </c>
      <c r="E414" s="143" t="s">
        <v>3745</v>
      </c>
    </row>
    <row r="415">
      <c r="A415" s="143" t="s">
        <v>1288</v>
      </c>
      <c r="B415" s="143">
        <v>2584.0</v>
      </c>
      <c r="C415" s="143" t="s">
        <v>3766</v>
      </c>
      <c r="D415" s="143" t="s">
        <v>1289</v>
      </c>
      <c r="E415" s="143" t="s">
        <v>3745</v>
      </c>
    </row>
    <row r="416">
      <c r="A416" s="143" t="s">
        <v>1304</v>
      </c>
      <c r="B416" s="143">
        <v>2642.0</v>
      </c>
      <c r="C416" s="143" t="s">
        <v>3767</v>
      </c>
      <c r="D416" s="143" t="s">
        <v>1305</v>
      </c>
      <c r="E416" s="143" t="s">
        <v>3745</v>
      </c>
    </row>
    <row r="417">
      <c r="A417" s="143" t="s">
        <v>1310</v>
      </c>
      <c r="B417" s="143">
        <v>2669.0</v>
      </c>
      <c r="C417" s="143" t="s">
        <v>3768</v>
      </c>
      <c r="D417" s="143" t="s">
        <v>1311</v>
      </c>
      <c r="E417" s="143" t="s">
        <v>3745</v>
      </c>
    </row>
    <row r="418">
      <c r="A418" s="143" t="s">
        <v>1324</v>
      </c>
      <c r="B418" s="143">
        <v>2723.0</v>
      </c>
      <c r="C418" s="143" t="s">
        <v>3769</v>
      </c>
      <c r="D418" s="143" t="s">
        <v>1325</v>
      </c>
      <c r="E418" s="143" t="s">
        <v>3745</v>
      </c>
    </row>
    <row r="419">
      <c r="A419" s="143" t="s">
        <v>1406</v>
      </c>
      <c r="B419" s="143">
        <v>2962.0</v>
      </c>
      <c r="C419" s="143" t="s">
        <v>3770</v>
      </c>
      <c r="D419" s="143" t="s">
        <v>1407</v>
      </c>
      <c r="E419" s="143" t="s">
        <v>3745</v>
      </c>
    </row>
    <row r="420">
      <c r="A420" s="143" t="s">
        <v>1426</v>
      </c>
      <c r="B420" s="143">
        <v>3028.0</v>
      </c>
      <c r="C420" s="143" t="s">
        <v>3771</v>
      </c>
      <c r="D420" s="143" t="s">
        <v>1427</v>
      </c>
      <c r="E420" s="143" t="s">
        <v>3745</v>
      </c>
    </row>
    <row r="421">
      <c r="A421" s="143" t="s">
        <v>1464</v>
      </c>
      <c r="B421" s="143">
        <v>3159.0</v>
      </c>
      <c r="C421" s="143" t="s">
        <v>3772</v>
      </c>
      <c r="D421" s="143" t="s">
        <v>1465</v>
      </c>
      <c r="E421" s="143" t="s">
        <v>3745</v>
      </c>
    </row>
    <row r="422">
      <c r="A422" s="143" t="s">
        <v>1476</v>
      </c>
      <c r="B422" s="143">
        <v>3193.0</v>
      </c>
      <c r="C422" s="143" t="s">
        <v>3773</v>
      </c>
      <c r="D422" s="143" t="s">
        <v>1477</v>
      </c>
      <c r="E422" s="143" t="s">
        <v>3745</v>
      </c>
    </row>
    <row r="423">
      <c r="A423" s="143" t="s">
        <v>1504</v>
      </c>
      <c r="B423" s="143">
        <v>3266.0</v>
      </c>
      <c r="C423" s="143" t="s">
        <v>3774</v>
      </c>
      <c r="D423" s="143" t="s">
        <v>1505</v>
      </c>
      <c r="E423" s="143" t="s">
        <v>3745</v>
      </c>
    </row>
    <row r="424">
      <c r="A424" s="143" t="s">
        <v>1606</v>
      </c>
      <c r="B424" s="143">
        <v>3570.0</v>
      </c>
      <c r="C424" s="143" t="s">
        <v>3775</v>
      </c>
      <c r="D424" s="143" t="s">
        <v>1607</v>
      </c>
      <c r="E424" s="143" t="s">
        <v>3745</v>
      </c>
    </row>
    <row r="425">
      <c r="A425" s="143" t="s">
        <v>1612</v>
      </c>
      <c r="B425" s="143">
        <v>3590.0</v>
      </c>
      <c r="C425" s="143" t="s">
        <v>3776</v>
      </c>
      <c r="D425" s="143" t="s">
        <v>1613</v>
      </c>
      <c r="E425" s="143" t="s">
        <v>3745</v>
      </c>
    </row>
    <row r="426">
      <c r="A426" s="143" t="s">
        <v>1620</v>
      </c>
      <c r="B426" s="143">
        <v>3643.0</v>
      </c>
      <c r="C426" s="143" t="s">
        <v>3777</v>
      </c>
      <c r="D426" s="143" t="s">
        <v>1621</v>
      </c>
      <c r="E426" s="143" t="s">
        <v>3745</v>
      </c>
    </row>
    <row r="427">
      <c r="A427" s="143" t="s">
        <v>1632</v>
      </c>
      <c r="B427" s="143">
        <v>3714.0</v>
      </c>
      <c r="C427" s="143" t="s">
        <v>3778</v>
      </c>
      <c r="D427" s="143" t="s">
        <v>1633</v>
      </c>
      <c r="E427" s="143" t="s">
        <v>3745</v>
      </c>
    </row>
    <row r="428">
      <c r="A428" s="143" t="s">
        <v>1634</v>
      </c>
      <c r="B428" s="143">
        <v>3715.0</v>
      </c>
      <c r="C428" s="143" t="s">
        <v>3779</v>
      </c>
      <c r="D428" s="143" t="s">
        <v>1635</v>
      </c>
      <c r="E428" s="143" t="s">
        <v>3745</v>
      </c>
    </row>
    <row r="429">
      <c r="A429" s="143" t="s">
        <v>1678</v>
      </c>
      <c r="B429" s="143">
        <v>3862.0</v>
      </c>
      <c r="C429" s="143" t="s">
        <v>3780</v>
      </c>
      <c r="D429" s="143" t="s">
        <v>1679</v>
      </c>
      <c r="E429" s="143" t="s">
        <v>3745</v>
      </c>
    </row>
    <row r="430">
      <c r="A430" s="143" t="s">
        <v>1710</v>
      </c>
      <c r="B430" s="143">
        <v>4070.0</v>
      </c>
      <c r="C430" s="143" t="s">
        <v>3781</v>
      </c>
      <c r="D430" s="143" t="s">
        <v>1711</v>
      </c>
      <c r="E430" s="143" t="s">
        <v>3745</v>
      </c>
    </row>
    <row r="431">
      <c r="A431" s="143" t="s">
        <v>1752</v>
      </c>
      <c r="B431" s="143">
        <v>4260.0</v>
      </c>
      <c r="C431" s="143" t="s">
        <v>3782</v>
      </c>
      <c r="D431" s="143" t="s">
        <v>1753</v>
      </c>
      <c r="E431" s="143" t="s">
        <v>3745</v>
      </c>
    </row>
    <row r="432">
      <c r="A432" s="143" t="s">
        <v>1784</v>
      </c>
      <c r="B432" s="143">
        <v>4425.0</v>
      </c>
      <c r="C432" s="143" t="s">
        <v>3783</v>
      </c>
      <c r="D432" s="143" t="s">
        <v>1785</v>
      </c>
      <c r="E432" s="143" t="s">
        <v>3745</v>
      </c>
    </row>
    <row r="433">
      <c r="A433" s="143" t="s">
        <v>1794</v>
      </c>
      <c r="B433" s="143">
        <v>4488.0</v>
      </c>
      <c r="C433" s="143" t="s">
        <v>3784</v>
      </c>
      <c r="D433" s="143" t="s">
        <v>1795</v>
      </c>
      <c r="E433" s="143" t="s">
        <v>3745</v>
      </c>
    </row>
    <row r="434">
      <c r="A434" s="143" t="s">
        <v>1800</v>
      </c>
      <c r="B434" s="143">
        <v>4499.0</v>
      </c>
      <c r="C434" s="143" t="s">
        <v>3785</v>
      </c>
      <c r="D434" s="143" t="s">
        <v>1801</v>
      </c>
      <c r="E434" s="143" t="s">
        <v>3745</v>
      </c>
    </row>
    <row r="435">
      <c r="A435" s="143" t="s">
        <v>462</v>
      </c>
      <c r="B435" s="143">
        <v>28.0</v>
      </c>
      <c r="C435" s="143" t="s">
        <v>3786</v>
      </c>
      <c r="D435" s="143" t="s">
        <v>463</v>
      </c>
      <c r="E435" s="143" t="s">
        <v>3787</v>
      </c>
    </row>
    <row r="436">
      <c r="A436" s="143" t="s">
        <v>464</v>
      </c>
      <c r="B436" s="143">
        <v>42.0</v>
      </c>
      <c r="C436" s="143" t="s">
        <v>3788</v>
      </c>
      <c r="D436" s="143" t="s">
        <v>465</v>
      </c>
      <c r="E436" s="143" t="s">
        <v>3787</v>
      </c>
    </row>
    <row r="437">
      <c r="A437" s="143" t="s">
        <v>484</v>
      </c>
      <c r="B437" s="143">
        <v>137.0</v>
      </c>
      <c r="C437" s="143" t="s">
        <v>3789</v>
      </c>
      <c r="D437" s="143" t="s">
        <v>485</v>
      </c>
      <c r="E437" s="143" t="s">
        <v>3787</v>
      </c>
    </row>
    <row r="438">
      <c r="A438" s="143" t="s">
        <v>508</v>
      </c>
      <c r="B438" s="143">
        <v>263.0</v>
      </c>
      <c r="C438" s="143" t="s">
        <v>3790</v>
      </c>
      <c r="D438" s="143" t="s">
        <v>509</v>
      </c>
      <c r="E438" s="143" t="s">
        <v>3787</v>
      </c>
    </row>
    <row r="439">
      <c r="A439" s="143" t="s">
        <v>536</v>
      </c>
      <c r="B439" s="143">
        <v>368.0</v>
      </c>
      <c r="C439" s="143" t="s">
        <v>3791</v>
      </c>
      <c r="D439" s="143" t="s">
        <v>537</v>
      </c>
      <c r="E439" s="143" t="s">
        <v>3787</v>
      </c>
    </row>
    <row r="440">
      <c r="A440" s="143" t="s">
        <v>566</v>
      </c>
      <c r="B440" s="143">
        <v>491.0</v>
      </c>
      <c r="C440" s="143" t="s">
        <v>3792</v>
      </c>
      <c r="D440" s="143" t="s">
        <v>567</v>
      </c>
      <c r="E440" s="143" t="s">
        <v>3787</v>
      </c>
    </row>
    <row r="441">
      <c r="A441" s="143" t="s">
        <v>570</v>
      </c>
      <c r="B441" s="143">
        <v>500.0</v>
      </c>
      <c r="C441" s="143" t="s">
        <v>3793</v>
      </c>
      <c r="D441" s="143" t="s">
        <v>571</v>
      </c>
      <c r="E441" s="143" t="s">
        <v>3787</v>
      </c>
    </row>
    <row r="442">
      <c r="A442" s="143" t="s">
        <v>578</v>
      </c>
      <c r="B442" s="143">
        <v>513.0</v>
      </c>
      <c r="C442" s="143" t="s">
        <v>3794</v>
      </c>
      <c r="D442" s="143" t="s">
        <v>579</v>
      </c>
      <c r="E442" s="143" t="s">
        <v>3787</v>
      </c>
    </row>
    <row r="443">
      <c r="A443" s="143" t="s">
        <v>580</v>
      </c>
      <c r="B443" s="143">
        <v>521.0</v>
      </c>
      <c r="C443" s="143" t="s">
        <v>3795</v>
      </c>
      <c r="D443" s="143" t="s">
        <v>581</v>
      </c>
      <c r="E443" s="143" t="s">
        <v>3787</v>
      </c>
    </row>
    <row r="444">
      <c r="A444" s="143" t="s">
        <v>586</v>
      </c>
      <c r="B444" s="143">
        <v>542.0</v>
      </c>
      <c r="C444" s="143" t="s">
        <v>3796</v>
      </c>
      <c r="D444" s="143" t="s">
        <v>587</v>
      </c>
      <c r="E444" s="143" t="s">
        <v>3787</v>
      </c>
    </row>
    <row r="445">
      <c r="A445" s="143" t="s">
        <v>588</v>
      </c>
      <c r="B445" s="143">
        <v>561.0</v>
      </c>
      <c r="C445" s="143" t="s">
        <v>3797</v>
      </c>
      <c r="D445" s="143" t="s">
        <v>589</v>
      </c>
      <c r="E445" s="143" t="s">
        <v>3787</v>
      </c>
    </row>
    <row r="446">
      <c r="A446" s="143" t="s">
        <v>600</v>
      </c>
      <c r="B446" s="143">
        <v>589.0</v>
      </c>
      <c r="C446" s="143" t="s">
        <v>3798</v>
      </c>
      <c r="D446" s="143" t="s">
        <v>601</v>
      </c>
      <c r="E446" s="143" t="s">
        <v>3787</v>
      </c>
    </row>
    <row r="447">
      <c r="A447" s="143" t="s">
        <v>604</v>
      </c>
      <c r="B447" s="143">
        <v>595.0</v>
      </c>
      <c r="C447" s="143" t="s">
        <v>3799</v>
      </c>
      <c r="D447" s="143" t="s">
        <v>605</v>
      </c>
      <c r="E447" s="143" t="s">
        <v>3787</v>
      </c>
    </row>
    <row r="448">
      <c r="A448" s="143" t="s">
        <v>610</v>
      </c>
      <c r="B448" s="143">
        <v>613.0</v>
      </c>
      <c r="C448" s="143" t="s">
        <v>3800</v>
      </c>
      <c r="D448" s="143" t="s">
        <v>611</v>
      </c>
      <c r="E448" s="143" t="s">
        <v>3787</v>
      </c>
    </row>
    <row r="449">
      <c r="A449" s="143" t="s">
        <v>616</v>
      </c>
      <c r="B449" s="143">
        <v>628.0</v>
      </c>
      <c r="C449" s="143" t="s">
        <v>3801</v>
      </c>
      <c r="D449" s="143" t="s">
        <v>617</v>
      </c>
      <c r="E449" s="143" t="s">
        <v>3787</v>
      </c>
    </row>
    <row r="450">
      <c r="A450" s="143" t="s">
        <v>644</v>
      </c>
      <c r="B450" s="143">
        <v>705.0</v>
      </c>
      <c r="C450" s="143" t="s">
        <v>3802</v>
      </c>
      <c r="D450" s="143" t="s">
        <v>645</v>
      </c>
      <c r="E450" s="143" t="s">
        <v>3787</v>
      </c>
    </row>
    <row r="451">
      <c r="A451" s="143" t="s">
        <v>662</v>
      </c>
      <c r="B451" s="143">
        <v>739.0</v>
      </c>
      <c r="C451" s="143" t="s">
        <v>3803</v>
      </c>
      <c r="D451" s="143" t="s">
        <v>663</v>
      </c>
      <c r="E451" s="143" t="s">
        <v>3787</v>
      </c>
    </row>
    <row r="452">
      <c r="A452" s="143" t="s">
        <v>702</v>
      </c>
      <c r="B452" s="143">
        <v>893.0</v>
      </c>
      <c r="C452" s="143" t="s">
        <v>3804</v>
      </c>
      <c r="D452" s="143" t="s">
        <v>703</v>
      </c>
      <c r="E452" s="143" t="s">
        <v>3787</v>
      </c>
    </row>
    <row r="453">
      <c r="A453" s="143" t="s">
        <v>752</v>
      </c>
      <c r="B453" s="143">
        <v>1024.0</v>
      </c>
      <c r="C453" s="143" t="s">
        <v>3805</v>
      </c>
      <c r="D453" s="143" t="s">
        <v>753</v>
      </c>
      <c r="E453" s="143" t="s">
        <v>3787</v>
      </c>
    </row>
    <row r="454">
      <c r="A454" s="143" t="s">
        <v>770</v>
      </c>
      <c r="B454" s="143">
        <v>1111.0</v>
      </c>
      <c r="C454" s="143" t="s">
        <v>3806</v>
      </c>
      <c r="D454" s="143" t="s">
        <v>771</v>
      </c>
      <c r="E454" s="143" t="s">
        <v>3787</v>
      </c>
    </row>
    <row r="455">
      <c r="A455" s="143" t="s">
        <v>782</v>
      </c>
      <c r="B455" s="143">
        <v>1131.0</v>
      </c>
      <c r="C455" s="143" t="s">
        <v>3807</v>
      </c>
      <c r="D455" s="143" t="s">
        <v>783</v>
      </c>
      <c r="E455" s="143" t="s">
        <v>3787</v>
      </c>
    </row>
    <row r="456">
      <c r="A456" s="143" t="s">
        <v>824</v>
      </c>
      <c r="B456" s="143">
        <v>1199.0</v>
      </c>
      <c r="C456" s="143" t="s">
        <v>3808</v>
      </c>
      <c r="D456" s="143" t="s">
        <v>825</v>
      </c>
      <c r="E456" s="143" t="s">
        <v>3787</v>
      </c>
    </row>
    <row r="457">
      <c r="A457" s="143" t="s">
        <v>830</v>
      </c>
      <c r="B457" s="143">
        <v>1220.0</v>
      </c>
      <c r="C457" s="143" t="s">
        <v>3809</v>
      </c>
      <c r="D457" s="143" t="s">
        <v>831</v>
      </c>
      <c r="E457" s="143" t="s">
        <v>3787</v>
      </c>
    </row>
    <row r="458">
      <c r="A458" s="143" t="s">
        <v>844</v>
      </c>
      <c r="B458" s="143">
        <v>1247.0</v>
      </c>
      <c r="C458" s="143" t="s">
        <v>3810</v>
      </c>
      <c r="D458" s="143" t="s">
        <v>845</v>
      </c>
      <c r="E458" s="143" t="s">
        <v>3787</v>
      </c>
    </row>
    <row r="459">
      <c r="A459" s="143" t="s">
        <v>846</v>
      </c>
      <c r="B459" s="143">
        <v>1250.0</v>
      </c>
      <c r="C459" s="143" t="s">
        <v>3811</v>
      </c>
      <c r="D459" s="143" t="s">
        <v>847</v>
      </c>
      <c r="E459" s="143" t="s">
        <v>3787</v>
      </c>
    </row>
    <row r="460">
      <c r="A460" s="143" t="s">
        <v>878</v>
      </c>
      <c r="B460" s="143">
        <v>1339.0</v>
      </c>
      <c r="C460" s="143" t="s">
        <v>3812</v>
      </c>
      <c r="D460" s="143" t="s">
        <v>879</v>
      </c>
      <c r="E460" s="143" t="s">
        <v>3787</v>
      </c>
    </row>
    <row r="461">
      <c r="A461" s="143" t="s">
        <v>906</v>
      </c>
      <c r="B461" s="143">
        <v>1410.0</v>
      </c>
      <c r="C461" s="143" t="s">
        <v>3813</v>
      </c>
      <c r="D461" s="143" t="s">
        <v>907</v>
      </c>
      <c r="E461" s="143" t="s">
        <v>3787</v>
      </c>
    </row>
    <row r="462">
      <c r="A462" s="143" t="s">
        <v>934</v>
      </c>
      <c r="B462" s="143">
        <v>1502.0</v>
      </c>
      <c r="C462" s="143" t="s">
        <v>3814</v>
      </c>
      <c r="D462" s="143" t="s">
        <v>935</v>
      </c>
      <c r="E462" s="143" t="s">
        <v>3787</v>
      </c>
    </row>
    <row r="463">
      <c r="A463" s="143" t="s">
        <v>950</v>
      </c>
      <c r="B463" s="143">
        <v>1539.0</v>
      </c>
      <c r="C463" s="143" t="s">
        <v>3815</v>
      </c>
      <c r="D463" s="143" t="s">
        <v>951</v>
      </c>
      <c r="E463" s="143" t="s">
        <v>3787</v>
      </c>
    </row>
    <row r="464">
      <c r="A464" s="143" t="s">
        <v>958</v>
      </c>
      <c r="B464" s="143">
        <v>1556.0</v>
      </c>
      <c r="C464" s="143" t="s">
        <v>3816</v>
      </c>
      <c r="D464" s="143" t="s">
        <v>959</v>
      </c>
      <c r="E464" s="143" t="s">
        <v>3787</v>
      </c>
    </row>
    <row r="465">
      <c r="A465" s="143" t="s">
        <v>962</v>
      </c>
      <c r="B465" s="143">
        <v>1562.0</v>
      </c>
      <c r="C465" s="143" t="s">
        <v>3817</v>
      </c>
      <c r="D465" s="143" t="s">
        <v>963</v>
      </c>
      <c r="E465" s="143" t="s">
        <v>3787</v>
      </c>
    </row>
    <row r="466">
      <c r="A466" s="143" t="s">
        <v>974</v>
      </c>
      <c r="B466" s="143">
        <v>1610.0</v>
      </c>
      <c r="C466" s="143" t="s">
        <v>3818</v>
      </c>
      <c r="D466" s="143" t="s">
        <v>975</v>
      </c>
      <c r="E466" s="143" t="s">
        <v>3787</v>
      </c>
    </row>
    <row r="467">
      <c r="A467" s="143" t="s">
        <v>976</v>
      </c>
      <c r="B467" s="143">
        <v>1622.0</v>
      </c>
      <c r="C467" s="143" t="s">
        <v>3819</v>
      </c>
      <c r="D467" s="143" t="s">
        <v>977</v>
      </c>
      <c r="E467" s="143" t="s">
        <v>3787</v>
      </c>
    </row>
    <row r="468">
      <c r="A468" s="143" t="s">
        <v>980</v>
      </c>
      <c r="B468" s="143">
        <v>1631.0</v>
      </c>
      <c r="C468" s="143" t="s">
        <v>3820</v>
      </c>
      <c r="D468" s="143" t="s">
        <v>981</v>
      </c>
      <c r="E468" s="143" t="s">
        <v>3787</v>
      </c>
    </row>
    <row r="469">
      <c r="A469" s="143" t="s">
        <v>990</v>
      </c>
      <c r="B469" s="143">
        <v>1659.0</v>
      </c>
      <c r="C469" s="143" t="s">
        <v>3821</v>
      </c>
      <c r="D469" s="143" t="s">
        <v>991</v>
      </c>
      <c r="E469" s="143" t="s">
        <v>3787</v>
      </c>
    </row>
    <row r="470">
      <c r="A470" s="143" t="s">
        <v>1002</v>
      </c>
      <c r="B470" s="143">
        <v>1675.0</v>
      </c>
      <c r="C470" s="143" t="s">
        <v>3822</v>
      </c>
      <c r="D470" s="143" t="s">
        <v>1003</v>
      </c>
      <c r="E470" s="143" t="s">
        <v>3787</v>
      </c>
    </row>
    <row r="471">
      <c r="A471" s="143" t="s">
        <v>1016</v>
      </c>
      <c r="B471" s="143">
        <v>1700.0</v>
      </c>
      <c r="C471" s="143" t="s">
        <v>3823</v>
      </c>
      <c r="D471" s="143" t="s">
        <v>1017</v>
      </c>
      <c r="E471" s="143" t="s">
        <v>3787</v>
      </c>
    </row>
    <row r="472">
      <c r="A472" s="143" t="s">
        <v>1020</v>
      </c>
      <c r="B472" s="143">
        <v>1707.0</v>
      </c>
      <c r="C472" s="143" t="s">
        <v>3824</v>
      </c>
      <c r="D472" s="143" t="s">
        <v>1021</v>
      </c>
      <c r="E472" s="143" t="s">
        <v>3787</v>
      </c>
    </row>
    <row r="473">
      <c r="A473" s="143" t="s">
        <v>1048</v>
      </c>
      <c r="B473" s="143">
        <v>1813.0</v>
      </c>
      <c r="C473" s="143" t="s">
        <v>3825</v>
      </c>
      <c r="D473" s="143" t="s">
        <v>1049</v>
      </c>
      <c r="E473" s="143" t="s">
        <v>3787</v>
      </c>
    </row>
    <row r="474">
      <c r="A474" s="143" t="s">
        <v>1068</v>
      </c>
      <c r="B474" s="143">
        <v>1861.0</v>
      </c>
      <c r="C474" s="143" t="s">
        <v>3826</v>
      </c>
      <c r="D474" s="143" t="s">
        <v>1069</v>
      </c>
      <c r="E474" s="143" t="s">
        <v>3787</v>
      </c>
    </row>
    <row r="475">
      <c r="A475" s="143" t="s">
        <v>1080</v>
      </c>
      <c r="B475" s="143">
        <v>1912.0</v>
      </c>
      <c r="C475" s="143" t="s">
        <v>3827</v>
      </c>
      <c r="D475" s="143" t="s">
        <v>1081</v>
      </c>
      <c r="E475" s="143" t="s">
        <v>3787</v>
      </c>
    </row>
    <row r="476">
      <c r="A476" s="143" t="s">
        <v>1088</v>
      </c>
      <c r="B476" s="143">
        <v>1937.0</v>
      </c>
      <c r="C476" s="143" t="s">
        <v>3828</v>
      </c>
      <c r="D476" s="143" t="s">
        <v>1089</v>
      </c>
      <c r="E476" s="143" t="s">
        <v>3787</v>
      </c>
    </row>
    <row r="477">
      <c r="A477" s="143" t="s">
        <v>1104</v>
      </c>
      <c r="B477" s="143">
        <v>1985.0</v>
      </c>
      <c r="C477" s="143" t="s">
        <v>3829</v>
      </c>
      <c r="D477" s="143" t="s">
        <v>1105</v>
      </c>
      <c r="E477" s="143" t="s">
        <v>3787</v>
      </c>
    </row>
    <row r="478">
      <c r="A478" s="143" t="s">
        <v>1128</v>
      </c>
      <c r="B478" s="143">
        <v>2064.0</v>
      </c>
      <c r="C478" s="143" t="s">
        <v>3830</v>
      </c>
      <c r="D478" s="143" t="s">
        <v>1129</v>
      </c>
      <c r="E478" s="143" t="s">
        <v>3787</v>
      </c>
    </row>
    <row r="479">
      <c r="A479" s="143" t="s">
        <v>1146</v>
      </c>
      <c r="B479" s="143">
        <v>2104.0</v>
      </c>
      <c r="C479" s="143" t="s">
        <v>3831</v>
      </c>
      <c r="D479" s="143" t="s">
        <v>1147</v>
      </c>
      <c r="E479" s="143" t="s">
        <v>3787</v>
      </c>
    </row>
    <row r="480">
      <c r="A480" s="143" t="s">
        <v>1152</v>
      </c>
      <c r="B480" s="143">
        <v>2120.0</v>
      </c>
      <c r="C480" s="143" t="s">
        <v>3832</v>
      </c>
      <c r="D480" s="143" t="s">
        <v>1153</v>
      </c>
      <c r="E480" s="143" t="s">
        <v>3787</v>
      </c>
    </row>
    <row r="481">
      <c r="A481" s="143" t="s">
        <v>1212</v>
      </c>
      <c r="B481" s="143">
        <v>2308.0</v>
      </c>
      <c r="C481" s="143" t="s">
        <v>3833</v>
      </c>
      <c r="D481" s="143" t="s">
        <v>1213</v>
      </c>
      <c r="E481" s="143" t="s">
        <v>3787</v>
      </c>
    </row>
    <row r="482">
      <c r="A482" s="143" t="s">
        <v>1238</v>
      </c>
      <c r="B482" s="143">
        <v>2391.0</v>
      </c>
      <c r="C482" s="143" t="s">
        <v>3834</v>
      </c>
      <c r="D482" s="143" t="s">
        <v>1239</v>
      </c>
      <c r="E482" s="143" t="s">
        <v>3787</v>
      </c>
    </row>
    <row r="483">
      <c r="A483" s="143" t="s">
        <v>1254</v>
      </c>
      <c r="B483" s="143">
        <v>2443.0</v>
      </c>
      <c r="C483" s="143" t="s">
        <v>3835</v>
      </c>
      <c r="D483" s="143" t="s">
        <v>1255</v>
      </c>
      <c r="E483" s="143" t="s">
        <v>3787</v>
      </c>
    </row>
    <row r="484">
      <c r="A484" s="143" t="s">
        <v>1284</v>
      </c>
      <c r="B484" s="143">
        <v>2577.0</v>
      </c>
      <c r="C484" s="143" t="s">
        <v>3836</v>
      </c>
      <c r="D484" s="143" t="s">
        <v>1285</v>
      </c>
      <c r="E484" s="143" t="s">
        <v>3787</v>
      </c>
    </row>
    <row r="485">
      <c r="A485" s="143" t="s">
        <v>1290</v>
      </c>
      <c r="B485" s="143">
        <v>2587.0</v>
      </c>
      <c r="C485" s="143" t="s">
        <v>3837</v>
      </c>
      <c r="D485" s="143" t="s">
        <v>1291</v>
      </c>
      <c r="E485" s="143" t="s">
        <v>3787</v>
      </c>
    </row>
    <row r="486">
      <c r="A486" s="143" t="s">
        <v>1292</v>
      </c>
      <c r="B486" s="143">
        <v>2601.0</v>
      </c>
      <c r="C486" s="143" t="s">
        <v>3838</v>
      </c>
      <c r="D486" s="143" t="s">
        <v>1293</v>
      </c>
      <c r="E486" s="143" t="s">
        <v>3787</v>
      </c>
    </row>
    <row r="487">
      <c r="A487" s="143" t="s">
        <v>1370</v>
      </c>
      <c r="B487" s="143">
        <v>2880.0</v>
      </c>
      <c r="C487" s="143" t="s">
        <v>3839</v>
      </c>
      <c r="D487" s="143" t="s">
        <v>1371</v>
      </c>
      <c r="E487" s="143" t="s">
        <v>3787</v>
      </c>
    </row>
    <row r="488">
      <c r="A488" s="143" t="s">
        <v>1376</v>
      </c>
      <c r="B488" s="143">
        <v>2901.0</v>
      </c>
      <c r="C488" s="143" t="s">
        <v>3840</v>
      </c>
      <c r="D488" s="143" t="s">
        <v>1377</v>
      </c>
      <c r="E488" s="143" t="s">
        <v>3787</v>
      </c>
    </row>
    <row r="489">
      <c r="A489" s="143" t="s">
        <v>1386</v>
      </c>
      <c r="B489" s="143">
        <v>2924.0</v>
      </c>
      <c r="C489" s="143" t="s">
        <v>3841</v>
      </c>
      <c r="D489" s="143" t="s">
        <v>1387</v>
      </c>
      <c r="E489" s="143" t="s">
        <v>3787</v>
      </c>
    </row>
    <row r="490">
      <c r="A490" s="143" t="s">
        <v>1428</v>
      </c>
      <c r="B490" s="143">
        <v>3034.0</v>
      </c>
      <c r="C490" s="143" t="s">
        <v>3842</v>
      </c>
      <c r="D490" s="143" t="s">
        <v>1429</v>
      </c>
      <c r="E490" s="143" t="s">
        <v>3787</v>
      </c>
    </row>
    <row r="491">
      <c r="A491" s="143" t="s">
        <v>1444</v>
      </c>
      <c r="B491" s="143">
        <v>3091.0</v>
      </c>
      <c r="C491" s="143" t="s">
        <v>3843</v>
      </c>
      <c r="D491" s="143" t="s">
        <v>1445</v>
      </c>
      <c r="E491" s="143" t="s">
        <v>3787</v>
      </c>
    </row>
    <row r="492">
      <c r="A492" s="143" t="s">
        <v>1542</v>
      </c>
      <c r="B492" s="143">
        <v>3384.0</v>
      </c>
      <c r="C492" s="143" t="s">
        <v>3844</v>
      </c>
      <c r="D492" s="143" t="s">
        <v>1543</v>
      </c>
      <c r="E492" s="143" t="s">
        <v>3787</v>
      </c>
    </row>
    <row r="493">
      <c r="A493" s="143" t="s">
        <v>1554</v>
      </c>
      <c r="B493" s="143">
        <v>3405.0</v>
      </c>
      <c r="C493" s="143" t="s">
        <v>3845</v>
      </c>
      <c r="D493" s="143" t="s">
        <v>1555</v>
      </c>
      <c r="E493" s="143" t="s">
        <v>3787</v>
      </c>
    </row>
    <row r="494">
      <c r="A494" s="143" t="s">
        <v>1578</v>
      </c>
      <c r="B494" s="143">
        <v>3467.0</v>
      </c>
      <c r="C494" s="143" t="s">
        <v>3846</v>
      </c>
      <c r="D494" s="143" t="s">
        <v>1579</v>
      </c>
      <c r="E494" s="143" t="s">
        <v>3787</v>
      </c>
    </row>
    <row r="495">
      <c r="A495" s="143" t="s">
        <v>1590</v>
      </c>
      <c r="B495" s="143">
        <v>3520.0</v>
      </c>
      <c r="C495" s="143" t="s">
        <v>3847</v>
      </c>
      <c r="D495" s="143" t="s">
        <v>1591</v>
      </c>
      <c r="E495" s="143" t="s">
        <v>3787</v>
      </c>
    </row>
    <row r="496">
      <c r="A496" s="143" t="s">
        <v>1594</v>
      </c>
      <c r="B496" s="143">
        <v>3531.0</v>
      </c>
      <c r="C496" s="143" t="s">
        <v>3848</v>
      </c>
      <c r="D496" s="143" t="s">
        <v>1595</v>
      </c>
      <c r="E496" s="143" t="s">
        <v>3787</v>
      </c>
    </row>
    <row r="497">
      <c r="A497" s="143" t="s">
        <v>1602</v>
      </c>
      <c r="B497" s="143">
        <v>3556.0</v>
      </c>
      <c r="C497" s="143" t="s">
        <v>3849</v>
      </c>
      <c r="D497" s="143" t="s">
        <v>1603</v>
      </c>
      <c r="E497" s="143" t="s">
        <v>3787</v>
      </c>
    </row>
    <row r="498">
      <c r="A498" s="143" t="s">
        <v>1608</v>
      </c>
      <c r="B498" s="143">
        <v>3575.0</v>
      </c>
      <c r="C498" s="143" t="s">
        <v>3850</v>
      </c>
      <c r="D498" s="143" t="s">
        <v>1609</v>
      </c>
      <c r="E498" s="143" t="s">
        <v>3787</v>
      </c>
    </row>
    <row r="499">
      <c r="A499" s="143" t="s">
        <v>1680</v>
      </c>
      <c r="B499" s="143">
        <v>3866.0</v>
      </c>
      <c r="C499" s="143" t="s">
        <v>3851</v>
      </c>
      <c r="D499" s="143" t="s">
        <v>1681</v>
      </c>
      <c r="E499" s="143" t="s">
        <v>3787</v>
      </c>
    </row>
    <row r="500">
      <c r="A500" s="143" t="s">
        <v>1696</v>
      </c>
      <c r="B500" s="143">
        <v>3981.0</v>
      </c>
      <c r="C500" s="143" t="s">
        <v>3852</v>
      </c>
      <c r="D500" s="143" t="s">
        <v>1697</v>
      </c>
      <c r="E500" s="143" t="s">
        <v>3787</v>
      </c>
    </row>
    <row r="501">
      <c r="A501" s="143" t="s">
        <v>1802</v>
      </c>
      <c r="B501" s="143">
        <v>4535.0</v>
      </c>
      <c r="C501" s="143" t="s">
        <v>3853</v>
      </c>
      <c r="D501" s="143" t="s">
        <v>1803</v>
      </c>
      <c r="E501" s="143" t="s">
        <v>3787</v>
      </c>
    </row>
    <row r="502">
      <c r="A502" s="143" t="s">
        <v>456</v>
      </c>
      <c r="B502" s="143">
        <v>16.0</v>
      </c>
      <c r="C502" s="143" t="s">
        <v>3854</v>
      </c>
      <c r="D502" s="143" t="s">
        <v>457</v>
      </c>
      <c r="E502" s="143" t="s">
        <v>3855</v>
      </c>
    </row>
    <row r="503">
      <c r="A503" s="143" t="s">
        <v>478</v>
      </c>
      <c r="B503" s="143">
        <v>111.0</v>
      </c>
      <c r="C503" s="143" t="s">
        <v>3856</v>
      </c>
      <c r="D503" s="143" t="s">
        <v>479</v>
      </c>
      <c r="E503" s="143" t="s">
        <v>3855</v>
      </c>
    </row>
    <row r="504">
      <c r="A504" s="143" t="s">
        <v>488</v>
      </c>
      <c r="B504" s="143">
        <v>151.0</v>
      </c>
      <c r="C504" s="143" t="s">
        <v>3857</v>
      </c>
      <c r="D504" s="143" t="s">
        <v>489</v>
      </c>
      <c r="E504" s="143" t="s">
        <v>3855</v>
      </c>
    </row>
    <row r="505">
      <c r="A505" s="143" t="s">
        <v>500</v>
      </c>
      <c r="B505" s="143">
        <v>208.0</v>
      </c>
      <c r="C505" s="143" t="s">
        <v>3858</v>
      </c>
      <c r="D505" s="143" t="s">
        <v>501</v>
      </c>
      <c r="E505" s="143" t="s">
        <v>3855</v>
      </c>
    </row>
    <row r="506">
      <c r="A506" s="143" t="s">
        <v>516</v>
      </c>
      <c r="B506" s="143">
        <v>294.0</v>
      </c>
      <c r="C506" s="143" t="s">
        <v>3859</v>
      </c>
      <c r="D506" s="143" t="s">
        <v>517</v>
      </c>
      <c r="E506" s="143" t="s">
        <v>3855</v>
      </c>
    </row>
    <row r="507">
      <c r="A507" s="143" t="s">
        <v>562</v>
      </c>
      <c r="B507" s="143">
        <v>450.0</v>
      </c>
      <c r="C507" s="143" t="s">
        <v>3860</v>
      </c>
      <c r="D507" s="143" t="s">
        <v>563</v>
      </c>
      <c r="E507" s="143" t="s">
        <v>3855</v>
      </c>
    </row>
    <row r="508">
      <c r="A508" s="143" t="s">
        <v>564</v>
      </c>
      <c r="B508" s="143">
        <v>478.0</v>
      </c>
      <c r="C508" s="143" t="s">
        <v>3861</v>
      </c>
      <c r="D508" s="143" t="s">
        <v>565</v>
      </c>
      <c r="E508" s="143" t="s">
        <v>3855</v>
      </c>
    </row>
    <row r="509">
      <c r="A509" s="143" t="s">
        <v>572</v>
      </c>
      <c r="B509" s="143">
        <v>505.0</v>
      </c>
      <c r="C509" s="143" t="s">
        <v>3862</v>
      </c>
      <c r="D509" s="143" t="s">
        <v>573</v>
      </c>
      <c r="E509" s="143" t="s">
        <v>3855</v>
      </c>
    </row>
    <row r="510">
      <c r="A510" s="143" t="s">
        <v>576</v>
      </c>
      <c r="B510" s="143">
        <v>512.0</v>
      </c>
      <c r="C510" s="143" t="s">
        <v>3863</v>
      </c>
      <c r="D510" s="143" t="s">
        <v>577</v>
      </c>
      <c r="E510" s="143" t="s">
        <v>3855</v>
      </c>
    </row>
    <row r="511">
      <c r="A511" s="143" t="s">
        <v>596</v>
      </c>
      <c r="B511" s="143">
        <v>576.0</v>
      </c>
      <c r="C511" s="143" t="s">
        <v>3864</v>
      </c>
      <c r="D511" s="143" t="s">
        <v>597</v>
      </c>
      <c r="E511" s="143" t="s">
        <v>3855</v>
      </c>
    </row>
    <row r="512">
      <c r="A512" s="143" t="s">
        <v>602</v>
      </c>
      <c r="B512" s="143">
        <v>594.0</v>
      </c>
      <c r="C512" s="143" t="s">
        <v>3865</v>
      </c>
      <c r="D512" s="143" t="s">
        <v>603</v>
      </c>
      <c r="E512" s="143" t="s">
        <v>3855</v>
      </c>
    </row>
    <row r="513">
      <c r="A513" s="143" t="s">
        <v>606</v>
      </c>
      <c r="B513" s="143">
        <v>606.0</v>
      </c>
      <c r="C513" s="143" t="s">
        <v>3866</v>
      </c>
      <c r="D513" s="143" t="s">
        <v>607</v>
      </c>
      <c r="E513" s="143" t="s">
        <v>3855</v>
      </c>
    </row>
    <row r="514">
      <c r="A514" s="143" t="s">
        <v>612</v>
      </c>
      <c r="B514" s="143">
        <v>619.0</v>
      </c>
      <c r="C514" s="143" t="s">
        <v>3867</v>
      </c>
      <c r="D514" s="143" t="s">
        <v>613</v>
      </c>
      <c r="E514" s="143" t="s">
        <v>3855</v>
      </c>
    </row>
    <row r="515">
      <c r="A515" s="143" t="s">
        <v>620</v>
      </c>
      <c r="B515" s="143">
        <v>637.0</v>
      </c>
      <c r="C515" s="143" t="s">
        <v>3868</v>
      </c>
      <c r="D515" s="143" t="s">
        <v>621</v>
      </c>
      <c r="E515" s="143" t="s">
        <v>3855</v>
      </c>
    </row>
    <row r="516">
      <c r="A516" s="143" t="s">
        <v>628</v>
      </c>
      <c r="B516" s="143">
        <v>649.0</v>
      </c>
      <c r="C516" s="143" t="s">
        <v>3869</v>
      </c>
      <c r="D516" s="143" t="s">
        <v>629</v>
      </c>
      <c r="E516" s="143" t="s">
        <v>3855</v>
      </c>
    </row>
    <row r="517">
      <c r="A517" s="143" t="s">
        <v>636</v>
      </c>
      <c r="B517" s="143">
        <v>679.0</v>
      </c>
      <c r="C517" s="143" t="s">
        <v>3870</v>
      </c>
      <c r="D517" s="143" t="s">
        <v>637</v>
      </c>
      <c r="E517" s="143" t="s">
        <v>3855</v>
      </c>
    </row>
    <row r="518">
      <c r="A518" s="143" t="s">
        <v>650</v>
      </c>
      <c r="B518" s="143">
        <v>716.0</v>
      </c>
      <c r="C518" s="143" t="s">
        <v>3871</v>
      </c>
      <c r="D518" s="143" t="s">
        <v>651</v>
      </c>
      <c r="E518" s="143" t="s">
        <v>3855</v>
      </c>
    </row>
    <row r="519">
      <c r="A519" s="143" t="s">
        <v>658</v>
      </c>
      <c r="B519" s="143">
        <v>731.0</v>
      </c>
      <c r="C519" s="143" t="s">
        <v>3872</v>
      </c>
      <c r="D519" s="143" t="s">
        <v>659</v>
      </c>
      <c r="E519" s="143" t="s">
        <v>3855</v>
      </c>
    </row>
    <row r="520">
      <c r="A520" s="143" t="s">
        <v>668</v>
      </c>
      <c r="B520" s="143">
        <v>757.0</v>
      </c>
      <c r="C520" s="143" t="s">
        <v>3873</v>
      </c>
      <c r="D520" s="143" t="s">
        <v>669</v>
      </c>
      <c r="E520" s="143" t="s">
        <v>3855</v>
      </c>
    </row>
    <row r="521">
      <c r="A521" s="143" t="s">
        <v>678</v>
      </c>
      <c r="B521" s="143">
        <v>804.0</v>
      </c>
      <c r="C521" s="143" t="s">
        <v>3874</v>
      </c>
      <c r="D521" s="143" t="s">
        <v>679</v>
      </c>
      <c r="E521" s="143" t="s">
        <v>3855</v>
      </c>
    </row>
    <row r="522">
      <c r="A522" s="143" t="s">
        <v>690</v>
      </c>
      <c r="B522" s="143">
        <v>833.0</v>
      </c>
      <c r="C522" s="143" t="s">
        <v>3875</v>
      </c>
      <c r="D522" s="143" t="s">
        <v>691</v>
      </c>
      <c r="E522" s="143" t="s">
        <v>3855</v>
      </c>
    </row>
    <row r="523">
      <c r="A523" s="143" t="s">
        <v>694</v>
      </c>
      <c r="B523" s="143">
        <v>850.0</v>
      </c>
      <c r="C523" s="143" t="s">
        <v>3876</v>
      </c>
      <c r="D523" s="143" t="s">
        <v>695</v>
      </c>
      <c r="E523" s="143" t="s">
        <v>3855</v>
      </c>
    </row>
    <row r="524">
      <c r="A524" s="143" t="s">
        <v>700</v>
      </c>
      <c r="B524" s="143">
        <v>882.0</v>
      </c>
      <c r="C524" s="143" t="s">
        <v>2991</v>
      </c>
      <c r="D524" s="143" t="s">
        <v>701</v>
      </c>
      <c r="E524" s="143" t="s">
        <v>3855</v>
      </c>
    </row>
    <row r="525">
      <c r="A525" s="143" t="s">
        <v>722</v>
      </c>
      <c r="B525" s="143">
        <v>941.0</v>
      </c>
      <c r="C525" s="143" t="s">
        <v>3877</v>
      </c>
      <c r="D525" s="143" t="s">
        <v>723</v>
      </c>
      <c r="E525" s="143" t="s">
        <v>3855</v>
      </c>
    </row>
    <row r="526">
      <c r="A526" s="143" t="s">
        <v>730</v>
      </c>
      <c r="B526" s="143">
        <v>957.0</v>
      </c>
      <c r="C526" s="143" t="s">
        <v>3878</v>
      </c>
      <c r="D526" s="143" t="s">
        <v>731</v>
      </c>
      <c r="E526" s="143" t="s">
        <v>3855</v>
      </c>
    </row>
    <row r="527">
      <c r="A527" s="143" t="s">
        <v>734</v>
      </c>
      <c r="B527" s="143">
        <v>963.0</v>
      </c>
      <c r="C527" s="143" t="s">
        <v>3879</v>
      </c>
      <c r="D527" s="143" t="s">
        <v>735</v>
      </c>
      <c r="E527" s="143" t="s">
        <v>3855</v>
      </c>
    </row>
    <row r="528">
      <c r="A528" s="143" t="s">
        <v>748</v>
      </c>
      <c r="B528" s="143">
        <v>1012.0</v>
      </c>
      <c r="C528" s="143" t="s">
        <v>3880</v>
      </c>
      <c r="D528" s="143" t="s">
        <v>749</v>
      </c>
      <c r="E528" s="143" t="s">
        <v>3855</v>
      </c>
    </row>
    <row r="529">
      <c r="A529" s="143" t="s">
        <v>750</v>
      </c>
      <c r="B529" s="143">
        <v>1018.0</v>
      </c>
      <c r="C529" s="143" t="s">
        <v>3881</v>
      </c>
      <c r="D529" s="143" t="s">
        <v>751</v>
      </c>
      <c r="E529" s="143" t="s">
        <v>3855</v>
      </c>
    </row>
    <row r="530">
      <c r="A530" s="143" t="s">
        <v>772</v>
      </c>
      <c r="B530" s="143">
        <v>1119.0</v>
      </c>
      <c r="C530" s="143" t="s">
        <v>3882</v>
      </c>
      <c r="D530" s="143" t="s">
        <v>773</v>
      </c>
      <c r="E530" s="143" t="s">
        <v>3855</v>
      </c>
    </row>
    <row r="531">
      <c r="A531" s="143" t="s">
        <v>776</v>
      </c>
      <c r="B531" s="143">
        <v>1121.0</v>
      </c>
      <c r="C531" s="143" t="s">
        <v>3883</v>
      </c>
      <c r="D531" s="143" t="s">
        <v>777</v>
      </c>
      <c r="E531" s="143" t="s">
        <v>3855</v>
      </c>
    </row>
    <row r="532">
      <c r="A532" s="143" t="s">
        <v>794</v>
      </c>
      <c r="B532" s="143">
        <v>1147.0</v>
      </c>
      <c r="C532" s="143" t="s">
        <v>3884</v>
      </c>
      <c r="D532" s="143" t="s">
        <v>795</v>
      </c>
      <c r="E532" s="143" t="s">
        <v>3855</v>
      </c>
    </row>
    <row r="533">
      <c r="A533" s="143" t="s">
        <v>798</v>
      </c>
      <c r="B533" s="143">
        <v>1150.0</v>
      </c>
      <c r="C533" s="143" t="s">
        <v>3885</v>
      </c>
      <c r="D533" s="143" t="s">
        <v>799</v>
      </c>
      <c r="E533" s="143" t="s">
        <v>3855</v>
      </c>
    </row>
    <row r="534">
      <c r="A534" s="143" t="s">
        <v>802</v>
      </c>
      <c r="B534" s="143">
        <v>1155.0</v>
      </c>
      <c r="C534" s="143" t="s">
        <v>3886</v>
      </c>
      <c r="D534" s="143" t="s">
        <v>803</v>
      </c>
      <c r="E534" s="143" t="s">
        <v>3855</v>
      </c>
    </row>
    <row r="535">
      <c r="A535" s="143" t="s">
        <v>806</v>
      </c>
      <c r="B535" s="143">
        <v>1160.0</v>
      </c>
      <c r="C535" s="143" t="s">
        <v>3887</v>
      </c>
      <c r="D535" s="143" t="s">
        <v>807</v>
      </c>
      <c r="E535" s="143" t="s">
        <v>3855</v>
      </c>
    </row>
    <row r="536">
      <c r="A536" s="143" t="s">
        <v>812</v>
      </c>
      <c r="B536" s="143">
        <v>1174.0</v>
      </c>
      <c r="C536" s="143" t="s">
        <v>3888</v>
      </c>
      <c r="D536" s="143" t="s">
        <v>813</v>
      </c>
      <c r="E536" s="143" t="s">
        <v>3855</v>
      </c>
    </row>
    <row r="537">
      <c r="A537" s="143" t="s">
        <v>814</v>
      </c>
      <c r="B537" s="143">
        <v>1179.0</v>
      </c>
      <c r="C537" s="143" t="s">
        <v>3889</v>
      </c>
      <c r="D537" s="143" t="s">
        <v>815</v>
      </c>
      <c r="E537" s="143" t="s">
        <v>3855</v>
      </c>
    </row>
    <row r="538">
      <c r="A538" s="143" t="s">
        <v>822</v>
      </c>
      <c r="B538" s="143">
        <v>1190.0</v>
      </c>
      <c r="C538" s="143" t="s">
        <v>3890</v>
      </c>
      <c r="D538" s="143" t="s">
        <v>823</v>
      </c>
      <c r="E538" s="143" t="s">
        <v>3855</v>
      </c>
    </row>
    <row r="539">
      <c r="A539" s="143" t="s">
        <v>834</v>
      </c>
      <c r="B539" s="143">
        <v>1228.0</v>
      </c>
      <c r="C539" s="143" t="s">
        <v>3891</v>
      </c>
      <c r="D539" s="143" t="s">
        <v>835</v>
      </c>
      <c r="E539" s="143" t="s">
        <v>3855</v>
      </c>
    </row>
    <row r="540">
      <c r="A540" s="143" t="s">
        <v>838</v>
      </c>
      <c r="B540" s="143">
        <v>1234.0</v>
      </c>
      <c r="C540" s="143" t="s">
        <v>3892</v>
      </c>
      <c r="D540" s="143" t="s">
        <v>839</v>
      </c>
      <c r="E540" s="143" t="s">
        <v>3855</v>
      </c>
    </row>
    <row r="541">
      <c r="A541" s="143" t="s">
        <v>850</v>
      </c>
      <c r="B541" s="143">
        <v>1262.0</v>
      </c>
      <c r="C541" s="143" t="s">
        <v>3893</v>
      </c>
      <c r="D541" s="143" t="s">
        <v>851</v>
      </c>
      <c r="E541" s="143" t="s">
        <v>3855</v>
      </c>
    </row>
    <row r="542">
      <c r="A542" s="143" t="s">
        <v>870</v>
      </c>
      <c r="B542" s="143">
        <v>1317.0</v>
      </c>
      <c r="C542" s="143" t="s">
        <v>3894</v>
      </c>
      <c r="D542" s="143" t="s">
        <v>871</v>
      </c>
      <c r="E542" s="143" t="s">
        <v>3855</v>
      </c>
    </row>
    <row r="543">
      <c r="A543" s="143" t="s">
        <v>874</v>
      </c>
      <c r="B543" s="143">
        <v>1325.0</v>
      </c>
      <c r="C543" s="143" t="s">
        <v>3895</v>
      </c>
      <c r="D543" s="143" t="s">
        <v>875</v>
      </c>
      <c r="E543" s="143" t="s">
        <v>3855</v>
      </c>
    </row>
    <row r="544">
      <c r="A544" s="143" t="s">
        <v>882</v>
      </c>
      <c r="B544" s="143">
        <v>1345.0</v>
      </c>
      <c r="C544" s="143" t="s">
        <v>3896</v>
      </c>
      <c r="D544" s="143" t="s">
        <v>883</v>
      </c>
      <c r="E544" s="143" t="s">
        <v>3855</v>
      </c>
    </row>
    <row r="545">
      <c r="A545" s="143" t="s">
        <v>896</v>
      </c>
      <c r="B545" s="143">
        <v>1394.0</v>
      </c>
      <c r="C545" s="143" t="s">
        <v>3897</v>
      </c>
      <c r="D545" s="143" t="s">
        <v>897</v>
      </c>
      <c r="E545" s="143" t="s">
        <v>3855</v>
      </c>
    </row>
    <row r="546">
      <c r="A546" s="143" t="s">
        <v>900</v>
      </c>
      <c r="B546" s="143">
        <v>1401.0</v>
      </c>
      <c r="C546" s="143" t="s">
        <v>3898</v>
      </c>
      <c r="D546" s="143" t="s">
        <v>901</v>
      </c>
      <c r="E546" s="143" t="s">
        <v>3855</v>
      </c>
    </row>
    <row r="547">
      <c r="A547" s="143" t="s">
        <v>904</v>
      </c>
      <c r="B547" s="143">
        <v>1404.0</v>
      </c>
      <c r="C547" s="143" t="s">
        <v>3899</v>
      </c>
      <c r="D547" s="143" t="s">
        <v>905</v>
      </c>
      <c r="E547" s="143" t="s">
        <v>3855</v>
      </c>
    </row>
    <row r="548">
      <c r="A548" s="143" t="s">
        <v>920</v>
      </c>
      <c r="B548" s="143">
        <v>1461.0</v>
      </c>
      <c r="C548" s="143" t="s">
        <v>3900</v>
      </c>
      <c r="D548" s="143" t="s">
        <v>921</v>
      </c>
      <c r="E548" s="143" t="s">
        <v>3855</v>
      </c>
    </row>
    <row r="549">
      <c r="A549" s="143" t="s">
        <v>924</v>
      </c>
      <c r="B549" s="143">
        <v>1471.0</v>
      </c>
      <c r="C549" s="143" t="s">
        <v>3901</v>
      </c>
      <c r="D549" s="143" t="s">
        <v>925</v>
      </c>
      <c r="E549" s="143" t="s">
        <v>3855</v>
      </c>
    </row>
    <row r="550">
      <c r="A550" s="143" t="s">
        <v>942</v>
      </c>
      <c r="B550" s="143">
        <v>1519.0</v>
      </c>
      <c r="C550" s="143" t="s">
        <v>3902</v>
      </c>
      <c r="D550" s="143" t="s">
        <v>943</v>
      </c>
      <c r="E550" s="143" t="s">
        <v>3855</v>
      </c>
    </row>
    <row r="551">
      <c r="A551" s="143" t="s">
        <v>970</v>
      </c>
      <c r="B551" s="143">
        <v>1586.0</v>
      </c>
      <c r="C551" s="143" t="s">
        <v>3903</v>
      </c>
      <c r="D551" s="143" t="s">
        <v>971</v>
      </c>
      <c r="E551" s="143" t="s">
        <v>3855</v>
      </c>
    </row>
    <row r="552">
      <c r="A552" s="143" t="s">
        <v>982</v>
      </c>
      <c r="B552" s="143">
        <v>1636.0</v>
      </c>
      <c r="C552" s="143" t="s">
        <v>3904</v>
      </c>
      <c r="D552" s="143" t="s">
        <v>983</v>
      </c>
      <c r="E552" s="143" t="s">
        <v>3855</v>
      </c>
    </row>
    <row r="553">
      <c r="A553" s="143" t="s">
        <v>984</v>
      </c>
      <c r="B553" s="143">
        <v>1647.0</v>
      </c>
      <c r="C553" s="143" t="s">
        <v>3905</v>
      </c>
      <c r="D553" s="143" t="s">
        <v>985</v>
      </c>
      <c r="E553" s="143" t="s">
        <v>3855</v>
      </c>
    </row>
    <row r="554">
      <c r="A554" s="143" t="s">
        <v>1008</v>
      </c>
      <c r="B554" s="143">
        <v>1687.0</v>
      </c>
      <c r="C554" s="143" t="s">
        <v>3906</v>
      </c>
      <c r="D554" s="143" t="s">
        <v>1009</v>
      </c>
      <c r="E554" s="143" t="s">
        <v>3855</v>
      </c>
    </row>
    <row r="555">
      <c r="A555" s="143" t="s">
        <v>1012</v>
      </c>
      <c r="B555" s="143">
        <v>1695.0</v>
      </c>
      <c r="C555" s="143" t="s">
        <v>3907</v>
      </c>
      <c r="D555" s="143" t="s">
        <v>1013</v>
      </c>
      <c r="E555" s="143" t="s">
        <v>3855</v>
      </c>
    </row>
    <row r="556">
      <c r="A556" s="143" t="s">
        <v>1026</v>
      </c>
      <c r="B556" s="143">
        <v>1746.0</v>
      </c>
      <c r="C556" s="143" t="s">
        <v>3908</v>
      </c>
      <c r="D556" s="143" t="s">
        <v>1027</v>
      </c>
      <c r="E556" s="143" t="s">
        <v>3855</v>
      </c>
    </row>
    <row r="557">
      <c r="A557" s="143" t="s">
        <v>1028</v>
      </c>
      <c r="B557" s="143">
        <v>1748.0</v>
      </c>
      <c r="C557" s="143" t="s">
        <v>3909</v>
      </c>
      <c r="D557" s="143" t="s">
        <v>1029</v>
      </c>
      <c r="E557" s="143" t="s">
        <v>3855</v>
      </c>
    </row>
    <row r="558">
      <c r="A558" s="143" t="s">
        <v>1036</v>
      </c>
      <c r="B558" s="143">
        <v>1782.0</v>
      </c>
      <c r="C558" s="143" t="s">
        <v>3910</v>
      </c>
      <c r="D558" s="143" t="s">
        <v>1037</v>
      </c>
      <c r="E558" s="143" t="s">
        <v>3855</v>
      </c>
    </row>
    <row r="559">
      <c r="A559" s="143" t="s">
        <v>1046</v>
      </c>
      <c r="B559" s="143">
        <v>1812.0</v>
      </c>
      <c r="C559" s="143" t="s">
        <v>3911</v>
      </c>
      <c r="D559" s="143" t="s">
        <v>1047</v>
      </c>
      <c r="E559" s="143" t="s">
        <v>3855</v>
      </c>
    </row>
    <row r="560">
      <c r="A560" s="143" t="s">
        <v>1066</v>
      </c>
      <c r="B560" s="143">
        <v>1853.0</v>
      </c>
      <c r="C560" s="143" t="s">
        <v>3912</v>
      </c>
      <c r="D560" s="143" t="s">
        <v>1067</v>
      </c>
      <c r="E560" s="143" t="s">
        <v>3855</v>
      </c>
    </row>
    <row r="561">
      <c r="A561" s="143" t="s">
        <v>1090</v>
      </c>
      <c r="B561" s="143">
        <v>1942.0</v>
      </c>
      <c r="C561" s="143" t="s">
        <v>3913</v>
      </c>
      <c r="D561" s="143" t="s">
        <v>1091</v>
      </c>
      <c r="E561" s="143" t="s">
        <v>3855</v>
      </c>
    </row>
    <row r="562">
      <c r="A562" s="143" t="s">
        <v>1130</v>
      </c>
      <c r="B562" s="143">
        <v>2073.0</v>
      </c>
      <c r="C562" s="143" t="s">
        <v>3914</v>
      </c>
      <c r="D562" s="143" t="s">
        <v>1131</v>
      </c>
      <c r="E562" s="143" t="s">
        <v>3855</v>
      </c>
    </row>
    <row r="563">
      <c r="A563" s="143" t="s">
        <v>1132</v>
      </c>
      <c r="B563" s="143">
        <v>2079.0</v>
      </c>
      <c r="C563" s="143" t="s">
        <v>3915</v>
      </c>
      <c r="D563" s="143" t="s">
        <v>1133</v>
      </c>
      <c r="E563" s="143" t="s">
        <v>3855</v>
      </c>
    </row>
    <row r="564">
      <c r="A564" s="143" t="s">
        <v>1154</v>
      </c>
      <c r="B564" s="143">
        <v>2124.0</v>
      </c>
      <c r="C564" s="143" t="s">
        <v>3916</v>
      </c>
      <c r="D564" s="143" t="s">
        <v>1155</v>
      </c>
      <c r="E564" s="143" t="s">
        <v>3855</v>
      </c>
    </row>
    <row r="565">
      <c r="A565" s="143" t="s">
        <v>1156</v>
      </c>
      <c r="B565" s="143">
        <v>2130.0</v>
      </c>
      <c r="C565" s="143" t="s">
        <v>3917</v>
      </c>
      <c r="D565" s="143" t="s">
        <v>1157</v>
      </c>
      <c r="E565" s="143" t="s">
        <v>3855</v>
      </c>
    </row>
    <row r="566">
      <c r="A566" s="143" t="s">
        <v>1166</v>
      </c>
      <c r="B566" s="143">
        <v>2148.0</v>
      </c>
      <c r="C566" s="143" t="s">
        <v>3918</v>
      </c>
      <c r="D566" s="143" t="s">
        <v>1167</v>
      </c>
      <c r="E566" s="143" t="s">
        <v>3855</v>
      </c>
    </row>
    <row r="567">
      <c r="A567" s="143" t="s">
        <v>1228</v>
      </c>
      <c r="B567" s="143">
        <v>2354.0</v>
      </c>
      <c r="C567" s="143" t="s">
        <v>3919</v>
      </c>
      <c r="D567" s="143" t="s">
        <v>1229</v>
      </c>
      <c r="E567" s="143" t="s">
        <v>3855</v>
      </c>
    </row>
    <row r="568">
      <c r="A568" s="143" t="s">
        <v>1242</v>
      </c>
      <c r="B568" s="143">
        <v>2407.0</v>
      </c>
      <c r="C568" s="143" t="s">
        <v>3920</v>
      </c>
      <c r="D568" s="143" t="s">
        <v>1243</v>
      </c>
      <c r="E568" s="143" t="s">
        <v>3855</v>
      </c>
    </row>
    <row r="569">
      <c r="A569" s="143" t="s">
        <v>1248</v>
      </c>
      <c r="B569" s="143">
        <v>2419.0</v>
      </c>
      <c r="C569" s="143" t="s">
        <v>3921</v>
      </c>
      <c r="D569" s="143" t="s">
        <v>1249</v>
      </c>
      <c r="E569" s="143" t="s">
        <v>3855</v>
      </c>
    </row>
    <row r="570">
      <c r="A570" s="143" t="s">
        <v>1282</v>
      </c>
      <c r="B570" s="143">
        <v>2571.0</v>
      </c>
      <c r="C570" s="143" t="s">
        <v>3922</v>
      </c>
      <c r="D570" s="143" t="s">
        <v>1283</v>
      </c>
      <c r="E570" s="143" t="s">
        <v>3855</v>
      </c>
    </row>
    <row r="571">
      <c r="A571" s="143" t="s">
        <v>1306</v>
      </c>
      <c r="B571" s="143">
        <v>2646.0</v>
      </c>
      <c r="C571" s="143" t="s">
        <v>3923</v>
      </c>
      <c r="D571" s="143" t="s">
        <v>1307</v>
      </c>
      <c r="E571" s="143" t="s">
        <v>3855</v>
      </c>
    </row>
    <row r="572">
      <c r="A572" s="143" t="s">
        <v>1344</v>
      </c>
      <c r="B572" s="143">
        <v>2791.0</v>
      </c>
      <c r="C572" s="143" t="s">
        <v>3924</v>
      </c>
      <c r="D572" s="143" t="s">
        <v>1345</v>
      </c>
      <c r="E572" s="143" t="s">
        <v>3855</v>
      </c>
    </row>
    <row r="573">
      <c r="A573" s="143" t="s">
        <v>1362</v>
      </c>
      <c r="B573" s="143">
        <v>2858.0</v>
      </c>
      <c r="C573" s="143" t="s">
        <v>3925</v>
      </c>
      <c r="D573" s="143" t="s">
        <v>1363</v>
      </c>
      <c r="E573" s="143" t="s">
        <v>3855</v>
      </c>
    </row>
    <row r="574">
      <c r="A574" s="143" t="s">
        <v>1400</v>
      </c>
      <c r="B574" s="143">
        <v>2955.0</v>
      </c>
      <c r="C574" s="143" t="s">
        <v>3926</v>
      </c>
      <c r="D574" s="143" t="s">
        <v>1401</v>
      </c>
      <c r="E574" s="143" t="s">
        <v>3855</v>
      </c>
    </row>
    <row r="575">
      <c r="A575" s="143" t="s">
        <v>1420</v>
      </c>
      <c r="B575" s="143">
        <v>3020.0</v>
      </c>
      <c r="C575" s="143" t="s">
        <v>3927</v>
      </c>
      <c r="D575" s="143" t="s">
        <v>1421</v>
      </c>
      <c r="E575" s="143" t="s">
        <v>3855</v>
      </c>
    </row>
    <row r="576">
      <c r="A576" s="143" t="s">
        <v>1422</v>
      </c>
      <c r="B576" s="143">
        <v>3023.0</v>
      </c>
      <c r="C576" s="143" t="s">
        <v>3928</v>
      </c>
      <c r="D576" s="143" t="s">
        <v>1423</v>
      </c>
      <c r="E576" s="143" t="s">
        <v>3855</v>
      </c>
    </row>
    <row r="577">
      <c r="A577" s="143" t="s">
        <v>1440</v>
      </c>
      <c r="B577" s="143">
        <v>3074.0</v>
      </c>
      <c r="C577" s="143" t="s">
        <v>3929</v>
      </c>
      <c r="D577" s="143" t="s">
        <v>1441</v>
      </c>
      <c r="E577" s="143" t="s">
        <v>3855</v>
      </c>
    </row>
    <row r="578">
      <c r="A578" s="143" t="s">
        <v>1442</v>
      </c>
      <c r="B578" s="143">
        <v>3075.0</v>
      </c>
      <c r="C578" s="143" t="s">
        <v>3930</v>
      </c>
      <c r="D578" s="143" t="s">
        <v>1443</v>
      </c>
      <c r="E578" s="143" t="s">
        <v>3855</v>
      </c>
    </row>
    <row r="579">
      <c r="A579" s="143" t="s">
        <v>1446</v>
      </c>
      <c r="B579" s="143">
        <v>3118.0</v>
      </c>
      <c r="C579" s="143" t="s">
        <v>3931</v>
      </c>
      <c r="D579" s="143" t="s">
        <v>1447</v>
      </c>
      <c r="E579" s="143" t="s">
        <v>3855</v>
      </c>
    </row>
    <row r="580">
      <c r="A580" s="143" t="s">
        <v>1458</v>
      </c>
      <c r="B580" s="143">
        <v>3149.0</v>
      </c>
      <c r="C580" s="143" t="s">
        <v>3932</v>
      </c>
      <c r="D580" s="143" t="s">
        <v>1459</v>
      </c>
      <c r="E580" s="143" t="s">
        <v>3855</v>
      </c>
    </row>
    <row r="581">
      <c r="A581" s="143" t="s">
        <v>1462</v>
      </c>
      <c r="B581" s="143">
        <v>3157.0</v>
      </c>
      <c r="C581" s="143" t="s">
        <v>3933</v>
      </c>
      <c r="D581" s="143" t="s">
        <v>1463</v>
      </c>
      <c r="E581" s="143" t="s">
        <v>3855</v>
      </c>
    </row>
    <row r="582">
      <c r="A582" s="143" t="s">
        <v>1466</v>
      </c>
      <c r="B582" s="143">
        <v>3166.0</v>
      </c>
      <c r="C582" s="143" t="s">
        <v>3934</v>
      </c>
      <c r="D582" s="143" t="s">
        <v>1467</v>
      </c>
      <c r="E582" s="143" t="s">
        <v>3855</v>
      </c>
    </row>
    <row r="583">
      <c r="A583" s="143" t="s">
        <v>1468</v>
      </c>
      <c r="B583" s="143">
        <v>3170.0</v>
      </c>
      <c r="C583" s="143" t="s">
        <v>3935</v>
      </c>
      <c r="D583" s="143" t="s">
        <v>1469</v>
      </c>
      <c r="E583" s="143" t="s">
        <v>3855</v>
      </c>
    </row>
    <row r="584">
      <c r="A584" s="143" t="s">
        <v>1474</v>
      </c>
      <c r="B584" s="143">
        <v>3189.0</v>
      </c>
      <c r="C584" s="143" t="s">
        <v>3936</v>
      </c>
      <c r="D584" s="143" t="s">
        <v>1475</v>
      </c>
      <c r="E584" s="143" t="s">
        <v>3855</v>
      </c>
    </row>
    <row r="585">
      <c r="A585" s="143" t="s">
        <v>1490</v>
      </c>
      <c r="B585" s="143">
        <v>3235.0</v>
      </c>
      <c r="C585" s="143" t="s">
        <v>3937</v>
      </c>
      <c r="D585" s="143" t="s">
        <v>1491</v>
      </c>
      <c r="E585" s="143" t="s">
        <v>3855</v>
      </c>
    </row>
    <row r="586">
      <c r="A586" s="143" t="s">
        <v>1502</v>
      </c>
      <c r="B586" s="143">
        <v>3258.0</v>
      </c>
      <c r="C586" s="143" t="s">
        <v>3938</v>
      </c>
      <c r="D586" s="143" t="s">
        <v>1503</v>
      </c>
      <c r="E586" s="143" t="s">
        <v>3855</v>
      </c>
    </row>
    <row r="587">
      <c r="A587" s="143" t="s">
        <v>1520</v>
      </c>
      <c r="B587" s="143">
        <v>3321.0</v>
      </c>
      <c r="C587" s="143" t="s">
        <v>3939</v>
      </c>
      <c r="D587" s="143" t="s">
        <v>1521</v>
      </c>
      <c r="E587" s="143" t="s">
        <v>3855</v>
      </c>
    </row>
    <row r="588">
      <c r="A588" s="143" t="s">
        <v>1522</v>
      </c>
      <c r="B588" s="143">
        <v>3326.0</v>
      </c>
      <c r="C588" s="143" t="s">
        <v>3940</v>
      </c>
      <c r="D588" s="143" t="s">
        <v>1523</v>
      </c>
      <c r="E588" s="143" t="s">
        <v>3855</v>
      </c>
    </row>
    <row r="589">
      <c r="A589" s="143" t="s">
        <v>1530</v>
      </c>
      <c r="B589" s="143">
        <v>3346.0</v>
      </c>
      <c r="C589" s="143" t="s">
        <v>3941</v>
      </c>
      <c r="D589" s="143" t="s">
        <v>1531</v>
      </c>
      <c r="E589" s="143" t="s">
        <v>3855</v>
      </c>
    </row>
    <row r="590">
      <c r="A590" s="143" t="s">
        <v>1536</v>
      </c>
      <c r="B590" s="143">
        <v>3365.0</v>
      </c>
      <c r="C590" s="143" t="s">
        <v>3942</v>
      </c>
      <c r="D590" s="143" t="s">
        <v>1537</v>
      </c>
      <c r="E590" s="143" t="s">
        <v>3855</v>
      </c>
    </row>
    <row r="591">
      <c r="A591" s="143" t="s">
        <v>1540</v>
      </c>
      <c r="B591" s="143">
        <v>3372.0</v>
      </c>
      <c r="C591" s="143" t="s">
        <v>3943</v>
      </c>
      <c r="D591" s="143" t="s">
        <v>1541</v>
      </c>
      <c r="E591" s="143" t="s">
        <v>3855</v>
      </c>
    </row>
    <row r="592">
      <c r="A592" s="143" t="s">
        <v>1548</v>
      </c>
      <c r="B592" s="143">
        <v>3396.0</v>
      </c>
      <c r="C592" s="143" t="s">
        <v>3944</v>
      </c>
      <c r="D592" s="143" t="s">
        <v>1549</v>
      </c>
      <c r="E592" s="143" t="s">
        <v>3855</v>
      </c>
    </row>
    <row r="593">
      <c r="A593" s="143" t="s">
        <v>1550</v>
      </c>
      <c r="B593" s="143">
        <v>3398.0</v>
      </c>
      <c r="C593" s="143" t="s">
        <v>3945</v>
      </c>
      <c r="D593" s="143" t="s">
        <v>1551</v>
      </c>
      <c r="E593" s="143" t="s">
        <v>3855</v>
      </c>
    </row>
    <row r="594">
      <c r="A594" s="143" t="s">
        <v>1568</v>
      </c>
      <c r="B594" s="143">
        <v>3456.0</v>
      </c>
      <c r="C594" s="143" t="s">
        <v>3946</v>
      </c>
      <c r="D594" s="143" t="s">
        <v>1569</v>
      </c>
      <c r="E594" s="143" t="s">
        <v>3855</v>
      </c>
    </row>
    <row r="595">
      <c r="A595" s="143" t="s">
        <v>1572</v>
      </c>
      <c r="B595" s="143">
        <v>3458.0</v>
      </c>
      <c r="C595" s="143" t="s">
        <v>3947</v>
      </c>
      <c r="D595" s="143" t="s">
        <v>1573</v>
      </c>
      <c r="E595" s="143" t="s">
        <v>3855</v>
      </c>
    </row>
    <row r="596">
      <c r="A596" s="143" t="s">
        <v>1596</v>
      </c>
      <c r="B596" s="143">
        <v>3533.0</v>
      </c>
      <c r="C596" s="143" t="s">
        <v>3948</v>
      </c>
      <c r="D596" s="143" t="s">
        <v>1597</v>
      </c>
      <c r="E596" s="143" t="s">
        <v>3855</v>
      </c>
    </row>
    <row r="597">
      <c r="A597" s="143" t="s">
        <v>1600</v>
      </c>
      <c r="B597" s="143">
        <v>3549.0</v>
      </c>
      <c r="C597" s="143" t="s">
        <v>3949</v>
      </c>
      <c r="D597" s="143" t="s">
        <v>1601</v>
      </c>
      <c r="E597" s="143" t="s">
        <v>3855</v>
      </c>
    </row>
    <row r="598">
      <c r="A598" s="143" t="s">
        <v>1610</v>
      </c>
      <c r="B598" s="143">
        <v>3583.0</v>
      </c>
      <c r="C598" s="143" t="s">
        <v>3950</v>
      </c>
      <c r="D598" s="143" t="s">
        <v>1611</v>
      </c>
      <c r="E598" s="143" t="s">
        <v>3855</v>
      </c>
    </row>
    <row r="599">
      <c r="A599" s="143" t="s">
        <v>1618</v>
      </c>
      <c r="B599" s="143">
        <v>3616.0</v>
      </c>
      <c r="C599" s="143" t="s">
        <v>3951</v>
      </c>
      <c r="D599" s="143" t="s">
        <v>1619</v>
      </c>
      <c r="E599" s="143" t="s">
        <v>3855</v>
      </c>
    </row>
    <row r="600">
      <c r="A600" s="143" t="s">
        <v>1638</v>
      </c>
      <c r="B600" s="143">
        <v>3723.0</v>
      </c>
      <c r="C600" s="143" t="s">
        <v>3952</v>
      </c>
      <c r="D600" s="143" t="s">
        <v>1639</v>
      </c>
      <c r="E600" s="143" t="s">
        <v>3855</v>
      </c>
    </row>
    <row r="601">
      <c r="A601" s="143" t="s">
        <v>1656</v>
      </c>
      <c r="B601" s="143">
        <v>3771.0</v>
      </c>
      <c r="C601" s="143" t="s">
        <v>3953</v>
      </c>
      <c r="D601" s="143" t="s">
        <v>1657</v>
      </c>
      <c r="E601" s="143" t="s">
        <v>3855</v>
      </c>
    </row>
    <row r="602">
      <c r="A602" s="143" t="s">
        <v>1674</v>
      </c>
      <c r="B602" s="143">
        <v>3846.0</v>
      </c>
      <c r="C602" s="143" t="s">
        <v>3954</v>
      </c>
      <c r="D602" s="143" t="s">
        <v>1675</v>
      </c>
      <c r="E602" s="143" t="s">
        <v>3855</v>
      </c>
    </row>
    <row r="603">
      <c r="A603" s="143" t="s">
        <v>1688</v>
      </c>
      <c r="B603" s="143">
        <v>3909.0</v>
      </c>
      <c r="C603" s="143" t="s">
        <v>3955</v>
      </c>
      <c r="D603" s="143" t="s">
        <v>1689</v>
      </c>
      <c r="E603" s="143" t="s">
        <v>3855</v>
      </c>
    </row>
    <row r="604">
      <c r="A604" s="143" t="s">
        <v>1692</v>
      </c>
      <c r="B604" s="143">
        <v>3926.0</v>
      </c>
      <c r="C604" s="143" t="s">
        <v>3956</v>
      </c>
      <c r="D604" s="143" t="s">
        <v>1693</v>
      </c>
      <c r="E604" s="143" t="s">
        <v>3855</v>
      </c>
    </row>
    <row r="605">
      <c r="A605" s="143" t="s">
        <v>1722</v>
      </c>
      <c r="B605" s="143">
        <v>4124.0</v>
      </c>
      <c r="C605" s="143" t="s">
        <v>3957</v>
      </c>
      <c r="D605" s="143" t="s">
        <v>1723</v>
      </c>
      <c r="E605" s="143" t="s">
        <v>3855</v>
      </c>
    </row>
    <row r="606">
      <c r="A606" s="143" t="s">
        <v>1732</v>
      </c>
      <c r="B606" s="143">
        <v>4139.0</v>
      </c>
      <c r="C606" s="143" t="s">
        <v>3958</v>
      </c>
      <c r="D606" s="143" t="s">
        <v>1733</v>
      </c>
      <c r="E606" s="143" t="s">
        <v>3855</v>
      </c>
    </row>
    <row r="607">
      <c r="A607" s="143" t="s">
        <v>1748</v>
      </c>
      <c r="B607" s="143">
        <v>4239.0</v>
      </c>
      <c r="C607" s="143" t="s">
        <v>3959</v>
      </c>
      <c r="D607" s="143" t="s">
        <v>1749</v>
      </c>
      <c r="E607" s="143" t="s">
        <v>3855</v>
      </c>
    </row>
    <row r="608">
      <c r="A608" s="143" t="s">
        <v>1750</v>
      </c>
      <c r="B608" s="143">
        <v>4245.0</v>
      </c>
      <c r="C608" s="143" t="s">
        <v>3960</v>
      </c>
      <c r="D608" s="143" t="s">
        <v>1751</v>
      </c>
      <c r="E608" s="143" t="s">
        <v>3855</v>
      </c>
    </row>
    <row r="609">
      <c r="A609" s="143" t="s">
        <v>1770</v>
      </c>
      <c r="B609" s="143">
        <v>4340.0</v>
      </c>
      <c r="C609" s="143" t="s">
        <v>3961</v>
      </c>
      <c r="D609" s="143" t="s">
        <v>1771</v>
      </c>
      <c r="E609" s="143" t="s">
        <v>3855</v>
      </c>
    </row>
    <row r="610">
      <c r="A610" s="143" t="s">
        <v>1780</v>
      </c>
      <c r="B610" s="143">
        <v>4414.0</v>
      </c>
      <c r="C610" s="143" t="s">
        <v>3962</v>
      </c>
      <c r="D610" s="143" t="s">
        <v>1781</v>
      </c>
      <c r="E610" s="143" t="s">
        <v>3855</v>
      </c>
    </row>
    <row r="611">
      <c r="A611" s="143" t="s">
        <v>1788</v>
      </c>
      <c r="B611" s="143">
        <v>4450.0</v>
      </c>
      <c r="C611" s="143" t="s">
        <v>3963</v>
      </c>
      <c r="D611" s="143" t="s">
        <v>1789</v>
      </c>
      <c r="E611" s="143" t="s">
        <v>3855</v>
      </c>
    </row>
    <row r="612">
      <c r="A612" s="143" t="s">
        <v>458</v>
      </c>
      <c r="B612" s="143">
        <v>17.0</v>
      </c>
      <c r="C612" s="143" t="s">
        <v>3964</v>
      </c>
      <c r="D612" s="143" t="s">
        <v>459</v>
      </c>
      <c r="E612" s="143" t="s">
        <v>2911</v>
      </c>
    </row>
    <row r="613">
      <c r="A613" s="143" t="s">
        <v>504</v>
      </c>
      <c r="B613" s="143">
        <v>241.0</v>
      </c>
      <c r="C613" s="143" t="s">
        <v>3965</v>
      </c>
      <c r="D613" s="143" t="s">
        <v>505</v>
      </c>
      <c r="E613" s="143" t="s">
        <v>2911</v>
      </c>
    </row>
    <row r="614">
      <c r="A614" s="143" t="s">
        <v>506</v>
      </c>
      <c r="B614" s="143">
        <v>255.0</v>
      </c>
      <c r="C614" s="143" t="s">
        <v>3966</v>
      </c>
      <c r="D614" s="143" t="s">
        <v>507</v>
      </c>
      <c r="E614" s="143" t="s">
        <v>2911</v>
      </c>
    </row>
    <row r="615">
      <c r="A615" s="143" t="s">
        <v>648</v>
      </c>
      <c r="B615" s="143">
        <v>713.0</v>
      </c>
      <c r="C615" s="143" t="s">
        <v>3967</v>
      </c>
      <c r="D615" s="143" t="s">
        <v>649</v>
      </c>
      <c r="E615" s="143" t="s">
        <v>2911</v>
      </c>
    </row>
    <row r="616">
      <c r="A616" s="143" t="s">
        <v>666</v>
      </c>
      <c r="B616" s="143">
        <v>751.0</v>
      </c>
      <c r="C616" s="143" t="s">
        <v>3968</v>
      </c>
      <c r="D616" s="143" t="s">
        <v>667</v>
      </c>
      <c r="E616" s="143" t="s">
        <v>2911</v>
      </c>
    </row>
    <row r="617">
      <c r="A617" s="143" t="s">
        <v>704</v>
      </c>
      <c r="B617" s="143">
        <v>901.0</v>
      </c>
      <c r="C617" s="143" t="s">
        <v>3969</v>
      </c>
      <c r="D617" s="143" t="s">
        <v>705</v>
      </c>
      <c r="E617" s="143" t="s">
        <v>2911</v>
      </c>
    </row>
    <row r="618">
      <c r="A618" s="143" t="s">
        <v>710</v>
      </c>
      <c r="B618" s="143">
        <v>915.0</v>
      </c>
      <c r="C618" s="143" t="s">
        <v>3970</v>
      </c>
      <c r="D618" s="143" t="s">
        <v>711</v>
      </c>
      <c r="E618" s="143" t="s">
        <v>2911</v>
      </c>
    </row>
    <row r="619">
      <c r="A619" s="143" t="s">
        <v>746</v>
      </c>
      <c r="B619" s="143">
        <v>1009.0</v>
      </c>
      <c r="C619" s="143" t="s">
        <v>3971</v>
      </c>
      <c r="D619" s="143" t="s">
        <v>747</v>
      </c>
      <c r="E619" s="143" t="s">
        <v>2911</v>
      </c>
    </row>
    <row r="620">
      <c r="A620" s="143" t="s">
        <v>758</v>
      </c>
      <c r="B620" s="143">
        <v>1074.0</v>
      </c>
      <c r="C620" s="143" t="s">
        <v>3972</v>
      </c>
      <c r="D620" s="143" t="s">
        <v>759</v>
      </c>
      <c r="E620" s="143" t="s">
        <v>2911</v>
      </c>
    </row>
    <row r="621">
      <c r="A621" s="143" t="s">
        <v>808</v>
      </c>
      <c r="B621" s="143">
        <v>1166.0</v>
      </c>
      <c r="C621" s="143" t="s">
        <v>3973</v>
      </c>
      <c r="D621" s="143" t="s">
        <v>809</v>
      </c>
      <c r="E621" s="143" t="s">
        <v>2911</v>
      </c>
    </row>
    <row r="622">
      <c r="A622" s="143" t="s">
        <v>826</v>
      </c>
      <c r="B622" s="143">
        <v>1204.0</v>
      </c>
      <c r="C622" s="143" t="s">
        <v>3974</v>
      </c>
      <c r="D622" s="143" t="s">
        <v>827</v>
      </c>
      <c r="E622" s="143" t="s">
        <v>2911</v>
      </c>
    </row>
    <row r="623">
      <c r="A623" s="143" t="s">
        <v>840</v>
      </c>
      <c r="B623" s="143">
        <v>1237.0</v>
      </c>
      <c r="C623" s="143" t="s">
        <v>3975</v>
      </c>
      <c r="D623" s="143" t="s">
        <v>841</v>
      </c>
      <c r="E623" s="143" t="s">
        <v>2911</v>
      </c>
    </row>
    <row r="624">
      <c r="A624" s="143" t="s">
        <v>860</v>
      </c>
      <c r="B624" s="143">
        <v>1290.0</v>
      </c>
      <c r="C624" s="143" t="s">
        <v>3976</v>
      </c>
      <c r="D624" s="143" t="s">
        <v>861</v>
      </c>
      <c r="E624" s="143" t="s">
        <v>2911</v>
      </c>
    </row>
    <row r="625">
      <c r="A625" s="143" t="s">
        <v>912</v>
      </c>
      <c r="B625" s="143">
        <v>1432.0</v>
      </c>
      <c r="C625" s="143" t="s">
        <v>3977</v>
      </c>
      <c r="D625" s="143" t="s">
        <v>913</v>
      </c>
      <c r="E625" s="143" t="s">
        <v>2911</v>
      </c>
    </row>
    <row r="626">
      <c r="A626" s="143" t="s">
        <v>914</v>
      </c>
      <c r="B626" s="143">
        <v>1447.0</v>
      </c>
      <c r="C626" s="143" t="s">
        <v>3978</v>
      </c>
      <c r="D626" s="143" t="s">
        <v>915</v>
      </c>
      <c r="E626" s="143" t="s">
        <v>2911</v>
      </c>
    </row>
    <row r="627">
      <c r="A627" s="143" t="s">
        <v>928</v>
      </c>
      <c r="B627" s="143">
        <v>1481.0</v>
      </c>
      <c r="C627" s="143" t="s">
        <v>3979</v>
      </c>
      <c r="D627" s="143" t="s">
        <v>929</v>
      </c>
      <c r="E627" s="143" t="s">
        <v>2911</v>
      </c>
    </row>
    <row r="628">
      <c r="A628" s="143" t="s">
        <v>938</v>
      </c>
      <c r="B628" s="143">
        <v>1512.0</v>
      </c>
      <c r="C628" s="143" t="s">
        <v>3980</v>
      </c>
      <c r="D628" s="143" t="s">
        <v>939</v>
      </c>
      <c r="E628" s="143" t="s">
        <v>2911</v>
      </c>
    </row>
    <row r="629">
      <c r="A629" s="143" t="s">
        <v>956</v>
      </c>
      <c r="B629" s="143">
        <v>1553.0</v>
      </c>
      <c r="C629" s="143" t="s">
        <v>3981</v>
      </c>
      <c r="D629" s="143" t="s">
        <v>957</v>
      </c>
      <c r="E629" s="143" t="s">
        <v>2911</v>
      </c>
    </row>
    <row r="630">
      <c r="A630" s="143" t="s">
        <v>972</v>
      </c>
      <c r="B630" s="143">
        <v>1588.0</v>
      </c>
      <c r="C630" s="143" t="s">
        <v>3982</v>
      </c>
      <c r="D630" s="143" t="s">
        <v>973</v>
      </c>
      <c r="E630" s="143" t="s">
        <v>2911</v>
      </c>
    </row>
    <row r="631">
      <c r="A631" s="143" t="s">
        <v>1006</v>
      </c>
      <c r="B631" s="143">
        <v>1686.0</v>
      </c>
      <c r="C631" s="143" t="s">
        <v>3983</v>
      </c>
      <c r="D631" s="143" t="s">
        <v>1007</v>
      </c>
      <c r="E631" s="143" t="s">
        <v>2911</v>
      </c>
    </row>
    <row r="632">
      <c r="A632" s="143" t="s">
        <v>1034</v>
      </c>
      <c r="B632" s="143">
        <v>1781.0</v>
      </c>
      <c r="C632" s="143" t="s">
        <v>3984</v>
      </c>
      <c r="D632" s="143" t="s">
        <v>1035</v>
      </c>
      <c r="E632" s="143" t="s">
        <v>2911</v>
      </c>
    </row>
    <row r="633">
      <c r="A633" s="143" t="s">
        <v>1040</v>
      </c>
      <c r="B633" s="143">
        <v>1800.0</v>
      </c>
      <c r="C633" s="143" t="s">
        <v>3985</v>
      </c>
      <c r="D633" s="143" t="s">
        <v>1041</v>
      </c>
      <c r="E633" s="143" t="s">
        <v>2911</v>
      </c>
    </row>
    <row r="634">
      <c r="A634" s="143" t="s">
        <v>1060</v>
      </c>
      <c r="B634" s="143">
        <v>1845.0</v>
      </c>
      <c r="C634" s="143" t="s">
        <v>3986</v>
      </c>
      <c r="D634" s="143" t="s">
        <v>1061</v>
      </c>
      <c r="E634" s="143" t="s">
        <v>2911</v>
      </c>
    </row>
    <row r="635">
      <c r="A635" s="143" t="s">
        <v>1062</v>
      </c>
      <c r="B635" s="143">
        <v>1846.0</v>
      </c>
      <c r="C635" s="143" t="s">
        <v>3987</v>
      </c>
      <c r="D635" s="143" t="s">
        <v>1063</v>
      </c>
      <c r="E635" s="143" t="s">
        <v>2911</v>
      </c>
    </row>
    <row r="636">
      <c r="A636" s="143" t="s">
        <v>1064</v>
      </c>
      <c r="B636" s="143">
        <v>1849.0</v>
      </c>
      <c r="C636" s="143" t="s">
        <v>3988</v>
      </c>
      <c r="D636" s="143" t="s">
        <v>1065</v>
      </c>
      <c r="E636" s="143" t="s">
        <v>2911</v>
      </c>
    </row>
    <row r="637">
      <c r="A637" s="143" t="s">
        <v>1100</v>
      </c>
      <c r="B637" s="143">
        <v>1980.0</v>
      </c>
      <c r="C637" s="143" t="s">
        <v>3989</v>
      </c>
      <c r="D637" s="143" t="s">
        <v>1101</v>
      </c>
      <c r="E637" s="143" t="s">
        <v>2911</v>
      </c>
    </row>
    <row r="638">
      <c r="A638" s="143" t="s">
        <v>1112</v>
      </c>
      <c r="B638" s="143">
        <v>2019.0</v>
      </c>
      <c r="C638" s="143" t="s">
        <v>3990</v>
      </c>
      <c r="D638" s="143" t="s">
        <v>1113</v>
      </c>
      <c r="E638" s="143" t="s">
        <v>2911</v>
      </c>
    </row>
    <row r="639">
      <c r="A639" s="143" t="s">
        <v>1150</v>
      </c>
      <c r="B639" s="143">
        <v>2115.0</v>
      </c>
      <c r="C639" s="143" t="s">
        <v>3991</v>
      </c>
      <c r="D639" s="143" t="s">
        <v>1151</v>
      </c>
      <c r="E639" s="143" t="s">
        <v>2911</v>
      </c>
    </row>
    <row r="640">
      <c r="A640" s="143" t="s">
        <v>1172</v>
      </c>
      <c r="B640" s="143">
        <v>2163.0</v>
      </c>
      <c r="C640" s="143" t="s">
        <v>3992</v>
      </c>
      <c r="D640" s="143" t="s">
        <v>1173</v>
      </c>
      <c r="E640" s="143" t="s">
        <v>2911</v>
      </c>
    </row>
    <row r="641">
      <c r="A641" s="143" t="s">
        <v>1184</v>
      </c>
      <c r="B641" s="143">
        <v>2218.0</v>
      </c>
      <c r="C641" s="143" t="s">
        <v>3993</v>
      </c>
      <c r="D641" s="143" t="s">
        <v>1185</v>
      </c>
      <c r="E641" s="143" t="s">
        <v>2911</v>
      </c>
    </row>
    <row r="642">
      <c r="A642" s="143" t="s">
        <v>1188</v>
      </c>
      <c r="B642" s="143">
        <v>2245.0</v>
      </c>
      <c r="C642" s="143" t="s">
        <v>3994</v>
      </c>
      <c r="D642" s="143" t="s">
        <v>1189</v>
      </c>
      <c r="E642" s="143" t="s">
        <v>2911</v>
      </c>
    </row>
    <row r="643">
      <c r="A643" s="143" t="s">
        <v>1196</v>
      </c>
      <c r="B643" s="143">
        <v>2263.0</v>
      </c>
      <c r="C643" s="143" t="s">
        <v>3995</v>
      </c>
      <c r="D643" s="143" t="s">
        <v>1197</v>
      </c>
      <c r="E643" s="143" t="s">
        <v>2911</v>
      </c>
    </row>
    <row r="644">
      <c r="A644" s="143" t="s">
        <v>1210</v>
      </c>
      <c r="B644" s="143">
        <v>2303.0</v>
      </c>
      <c r="C644" s="143" t="s">
        <v>3996</v>
      </c>
      <c r="D644" s="143" t="s">
        <v>1211</v>
      </c>
      <c r="E644" s="143" t="s">
        <v>2911</v>
      </c>
    </row>
    <row r="645">
      <c r="A645" s="143" t="s">
        <v>1298</v>
      </c>
      <c r="B645" s="143">
        <v>2630.0</v>
      </c>
      <c r="C645" s="143" t="s">
        <v>3997</v>
      </c>
      <c r="D645" s="143" t="s">
        <v>1299</v>
      </c>
      <c r="E645" s="143" t="s">
        <v>2911</v>
      </c>
    </row>
    <row r="646">
      <c r="A646" s="143" t="s">
        <v>1312</v>
      </c>
      <c r="B646" s="143">
        <v>2679.0</v>
      </c>
      <c r="C646" s="143" t="s">
        <v>3998</v>
      </c>
      <c r="D646" s="143" t="s">
        <v>1313</v>
      </c>
      <c r="E646" s="143" t="s">
        <v>2911</v>
      </c>
    </row>
    <row r="647">
      <c r="A647" s="143" t="s">
        <v>1316</v>
      </c>
      <c r="B647" s="143">
        <v>2700.0</v>
      </c>
      <c r="C647" s="143" t="s">
        <v>3999</v>
      </c>
      <c r="D647" s="143" t="s">
        <v>1317</v>
      </c>
      <c r="E647" s="143" t="s">
        <v>2911</v>
      </c>
    </row>
    <row r="648">
      <c r="A648" s="143" t="s">
        <v>1322</v>
      </c>
      <c r="B648" s="143">
        <v>2712.0</v>
      </c>
      <c r="C648" s="143" t="s">
        <v>4000</v>
      </c>
      <c r="D648" s="143" t="s">
        <v>1323</v>
      </c>
      <c r="E648" s="143" t="s">
        <v>2911</v>
      </c>
    </row>
    <row r="649">
      <c r="A649" s="143" t="s">
        <v>1338</v>
      </c>
      <c r="B649" s="143">
        <v>2763.0</v>
      </c>
      <c r="C649" s="143" t="s">
        <v>4001</v>
      </c>
      <c r="D649" s="143" t="s">
        <v>1339</v>
      </c>
      <c r="E649" s="143" t="s">
        <v>2911</v>
      </c>
    </row>
    <row r="650">
      <c r="A650" s="143" t="s">
        <v>1366</v>
      </c>
      <c r="B650" s="143">
        <v>2864.0</v>
      </c>
      <c r="C650" s="143" t="s">
        <v>4002</v>
      </c>
      <c r="D650" s="143" t="s">
        <v>1367</v>
      </c>
      <c r="E650" s="143" t="s">
        <v>2911</v>
      </c>
    </row>
    <row r="651">
      <c r="A651" s="143" t="s">
        <v>1394</v>
      </c>
      <c r="B651" s="143">
        <v>2946.0</v>
      </c>
      <c r="C651" s="143" t="s">
        <v>4003</v>
      </c>
      <c r="D651" s="143" t="s">
        <v>1395</v>
      </c>
      <c r="E651" s="143" t="s">
        <v>2911</v>
      </c>
    </row>
    <row r="652">
      <c r="A652" s="143" t="s">
        <v>1396</v>
      </c>
      <c r="B652" s="143">
        <v>2947.0</v>
      </c>
      <c r="C652" s="143" t="s">
        <v>4004</v>
      </c>
      <c r="D652" s="143" t="s">
        <v>1397</v>
      </c>
      <c r="E652" s="143" t="s">
        <v>2911</v>
      </c>
    </row>
    <row r="653">
      <c r="A653" s="143" t="s">
        <v>1430</v>
      </c>
      <c r="B653" s="143">
        <v>3040.0</v>
      </c>
      <c r="C653" s="143" t="s">
        <v>4005</v>
      </c>
      <c r="D653" s="143" t="s">
        <v>1431</v>
      </c>
      <c r="E653" s="143" t="s">
        <v>2911</v>
      </c>
    </row>
    <row r="654">
      <c r="A654" s="143" t="s">
        <v>1454</v>
      </c>
      <c r="B654" s="143">
        <v>3143.0</v>
      </c>
      <c r="C654" s="143" t="s">
        <v>4006</v>
      </c>
      <c r="D654" s="143" t="s">
        <v>1455</v>
      </c>
      <c r="E654" s="143" t="s">
        <v>2911</v>
      </c>
    </row>
    <row r="655">
      <c r="A655" s="143" t="s">
        <v>1460</v>
      </c>
      <c r="B655" s="143">
        <v>3152.0</v>
      </c>
      <c r="C655" s="143" t="s">
        <v>4007</v>
      </c>
      <c r="D655" s="143" t="s">
        <v>1461</v>
      </c>
      <c r="E655" s="143" t="s">
        <v>2911</v>
      </c>
    </row>
    <row r="656">
      <c r="A656" s="143" t="s">
        <v>1470</v>
      </c>
      <c r="B656" s="143">
        <v>3179.0</v>
      </c>
      <c r="C656" s="143" t="s">
        <v>4008</v>
      </c>
      <c r="D656" s="143" t="s">
        <v>1471</v>
      </c>
      <c r="E656" s="143" t="s">
        <v>2911</v>
      </c>
    </row>
    <row r="657">
      <c r="A657" s="143" t="s">
        <v>1472</v>
      </c>
      <c r="B657" s="143">
        <v>3186.0</v>
      </c>
      <c r="C657" s="143" t="s">
        <v>4009</v>
      </c>
      <c r="D657" s="143" t="s">
        <v>1473</v>
      </c>
      <c r="E657" s="143" t="s">
        <v>2911</v>
      </c>
    </row>
    <row r="658">
      <c r="A658" s="143" t="s">
        <v>1482</v>
      </c>
      <c r="B658" s="143">
        <v>3214.0</v>
      </c>
      <c r="C658" s="143" t="s">
        <v>4010</v>
      </c>
      <c r="D658" s="143" t="s">
        <v>1483</v>
      </c>
      <c r="E658" s="143" t="s">
        <v>2911</v>
      </c>
    </row>
    <row r="659">
      <c r="A659" s="143" t="s">
        <v>1484</v>
      </c>
      <c r="B659" s="143">
        <v>3215.0</v>
      </c>
      <c r="C659" s="143" t="s">
        <v>4011</v>
      </c>
      <c r="D659" s="143" t="s">
        <v>1485</v>
      </c>
      <c r="E659" s="143" t="s">
        <v>2911</v>
      </c>
    </row>
    <row r="660">
      <c r="A660" s="143" t="s">
        <v>1532</v>
      </c>
      <c r="B660" s="143">
        <v>3358.0</v>
      </c>
      <c r="C660" s="143" t="s">
        <v>4012</v>
      </c>
      <c r="D660" s="143" t="s">
        <v>1533</v>
      </c>
      <c r="E660" s="143" t="s">
        <v>2911</v>
      </c>
    </row>
    <row r="661">
      <c r="A661" s="143" t="s">
        <v>1552</v>
      </c>
      <c r="B661" s="143">
        <v>3401.0</v>
      </c>
      <c r="C661" s="143" t="s">
        <v>4013</v>
      </c>
      <c r="D661" s="143" t="s">
        <v>1553</v>
      </c>
      <c r="E661" s="143" t="s">
        <v>2911</v>
      </c>
    </row>
    <row r="662">
      <c r="A662" s="143" t="s">
        <v>1566</v>
      </c>
      <c r="B662" s="143">
        <v>3450.0</v>
      </c>
      <c r="C662" s="143" t="s">
        <v>4014</v>
      </c>
      <c r="D662" s="143" t="s">
        <v>1567</v>
      </c>
      <c r="E662" s="143" t="s">
        <v>2911</v>
      </c>
    </row>
    <row r="663">
      <c r="A663" s="143" t="s">
        <v>1570</v>
      </c>
      <c r="B663" s="143">
        <v>3457.0</v>
      </c>
      <c r="C663" s="143" t="s">
        <v>4015</v>
      </c>
      <c r="D663" s="143" t="s">
        <v>1571</v>
      </c>
      <c r="E663" s="143" t="s">
        <v>2911</v>
      </c>
    </row>
    <row r="664">
      <c r="A664" s="143" t="s">
        <v>1582</v>
      </c>
      <c r="B664" s="143">
        <v>3488.0</v>
      </c>
      <c r="C664" s="143" t="s">
        <v>4016</v>
      </c>
      <c r="D664" s="143" t="s">
        <v>1583</v>
      </c>
      <c r="E664" s="143" t="s">
        <v>2911</v>
      </c>
    </row>
    <row r="665">
      <c r="A665" s="143" t="s">
        <v>1642</v>
      </c>
      <c r="B665" s="143">
        <v>3729.0</v>
      </c>
      <c r="C665" s="143" t="s">
        <v>4017</v>
      </c>
      <c r="D665" s="143" t="s">
        <v>1643</v>
      </c>
      <c r="E665" s="143" t="s">
        <v>2911</v>
      </c>
    </row>
    <row r="666">
      <c r="A666" s="143" t="s">
        <v>1670</v>
      </c>
      <c r="B666" s="143">
        <v>3841.0</v>
      </c>
      <c r="C666" s="143" t="s">
        <v>4018</v>
      </c>
      <c r="D666" s="143" t="s">
        <v>1671</v>
      </c>
      <c r="E666" s="143" t="s">
        <v>2911</v>
      </c>
    </row>
    <row r="667">
      <c r="A667" s="143" t="s">
        <v>1682</v>
      </c>
      <c r="B667" s="143">
        <v>3893.0</v>
      </c>
      <c r="C667" s="143" t="s">
        <v>4019</v>
      </c>
      <c r="D667" s="143" t="s">
        <v>1683</v>
      </c>
      <c r="E667" s="143" t="s">
        <v>2911</v>
      </c>
    </row>
    <row r="668">
      <c r="A668" s="143" t="s">
        <v>1712</v>
      </c>
      <c r="B668" s="143">
        <v>4073.0</v>
      </c>
      <c r="C668" s="143" t="s">
        <v>4020</v>
      </c>
      <c r="D668" s="143" t="s">
        <v>1713</v>
      </c>
      <c r="E668" s="143" t="s">
        <v>2911</v>
      </c>
    </row>
    <row r="669">
      <c r="A669" s="143" t="s">
        <v>1718</v>
      </c>
      <c r="B669" s="143">
        <v>4097.0</v>
      </c>
      <c r="C669" s="143" t="s">
        <v>4021</v>
      </c>
      <c r="D669" s="143" t="s">
        <v>1719</v>
      </c>
      <c r="E669" s="143" t="s">
        <v>2911</v>
      </c>
    </row>
    <row r="670">
      <c r="A670" s="143" t="s">
        <v>1720</v>
      </c>
      <c r="B670" s="143">
        <v>4098.0</v>
      </c>
      <c r="C670" s="143" t="s">
        <v>4022</v>
      </c>
      <c r="D670" s="143" t="s">
        <v>1721</v>
      </c>
      <c r="E670" s="143" t="s">
        <v>2911</v>
      </c>
    </row>
    <row r="671">
      <c r="A671" s="143" t="s">
        <v>1740</v>
      </c>
      <c r="B671" s="143">
        <v>4172.0</v>
      </c>
      <c r="C671" s="143" t="s">
        <v>4023</v>
      </c>
      <c r="D671" s="143" t="s">
        <v>1741</v>
      </c>
      <c r="E671" s="143" t="s">
        <v>2911</v>
      </c>
    </row>
    <row r="672">
      <c r="A672" s="143" t="s">
        <v>1758</v>
      </c>
      <c r="B672" s="143">
        <v>4295.0</v>
      </c>
      <c r="C672" s="143" t="s">
        <v>4024</v>
      </c>
      <c r="D672" s="143" t="s">
        <v>1759</v>
      </c>
      <c r="E672" s="143" t="s">
        <v>2911</v>
      </c>
    </row>
    <row r="673">
      <c r="A673" s="143" t="s">
        <v>1762</v>
      </c>
      <c r="B673" s="143">
        <v>4319.0</v>
      </c>
      <c r="C673" s="143" t="s">
        <v>4025</v>
      </c>
      <c r="D673" s="143" t="s">
        <v>1763</v>
      </c>
      <c r="E673" s="143" t="s">
        <v>2911</v>
      </c>
    </row>
    <row r="674">
      <c r="A674" s="143" t="s">
        <v>1766</v>
      </c>
      <c r="B674" s="143">
        <v>4332.0</v>
      </c>
      <c r="C674" s="143" t="s">
        <v>4026</v>
      </c>
      <c r="D674" s="143" t="s">
        <v>1767</v>
      </c>
      <c r="E674" s="143" t="s">
        <v>2911</v>
      </c>
    </row>
    <row r="675">
      <c r="A675" s="143" t="s">
        <v>1772</v>
      </c>
      <c r="B675" s="143">
        <v>4367.0</v>
      </c>
      <c r="C675" s="143" t="s">
        <v>4027</v>
      </c>
      <c r="D675" s="143" t="s">
        <v>1773</v>
      </c>
      <c r="E675" s="143" t="s">
        <v>2911</v>
      </c>
    </row>
    <row r="676">
      <c r="A676" s="143" t="s">
        <v>1778</v>
      </c>
      <c r="B676" s="143">
        <v>4373.0</v>
      </c>
      <c r="C676" s="143" t="s">
        <v>4028</v>
      </c>
      <c r="D676" s="143" t="s">
        <v>1779</v>
      </c>
      <c r="E676" s="143" t="s">
        <v>2911</v>
      </c>
    </row>
    <row r="677">
      <c r="A677" s="143" t="s">
        <v>1782</v>
      </c>
      <c r="B677" s="143">
        <v>4424.0</v>
      </c>
      <c r="C677" s="143" t="s">
        <v>4029</v>
      </c>
      <c r="D677" s="143" t="s">
        <v>1783</v>
      </c>
      <c r="E677" s="143" t="s">
        <v>2911</v>
      </c>
    </row>
    <row r="678">
      <c r="A678" s="301" t="s">
        <v>2938</v>
      </c>
      <c r="B678" s="302" t="s">
        <v>4030</v>
      </c>
      <c r="C678" s="303" t="s">
        <v>4031</v>
      </c>
      <c r="D678" s="143" t="s">
        <v>4032</v>
      </c>
      <c r="E678" s="143" t="s">
        <v>2911</v>
      </c>
    </row>
    <row r="679">
      <c r="A679" s="301" t="s">
        <v>2934</v>
      </c>
      <c r="B679" s="302" t="s">
        <v>4030</v>
      </c>
      <c r="C679" s="143" t="s">
        <v>4033</v>
      </c>
      <c r="D679" s="143" t="s">
        <v>4034</v>
      </c>
      <c r="E679" s="143" t="s">
        <v>2911</v>
      </c>
    </row>
    <row r="680">
      <c r="A680" s="301" t="s">
        <v>2932</v>
      </c>
      <c r="B680" s="302" t="s">
        <v>4030</v>
      </c>
      <c r="C680" s="143" t="s">
        <v>4035</v>
      </c>
      <c r="D680" s="143" t="s">
        <v>4036</v>
      </c>
      <c r="E680" s="143" t="s">
        <v>2885</v>
      </c>
    </row>
  </sheetData>
  <autoFilter ref="$A$1:$E$681"/>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44.5"/>
    <col customWidth="1" min="3" max="4" width="74.38"/>
  </cols>
  <sheetData>
    <row r="1">
      <c r="A1" s="304" t="s">
        <v>4037</v>
      </c>
      <c r="B1" s="304" t="s">
        <v>4038</v>
      </c>
      <c r="C1" s="304" t="s">
        <v>2927</v>
      </c>
      <c r="D1" s="305" t="s">
        <v>4039</v>
      </c>
      <c r="E1" s="147"/>
      <c r="F1" s="147"/>
      <c r="G1" s="147"/>
      <c r="H1" s="147"/>
      <c r="I1" s="147"/>
      <c r="J1" s="147"/>
      <c r="K1" s="147"/>
      <c r="L1" s="147"/>
      <c r="M1" s="147"/>
    </row>
    <row r="2">
      <c r="A2" s="240" t="s">
        <v>1816</v>
      </c>
      <c r="B2" s="240" t="s">
        <v>1817</v>
      </c>
      <c r="C2" s="240" t="s">
        <v>4040</v>
      </c>
      <c r="D2" s="240" t="str">
        <f>IFERROR(__xludf.DUMMYFUNCTION("SUBSTITUTE(REGEXREPLACE(REGEXREPLACE(C2, "":[^;]+"", """"), "";([^;]+)$"", "" and $1""), "";"", "", "")"),"Shaoqing Wang, Yingcai Ma, Kairui Fu, Ziyang Wang, Dunxian Huang, Yuliang Yan and Jian Wu")</f>
        <v>Shaoqing Wang, Yingcai Ma, Kairui Fu, Ziyang Wang, Dunxian Huang, Yuliang Yan and Jian Wu</v>
      </c>
      <c r="E2" s="147"/>
      <c r="F2" s="147"/>
      <c r="G2" s="147"/>
      <c r="H2" s="147"/>
      <c r="I2" s="147"/>
      <c r="J2" s="147"/>
      <c r="K2" s="147"/>
      <c r="L2" s="147"/>
      <c r="M2" s="147"/>
    </row>
    <row r="3">
      <c r="A3" s="240" t="s">
        <v>1870</v>
      </c>
      <c r="B3" s="240" t="s">
        <v>1871</v>
      </c>
      <c r="C3" s="240" t="s">
        <v>4041</v>
      </c>
      <c r="D3" s="240" t="str">
        <f>IFERROR(__xludf.DUMMYFUNCTION("SUBSTITUTE(REGEXREPLACE(REGEXREPLACE(C3, "":[^;]+"", """"), "";([^;]+)$"", "" and $1""), "";"", "", "")"),"Maolin Wang, Lang Fu, Jun Chu, Kai Guo, Chenjie Qin, Xinxin Wang, Siyu Wu, Wen Jiang and Xiangyu Zhao")</f>
        <v>Maolin Wang, Lang Fu, Jun Chu, Kai Guo, Chenjie Qin, Xinxin Wang, Siyu Wu, Wen Jiang and Xiangyu Zhao</v>
      </c>
      <c r="E3" s="147"/>
      <c r="F3" s="147"/>
      <c r="G3" s="147"/>
      <c r="H3" s="147"/>
      <c r="I3" s="147"/>
      <c r="J3" s="147"/>
      <c r="K3" s="147"/>
      <c r="L3" s="147"/>
      <c r="M3" s="147"/>
    </row>
    <row r="4">
      <c r="A4" s="240" t="s">
        <v>1868</v>
      </c>
      <c r="B4" s="240" t="s">
        <v>1869</v>
      </c>
      <c r="C4" s="240" t="s">
        <v>4042</v>
      </c>
      <c r="D4" s="240" t="str">
        <f>IFERROR(__xludf.DUMMYFUNCTION("SUBSTITUTE(REGEXREPLACE(REGEXREPLACE(C4, "":[^;]+"", """"), "";([^;]+)$"", "" and $1""), "";"", "", "")"),"Ziheng Ni, Congcong Liu, Cai Shang, Yiming Sun, Junjie Li, Zhiwei Fang, Guangpeng Chen, Li Jian, Zehua Zhang, Changping Peng, Zhangang Lin, Ching Law and Jingping Shao")</f>
        <v>Ziheng Ni, Congcong Liu, Cai Shang, Yiming Sun, Junjie Li, Zhiwei Fang, Guangpeng Chen, Li Jian, Zehua Zhang, Changping Peng, Zhangang Lin, Ching Law and Jingping Shao</v>
      </c>
      <c r="E4" s="147"/>
      <c r="F4" s="147"/>
      <c r="G4" s="147"/>
      <c r="H4" s="147"/>
      <c r="I4" s="147"/>
      <c r="J4" s="147"/>
      <c r="K4" s="147"/>
      <c r="L4" s="147"/>
      <c r="M4" s="147"/>
    </row>
    <row r="5">
      <c r="A5" s="240" t="s">
        <v>1828</v>
      </c>
      <c r="B5" s="240" t="s">
        <v>1829</v>
      </c>
      <c r="C5" s="240" t="s">
        <v>4043</v>
      </c>
      <c r="D5" s="240" t="str">
        <f>IFERROR(__xludf.DUMMYFUNCTION("SUBSTITUTE(REGEXREPLACE(REGEXREPLACE(C5, "":[^;]+"", """"), "";([^;]+)$"", "" and $1""), "";"", "", "")"),"Jiazheng Kang, Le Huang, Cheng Hou, Zhe Zhao, ZhenXiang Yan and Ting Bai")</f>
        <v>Jiazheng Kang, Le Huang, Cheng Hou, Zhe Zhao, ZhenXiang Yan and Ting Bai</v>
      </c>
      <c r="E5" s="147"/>
      <c r="F5" s="147"/>
      <c r="G5" s="147"/>
      <c r="H5" s="147"/>
      <c r="I5" s="147"/>
      <c r="J5" s="147"/>
      <c r="K5" s="147"/>
      <c r="L5" s="147"/>
      <c r="M5" s="147"/>
    </row>
    <row r="6">
      <c r="A6" s="240" t="s">
        <v>1896</v>
      </c>
      <c r="B6" s="240" t="s">
        <v>1897</v>
      </c>
      <c r="C6" s="240" t="s">
        <v>4044</v>
      </c>
      <c r="D6" s="240" t="str">
        <f>IFERROR(__xludf.DUMMYFUNCTION("SUBSTITUTE(REGEXREPLACE(REGEXREPLACE(C6, "":[^;]+"", """"), "";([^;]+)$"", "" and $1""), "";"", "", "")"),"Zhongjian Zhang, Mengmei Zhang, Dehua Xu, Rongjun Shi, Jianfeng Liu, Fuli Meng, Huajian Xu, Xiao Wang, Ruijia Wang, Junze Chen, Minwei Tang and Chuan Shi")</f>
        <v>Zhongjian Zhang, Mengmei Zhang, Dehua Xu, Rongjun Shi, Jianfeng Liu, Fuli Meng, Huajian Xu, Xiao Wang, Ruijia Wang, Junze Chen, Minwei Tang and Chuan Shi</v>
      </c>
      <c r="E6" s="147"/>
      <c r="F6" s="147"/>
      <c r="G6" s="147"/>
      <c r="H6" s="147"/>
      <c r="I6" s="147"/>
      <c r="J6" s="147"/>
      <c r="K6" s="147"/>
      <c r="L6" s="147"/>
      <c r="M6" s="147"/>
    </row>
    <row r="7">
      <c r="A7" s="240" t="s">
        <v>1846</v>
      </c>
      <c r="B7" s="240" t="s">
        <v>1847</v>
      </c>
      <c r="C7" s="240" t="s">
        <v>4045</v>
      </c>
      <c r="D7" s="240" t="str">
        <f>IFERROR(__xludf.DUMMYFUNCTION("SUBSTITUTE(REGEXREPLACE(REGEXREPLACE(C7, "":[^;]+"", """"), "";([^;]+)$"", "" and $1""), "";"", "", "")"),"Wei Wang, Fanyu Han, Shengyu Zhao, Xuan Zhou, Weining Qian, Aoying Zhou, Xiaoya Xia, Liyun Yang, Rong Wang, Ning Jiang and Moming Duan")</f>
        <v>Wei Wang, Fanyu Han, Shengyu Zhao, Xuan Zhou, Weining Qian, Aoying Zhou, Xiaoya Xia, Liyun Yang, Rong Wang, Ning Jiang and Moming Duan</v>
      </c>
      <c r="E7" s="147"/>
      <c r="F7" s="147"/>
      <c r="G7" s="147"/>
      <c r="H7" s="147"/>
      <c r="I7" s="147"/>
      <c r="J7" s="147"/>
      <c r="K7" s="147"/>
      <c r="L7" s="147"/>
      <c r="M7" s="147"/>
    </row>
    <row r="8">
      <c r="A8" s="240" t="s">
        <v>1822</v>
      </c>
      <c r="B8" s="240" t="s">
        <v>1823</v>
      </c>
      <c r="C8" s="240" t="s">
        <v>4046</v>
      </c>
      <c r="D8" s="240" t="str">
        <f>IFERROR(__xludf.DUMMYFUNCTION("SUBSTITUTE(REGEXREPLACE(REGEXREPLACE(C8, "":[^;]+"", """"), "";([^;]+)$"", "" and $1""), "";"", "", "")"),"Zhenghan Tai, Hanwei Wu, Qingchen Hu, Jijun Chi, Hailin He, Lei Ding, Tung Sum Thomas Kwok, Bohuai Xiao, Yuchen Hua, Suyuchen Wang, Peng Lu, Muzhi Li, Yihong Wu, Liheng Ma, Jerry Huang, Jiayi Zhang, Gonghao Zhang, Chaolong Jiang, Jingrui Tian, Sicheng Lyu"&amp;", Zeyu Li, Boyu Han, Fengran Mo, Xinyue Yu, Yufei Cui, Ling Zhou and Xinyu Wang")</f>
        <v>Zhenghan Tai, Hanwei Wu, Qingchen Hu, Jijun Chi, Hailin He, Lei Ding, Tung Sum Thomas Kwok, Bohuai Xiao, Yuchen Hua, Suyuchen Wang, Peng Lu, Muzhi Li, Yihong Wu, Liheng Ma, Jerry Huang, Jiayi Zhang, Gonghao Zhang, Chaolong Jiang, Jingrui Tian, Sicheng Lyu, Zeyu Li, Boyu Han, Fengran Mo, Xinyue Yu, Yufei Cui, Ling Zhou and Xinyu Wang</v>
      </c>
      <c r="E8" s="147"/>
      <c r="F8" s="147"/>
      <c r="G8" s="147"/>
      <c r="H8" s="147"/>
      <c r="I8" s="147"/>
      <c r="J8" s="147"/>
      <c r="K8" s="147"/>
      <c r="L8" s="147"/>
      <c r="M8" s="147"/>
    </row>
    <row r="9">
      <c r="A9" s="240" t="s">
        <v>1808</v>
      </c>
      <c r="B9" s="240" t="s">
        <v>1809</v>
      </c>
      <c r="C9" s="240" t="s">
        <v>4047</v>
      </c>
      <c r="D9" s="240" t="str">
        <f>IFERROR(__xludf.DUMMYFUNCTION("SUBSTITUTE(REGEXREPLACE(REGEXREPLACE(C9, "":[^;]+"", """"), "";([^;]+)$"", "" and $1""), "";"", "", "")"),"Zhuoning Guo, Guangxing Chen, Qian Gao, Xiaochao Liao, Jianjia Zheng, Lu Shen and Hao Liu")</f>
        <v>Zhuoning Guo, Guangxing Chen, Qian Gao, Xiaochao Liao, Jianjia Zheng, Lu Shen and Hao Liu</v>
      </c>
      <c r="E9" s="147"/>
      <c r="F9" s="147"/>
      <c r="G9" s="147"/>
      <c r="H9" s="147"/>
      <c r="I9" s="147"/>
      <c r="J9" s="147"/>
      <c r="K9" s="147"/>
      <c r="L9" s="147"/>
      <c r="M9" s="147"/>
    </row>
    <row r="10">
      <c r="A10" s="240" t="s">
        <v>1900</v>
      </c>
      <c r="B10" s="240" t="s">
        <v>1901</v>
      </c>
      <c r="C10" s="240" t="s">
        <v>4048</v>
      </c>
      <c r="D10" s="240" t="str">
        <f>IFERROR(__xludf.DUMMYFUNCTION("SUBSTITUTE(REGEXREPLACE(REGEXREPLACE(C10, "":[^;]+"", """"), "";([^;]+)$"", "" and $1""), "";"", "", "")"),"Zhao Li, FengYang Qi, Chuanyu Xu, Tao Zhang, Chengfu Huo and Peng Zhang")</f>
        <v>Zhao Li, FengYang Qi, Chuanyu Xu, Tao Zhang, Chengfu Huo and Peng Zhang</v>
      </c>
      <c r="E10" s="147"/>
      <c r="F10" s="147"/>
      <c r="G10" s="147"/>
      <c r="H10" s="147"/>
      <c r="I10" s="147"/>
      <c r="J10" s="147"/>
      <c r="K10" s="147"/>
      <c r="L10" s="147"/>
      <c r="M10" s="147"/>
    </row>
    <row r="11">
      <c r="A11" s="240" t="s">
        <v>1892</v>
      </c>
      <c r="B11" s="240" t="s">
        <v>1893</v>
      </c>
      <c r="C11" s="240" t="s">
        <v>4049</v>
      </c>
      <c r="D11" s="240" t="str">
        <f>IFERROR(__xludf.DUMMYFUNCTION("SUBSTITUTE(REGEXREPLACE(REGEXREPLACE(C11, "":[^;]+"", """"), "";([^;]+)$"", "" and $1""), "";"", "", "")"),"Huabin Chen, Xinao Wang, Huiping Chu, Keqin Xu, Chenhao Zhai, Chenyi Wang, Kai Meng and Yuning Jiang")</f>
        <v>Huabin Chen, Xinao Wang, Huiping Chu, Keqin Xu, Chenhao Zhai, Chenyi Wang, Kai Meng and Yuning Jiang</v>
      </c>
      <c r="E11" s="147"/>
      <c r="F11" s="147"/>
      <c r="G11" s="147"/>
      <c r="H11" s="147"/>
      <c r="I11" s="147"/>
      <c r="J11" s="147"/>
      <c r="K11" s="147"/>
      <c r="L11" s="147"/>
      <c r="M11" s="147"/>
    </row>
    <row r="12">
      <c r="A12" s="240" t="s">
        <v>1852</v>
      </c>
      <c r="B12" s="240" t="s">
        <v>1853</v>
      </c>
      <c r="C12" s="240" t="s">
        <v>4050</v>
      </c>
      <c r="D12" s="240" t="str">
        <f>IFERROR(__xludf.DUMMYFUNCTION("SUBSTITUTE(REGEXREPLACE(REGEXREPLACE(C12, "":[^;]+"", """"), "";([^;]+)$"", "" and $1""), "";"", "", "")"),"Yijia Sun, Shanshan Huang, Zhiyuan Guan, Qiang Luo, Ruiming Tang, Kun Gai and Guorui Zhou")</f>
        <v>Yijia Sun, Shanshan Huang, Zhiyuan Guan, Qiang Luo, Ruiming Tang, Kun Gai and Guorui Zhou</v>
      </c>
      <c r="E12" s="147"/>
      <c r="F12" s="147"/>
      <c r="G12" s="147"/>
      <c r="H12" s="147"/>
      <c r="I12" s="147"/>
      <c r="J12" s="147"/>
      <c r="K12" s="147"/>
      <c r="L12" s="147"/>
      <c r="M12" s="147"/>
    </row>
    <row r="13">
      <c r="A13" s="240" t="s">
        <v>1872</v>
      </c>
      <c r="B13" s="240" t="s">
        <v>1873</v>
      </c>
      <c r="C13" s="240" t="s">
        <v>4051</v>
      </c>
      <c r="D13" s="240" t="str">
        <f>IFERROR(__xludf.DUMMYFUNCTION("SUBSTITUTE(REGEXREPLACE(REGEXREPLACE(C13, "":[^;]+"", """"), "";([^;]+)$"", "" and $1""), "";"", "", "")"),"Junshen Xu, Jiayun Zhang and Yi Fan")</f>
        <v>Junshen Xu, Jiayun Zhang and Yi Fan</v>
      </c>
      <c r="E13" s="147"/>
      <c r="F13" s="147"/>
      <c r="G13" s="147"/>
      <c r="H13" s="147"/>
      <c r="I13" s="147"/>
      <c r="J13" s="147"/>
      <c r="K13" s="147"/>
      <c r="L13" s="147"/>
      <c r="M13" s="147"/>
    </row>
    <row r="14">
      <c r="A14" s="240" t="s">
        <v>1858</v>
      </c>
      <c r="B14" s="240" t="s">
        <v>1859</v>
      </c>
      <c r="C14" s="240" t="s">
        <v>4052</v>
      </c>
      <c r="D14" s="240" t="str">
        <f>IFERROR(__xludf.DUMMYFUNCTION("SUBSTITUTE(REGEXREPLACE(REGEXREPLACE(C14, "":[^;]+"", """"), "";([^;]+)$"", "" and $1""), "";"", "", "")"),"Xing Tang, Hao Chen, Shiwei Li, Fuyuan Lyu, Weijie Shi, Lingjie Li, Dugang Liu, Weihong Luo, Xiku Du and Xiuqiang He")</f>
        <v>Xing Tang, Hao Chen, Shiwei Li, Fuyuan Lyu, Weijie Shi, Lingjie Li, Dugang Liu, Weihong Luo, Xiku Du and Xiuqiang He</v>
      </c>
      <c r="E14" s="147"/>
      <c r="F14" s="147"/>
      <c r="G14" s="147"/>
      <c r="H14" s="147"/>
      <c r="I14" s="147"/>
      <c r="J14" s="147"/>
      <c r="K14" s="147"/>
      <c r="L14" s="147"/>
      <c r="M14" s="147"/>
    </row>
    <row r="15">
      <c r="A15" s="240" t="s">
        <v>1874</v>
      </c>
      <c r="B15" s="240" t="s">
        <v>1875</v>
      </c>
      <c r="C15" s="240" t="s">
        <v>4053</v>
      </c>
      <c r="D15" s="240" t="str">
        <f>IFERROR(__xludf.DUMMYFUNCTION("SUBSTITUTE(REGEXREPLACE(REGEXREPLACE(C15, "":[^;]+"", """"), "";([^;]+)$"", "" and $1""), "";"", "", "")"),"Lingfei Qian, Xueqing Peng, Hanley Smith, Yi Han, Yueru He, Haohang Li, Yupeng Cao, Yangyang Yu, Guojun Xiong, Peng Lu, Yan Wang, Vincent Jim Zhang, Huan He, Alejandro Lopez-Lira, Jimin Huang, Jian-Yun Nie and Sophia Ananiadou")</f>
        <v>Lingfei Qian, Xueqing Peng, Hanley Smith, Yi Han, Yueru He, Haohang Li, Yupeng Cao, Yangyang Yu, Guojun Xiong, Peng Lu, Yan Wang, Vincent Jim Zhang, Huan He, Alejandro Lopez-Lira, Jimin Huang, Jian-Yun Nie and Sophia Ananiadou</v>
      </c>
      <c r="E15" s="147"/>
      <c r="F15" s="147"/>
      <c r="G15" s="147"/>
      <c r="H15" s="147"/>
      <c r="I15" s="147"/>
      <c r="J15" s="147"/>
      <c r="K15" s="147"/>
      <c r="L15" s="147"/>
      <c r="M15" s="147"/>
    </row>
    <row r="16">
      <c r="A16" s="240" t="s">
        <v>1866</v>
      </c>
      <c r="B16" s="240" t="s">
        <v>1867</v>
      </c>
      <c r="C16" s="240" t="s">
        <v>4054</v>
      </c>
      <c r="D16" s="240" t="str">
        <f>IFERROR(__xludf.DUMMYFUNCTION("SUBSTITUTE(REGEXREPLACE(REGEXREPLACE(C16, "":[^;]+"", """"), "";([^;]+)$"", "" and $1""), "";"", "", "")"),"Fuling Wang, Le Zhang, Jingbo Zhou, Jindong Han, Ying Sun, Chuan Qin, Hengshu Zhu and Hui Xiong")</f>
        <v>Fuling Wang, Le Zhang, Jingbo Zhou, Jindong Han, Ying Sun, Chuan Qin, Hengshu Zhu and Hui Xiong</v>
      </c>
      <c r="E16" s="147"/>
      <c r="F16" s="147"/>
      <c r="G16" s="147"/>
      <c r="H16" s="147"/>
      <c r="I16" s="147"/>
      <c r="J16" s="147"/>
      <c r="K16" s="147"/>
      <c r="L16" s="147"/>
      <c r="M16" s="147"/>
    </row>
    <row r="17">
      <c r="A17" s="240" t="s">
        <v>1918</v>
      </c>
      <c r="B17" s="240" t="s">
        <v>1919</v>
      </c>
      <c r="C17" s="240" t="s">
        <v>4055</v>
      </c>
      <c r="D17" s="240" t="str">
        <f>IFERROR(__xludf.DUMMYFUNCTION("SUBSTITUTE(REGEXREPLACE(REGEXREPLACE(C17, "":[^;]+"", """"), "";([^;]+)$"", "" and $1""), "";"", "", "")"),"Minmao Wang, Xingchen Liu, Shijie Yi, Likang Wu, Hongke Zhao, Fei Pan, Qingpeng Cai and Peng Jiang")</f>
        <v>Minmao Wang, Xingchen Liu, Shijie Yi, Likang Wu, Hongke Zhao, Fei Pan, Qingpeng Cai and Peng Jiang</v>
      </c>
      <c r="E17" s="147"/>
      <c r="F17" s="147"/>
      <c r="G17" s="147"/>
      <c r="H17" s="147"/>
      <c r="I17" s="147"/>
      <c r="J17" s="147"/>
      <c r="K17" s="147"/>
      <c r="L17" s="147"/>
      <c r="M17" s="147"/>
    </row>
    <row r="18">
      <c r="A18" s="240" t="s">
        <v>1840</v>
      </c>
      <c r="B18" s="240" t="s">
        <v>1841</v>
      </c>
      <c r="C18" s="240" t="s">
        <v>4056</v>
      </c>
      <c r="D18" s="240" t="str">
        <f>IFERROR(__xludf.DUMMYFUNCTION("SUBSTITUTE(REGEXREPLACE(REGEXREPLACE(C18, "":[^;]+"", """"), "";([^;]+)$"", "" and $1""), "";"", "", "")"),"Changhua Pei, Hang Cui, Jingjing Li, Yuxuan Li, Zihan Liu, Xinyuan Liao, Cenjie Hu, Jiabao Wang, Zheyuan Li, Zexin Wang, Haotian Si, Ke Xiang, Gaogang Xie and Dan Pei")</f>
        <v>Changhua Pei, Hang Cui, Jingjing Li, Yuxuan Li, Zihan Liu, Xinyuan Liao, Cenjie Hu, Jiabao Wang, Zheyuan Li, Zexin Wang, Haotian Si, Ke Xiang, Gaogang Xie and Dan Pei</v>
      </c>
      <c r="E18" s="147"/>
      <c r="F18" s="147"/>
      <c r="G18" s="147"/>
      <c r="H18" s="147"/>
      <c r="I18" s="147"/>
      <c r="J18" s="147"/>
      <c r="K18" s="147"/>
      <c r="L18" s="147"/>
      <c r="M18" s="147"/>
    </row>
    <row r="19">
      <c r="A19" s="240" t="s">
        <v>1832</v>
      </c>
      <c r="B19" s="240" t="s">
        <v>1833</v>
      </c>
      <c r="C19" s="240" t="s">
        <v>4057</v>
      </c>
      <c r="D19" s="240" t="str">
        <f>IFERROR(__xludf.DUMMYFUNCTION("SUBSTITUTE(REGEXREPLACE(REGEXREPLACE(C19, "":[^;]+"", """"), "";([^;]+)$"", "" and $1""), "";"", "", "")"),"Qijie Shen, Yuanchen Bei, Zihong Huang, Xixian Wang, Zhibo Xiao, Dimin Wang, Jialin Zhu, Yuning Jiang, Feiran Huang and Hao Chen")</f>
        <v>Qijie Shen, Yuanchen Bei, Zihong Huang, Xixian Wang, Zhibo Xiao, Dimin Wang, Jialin Zhu, Yuning Jiang, Feiran Huang and Hao Chen</v>
      </c>
      <c r="E19" s="147"/>
      <c r="F19" s="147"/>
      <c r="G19" s="147"/>
      <c r="H19" s="147"/>
      <c r="I19" s="147"/>
      <c r="J19" s="147"/>
      <c r="K19" s="147"/>
      <c r="L19" s="147"/>
      <c r="M19" s="147"/>
    </row>
    <row r="20">
      <c r="A20" s="240" t="s">
        <v>1886</v>
      </c>
      <c r="B20" s="240" t="s">
        <v>1887</v>
      </c>
      <c r="C20" s="240" t="s">
        <v>4058</v>
      </c>
      <c r="D20" s="240" t="str">
        <f>IFERROR(__xludf.DUMMYFUNCTION("SUBSTITUTE(REGEXREPLACE(REGEXREPLACE(C20, "":[^;]+"", """"), "";([^;]+)$"", "" and $1""), "";"", "", "")"),"Qingyang Liu, Jiangtong Li, Zelin Peng, Shaobo Wang, Zhaohe Liao, Shuochen Chang, Bingjie Gao, Haonan Zhao, Mu Liu, Jidong Jiang and Li Niu")</f>
        <v>Qingyang Liu, Jiangtong Li, Zelin Peng, Shaobo Wang, Zhaohe Liao, Shuochen Chang, Bingjie Gao, Haonan Zhao, Mu Liu, Jidong Jiang and Li Niu</v>
      </c>
      <c r="E20" s="147"/>
      <c r="F20" s="147"/>
      <c r="G20" s="147"/>
      <c r="H20" s="147"/>
      <c r="I20" s="147"/>
      <c r="J20" s="147"/>
      <c r="K20" s="147"/>
      <c r="L20" s="147"/>
      <c r="M20" s="147"/>
    </row>
    <row r="21">
      <c r="A21" s="240" t="s">
        <v>1862</v>
      </c>
      <c r="B21" s="240" t="s">
        <v>1863</v>
      </c>
      <c r="C21" s="240" t="s">
        <v>4059</v>
      </c>
      <c r="D21" s="240" t="str">
        <f>IFERROR(__xludf.DUMMYFUNCTION("SUBSTITUTE(REGEXREPLACE(REGEXREPLACE(C21, "":[^;]+"", """"), "";([^;]+)$"", "" and $1""), "";"", "", "")"),"Xu Chu, Angela Li, Jiaming Zhang, Wei Li, Zhijie Tan, Dawei Yin, Shuaiqiang Wang and Daiting Shi")</f>
        <v>Xu Chu, Angela Li, Jiaming Zhang, Wei Li, Zhijie Tan, Dawei Yin, Shuaiqiang Wang and Daiting Shi</v>
      </c>
      <c r="E21" s="147"/>
      <c r="F21" s="147"/>
      <c r="G21" s="147"/>
      <c r="H21" s="147"/>
      <c r="I21" s="147"/>
      <c r="J21" s="147"/>
      <c r="K21" s="147"/>
      <c r="L21" s="147"/>
      <c r="M21" s="147"/>
    </row>
    <row r="22">
      <c r="A22" s="240" t="s">
        <v>1860</v>
      </c>
      <c r="B22" s="240" t="s">
        <v>1861</v>
      </c>
      <c r="C22" s="240" t="s">
        <v>4060</v>
      </c>
      <c r="D22" s="240" t="str">
        <f>IFERROR(__xludf.DUMMYFUNCTION("SUBSTITUTE(REGEXREPLACE(REGEXREPLACE(C22, "":[^;]+"", """"), "";([^;]+)$"", "" and $1""), "";"", "", "")"),"Felipe Marineli, Valerio Cetorelli, Valter Crescenzi, Tim Furche and Xiaonan Guo")</f>
        <v>Felipe Marineli, Valerio Cetorelli, Valter Crescenzi, Tim Furche and Xiaonan Guo</v>
      </c>
      <c r="E22" s="147"/>
      <c r="F22" s="147"/>
      <c r="G22" s="147"/>
      <c r="H22" s="147"/>
      <c r="I22" s="147"/>
      <c r="J22" s="147"/>
      <c r="K22" s="147"/>
      <c r="L22" s="147"/>
      <c r="M22" s="147"/>
    </row>
    <row r="23">
      <c r="A23" s="240" t="s">
        <v>1914</v>
      </c>
      <c r="B23" s="240" t="s">
        <v>1915</v>
      </c>
      <c r="C23" s="240" t="s">
        <v>4061</v>
      </c>
      <c r="D23" s="240" t="str">
        <f>IFERROR(__xludf.DUMMYFUNCTION("SUBSTITUTE(REGEXREPLACE(REGEXREPLACE(C23, "":[^;]+"", """"), "";([^;]+)$"", "" and $1""), "";"", "", "")"),"Phuc Nguyen, Benjamin Zelditch, Joyce Chen, Rohit K Patra and Changshuai Wei")</f>
        <v>Phuc Nguyen, Benjamin Zelditch, Joyce Chen, Rohit K Patra and Changshuai Wei</v>
      </c>
      <c r="E23" s="147"/>
      <c r="F23" s="147"/>
      <c r="G23" s="147"/>
      <c r="H23" s="147"/>
      <c r="I23" s="147"/>
      <c r="J23" s="147"/>
      <c r="K23" s="147"/>
      <c r="L23" s="147"/>
      <c r="M23" s="147"/>
    </row>
    <row r="24">
      <c r="A24" s="240" t="s">
        <v>1844</v>
      </c>
      <c r="B24" s="240" t="s">
        <v>1845</v>
      </c>
      <c r="C24" s="240" t="s">
        <v>4062</v>
      </c>
      <c r="D24" s="240" t="str">
        <f>IFERROR(__xludf.DUMMYFUNCTION("SUBSTITUTE(REGEXREPLACE(REGEXREPLACE(C24, "":[^;]+"", """"), "";([^;]+)$"", "" and $1""), "";"", "", "")"),"Ruize Ou, Kai Wang, Jianzhi Shao, Tao Zhang and Chengfu Huo")</f>
        <v>Ruize Ou, Kai Wang, Jianzhi Shao, Tao Zhang and Chengfu Huo</v>
      </c>
      <c r="E24" s="147"/>
      <c r="F24" s="147"/>
      <c r="G24" s="147"/>
      <c r="H24" s="147"/>
      <c r="I24" s="147"/>
      <c r="J24" s="147"/>
      <c r="K24" s="147"/>
      <c r="L24" s="147"/>
      <c r="M24" s="147"/>
    </row>
    <row r="25">
      <c r="A25" s="240" t="s">
        <v>1906</v>
      </c>
      <c r="B25" s="240" t="s">
        <v>1907</v>
      </c>
      <c r="C25" s="240" t="s">
        <v>4063</v>
      </c>
      <c r="D25" s="240" t="str">
        <f>IFERROR(__xludf.DUMMYFUNCTION("SUBSTITUTE(REGEXREPLACE(REGEXREPLACE(C25, "":[^;]+"", """"), "";([^;]+)$"", "" and $1""), "";"", "", "")"),"Yuting Huang, Ziquan Fang, Zhengjie Zhou, Tinghui Luo, Lu Chen, Surun Ji, Huimei Zheng, Mingfan Lu, Fangshu Chen and Yunjun Gao")</f>
        <v>Yuting Huang, Ziquan Fang, Zhengjie Zhou, Tinghui Luo, Lu Chen, Surun Ji, Huimei Zheng, Mingfan Lu, Fangshu Chen and Yunjun Gao</v>
      </c>
      <c r="E25" s="147"/>
      <c r="F25" s="147"/>
      <c r="G25" s="147"/>
      <c r="H25" s="147"/>
      <c r="I25" s="147"/>
      <c r="J25" s="147"/>
      <c r="K25" s="147"/>
      <c r="L25" s="147"/>
      <c r="M25" s="147"/>
    </row>
    <row r="26">
      <c r="A26" s="240" t="s">
        <v>1830</v>
      </c>
      <c r="B26" s="240" t="s">
        <v>1831</v>
      </c>
      <c r="C26" s="240" t="s">
        <v>4064</v>
      </c>
      <c r="D26" s="240" t="str">
        <f>IFERROR(__xludf.DUMMYFUNCTION("SUBSTITUTE(REGEXREPLACE(REGEXREPLACE(C26, "":[^;]+"", """"), "";([^;]+)$"", "" and $1""), "";"", "", "")"),"Jianhui Yang, Yiming Jin, Pengkun Jiao, Chenhe Dong, Zerui Huang, Shaowei Yao, Xiaojiang Zhou, Dan Ou and Haihong Tang")</f>
        <v>Jianhui Yang, Yiming Jin, Pengkun Jiao, Chenhe Dong, Zerui Huang, Shaowei Yao, Xiaojiang Zhou, Dan Ou and Haihong Tang</v>
      </c>
      <c r="E26" s="147"/>
      <c r="F26" s="147"/>
      <c r="G26" s="147"/>
      <c r="H26" s="147"/>
      <c r="I26" s="147"/>
      <c r="J26" s="147"/>
      <c r="K26" s="147"/>
      <c r="L26" s="147"/>
      <c r="M26" s="147"/>
    </row>
    <row r="27">
      <c r="A27" s="240" t="s">
        <v>1890</v>
      </c>
      <c r="B27" s="240" t="s">
        <v>1891</v>
      </c>
      <c r="C27" s="240" t="s">
        <v>4065</v>
      </c>
      <c r="D27" s="240" t="str">
        <f>IFERROR(__xludf.DUMMYFUNCTION("SUBSTITUTE(REGEXREPLACE(REGEXREPLACE(C27, "":[^;]+"", """"), "";([^;]+)$"", "" and $1""), "";"", "", "")"),"Mingjie You, Dawei Cheng, Meilin Zhang, Peng Zhu and Yuqi Liang")</f>
        <v>Mingjie You, Dawei Cheng, Meilin Zhang, Peng Zhu and Yuqi Liang</v>
      </c>
      <c r="E27" s="147"/>
      <c r="F27" s="147"/>
      <c r="G27" s="147"/>
      <c r="H27" s="147"/>
      <c r="I27" s="147"/>
      <c r="J27" s="147"/>
      <c r="K27" s="147"/>
      <c r="L27" s="147"/>
      <c r="M27" s="147"/>
    </row>
    <row r="28">
      <c r="A28" s="240" t="s">
        <v>1842</v>
      </c>
      <c r="B28" s="240" t="s">
        <v>1843</v>
      </c>
      <c r="C28" s="240" t="s">
        <v>4066</v>
      </c>
      <c r="D28" s="240" t="str">
        <f>IFERROR(__xludf.DUMMYFUNCTION("SUBSTITUTE(REGEXREPLACE(REGEXREPLACE(C28, "":[^;]+"", """"), "";([^;]+)$"", "" and $1""), "";"", "", "")"),"Yuejia Dou, Shuai Dou, Yuchao Ma, Bingzhe Wang, Tianyu Wang, Zhilin Zhang, Chuan Yu, Jian Xu and Qi Qi")</f>
        <v>Yuejia Dou, Shuai Dou, Yuchao Ma, Bingzhe Wang, Tianyu Wang, Zhilin Zhang, Chuan Yu, Jian Xu and Qi Qi</v>
      </c>
      <c r="E28" s="147"/>
      <c r="F28" s="147"/>
      <c r="G28" s="147"/>
      <c r="H28" s="147"/>
      <c r="I28" s="147"/>
      <c r="J28" s="147"/>
      <c r="K28" s="147"/>
      <c r="L28" s="147"/>
      <c r="M28" s="147"/>
    </row>
    <row r="29">
      <c r="A29" s="240" t="s">
        <v>1854</v>
      </c>
      <c r="B29" s="240" t="s">
        <v>1855</v>
      </c>
      <c r="C29" s="240" t="s">
        <v>4067</v>
      </c>
      <c r="D29" s="240" t="str">
        <f>IFERROR(__xludf.DUMMYFUNCTION("SUBSTITUTE(REGEXREPLACE(REGEXREPLACE(C29, "":[^;]+"", """"), "";([^;]+)$"", "" and $1""), "";"", "", "")"),"Lin Guan, Jia-Qi Yang, Zhishan Zhao, Beichuan Zhang, Bo Sun, Xuanyuan Luo, Jinan Ni, Xiaowen Li, Yuhang Qi, Zhifang Fan, Hangyu Wang, Qiwei Chen, Yi Cheng, Feng Zhang and Xiao Yang")</f>
        <v>Lin Guan, Jia-Qi Yang, Zhishan Zhao, Beichuan Zhang, Bo Sun, Xuanyuan Luo, Jinan Ni, Xiaowen Li, Yuhang Qi, Zhifang Fan, Hangyu Wang, Qiwei Chen, Yi Cheng, Feng Zhang and Xiao Yang</v>
      </c>
      <c r="E29" s="147"/>
      <c r="F29" s="147"/>
      <c r="G29" s="147"/>
      <c r="H29" s="147"/>
      <c r="I29" s="147"/>
      <c r="J29" s="147"/>
      <c r="K29" s="147"/>
      <c r="L29" s="147"/>
      <c r="M29" s="147"/>
    </row>
    <row r="30">
      <c r="A30" s="240" t="s">
        <v>1812</v>
      </c>
      <c r="B30" s="240" t="s">
        <v>1813</v>
      </c>
      <c r="C30" s="240" t="s">
        <v>4068</v>
      </c>
      <c r="D30" s="240" t="str">
        <f>IFERROR(__xludf.DUMMYFUNCTION("SUBSTITUTE(REGEXREPLACE(REGEXREPLACE(C30, "":[^;]+"", """"), "";([^;]+)$"", "" and $1""), "";"", "", "")"),"Zerui Chen, Heng Chang, Tianying Liu, Chuantian Zhou, Yi Cao, Jiandong Ding, Ming Liu and Bing Qin")</f>
        <v>Zerui Chen, Heng Chang, Tianying Liu, Chuantian Zhou, Yi Cao, Jiandong Ding, Ming Liu and Bing Qin</v>
      </c>
      <c r="E30" s="147"/>
      <c r="F30" s="147"/>
      <c r="G30" s="147"/>
      <c r="H30" s="147"/>
      <c r="I30" s="147"/>
      <c r="J30" s="147"/>
      <c r="K30" s="147"/>
      <c r="L30" s="147"/>
      <c r="M30" s="147"/>
    </row>
    <row r="31">
      <c r="A31" s="240" t="s">
        <v>1894</v>
      </c>
      <c r="B31" s="240" t="s">
        <v>1895</v>
      </c>
      <c r="C31" s="240" t="s">
        <v>4069</v>
      </c>
      <c r="D31" s="240" t="str">
        <f>IFERROR(__xludf.DUMMYFUNCTION("SUBSTITUTE(REGEXREPLACE(REGEXREPLACE(C31, "":[^;]+"", """"), "";([^;]+)$"", "" and $1""), "";"", "", "")"),"Chenghui Yu, Hongwei Wang, Junwen Chen, Zixuan Wang, Bingfeng Deng, Zhuolin Hao, Hongyu Xiong and Yang Song")</f>
        <v>Chenghui Yu, Hongwei Wang, Junwen Chen, Zixuan Wang, Bingfeng Deng, Zhuolin Hao, Hongyu Xiong and Yang Song</v>
      </c>
      <c r="E31" s="147"/>
      <c r="F31" s="147"/>
      <c r="G31" s="147"/>
      <c r="H31" s="147"/>
      <c r="I31" s="147"/>
      <c r="J31" s="147"/>
      <c r="K31" s="147"/>
      <c r="L31" s="147"/>
      <c r="M31" s="147"/>
    </row>
    <row r="32">
      <c r="A32" s="240" t="s">
        <v>1902</v>
      </c>
      <c r="B32" s="240" t="s">
        <v>1903</v>
      </c>
      <c r="C32" s="240" t="s">
        <v>4070</v>
      </c>
      <c r="D32" s="240" t="str">
        <f>IFERROR(__xludf.DUMMYFUNCTION("SUBSTITUTE(REGEXREPLACE(REGEXREPLACE(C32, "":[^;]+"", """"), "";([^;]+)$"", "" and $1""), "";"", "", "")"),"Omer Madmon, Shiran Golan, Eran Fainman, Ofri Kleinfeld and Moran Beladev")</f>
        <v>Omer Madmon, Shiran Golan, Eran Fainman, Ofri Kleinfeld and Moran Beladev</v>
      </c>
      <c r="E32" s="147"/>
      <c r="F32" s="147"/>
      <c r="G32" s="147"/>
      <c r="H32" s="147"/>
      <c r="I32" s="147"/>
      <c r="J32" s="147"/>
      <c r="K32" s="147"/>
      <c r="L32" s="147"/>
      <c r="M32" s="147"/>
    </row>
    <row r="33">
      <c r="A33" s="240" t="s">
        <v>1850</v>
      </c>
      <c r="B33" s="240" t="s">
        <v>1851</v>
      </c>
      <c r="C33" s="240" t="s">
        <v>4071</v>
      </c>
      <c r="D33" s="240" t="str">
        <f>IFERROR(__xludf.DUMMYFUNCTION("SUBSTITUTE(REGEXREPLACE(REGEXREPLACE(C33, "":[^;]+"", """"), "";([^;]+)$"", "" and $1""), "";"", "", "")"),"Peiyuan Gong, Feiran Zhu, Yaqi Yin, ChengLei Dai, Chao Zhang, Kai Zheng, Wentian Bao, Jiaxin Mao and Yi Zhang")</f>
        <v>Peiyuan Gong, Feiran Zhu, Yaqi Yin, ChengLei Dai, Chao Zhang, Kai Zheng, Wentian Bao, Jiaxin Mao and Yi Zhang</v>
      </c>
      <c r="E33" s="147"/>
      <c r="F33" s="147"/>
      <c r="G33" s="147"/>
      <c r="H33" s="147"/>
      <c r="I33" s="147"/>
      <c r="J33" s="147"/>
      <c r="K33" s="147"/>
      <c r="L33" s="147"/>
      <c r="M33" s="147"/>
    </row>
    <row r="34">
      <c r="A34" s="240" t="s">
        <v>1848</v>
      </c>
      <c r="B34" s="240" t="s">
        <v>1849</v>
      </c>
      <c r="C34" s="240" t="s">
        <v>4072</v>
      </c>
      <c r="D34" s="240" t="str">
        <f>IFERROR(__xludf.DUMMYFUNCTION("SUBSTITUTE(REGEXREPLACE(REGEXREPLACE(C34, "":[^;]+"", """"), "";([^;]+)$"", "" and $1""), "";"", "", "")"),"Weijiang Lai, Beihong Jin, Di Zhang, Siru Chen, Jiongyan Zhang, Yuhang Gou, Jian Dong and Xingxing Wang")</f>
        <v>Weijiang Lai, Beihong Jin, Di Zhang, Siru Chen, Jiongyan Zhang, Yuhang Gou, Jian Dong and Xingxing Wang</v>
      </c>
      <c r="E34" s="147"/>
      <c r="F34" s="147"/>
      <c r="G34" s="147"/>
      <c r="H34" s="147"/>
      <c r="I34" s="147"/>
      <c r="J34" s="147"/>
      <c r="K34" s="147"/>
      <c r="L34" s="147"/>
      <c r="M34" s="147"/>
    </row>
    <row r="35">
      <c r="A35" s="240" t="s">
        <v>1882</v>
      </c>
      <c r="B35" s="240" t="s">
        <v>1883</v>
      </c>
      <c r="C35" s="240" t="s">
        <v>4073</v>
      </c>
      <c r="D35" s="240" t="str">
        <f>IFERROR(__xludf.DUMMYFUNCTION("SUBSTITUTE(REGEXREPLACE(REGEXREPLACE(C35, "":[^;]+"", """"), "";([^;]+)$"", "" and $1""), "";"", "", "")"),"Pengfei Tong, Siyuan Chen, Chenwei Zhang, Bo Wang, Qi Pi, Pixun Li and Zuotao Liu")</f>
        <v>Pengfei Tong, Siyuan Chen, Chenwei Zhang, Bo Wang, Qi Pi, Pixun Li and Zuotao Liu</v>
      </c>
      <c r="E35" s="147"/>
      <c r="F35" s="147"/>
      <c r="G35" s="147"/>
      <c r="H35" s="147"/>
      <c r="I35" s="147"/>
      <c r="J35" s="147"/>
      <c r="K35" s="147"/>
      <c r="L35" s="147"/>
      <c r="M35" s="147"/>
    </row>
    <row r="36">
      <c r="A36" s="240" t="s">
        <v>1814</v>
      </c>
      <c r="B36" s="240" t="s">
        <v>1815</v>
      </c>
      <c r="C36" s="240" t="s">
        <v>4074</v>
      </c>
      <c r="D36" s="240" t="str">
        <f>IFERROR(__xludf.DUMMYFUNCTION("SUBSTITUTE(REGEXREPLACE(REGEXREPLACE(C36, "":[^;]+"", """"), "";([^;]+)$"", "" and $1""), "";"", "", "")"),"Fanwei Zhu, Zhuoran Zhuang, Detao Lv, Manwei Li and Yao Yu")</f>
        <v>Fanwei Zhu, Zhuoran Zhuang, Detao Lv, Manwei Li and Yao Yu</v>
      </c>
      <c r="E36" s="147"/>
      <c r="F36" s="147"/>
      <c r="G36" s="147"/>
      <c r="H36" s="147"/>
      <c r="I36" s="147"/>
      <c r="J36" s="147"/>
      <c r="K36" s="147"/>
      <c r="L36" s="147"/>
      <c r="M36" s="147"/>
    </row>
    <row r="37">
      <c r="A37" s="240" t="s">
        <v>1826</v>
      </c>
      <c r="B37" s="240" t="s">
        <v>1827</v>
      </c>
      <c r="C37" s="240" t="s">
        <v>4075</v>
      </c>
      <c r="D37" s="240" t="str">
        <f>IFERROR(__xludf.DUMMYFUNCTION("SUBSTITUTE(REGEXREPLACE(REGEXREPLACE(C37, "":[^;]+"", """"), "";([^;]+)$"", "" and $1""), "";"", "", "")"),"Yejing Wang, Shengyu Zhou, Jinyu Lu, Ziwei Liu, Langming Liu, Maolin Wang, Wenlin Zhang, Feng Li, Wenbo Su, Pengjie Wang, Jian Xu and Xiangyu Zhao")</f>
        <v>Yejing Wang, Shengyu Zhou, Jinyu Lu, Ziwei Liu, Langming Liu, Maolin Wang, Wenlin Zhang, Feng Li, Wenbo Su, Pengjie Wang, Jian Xu and Xiangyu Zhao</v>
      </c>
      <c r="E37" s="147"/>
      <c r="F37" s="147"/>
      <c r="G37" s="147"/>
      <c r="H37" s="147"/>
      <c r="I37" s="147"/>
      <c r="J37" s="147"/>
      <c r="K37" s="147"/>
      <c r="L37" s="147"/>
      <c r="M37" s="147"/>
    </row>
    <row r="38">
      <c r="A38" s="240" t="s">
        <v>1910</v>
      </c>
      <c r="B38" s="240" t="s">
        <v>1911</v>
      </c>
      <c r="C38" s="240" t="s">
        <v>4076</v>
      </c>
      <c r="D38" s="240" t="str">
        <f>IFERROR(__xludf.DUMMYFUNCTION("SUBSTITUTE(REGEXREPLACE(REGEXREPLACE(C38, "":[^;]+"", """"), "";([^;]+)$"", "" and $1""), "";"", "", "")"),"Bokai Cao, Xueyuan Lin, Yiyan Qi, Chengjin Xu, Cehao Yang and Jian Guo")</f>
        <v>Bokai Cao, Xueyuan Lin, Yiyan Qi, Chengjin Xu, Cehao Yang and Jian Guo</v>
      </c>
      <c r="E38" s="147"/>
      <c r="F38" s="147"/>
      <c r="G38" s="147"/>
      <c r="H38" s="147"/>
      <c r="I38" s="147"/>
      <c r="J38" s="147"/>
      <c r="K38" s="147"/>
      <c r="L38" s="147"/>
      <c r="M38" s="147"/>
    </row>
    <row r="39">
      <c r="A39" s="240" t="s">
        <v>1836</v>
      </c>
      <c r="B39" s="240" t="s">
        <v>1837</v>
      </c>
      <c r="C39" s="240" t="s">
        <v>4077</v>
      </c>
      <c r="D39" s="240" t="str">
        <f>IFERROR(__xludf.DUMMYFUNCTION("SUBSTITUTE(REGEXREPLACE(REGEXREPLACE(C39, "":[^;]+"", """"), "";([^;]+)$"", "" and $1""), "";"", "", "")"),"Ruining He, Lukasz Heldt, Lichan Hong, Raghunandan Keshavan, Shifan Mao, Nikhil Mehta, Zhengyang Su, Alicia Tsai, Yueqi Wang, Shao-Chuan Wang, Xinyang Yi, Lexi Baugher, Baykal Cakici, Ed Chi, Cristos Goodrow, Ningren Han, He Ma, Romer Rosales, Abby Van So"&amp;"est, Devansh Tandon, Su-Lin Wu, Weilong Yang and Yilin Zheng")</f>
        <v>Ruining He, Lukasz Heldt, Lichan Hong, Raghunandan Keshavan, Shifan Mao, Nikhil Mehta, Zhengyang Su, Alicia Tsai, Yueqi Wang, Shao-Chuan Wang, Xinyang Yi, Lexi Baugher, Baykal Cakici, Ed Chi, Cristos Goodrow, Ningren Han, He Ma, Romer Rosales, Abby Van Soest, Devansh Tandon, Su-Lin Wu, Weilong Yang and Yilin Zheng</v>
      </c>
      <c r="E39" s="147"/>
      <c r="F39" s="147"/>
      <c r="G39" s="147"/>
      <c r="H39" s="147"/>
      <c r="I39" s="147"/>
      <c r="J39" s="147"/>
      <c r="K39" s="147"/>
      <c r="L39" s="147"/>
      <c r="M39" s="147"/>
    </row>
    <row r="40">
      <c r="A40" s="240" t="s">
        <v>1880</v>
      </c>
      <c r="B40" s="240" t="s">
        <v>1881</v>
      </c>
      <c r="C40" s="240" t="s">
        <v>4078</v>
      </c>
      <c r="D40" s="240" t="str">
        <f>IFERROR(__xludf.DUMMYFUNCTION("SUBSTITUTE(REGEXREPLACE(REGEXREPLACE(C40, "":[^;]+"", """"), "";([^;]+)$"", "" and $1""), "";"", "", "")"),"Saeed Ebrahimi, Weijie Jiang, Jaewon Yang, Olafur Gudmundsson, Yucheng Tu and Huizhong Duan")</f>
        <v>Saeed Ebrahimi, Weijie Jiang, Jaewon Yang, Olafur Gudmundsson, Yucheng Tu and Huizhong Duan</v>
      </c>
      <c r="E40" s="147"/>
      <c r="F40" s="147"/>
      <c r="G40" s="147"/>
      <c r="H40" s="147"/>
      <c r="I40" s="147"/>
      <c r="J40" s="147"/>
      <c r="K40" s="147"/>
      <c r="L40" s="147"/>
      <c r="M40" s="147"/>
    </row>
    <row r="41">
      <c r="A41" s="240" t="s">
        <v>1884</v>
      </c>
      <c r="B41" s="240" t="s">
        <v>1885</v>
      </c>
      <c r="C41" s="240" t="s">
        <v>4079</v>
      </c>
      <c r="D41" s="240" t="str">
        <f>IFERROR(__xludf.DUMMYFUNCTION("SUBSTITUTE(REGEXREPLACE(REGEXREPLACE(C41, "":[^;]+"", """"), "";([^;]+)$"", "" and $1""), "";"", "", "")"),"Jianting Tang, Dongshuai Li, Tao Wen, Fuyu Lv, Dan Ou and Linli Xu")</f>
        <v>Jianting Tang, Dongshuai Li, Tao Wen, Fuyu Lv, Dan Ou and Linli Xu</v>
      </c>
      <c r="E41" s="147"/>
      <c r="F41" s="147"/>
      <c r="G41" s="147"/>
      <c r="H41" s="147"/>
      <c r="I41" s="147"/>
      <c r="J41" s="147"/>
      <c r="K41" s="147"/>
      <c r="L41" s="147"/>
      <c r="M41" s="147"/>
    </row>
    <row r="42">
      <c r="A42" s="240" t="s">
        <v>1820</v>
      </c>
      <c r="B42" s="240" t="s">
        <v>1821</v>
      </c>
      <c r="C42" s="240" t="s">
        <v>4080</v>
      </c>
      <c r="D42" s="240" t="str">
        <f>IFERROR(__xludf.DUMMYFUNCTION("SUBSTITUTE(REGEXREPLACE(REGEXREPLACE(C42, "":[^;]+"", """"), "";([^;]+)$"", "" and $1""), "";"", "", "")"),"Yuchen Li, Rui Kong, Xinran Chen, Chengzhe Zhang, Jiamin Chen, Cheng Deng, Xinyu Ma, Haojie Zhang, Tianhao Peng, Hengyi Cai, Shuaiqiang Wang, Jiashu Zhao, Yongqi Zhang, Haoyi Xiong, Jimmy Xiangji Huang, Lei Chen, Jun Wang and Dawei Yin")</f>
        <v>Yuchen Li, Rui Kong, Xinran Chen, Chengzhe Zhang, Jiamin Chen, Cheng Deng, Xinyu Ma, Haojie Zhang, Tianhao Peng, Hengyi Cai, Shuaiqiang Wang, Jiashu Zhao, Yongqi Zhang, Haoyi Xiong, Jimmy Xiangji Huang, Lei Chen, Jun Wang and Dawei Yin</v>
      </c>
      <c r="E42" s="147"/>
      <c r="F42" s="147"/>
      <c r="G42" s="147"/>
      <c r="H42" s="147"/>
      <c r="I42" s="147"/>
      <c r="J42" s="147"/>
      <c r="K42" s="147"/>
      <c r="L42" s="147"/>
      <c r="M42" s="147"/>
    </row>
    <row r="43">
      <c r="A43" s="240" t="s">
        <v>1876</v>
      </c>
      <c r="B43" s="240" t="s">
        <v>1877</v>
      </c>
      <c r="C43" s="240" t="s">
        <v>4081</v>
      </c>
      <c r="D43" s="240" t="str">
        <f>IFERROR(__xludf.DUMMYFUNCTION("SUBSTITUTE(REGEXREPLACE(REGEXREPLACE(C43, "":[^;]+"", """"), "";([^;]+)$"", "" and $1""), "";"", "", "")"),"Mengze Hong, Chen Jason Zhang, Zichang Guo, Hanlin Gu, Di Jiang and Qing Li")</f>
        <v>Mengze Hong, Chen Jason Zhang, Zichang Guo, Hanlin Gu, Di Jiang and Qing Li</v>
      </c>
      <c r="E43" s="147"/>
      <c r="F43" s="147"/>
      <c r="G43" s="147"/>
      <c r="H43" s="147"/>
      <c r="I43" s="147"/>
      <c r="J43" s="147"/>
      <c r="K43" s="147"/>
      <c r="L43" s="147"/>
      <c r="M43" s="147"/>
    </row>
    <row r="44">
      <c r="A44" s="240" t="s">
        <v>1864</v>
      </c>
      <c r="B44" s="240" t="s">
        <v>1865</v>
      </c>
      <c r="C44" s="240" t="s">
        <v>4082</v>
      </c>
      <c r="D44" s="240" t="str">
        <f>IFERROR(__xludf.DUMMYFUNCTION("SUBSTITUTE(REGEXREPLACE(REGEXREPLACE(C44, "":[^;]+"", """"), "";([^;]+)$"", "" and $1""), "";"", "", "")"),"Hebin Liang, Jianye Hao, Jinyi Liu, Yi Ma, Zilin Cao, Jing Liang, Kun Shao, Zhaocheng Du, Fei Ni, Yifu Yuan and Yan Zheng")</f>
        <v>Hebin Liang, Jianye Hao, Jinyi Liu, Yi Ma, Zilin Cao, Jing Liang, Kun Shao, Zhaocheng Du, Fei Ni, Yifu Yuan and Yan Zheng</v>
      </c>
      <c r="E44" s="147"/>
      <c r="F44" s="147"/>
      <c r="G44" s="147"/>
      <c r="H44" s="147"/>
      <c r="I44" s="147"/>
      <c r="J44" s="147"/>
      <c r="K44" s="147"/>
      <c r="L44" s="147"/>
      <c r="M44" s="147"/>
    </row>
    <row r="45">
      <c r="A45" s="240" t="s">
        <v>1908</v>
      </c>
      <c r="B45" s="240" t="s">
        <v>1909</v>
      </c>
      <c r="C45" s="240" t="s">
        <v>4083</v>
      </c>
      <c r="D45" s="240" t="str">
        <f>IFERROR(__xludf.DUMMYFUNCTION("SUBSTITUTE(REGEXREPLACE(REGEXREPLACE(C45, "":[^;]+"", """"), "";([^;]+)$"", "" and $1""), "";"", "", "")"),"Zhaoqi Zhang, Haolei Pei, Jun Guo, Tianyu Wang, Yufei Feng, Hui Sun, Shaowei Liu and Aixin Sun")</f>
        <v>Zhaoqi Zhang, Haolei Pei, Jun Guo, Tianyu Wang, Yufei Feng, Hui Sun, Shaowei Liu and Aixin Sun</v>
      </c>
      <c r="E45" s="147"/>
      <c r="F45" s="147"/>
      <c r="G45" s="147"/>
      <c r="H45" s="147"/>
      <c r="I45" s="147"/>
      <c r="J45" s="147"/>
      <c r="K45" s="147"/>
      <c r="L45" s="147"/>
      <c r="M45" s="147"/>
    </row>
    <row r="46">
      <c r="A46" s="240" t="s">
        <v>1856</v>
      </c>
      <c r="B46" s="240" t="s">
        <v>1857</v>
      </c>
      <c r="C46" s="240" t="s">
        <v>4084</v>
      </c>
      <c r="D46" s="240" t="str">
        <f>IFERROR(__xludf.DUMMYFUNCTION("SUBSTITUTE(REGEXREPLACE(REGEXREPLACE(C46, "":[^;]+"", """"), "";([^;]+)$"", "" and $1""), "";"", "", "")"),"Baopu Qiu, Hao Chen, Yuanrong Wu, Changtong Zan, Chao Wei, Weiru Zhang and Xiaoyi Zeng")</f>
        <v>Baopu Qiu, Hao Chen, Yuanrong Wu, Changtong Zan, Chao Wei, Weiru Zhang and Xiaoyi Zeng</v>
      </c>
      <c r="E46" s="147"/>
      <c r="F46" s="147"/>
      <c r="G46" s="147"/>
      <c r="H46" s="147"/>
      <c r="I46" s="147"/>
      <c r="J46" s="147"/>
      <c r="K46" s="147"/>
      <c r="L46" s="147"/>
      <c r="M46" s="147"/>
    </row>
    <row r="47">
      <c r="A47" s="240" t="s">
        <v>1916</v>
      </c>
      <c r="B47" s="240" t="s">
        <v>1917</v>
      </c>
      <c r="C47" s="240" t="s">
        <v>4085</v>
      </c>
      <c r="D47" s="240" t="str">
        <f>IFERROR(__xludf.DUMMYFUNCTION("SUBSTITUTE(REGEXREPLACE(REGEXREPLACE(C47, "":[^;]+"", """"), "";([^;]+)$"", "" and $1""), "";"", "", "")"),"Xiaofeng Liu, Wenliang Li, Tao Yu, Guanliang Song, Zhen Chen, Jing Zhou, Dongyue Wang, Xiwei Zhao and Sulong Xu")</f>
        <v>Xiaofeng Liu, Wenliang Li, Tao Yu, Guanliang Song, Zhen Chen, Jing Zhou, Dongyue Wang, Xiwei Zhao and Sulong Xu</v>
      </c>
      <c r="E47" s="147"/>
      <c r="F47" s="147"/>
      <c r="G47" s="147"/>
      <c r="H47" s="147"/>
      <c r="I47" s="147"/>
      <c r="J47" s="147"/>
      <c r="K47" s="147"/>
      <c r="L47" s="147"/>
      <c r="M47" s="147"/>
    </row>
    <row r="48">
      <c r="A48" s="240" t="s">
        <v>1838</v>
      </c>
      <c r="B48" s="240" t="s">
        <v>1839</v>
      </c>
      <c r="C48" s="240" t="s">
        <v>4086</v>
      </c>
      <c r="D48" s="240" t="str">
        <f>IFERROR(__xludf.DUMMYFUNCTION("SUBSTITUTE(REGEXREPLACE(REGEXREPLACE(C48, "":[^;]+"", """"), "";([^;]+)$"", "" and $1""), "";"", "", "")"),"Aitolkyn Baigutanova, Francisco Navas, Pablo Aragon, Mykola Trokhymovych, Muniza Aslam, Ai-Jou Chou, Miriam Redi and Diego Saez Trumper")</f>
        <v>Aitolkyn Baigutanova, Francisco Navas, Pablo Aragon, Mykola Trokhymovych, Muniza Aslam, Ai-Jou Chou, Miriam Redi and Diego Saez Trumper</v>
      </c>
      <c r="E48" s="147"/>
      <c r="F48" s="147"/>
      <c r="G48" s="147"/>
      <c r="H48" s="147"/>
      <c r="I48" s="147"/>
      <c r="J48" s="147"/>
      <c r="K48" s="147"/>
      <c r="L48" s="147"/>
      <c r="M48" s="147"/>
    </row>
    <row r="49">
      <c r="A49" s="240" t="s">
        <v>1810</v>
      </c>
      <c r="B49" s="240" t="s">
        <v>1811</v>
      </c>
      <c r="C49" s="240" t="s">
        <v>4087</v>
      </c>
      <c r="D49" s="240" t="str">
        <f>IFERROR(__xludf.DUMMYFUNCTION("SUBSTITUTE(REGEXREPLACE(REGEXREPLACE(C49, "":[^;]+"", """"), "";([^;]+)$"", "" and $1""), "";"", "", "")"),"Xixuan Hao, Guicheng Li, Daiqiang Wu, Xusen Guo, Yumeng Zhu, Zhichao Zou, Peng Zhen, Yao Yao and Yuxuan Liang")</f>
        <v>Xixuan Hao, Guicheng Li, Daiqiang Wu, Xusen Guo, Yumeng Zhu, Zhichao Zou, Peng Zhen, Yao Yao and Yuxuan Liang</v>
      </c>
      <c r="E49" s="147"/>
      <c r="F49" s="147"/>
      <c r="G49" s="147"/>
      <c r="H49" s="147"/>
      <c r="I49" s="147"/>
      <c r="J49" s="147"/>
      <c r="K49" s="147"/>
      <c r="L49" s="147"/>
      <c r="M49" s="147"/>
    </row>
    <row r="50">
      <c r="A50" s="240" t="s">
        <v>1904</v>
      </c>
      <c r="B50" s="240" t="s">
        <v>1905</v>
      </c>
      <c r="C50" s="240" t="s">
        <v>4088</v>
      </c>
      <c r="D50" s="240" t="str">
        <f>IFERROR(__xludf.DUMMYFUNCTION("SUBSTITUTE(REGEXREPLACE(REGEXREPLACE(C50, "":[^;]+"", """"), "";([^;]+)$"", "" and $1""), "";"", "", "")"),"Wenyi Xu, Feiran Zhu, Songyang Li, Renzhe Zhou, Chao Zhang, ChengLei Dai, Yuren Mao, Yunjun Gao and Yi Zhang")</f>
        <v>Wenyi Xu, Feiran Zhu, Songyang Li, Renzhe Zhou, Chao Zhang, ChengLei Dai, Yuren Mao, Yunjun Gao and Yi Zhang</v>
      </c>
      <c r="E50" s="147"/>
      <c r="F50" s="147"/>
      <c r="G50" s="147"/>
      <c r="H50" s="147"/>
      <c r="I50" s="147"/>
      <c r="J50" s="147"/>
      <c r="K50" s="147"/>
      <c r="L50" s="147"/>
      <c r="M50" s="147"/>
    </row>
    <row r="51">
      <c r="A51" s="240" t="s">
        <v>1834</v>
      </c>
      <c r="B51" s="240" t="s">
        <v>1835</v>
      </c>
      <c r="C51" s="240" t="s">
        <v>4089</v>
      </c>
      <c r="D51" s="240" t="str">
        <f>IFERROR(__xludf.DUMMYFUNCTION("SUBSTITUTE(REGEXREPLACE(REGEXREPLACE(C51, "":[^;]+"", """"), "";([^;]+)$"", "" and $1""), "";"", "", "")"),"Runze Xia, Yupeng Ji, Yuxi Zhou, Haodong Liu, Teng Zhang and Piji Li")</f>
        <v>Runze Xia, Yupeng Ji, Yuxi Zhou, Haodong Liu, Teng Zhang and Piji Li</v>
      </c>
      <c r="E51" s="147"/>
      <c r="F51" s="147"/>
      <c r="G51" s="147"/>
      <c r="H51" s="147"/>
      <c r="I51" s="147"/>
      <c r="J51" s="147"/>
      <c r="K51" s="147"/>
      <c r="L51" s="147"/>
      <c r="M51" s="147"/>
    </row>
    <row r="52">
      <c r="A52" s="240" t="s">
        <v>1920</v>
      </c>
      <c r="B52" s="240" t="s">
        <v>1921</v>
      </c>
      <c r="C52" s="240" t="s">
        <v>4090</v>
      </c>
      <c r="D52" s="240" t="str">
        <f>IFERROR(__xludf.DUMMYFUNCTION("SUBSTITUTE(REGEXREPLACE(REGEXREPLACE(C52, "":[^;]+"", """"), "";([^;]+)$"", "" and $1""), "";"", "", "")"),"Tingfeng Hong, Pingye Ren, Xinlong Xiao, Chao Wang, Chenyi Lei, Wenwu Ou and Han Li")</f>
        <v>Tingfeng Hong, Pingye Ren, Xinlong Xiao, Chao Wang, Chenyi Lei, Wenwu Ou and Han Li</v>
      </c>
      <c r="E52" s="147"/>
      <c r="F52" s="147"/>
      <c r="G52" s="147"/>
      <c r="H52" s="147"/>
      <c r="I52" s="147"/>
      <c r="J52" s="147"/>
      <c r="K52" s="147"/>
      <c r="L52" s="147"/>
      <c r="M52" s="147"/>
    </row>
    <row r="53">
      <c r="A53" s="240" t="s">
        <v>1824</v>
      </c>
      <c r="B53" s="240" t="s">
        <v>1825</v>
      </c>
      <c r="C53" s="240" t="s">
        <v>4091</v>
      </c>
      <c r="D53" s="240" t="str">
        <f>IFERROR(__xludf.DUMMYFUNCTION("SUBSTITUTE(REGEXREPLACE(REGEXREPLACE(C53, "":[^;]+"", """"), "";([^;]+)$"", "" and $1""), "";"", "", "")"),"Maria Ljubičić, Emanuel Lacić and Denis Helić")</f>
        <v>Maria Ljubičić, Emanuel Lacić and Denis Helić</v>
      </c>
      <c r="E53" s="147"/>
      <c r="F53" s="147"/>
      <c r="G53" s="147"/>
      <c r="H53" s="147"/>
      <c r="I53" s="147"/>
      <c r="J53" s="147"/>
      <c r="K53" s="147"/>
      <c r="L53" s="147"/>
      <c r="M53" s="147"/>
    </row>
    <row r="54">
      <c r="A54" s="240" t="s">
        <v>1912</v>
      </c>
      <c r="B54" s="240" t="s">
        <v>1913</v>
      </c>
      <c r="C54" s="240" t="s">
        <v>4092</v>
      </c>
      <c r="D54" s="240" t="str">
        <f>IFERROR(__xludf.DUMMYFUNCTION("SUBSTITUTE(REGEXREPLACE(REGEXREPLACE(C54, "":[^;]+"", """"), "";([^;]+)$"", "" and $1""), "";"", "", "")"),"Benshuo Lin, Jiayu Ding, Yuelei Li, Peng Wu, Yun Xue and Yiping Song")</f>
        <v>Benshuo Lin, Jiayu Ding, Yuelei Li, Peng Wu, Yun Xue and Yiping Song</v>
      </c>
      <c r="E54" s="147"/>
      <c r="F54" s="147"/>
      <c r="G54" s="147"/>
      <c r="H54" s="147"/>
      <c r="I54" s="147"/>
      <c r="J54" s="147"/>
      <c r="K54" s="147"/>
      <c r="L54" s="147"/>
      <c r="M54" s="147"/>
    </row>
    <row r="55">
      <c r="A55" s="240" t="s">
        <v>1818</v>
      </c>
      <c r="B55" s="240" t="s">
        <v>1819</v>
      </c>
      <c r="C55" s="240" t="s">
        <v>4093</v>
      </c>
      <c r="D55" s="240" t="str">
        <f>IFERROR(__xludf.DUMMYFUNCTION("SUBSTITUTE(REGEXREPLACE(REGEXREPLACE(C55, "":[^;]+"", """"), "";([^;]+)$"", "" and $1""), "";"", "", "")"),"Jing Huang, Zhiya Tan, Shutao Gong, Fanwei Zeng, Joey Tianyi Zhou, Changtao Miao, Huazhe Tan, Weibin Yao and Jianshu Li")</f>
        <v>Jing Huang, Zhiya Tan, Shutao Gong, Fanwei Zeng, Joey Tianyi Zhou, Changtao Miao, Huazhe Tan, Weibin Yao and Jianshu Li</v>
      </c>
      <c r="E55" s="147"/>
      <c r="F55" s="147"/>
      <c r="G55" s="147"/>
      <c r="H55" s="147"/>
      <c r="I55" s="147"/>
      <c r="J55" s="147"/>
      <c r="K55" s="147"/>
      <c r="L55" s="147"/>
      <c r="M55" s="147"/>
    </row>
    <row r="56">
      <c r="A56" s="240" t="s">
        <v>1888</v>
      </c>
      <c r="B56" s="240" t="s">
        <v>1889</v>
      </c>
      <c r="C56" s="240" t="s">
        <v>4094</v>
      </c>
      <c r="D56" s="240" t="str">
        <f>IFERROR(__xludf.DUMMYFUNCTION("SUBSTITUTE(REGEXREPLACE(REGEXREPLACE(C56, "":[^;]+"", """"), "";([^;]+)$"", "" and $1""), "";"", "", "")"),"Wenjing Li, Jiang Rong, Yao Hu, Zhenzhe Zheng and Fan Wu")</f>
        <v>Wenjing Li, Jiang Rong, Yao Hu, Zhenzhe Zheng and Fan Wu</v>
      </c>
      <c r="E56" s="147"/>
      <c r="F56" s="147"/>
      <c r="G56" s="147"/>
      <c r="H56" s="147"/>
      <c r="I56" s="147"/>
      <c r="J56" s="147"/>
      <c r="K56" s="147"/>
      <c r="L56" s="147"/>
      <c r="M56" s="147"/>
    </row>
    <row r="57">
      <c r="A57" s="240" t="s">
        <v>1898</v>
      </c>
      <c r="B57" s="240" t="s">
        <v>1899</v>
      </c>
      <c r="C57" s="240" t="s">
        <v>4095</v>
      </c>
      <c r="D57" s="240" t="str">
        <f>IFERROR(__xludf.DUMMYFUNCTION("SUBSTITUTE(REGEXREPLACE(REGEXREPLACE(C57, "":[^;]+"", """"), "";([^;]+)$"", "" and $1""), "";"", "", "")"),"Kakam Chong, Xu Yan, Shuai Xiao, Ming Chen, Chen Ju, Fei Huang, Yuantao Gu, Shuguang Han and Jufeng Chen")</f>
        <v>Kakam Chong, Xu Yan, Shuai Xiao, Ming Chen, Chen Ju, Fei Huang, Yuantao Gu, Shuguang Han and Jufeng Chen</v>
      </c>
      <c r="E57" s="147"/>
      <c r="F57" s="147"/>
      <c r="G57" s="147"/>
      <c r="H57" s="147"/>
      <c r="I57" s="147"/>
      <c r="J57" s="147"/>
      <c r="K57" s="147"/>
      <c r="L57" s="147"/>
      <c r="M57" s="147"/>
    </row>
    <row r="58">
      <c r="A58" s="240" t="s">
        <v>1878</v>
      </c>
      <c r="B58" s="240" t="s">
        <v>1879</v>
      </c>
      <c r="C58" s="240" t="s">
        <v>4096</v>
      </c>
      <c r="D58" s="240" t="str">
        <f>IFERROR(__xludf.DUMMYFUNCTION("SUBSTITUTE(REGEXREPLACE(REGEXREPLACE(C58, "":[^;]+"", """"), "";([^;]+)$"", "" and $1""), "";"", "", "")"),"Abhinav Naikawadi, Hedi Xia, Dafang He, Yichu Zhou, Xue Xia, Piyush Maheshwari, Bella Huang, Bowen Deng, James Li, Dhruvil Deven Badani and Yijie Dylan Wang")</f>
        <v>Abhinav Naikawadi, Hedi Xia, Dafang He, Yichu Zhou, Xue Xia, Piyush Maheshwari, Bella Huang, Bowen Deng, James Li, Dhruvil Deven Badani and Yijie Dylan Wang</v>
      </c>
      <c r="E58" s="147"/>
      <c r="F58" s="147"/>
      <c r="G58" s="147"/>
      <c r="H58" s="147"/>
      <c r="I58" s="147"/>
      <c r="J58" s="147"/>
      <c r="K58" s="147"/>
      <c r="L58" s="147"/>
      <c r="M58" s="147"/>
    </row>
    <row r="59">
      <c r="A59" s="147"/>
      <c r="B59" s="147"/>
      <c r="C59" s="147"/>
      <c r="D59" s="147"/>
      <c r="E59" s="147"/>
      <c r="F59" s="147"/>
      <c r="G59" s="147"/>
      <c r="H59" s="147"/>
      <c r="I59" s="147"/>
      <c r="J59" s="147"/>
      <c r="K59" s="147"/>
      <c r="L59" s="147"/>
      <c r="M59" s="147"/>
    </row>
    <row r="60">
      <c r="A60" s="147"/>
      <c r="B60" s="147"/>
      <c r="C60" s="147"/>
      <c r="D60" s="147"/>
      <c r="E60" s="147"/>
      <c r="F60" s="147"/>
      <c r="G60" s="147"/>
      <c r="H60" s="147"/>
      <c r="I60" s="147"/>
      <c r="J60" s="147"/>
      <c r="K60" s="147"/>
      <c r="L60" s="147"/>
      <c r="M60" s="147"/>
    </row>
    <row r="61">
      <c r="A61" s="147"/>
      <c r="B61" s="147"/>
      <c r="C61" s="147"/>
      <c r="D61" s="147"/>
      <c r="E61" s="147"/>
      <c r="F61" s="147"/>
      <c r="G61" s="147"/>
      <c r="H61" s="147"/>
      <c r="I61" s="147"/>
      <c r="J61" s="147"/>
      <c r="K61" s="147"/>
      <c r="L61" s="147"/>
      <c r="M61" s="147"/>
    </row>
    <row r="62">
      <c r="A62" s="147"/>
      <c r="B62" s="147"/>
      <c r="C62" s="147"/>
      <c r="D62" s="147"/>
      <c r="E62" s="147"/>
      <c r="F62" s="147"/>
      <c r="G62" s="147"/>
      <c r="H62" s="147"/>
      <c r="I62" s="147"/>
      <c r="J62" s="147"/>
      <c r="K62" s="147"/>
      <c r="L62" s="147"/>
      <c r="M62" s="147"/>
    </row>
    <row r="63">
      <c r="A63" s="147"/>
      <c r="B63" s="147"/>
      <c r="C63" s="147"/>
      <c r="D63" s="147"/>
      <c r="E63" s="147"/>
      <c r="F63" s="147"/>
      <c r="G63" s="147"/>
      <c r="H63" s="147"/>
      <c r="I63" s="147"/>
      <c r="J63" s="147"/>
      <c r="K63" s="147"/>
      <c r="L63" s="147"/>
      <c r="M63" s="147"/>
    </row>
    <row r="64">
      <c r="A64" s="147"/>
      <c r="B64" s="147"/>
      <c r="C64" s="147"/>
      <c r="D64" s="147"/>
      <c r="E64" s="147"/>
      <c r="F64" s="147"/>
      <c r="G64" s="147"/>
      <c r="H64" s="147"/>
      <c r="I64" s="147"/>
      <c r="J64" s="147"/>
      <c r="K64" s="147"/>
      <c r="L64" s="147"/>
      <c r="M64" s="147"/>
    </row>
    <row r="65">
      <c r="A65" s="147"/>
      <c r="B65" s="147"/>
      <c r="C65" s="147"/>
      <c r="D65" s="147"/>
      <c r="E65" s="147"/>
      <c r="F65" s="147"/>
      <c r="G65" s="147"/>
      <c r="H65" s="147"/>
      <c r="I65" s="147"/>
      <c r="J65" s="147"/>
      <c r="K65" s="147"/>
      <c r="L65" s="147"/>
      <c r="M65" s="147"/>
    </row>
    <row r="66">
      <c r="A66" s="147"/>
      <c r="B66" s="147"/>
      <c r="C66" s="147"/>
      <c r="D66" s="147"/>
      <c r="E66" s="147"/>
      <c r="F66" s="147"/>
      <c r="G66" s="147"/>
      <c r="H66" s="147"/>
      <c r="I66" s="147"/>
      <c r="J66" s="147"/>
      <c r="K66" s="147"/>
      <c r="L66" s="147"/>
      <c r="M66" s="147"/>
    </row>
    <row r="67">
      <c r="A67" s="147"/>
      <c r="B67" s="147"/>
      <c r="C67" s="147"/>
      <c r="D67" s="147"/>
      <c r="E67" s="147"/>
      <c r="F67" s="147"/>
      <c r="G67" s="147"/>
      <c r="H67" s="147"/>
      <c r="I67" s="147"/>
      <c r="J67" s="147"/>
      <c r="K67" s="147"/>
      <c r="L67" s="147"/>
      <c r="M67" s="147"/>
    </row>
    <row r="68">
      <c r="A68" s="147"/>
      <c r="B68" s="147"/>
      <c r="C68" s="147"/>
      <c r="D68" s="147"/>
      <c r="E68" s="147"/>
      <c r="F68" s="147"/>
      <c r="G68" s="147"/>
      <c r="H68" s="147"/>
      <c r="I68" s="147"/>
      <c r="J68" s="147"/>
      <c r="K68" s="147"/>
      <c r="L68" s="147"/>
      <c r="M68" s="147"/>
    </row>
    <row r="69">
      <c r="A69" s="147"/>
      <c r="B69" s="147"/>
      <c r="C69" s="147"/>
      <c r="D69" s="147"/>
      <c r="E69" s="147"/>
      <c r="F69" s="147"/>
      <c r="G69" s="147"/>
      <c r="H69" s="147"/>
      <c r="I69" s="147"/>
      <c r="J69" s="147"/>
      <c r="K69" s="147"/>
      <c r="L69" s="147"/>
      <c r="M69" s="147"/>
    </row>
    <row r="70">
      <c r="A70" s="147"/>
      <c r="B70" s="147"/>
      <c r="C70" s="147"/>
      <c r="D70" s="147"/>
      <c r="E70" s="147"/>
      <c r="F70" s="147"/>
      <c r="G70" s="147"/>
      <c r="H70" s="147"/>
      <c r="I70" s="147"/>
      <c r="J70" s="147"/>
      <c r="K70" s="147"/>
      <c r="L70" s="147"/>
      <c r="M70" s="147"/>
    </row>
    <row r="71">
      <c r="A71" s="147"/>
      <c r="B71" s="147"/>
      <c r="C71" s="147"/>
      <c r="D71" s="147"/>
      <c r="E71" s="147"/>
      <c r="F71" s="147"/>
      <c r="G71" s="147"/>
      <c r="H71" s="147"/>
      <c r="I71" s="147"/>
      <c r="J71" s="147"/>
      <c r="K71" s="147"/>
      <c r="L71" s="147"/>
      <c r="M71" s="147"/>
    </row>
    <row r="72">
      <c r="A72" s="147"/>
      <c r="B72" s="147"/>
      <c r="C72" s="147"/>
      <c r="D72" s="147"/>
      <c r="E72" s="147"/>
      <c r="F72" s="147"/>
      <c r="G72" s="147"/>
      <c r="H72" s="147"/>
      <c r="I72" s="147"/>
      <c r="J72" s="147"/>
      <c r="K72" s="147"/>
      <c r="L72" s="147"/>
      <c r="M72" s="147"/>
    </row>
    <row r="73">
      <c r="A73" s="147"/>
      <c r="B73" s="147"/>
      <c r="C73" s="147"/>
      <c r="D73" s="147"/>
      <c r="E73" s="147"/>
      <c r="F73" s="147"/>
      <c r="G73" s="147"/>
      <c r="H73" s="147"/>
      <c r="I73" s="147"/>
      <c r="J73" s="147"/>
      <c r="K73" s="147"/>
      <c r="L73" s="147"/>
      <c r="M73" s="147"/>
    </row>
    <row r="74">
      <c r="A74" s="147"/>
      <c r="B74" s="147"/>
      <c r="C74" s="147"/>
      <c r="D74" s="147"/>
      <c r="E74" s="147"/>
      <c r="F74" s="147"/>
      <c r="G74" s="147"/>
      <c r="H74" s="147"/>
      <c r="I74" s="147"/>
      <c r="J74" s="147"/>
      <c r="K74" s="147"/>
      <c r="L74" s="147"/>
      <c r="M74" s="147"/>
    </row>
    <row r="75">
      <c r="A75" s="147"/>
      <c r="B75" s="147"/>
      <c r="C75" s="147"/>
      <c r="D75" s="147"/>
      <c r="E75" s="147"/>
      <c r="F75" s="147"/>
      <c r="G75" s="147"/>
      <c r="H75" s="147"/>
      <c r="I75" s="147"/>
      <c r="J75" s="147"/>
      <c r="K75" s="147"/>
      <c r="L75" s="147"/>
      <c r="M75" s="147"/>
    </row>
    <row r="76">
      <c r="A76" s="147"/>
      <c r="B76" s="147"/>
      <c r="C76" s="147"/>
      <c r="D76" s="147"/>
      <c r="E76" s="147"/>
      <c r="F76" s="147"/>
      <c r="G76" s="147"/>
      <c r="H76" s="147"/>
      <c r="I76" s="147"/>
      <c r="J76" s="147"/>
      <c r="K76" s="147"/>
      <c r="L76" s="147"/>
      <c r="M76" s="147"/>
    </row>
    <row r="77">
      <c r="A77" s="147"/>
      <c r="B77" s="147"/>
      <c r="C77" s="147"/>
      <c r="D77" s="147"/>
      <c r="E77" s="147"/>
      <c r="F77" s="147"/>
      <c r="G77" s="147"/>
      <c r="H77" s="147"/>
      <c r="I77" s="147"/>
      <c r="J77" s="147"/>
      <c r="K77" s="147"/>
      <c r="L77" s="147"/>
      <c r="M77" s="147"/>
    </row>
    <row r="78">
      <c r="A78" s="147"/>
      <c r="B78" s="147"/>
      <c r="C78" s="147"/>
      <c r="D78" s="147"/>
      <c r="E78" s="147"/>
      <c r="F78" s="147"/>
      <c r="G78" s="147"/>
      <c r="H78" s="147"/>
      <c r="I78" s="147"/>
      <c r="J78" s="147"/>
      <c r="K78" s="147"/>
      <c r="L78" s="147"/>
      <c r="M78" s="147"/>
    </row>
    <row r="79">
      <c r="A79" s="147"/>
      <c r="B79" s="147"/>
      <c r="C79" s="147"/>
      <c r="D79" s="147"/>
      <c r="E79" s="147"/>
      <c r="F79" s="147"/>
      <c r="G79" s="147"/>
      <c r="H79" s="147"/>
      <c r="I79" s="147"/>
      <c r="J79" s="147"/>
      <c r="K79" s="147"/>
      <c r="L79" s="147"/>
      <c r="M79" s="147"/>
    </row>
    <row r="80">
      <c r="A80" s="147"/>
      <c r="B80" s="147"/>
      <c r="C80" s="147"/>
      <c r="D80" s="147"/>
      <c r="E80" s="147"/>
      <c r="F80" s="147"/>
      <c r="G80" s="147"/>
      <c r="H80" s="147"/>
      <c r="I80" s="147"/>
      <c r="J80" s="147"/>
      <c r="K80" s="147"/>
      <c r="L80" s="147"/>
      <c r="M80" s="147"/>
    </row>
    <row r="81">
      <c r="A81" s="147"/>
      <c r="B81" s="147"/>
      <c r="C81" s="147"/>
      <c r="D81" s="147"/>
      <c r="E81" s="147"/>
      <c r="F81" s="147"/>
      <c r="G81" s="147"/>
      <c r="H81" s="147"/>
      <c r="I81" s="147"/>
      <c r="J81" s="147"/>
      <c r="K81" s="147"/>
      <c r="L81" s="147"/>
      <c r="M81" s="147"/>
    </row>
    <row r="82">
      <c r="A82" s="147"/>
      <c r="B82" s="147"/>
      <c r="C82" s="147"/>
      <c r="D82" s="147"/>
      <c r="E82" s="147"/>
      <c r="F82" s="147"/>
      <c r="G82" s="147"/>
      <c r="H82" s="147"/>
      <c r="I82" s="147"/>
      <c r="J82" s="147"/>
      <c r="K82" s="147"/>
      <c r="L82" s="147"/>
      <c r="M82" s="147"/>
    </row>
    <row r="83">
      <c r="A83" s="147"/>
      <c r="B83" s="147"/>
      <c r="C83" s="147"/>
      <c r="D83" s="147"/>
      <c r="E83" s="147"/>
      <c r="F83" s="147"/>
      <c r="G83" s="147"/>
      <c r="H83" s="147"/>
      <c r="I83" s="147"/>
      <c r="J83" s="147"/>
      <c r="K83" s="147"/>
      <c r="L83" s="147"/>
      <c r="M83" s="147"/>
    </row>
    <row r="84">
      <c r="A84" s="147"/>
      <c r="B84" s="147"/>
      <c r="C84" s="147"/>
      <c r="D84" s="147"/>
      <c r="E84" s="147"/>
      <c r="F84" s="147"/>
      <c r="G84" s="147"/>
      <c r="H84" s="147"/>
      <c r="I84" s="147"/>
      <c r="J84" s="147"/>
      <c r="K84" s="147"/>
      <c r="L84" s="147"/>
      <c r="M84" s="147"/>
    </row>
    <row r="85">
      <c r="A85" s="147"/>
      <c r="B85" s="147"/>
      <c r="C85" s="147"/>
      <c r="D85" s="147"/>
      <c r="E85" s="147"/>
      <c r="F85" s="147"/>
      <c r="G85" s="147"/>
      <c r="H85" s="147"/>
      <c r="I85" s="147"/>
      <c r="J85" s="147"/>
      <c r="K85" s="147"/>
      <c r="L85" s="147"/>
      <c r="M85" s="147"/>
    </row>
    <row r="86">
      <c r="A86" s="147"/>
      <c r="B86" s="147"/>
      <c r="C86" s="147"/>
      <c r="D86" s="147"/>
      <c r="E86" s="147"/>
      <c r="F86" s="147"/>
      <c r="G86" s="147"/>
      <c r="H86" s="147"/>
      <c r="I86" s="147"/>
      <c r="J86" s="147"/>
      <c r="K86" s="147"/>
      <c r="L86" s="147"/>
      <c r="M86" s="147"/>
    </row>
    <row r="87">
      <c r="A87" s="147"/>
      <c r="B87" s="147"/>
      <c r="C87" s="147"/>
      <c r="D87" s="147"/>
      <c r="E87" s="147"/>
      <c r="F87" s="147"/>
      <c r="G87" s="147"/>
      <c r="H87" s="147"/>
      <c r="I87" s="147"/>
      <c r="J87" s="147"/>
      <c r="K87" s="147"/>
      <c r="L87" s="147"/>
      <c r="M87" s="147"/>
    </row>
    <row r="88">
      <c r="A88" s="147"/>
      <c r="B88" s="147"/>
      <c r="C88" s="147"/>
      <c r="D88" s="147"/>
      <c r="E88" s="147"/>
      <c r="F88" s="147"/>
      <c r="G88" s="147"/>
      <c r="H88" s="147"/>
      <c r="I88" s="147"/>
      <c r="J88" s="147"/>
      <c r="K88" s="147"/>
      <c r="L88" s="147"/>
      <c r="M88" s="147"/>
    </row>
    <row r="89">
      <c r="A89" s="147"/>
      <c r="B89" s="147"/>
      <c r="C89" s="147"/>
      <c r="D89" s="147"/>
      <c r="E89" s="147"/>
      <c r="F89" s="147"/>
      <c r="G89" s="147"/>
      <c r="H89" s="147"/>
      <c r="I89" s="147"/>
      <c r="J89" s="147"/>
      <c r="K89" s="147"/>
      <c r="L89" s="147"/>
      <c r="M89" s="147"/>
    </row>
    <row r="90">
      <c r="A90" s="147"/>
      <c r="B90" s="147"/>
      <c r="C90" s="147"/>
      <c r="D90" s="147"/>
      <c r="E90" s="147"/>
      <c r="F90" s="147"/>
      <c r="G90" s="147"/>
      <c r="H90" s="147"/>
      <c r="I90" s="147"/>
      <c r="J90" s="147"/>
      <c r="K90" s="147"/>
      <c r="L90" s="147"/>
      <c r="M90" s="147"/>
    </row>
    <row r="91">
      <c r="A91" s="147"/>
      <c r="B91" s="147"/>
      <c r="C91" s="147"/>
      <c r="D91" s="147"/>
      <c r="E91" s="147"/>
      <c r="F91" s="147"/>
      <c r="G91" s="147"/>
      <c r="H91" s="147"/>
      <c r="I91" s="147"/>
      <c r="J91" s="147"/>
      <c r="K91" s="147"/>
      <c r="L91" s="147"/>
      <c r="M91" s="147"/>
    </row>
    <row r="92">
      <c r="A92" s="147"/>
      <c r="B92" s="147"/>
      <c r="C92" s="147"/>
      <c r="D92" s="147"/>
      <c r="E92" s="147"/>
      <c r="F92" s="147"/>
      <c r="G92" s="147"/>
      <c r="H92" s="147"/>
      <c r="I92" s="147"/>
      <c r="J92" s="147"/>
      <c r="K92" s="147"/>
      <c r="L92" s="147"/>
      <c r="M92" s="147"/>
    </row>
    <row r="93">
      <c r="A93" s="147"/>
      <c r="B93" s="147"/>
      <c r="C93" s="147"/>
      <c r="D93" s="147"/>
      <c r="E93" s="147"/>
      <c r="F93" s="147"/>
      <c r="G93" s="147"/>
      <c r="H93" s="147"/>
      <c r="I93" s="147"/>
      <c r="J93" s="147"/>
      <c r="K93" s="147"/>
      <c r="L93" s="147"/>
      <c r="M93" s="147"/>
    </row>
    <row r="94">
      <c r="A94" s="147"/>
      <c r="B94" s="147"/>
      <c r="C94" s="147"/>
      <c r="D94" s="147"/>
      <c r="E94" s="147"/>
      <c r="F94" s="147"/>
      <c r="G94" s="147"/>
      <c r="H94" s="147"/>
      <c r="I94" s="147"/>
      <c r="J94" s="147"/>
      <c r="K94" s="147"/>
      <c r="L94" s="147"/>
      <c r="M94" s="147"/>
    </row>
    <row r="95">
      <c r="A95" s="147"/>
      <c r="B95" s="147"/>
      <c r="C95" s="147"/>
      <c r="D95" s="147"/>
      <c r="E95" s="147"/>
      <c r="F95" s="147"/>
      <c r="G95" s="147"/>
      <c r="H95" s="147"/>
      <c r="I95" s="147"/>
      <c r="J95" s="147"/>
      <c r="K95" s="147"/>
      <c r="L95" s="147"/>
      <c r="M95" s="147"/>
    </row>
    <row r="96">
      <c r="A96" s="147"/>
      <c r="B96" s="147"/>
      <c r="C96" s="147"/>
      <c r="D96" s="147"/>
      <c r="E96" s="147"/>
      <c r="F96" s="147"/>
      <c r="G96" s="147"/>
      <c r="H96" s="147"/>
      <c r="I96" s="147"/>
      <c r="J96" s="147"/>
      <c r="K96" s="147"/>
      <c r="L96" s="147"/>
      <c r="M96" s="147"/>
    </row>
    <row r="97">
      <c r="A97" s="147"/>
      <c r="B97" s="147"/>
      <c r="C97" s="147"/>
      <c r="D97" s="147"/>
      <c r="E97" s="147"/>
      <c r="F97" s="147"/>
      <c r="G97" s="147"/>
      <c r="H97" s="147"/>
      <c r="I97" s="147"/>
      <c r="J97" s="147"/>
      <c r="K97" s="147"/>
      <c r="L97" s="147"/>
      <c r="M97" s="147"/>
    </row>
    <row r="98">
      <c r="A98" s="147"/>
      <c r="B98" s="147"/>
      <c r="C98" s="147"/>
      <c r="D98" s="147"/>
      <c r="E98" s="147"/>
      <c r="F98" s="147"/>
      <c r="G98" s="147"/>
      <c r="H98" s="147"/>
      <c r="I98" s="147"/>
      <c r="J98" s="147"/>
      <c r="K98" s="147"/>
      <c r="L98" s="147"/>
      <c r="M98" s="147"/>
    </row>
    <row r="99">
      <c r="A99" s="147"/>
      <c r="B99" s="147"/>
      <c r="C99" s="147"/>
      <c r="D99" s="147"/>
      <c r="E99" s="147"/>
      <c r="F99" s="147"/>
      <c r="G99" s="147"/>
      <c r="H99" s="147"/>
      <c r="I99" s="147"/>
      <c r="J99" s="147"/>
      <c r="K99" s="147"/>
      <c r="L99" s="147"/>
      <c r="M99" s="147"/>
    </row>
    <row r="100">
      <c r="A100" s="147"/>
      <c r="B100" s="147"/>
      <c r="C100" s="147"/>
      <c r="D100" s="147"/>
      <c r="E100" s="147"/>
      <c r="F100" s="147"/>
      <c r="G100" s="147"/>
      <c r="H100" s="147"/>
      <c r="I100" s="147"/>
      <c r="J100" s="147"/>
      <c r="K100" s="147"/>
      <c r="L100" s="147"/>
      <c r="M100" s="147"/>
    </row>
    <row r="101">
      <c r="A101" s="147"/>
      <c r="B101" s="147"/>
      <c r="C101" s="147"/>
      <c r="D101" s="147"/>
      <c r="E101" s="147"/>
      <c r="F101" s="147"/>
      <c r="G101" s="147"/>
      <c r="H101" s="147"/>
      <c r="I101" s="147"/>
      <c r="J101" s="147"/>
      <c r="K101" s="147"/>
      <c r="L101" s="147"/>
      <c r="M101" s="147"/>
    </row>
    <row r="102">
      <c r="A102" s="147"/>
      <c r="B102" s="147"/>
      <c r="C102" s="147"/>
      <c r="D102" s="147"/>
      <c r="E102" s="147"/>
      <c r="F102" s="147"/>
      <c r="G102" s="147"/>
      <c r="H102" s="147"/>
      <c r="I102" s="147"/>
      <c r="J102" s="147"/>
      <c r="K102" s="147"/>
      <c r="L102" s="147"/>
      <c r="M102" s="147"/>
    </row>
    <row r="103">
      <c r="A103" s="147"/>
      <c r="B103" s="147"/>
      <c r="C103" s="147"/>
      <c r="D103" s="147"/>
      <c r="E103" s="147"/>
      <c r="F103" s="147"/>
      <c r="G103" s="147"/>
      <c r="H103" s="147"/>
      <c r="I103" s="147"/>
      <c r="J103" s="147"/>
      <c r="K103" s="147"/>
      <c r="L103" s="147"/>
      <c r="M103" s="147"/>
    </row>
    <row r="104">
      <c r="A104" s="147"/>
      <c r="B104" s="147"/>
      <c r="C104" s="147"/>
      <c r="D104" s="147"/>
      <c r="E104" s="147"/>
      <c r="F104" s="147"/>
      <c r="G104" s="147"/>
      <c r="H104" s="147"/>
      <c r="I104" s="147"/>
      <c r="J104" s="147"/>
      <c r="K104" s="147"/>
      <c r="L104" s="147"/>
      <c r="M104" s="147"/>
    </row>
    <row r="105">
      <c r="A105" s="147"/>
      <c r="B105" s="147"/>
      <c r="C105" s="147"/>
      <c r="D105" s="147"/>
      <c r="E105" s="147"/>
      <c r="F105" s="147"/>
      <c r="G105" s="147"/>
      <c r="H105" s="147"/>
      <c r="I105" s="147"/>
      <c r="J105" s="147"/>
      <c r="K105" s="147"/>
      <c r="L105" s="147"/>
      <c r="M105" s="147"/>
    </row>
    <row r="106">
      <c r="A106" s="147"/>
      <c r="B106" s="147"/>
      <c r="C106" s="147"/>
      <c r="D106" s="147"/>
      <c r="E106" s="147"/>
      <c r="F106" s="147"/>
      <c r="G106" s="147"/>
      <c r="H106" s="147"/>
      <c r="I106" s="147"/>
      <c r="J106" s="147"/>
      <c r="K106" s="147"/>
      <c r="L106" s="147"/>
      <c r="M106" s="147"/>
    </row>
    <row r="107">
      <c r="A107" s="147"/>
      <c r="B107" s="147"/>
      <c r="C107" s="147"/>
      <c r="D107" s="147"/>
      <c r="E107" s="147"/>
      <c r="F107" s="147"/>
      <c r="G107" s="147"/>
      <c r="H107" s="147"/>
      <c r="I107" s="147"/>
      <c r="J107" s="147"/>
      <c r="K107" s="147"/>
      <c r="L107" s="147"/>
      <c r="M107" s="147"/>
    </row>
    <row r="108">
      <c r="A108" s="147"/>
      <c r="B108" s="147"/>
      <c r="C108" s="147"/>
      <c r="D108" s="147"/>
      <c r="E108" s="147"/>
      <c r="F108" s="147"/>
      <c r="G108" s="147"/>
      <c r="H108" s="147"/>
      <c r="I108" s="147"/>
      <c r="J108" s="147"/>
      <c r="K108" s="147"/>
      <c r="L108" s="147"/>
      <c r="M108" s="147"/>
    </row>
    <row r="109">
      <c r="A109" s="147"/>
      <c r="B109" s="147"/>
      <c r="C109" s="147"/>
      <c r="D109" s="147"/>
      <c r="E109" s="147"/>
      <c r="F109" s="147"/>
      <c r="G109" s="147"/>
      <c r="H109" s="147"/>
      <c r="I109" s="147"/>
      <c r="J109" s="147"/>
      <c r="K109" s="147"/>
      <c r="L109" s="147"/>
      <c r="M109" s="147"/>
    </row>
    <row r="110">
      <c r="A110" s="147"/>
      <c r="B110" s="147"/>
      <c r="C110" s="147"/>
      <c r="D110" s="147"/>
      <c r="E110" s="147"/>
      <c r="F110" s="147"/>
      <c r="G110" s="147"/>
      <c r="H110" s="147"/>
      <c r="I110" s="147"/>
      <c r="J110" s="147"/>
      <c r="K110" s="147"/>
      <c r="L110" s="147"/>
      <c r="M110" s="147"/>
    </row>
    <row r="111">
      <c r="A111" s="147"/>
      <c r="B111" s="147"/>
      <c r="C111" s="147"/>
      <c r="D111" s="147"/>
      <c r="E111" s="147"/>
      <c r="F111" s="147"/>
      <c r="G111" s="147"/>
      <c r="H111" s="147"/>
      <c r="I111" s="147"/>
      <c r="J111" s="147"/>
      <c r="K111" s="147"/>
      <c r="L111" s="147"/>
      <c r="M111" s="147"/>
    </row>
    <row r="112">
      <c r="A112" s="147"/>
      <c r="B112" s="147"/>
      <c r="C112" s="147"/>
      <c r="D112" s="147"/>
      <c r="E112" s="147"/>
      <c r="F112" s="147"/>
      <c r="G112" s="147"/>
      <c r="H112" s="147"/>
      <c r="I112" s="147"/>
      <c r="J112" s="147"/>
      <c r="K112" s="147"/>
      <c r="L112" s="147"/>
      <c r="M112" s="147"/>
    </row>
    <row r="113">
      <c r="A113" s="147"/>
      <c r="B113" s="147"/>
      <c r="C113" s="147"/>
      <c r="D113" s="147"/>
      <c r="E113" s="147"/>
      <c r="F113" s="147"/>
      <c r="G113" s="147"/>
      <c r="H113" s="147"/>
      <c r="I113" s="147"/>
      <c r="J113" s="147"/>
      <c r="K113" s="147"/>
      <c r="L113" s="147"/>
      <c r="M113" s="147"/>
    </row>
    <row r="114">
      <c r="A114" s="147"/>
      <c r="B114" s="147"/>
      <c r="C114" s="147"/>
      <c r="D114" s="147"/>
      <c r="E114" s="147"/>
      <c r="F114" s="147"/>
      <c r="G114" s="147"/>
      <c r="H114" s="147"/>
      <c r="I114" s="147"/>
      <c r="J114" s="147"/>
      <c r="K114" s="147"/>
      <c r="L114" s="147"/>
      <c r="M114" s="147"/>
    </row>
    <row r="115">
      <c r="A115" s="147"/>
      <c r="B115" s="147"/>
      <c r="C115" s="147"/>
      <c r="D115" s="147"/>
      <c r="E115" s="147"/>
      <c r="F115" s="147"/>
      <c r="G115" s="147"/>
      <c r="H115" s="147"/>
      <c r="I115" s="147"/>
      <c r="J115" s="147"/>
      <c r="K115" s="147"/>
      <c r="L115" s="147"/>
      <c r="M115" s="147"/>
    </row>
    <row r="116">
      <c r="A116" s="147"/>
      <c r="B116" s="147"/>
      <c r="C116" s="147"/>
      <c r="D116" s="147"/>
      <c r="E116" s="147"/>
      <c r="F116" s="147"/>
      <c r="G116" s="147"/>
      <c r="H116" s="147"/>
      <c r="I116" s="147"/>
      <c r="J116" s="147"/>
      <c r="K116" s="147"/>
      <c r="L116" s="147"/>
      <c r="M116" s="147"/>
    </row>
    <row r="117">
      <c r="A117" s="147"/>
      <c r="B117" s="147"/>
      <c r="C117" s="147"/>
      <c r="D117" s="147"/>
      <c r="E117" s="147"/>
      <c r="F117" s="147"/>
      <c r="G117" s="147"/>
      <c r="H117" s="147"/>
      <c r="I117" s="147"/>
      <c r="J117" s="147"/>
      <c r="K117" s="147"/>
      <c r="L117" s="147"/>
      <c r="M117" s="147"/>
    </row>
    <row r="118">
      <c r="A118" s="147"/>
      <c r="B118" s="147"/>
      <c r="C118" s="147"/>
      <c r="D118" s="147"/>
      <c r="E118" s="147"/>
      <c r="F118" s="147"/>
      <c r="G118" s="147"/>
      <c r="H118" s="147"/>
      <c r="I118" s="147"/>
      <c r="J118" s="147"/>
      <c r="K118" s="147"/>
      <c r="L118" s="147"/>
      <c r="M118" s="147"/>
    </row>
    <row r="119">
      <c r="A119" s="147"/>
      <c r="B119" s="147"/>
      <c r="C119" s="147"/>
      <c r="D119" s="147"/>
      <c r="E119" s="147"/>
      <c r="F119" s="147"/>
      <c r="G119" s="147"/>
      <c r="H119" s="147"/>
      <c r="I119" s="147"/>
      <c r="J119" s="147"/>
      <c r="K119" s="147"/>
      <c r="L119" s="147"/>
      <c r="M119" s="147"/>
    </row>
    <row r="120">
      <c r="A120" s="147"/>
      <c r="B120" s="147"/>
      <c r="C120" s="147"/>
      <c r="D120" s="147"/>
      <c r="E120" s="147"/>
      <c r="F120" s="147"/>
      <c r="G120" s="147"/>
      <c r="H120" s="147"/>
      <c r="I120" s="147"/>
      <c r="J120" s="147"/>
      <c r="K120" s="147"/>
      <c r="L120" s="147"/>
      <c r="M120" s="147"/>
    </row>
    <row r="121">
      <c r="A121" s="147"/>
      <c r="B121" s="147"/>
      <c r="C121" s="147"/>
      <c r="D121" s="147"/>
      <c r="E121" s="147"/>
      <c r="F121" s="147"/>
      <c r="G121" s="147"/>
      <c r="H121" s="147"/>
      <c r="I121" s="147"/>
      <c r="J121" s="147"/>
      <c r="K121" s="147"/>
      <c r="L121" s="147"/>
      <c r="M121" s="147"/>
    </row>
    <row r="122">
      <c r="A122" s="147"/>
      <c r="B122" s="147"/>
      <c r="C122" s="147"/>
      <c r="D122" s="147"/>
      <c r="E122" s="147"/>
      <c r="F122" s="147"/>
      <c r="G122" s="147"/>
      <c r="H122" s="147"/>
      <c r="I122" s="147"/>
      <c r="J122" s="147"/>
      <c r="K122" s="147"/>
      <c r="L122" s="147"/>
      <c r="M122" s="147"/>
    </row>
    <row r="123">
      <c r="A123" s="147"/>
      <c r="B123" s="147"/>
      <c r="C123" s="147"/>
      <c r="D123" s="147"/>
      <c r="E123" s="147"/>
      <c r="F123" s="147"/>
      <c r="G123" s="147"/>
      <c r="H123" s="147"/>
      <c r="I123" s="147"/>
      <c r="J123" s="147"/>
      <c r="K123" s="147"/>
      <c r="L123" s="147"/>
      <c r="M123" s="147"/>
    </row>
    <row r="124">
      <c r="A124" s="147"/>
      <c r="B124" s="147"/>
      <c r="C124" s="147"/>
      <c r="D124" s="147"/>
      <c r="E124" s="147"/>
      <c r="F124" s="147"/>
      <c r="G124" s="147"/>
      <c r="H124" s="147"/>
      <c r="I124" s="147"/>
      <c r="J124" s="147"/>
      <c r="K124" s="147"/>
      <c r="L124" s="147"/>
      <c r="M124" s="147"/>
    </row>
    <row r="125">
      <c r="A125" s="147"/>
      <c r="B125" s="147"/>
      <c r="C125" s="147"/>
      <c r="D125" s="147"/>
      <c r="E125" s="147"/>
      <c r="F125" s="147"/>
      <c r="G125" s="147"/>
      <c r="H125" s="147"/>
      <c r="I125" s="147"/>
      <c r="J125" s="147"/>
      <c r="K125" s="147"/>
      <c r="L125" s="147"/>
      <c r="M125" s="147"/>
    </row>
    <row r="126">
      <c r="A126" s="147"/>
      <c r="B126" s="147"/>
      <c r="C126" s="147"/>
      <c r="D126" s="147"/>
      <c r="E126" s="147"/>
      <c r="F126" s="147"/>
      <c r="G126" s="147"/>
      <c r="H126" s="147"/>
      <c r="I126" s="147"/>
      <c r="J126" s="147"/>
      <c r="K126" s="147"/>
      <c r="L126" s="147"/>
      <c r="M126" s="147"/>
    </row>
    <row r="127">
      <c r="A127" s="147"/>
      <c r="B127" s="147"/>
      <c r="C127" s="147"/>
      <c r="D127" s="147"/>
      <c r="E127" s="147"/>
      <c r="F127" s="147"/>
      <c r="G127" s="147"/>
      <c r="H127" s="147"/>
      <c r="I127" s="147"/>
      <c r="J127" s="147"/>
      <c r="K127" s="147"/>
      <c r="L127" s="147"/>
      <c r="M127" s="147"/>
    </row>
    <row r="128">
      <c r="A128" s="147"/>
      <c r="B128" s="147"/>
      <c r="C128" s="147"/>
      <c r="D128" s="147"/>
      <c r="E128" s="147"/>
      <c r="F128" s="147"/>
      <c r="G128" s="147"/>
      <c r="H128" s="147"/>
      <c r="I128" s="147"/>
      <c r="J128" s="147"/>
      <c r="K128" s="147"/>
      <c r="L128" s="147"/>
      <c r="M128" s="147"/>
    </row>
    <row r="129">
      <c r="A129" s="147"/>
      <c r="B129" s="147"/>
      <c r="C129" s="147"/>
      <c r="D129" s="147"/>
      <c r="E129" s="147"/>
      <c r="F129" s="147"/>
      <c r="G129" s="147"/>
      <c r="H129" s="147"/>
      <c r="I129" s="147"/>
      <c r="J129" s="147"/>
      <c r="K129" s="147"/>
      <c r="L129" s="147"/>
      <c r="M129" s="147"/>
    </row>
    <row r="130">
      <c r="A130" s="147"/>
      <c r="B130" s="147"/>
      <c r="C130" s="147"/>
      <c r="D130" s="147"/>
      <c r="E130" s="147"/>
      <c r="F130" s="147"/>
      <c r="G130" s="147"/>
      <c r="H130" s="147"/>
      <c r="I130" s="147"/>
      <c r="J130" s="147"/>
      <c r="K130" s="147"/>
      <c r="L130" s="147"/>
      <c r="M130" s="147"/>
    </row>
    <row r="131">
      <c r="A131" s="147"/>
      <c r="B131" s="147"/>
      <c r="C131" s="147"/>
      <c r="D131" s="147"/>
      <c r="E131" s="147"/>
      <c r="F131" s="147"/>
      <c r="G131" s="147"/>
      <c r="H131" s="147"/>
      <c r="I131" s="147"/>
      <c r="J131" s="147"/>
      <c r="K131" s="147"/>
      <c r="L131" s="147"/>
      <c r="M131" s="147"/>
    </row>
    <row r="132">
      <c r="A132" s="147"/>
      <c r="B132" s="147"/>
      <c r="C132" s="147"/>
      <c r="D132" s="147"/>
      <c r="E132" s="147"/>
      <c r="F132" s="147"/>
      <c r="G132" s="147"/>
      <c r="H132" s="147"/>
      <c r="I132" s="147"/>
      <c r="J132" s="147"/>
      <c r="K132" s="147"/>
      <c r="L132" s="147"/>
      <c r="M132" s="147"/>
    </row>
    <row r="133">
      <c r="A133" s="147"/>
      <c r="B133" s="147"/>
      <c r="C133" s="147"/>
      <c r="D133" s="147"/>
      <c r="E133" s="147"/>
      <c r="F133" s="147"/>
      <c r="G133" s="147"/>
      <c r="H133" s="147"/>
      <c r="I133" s="147"/>
      <c r="J133" s="147"/>
      <c r="K133" s="147"/>
      <c r="L133" s="147"/>
      <c r="M133" s="147"/>
    </row>
    <row r="134">
      <c r="A134" s="147"/>
      <c r="B134" s="147"/>
      <c r="C134" s="147"/>
      <c r="D134" s="147"/>
      <c r="E134" s="147"/>
      <c r="F134" s="147"/>
      <c r="G134" s="147"/>
      <c r="H134" s="147"/>
      <c r="I134" s="147"/>
      <c r="J134" s="147"/>
      <c r="K134" s="147"/>
      <c r="L134" s="147"/>
      <c r="M134" s="147"/>
    </row>
    <row r="135">
      <c r="A135" s="147"/>
      <c r="B135" s="147"/>
      <c r="C135" s="147"/>
      <c r="D135" s="147"/>
      <c r="E135" s="147"/>
      <c r="F135" s="147"/>
      <c r="G135" s="147"/>
      <c r="H135" s="147"/>
      <c r="I135" s="147"/>
      <c r="J135" s="147"/>
      <c r="K135" s="147"/>
      <c r="L135" s="147"/>
      <c r="M135" s="147"/>
    </row>
    <row r="136">
      <c r="A136" s="147"/>
      <c r="B136" s="147"/>
      <c r="C136" s="147"/>
      <c r="D136" s="147"/>
      <c r="E136" s="147"/>
      <c r="F136" s="147"/>
      <c r="G136" s="147"/>
      <c r="H136" s="147"/>
      <c r="I136" s="147"/>
      <c r="J136" s="147"/>
      <c r="K136" s="147"/>
      <c r="L136" s="147"/>
      <c r="M136" s="147"/>
    </row>
    <row r="137">
      <c r="A137" s="147"/>
      <c r="B137" s="147"/>
      <c r="C137" s="147"/>
      <c r="D137" s="147"/>
      <c r="E137" s="147"/>
      <c r="F137" s="147"/>
      <c r="G137" s="147"/>
      <c r="H137" s="147"/>
      <c r="I137" s="147"/>
      <c r="J137" s="147"/>
      <c r="K137" s="147"/>
      <c r="L137" s="147"/>
      <c r="M137" s="147"/>
    </row>
    <row r="138">
      <c r="A138" s="147"/>
      <c r="B138" s="147"/>
      <c r="C138" s="147"/>
      <c r="D138" s="147"/>
      <c r="E138" s="147"/>
      <c r="F138" s="147"/>
      <c r="G138" s="147"/>
      <c r="H138" s="147"/>
      <c r="I138" s="147"/>
      <c r="J138" s="147"/>
      <c r="K138" s="147"/>
      <c r="L138" s="147"/>
      <c r="M138" s="147"/>
    </row>
    <row r="139">
      <c r="A139" s="147"/>
      <c r="B139" s="147"/>
      <c r="C139" s="147"/>
      <c r="D139" s="147"/>
      <c r="E139" s="147"/>
      <c r="F139" s="147"/>
      <c r="G139" s="147"/>
      <c r="H139" s="147"/>
      <c r="I139" s="147"/>
      <c r="J139" s="147"/>
      <c r="K139" s="147"/>
      <c r="L139" s="147"/>
      <c r="M139" s="147"/>
    </row>
    <row r="140">
      <c r="A140" s="147"/>
      <c r="B140" s="147"/>
      <c r="C140" s="147"/>
      <c r="D140" s="147"/>
      <c r="E140" s="147"/>
      <c r="F140" s="147"/>
      <c r="G140" s="147"/>
      <c r="H140" s="147"/>
      <c r="I140" s="147"/>
      <c r="J140" s="147"/>
      <c r="K140" s="147"/>
      <c r="L140" s="147"/>
      <c r="M140" s="147"/>
    </row>
    <row r="141">
      <c r="A141" s="147"/>
      <c r="B141" s="147"/>
      <c r="C141" s="147"/>
      <c r="D141" s="147"/>
      <c r="E141" s="147"/>
      <c r="F141" s="147"/>
      <c r="G141" s="147"/>
      <c r="H141" s="147"/>
      <c r="I141" s="147"/>
      <c r="J141" s="147"/>
      <c r="K141" s="147"/>
      <c r="L141" s="147"/>
      <c r="M141" s="147"/>
    </row>
    <row r="142">
      <c r="A142" s="147"/>
      <c r="B142" s="147"/>
      <c r="C142" s="147"/>
      <c r="D142" s="147"/>
      <c r="E142" s="147"/>
      <c r="F142" s="147"/>
      <c r="G142" s="147"/>
      <c r="H142" s="147"/>
      <c r="I142" s="147"/>
      <c r="J142" s="147"/>
      <c r="K142" s="147"/>
      <c r="L142" s="147"/>
      <c r="M142" s="147"/>
    </row>
    <row r="143">
      <c r="A143" s="147"/>
      <c r="B143" s="147"/>
      <c r="C143" s="147"/>
      <c r="D143" s="147"/>
      <c r="E143" s="147"/>
      <c r="F143" s="147"/>
      <c r="G143" s="147"/>
      <c r="H143" s="147"/>
      <c r="I143" s="147"/>
      <c r="J143" s="147"/>
      <c r="K143" s="147"/>
      <c r="L143" s="147"/>
      <c r="M143" s="147"/>
    </row>
    <row r="144">
      <c r="A144" s="147"/>
      <c r="B144" s="147"/>
      <c r="C144" s="147"/>
      <c r="D144" s="147"/>
      <c r="E144" s="147"/>
      <c r="F144" s="147"/>
      <c r="G144" s="147"/>
      <c r="H144" s="147"/>
      <c r="I144" s="147"/>
      <c r="J144" s="147"/>
      <c r="K144" s="147"/>
      <c r="L144" s="147"/>
      <c r="M144" s="147"/>
    </row>
    <row r="145">
      <c r="A145" s="147"/>
      <c r="B145" s="147"/>
      <c r="C145" s="147"/>
      <c r="D145" s="147"/>
      <c r="E145" s="147"/>
      <c r="F145" s="147"/>
      <c r="G145" s="147"/>
      <c r="H145" s="147"/>
      <c r="I145" s="147"/>
      <c r="J145" s="147"/>
      <c r="K145" s="147"/>
      <c r="L145" s="147"/>
      <c r="M145" s="147"/>
    </row>
    <row r="146">
      <c r="A146" s="147"/>
      <c r="B146" s="147"/>
      <c r="C146" s="147"/>
      <c r="D146" s="147"/>
      <c r="E146" s="147"/>
      <c r="F146" s="147"/>
      <c r="G146" s="147"/>
      <c r="H146" s="147"/>
      <c r="I146" s="147"/>
      <c r="J146" s="147"/>
      <c r="K146" s="147"/>
      <c r="L146" s="147"/>
      <c r="M146" s="147"/>
    </row>
    <row r="147">
      <c r="A147" s="147"/>
      <c r="B147" s="147"/>
      <c r="C147" s="147"/>
      <c r="D147" s="147"/>
      <c r="E147" s="147"/>
      <c r="F147" s="147"/>
      <c r="G147" s="147"/>
      <c r="H147" s="147"/>
      <c r="I147" s="147"/>
      <c r="J147" s="147"/>
      <c r="K147" s="147"/>
      <c r="L147" s="147"/>
      <c r="M147" s="147"/>
    </row>
    <row r="148">
      <c r="A148" s="147"/>
      <c r="B148" s="147"/>
      <c r="C148" s="147"/>
      <c r="D148" s="147"/>
      <c r="E148" s="147"/>
      <c r="F148" s="147"/>
      <c r="G148" s="147"/>
      <c r="H148" s="147"/>
      <c r="I148" s="147"/>
      <c r="J148" s="147"/>
      <c r="K148" s="147"/>
      <c r="L148" s="147"/>
      <c r="M148" s="147"/>
    </row>
    <row r="149">
      <c r="A149" s="147"/>
      <c r="B149" s="147"/>
      <c r="C149" s="147"/>
      <c r="D149" s="147"/>
      <c r="E149" s="147"/>
      <c r="F149" s="147"/>
      <c r="G149" s="147"/>
      <c r="H149" s="147"/>
      <c r="I149" s="147"/>
      <c r="J149" s="147"/>
      <c r="K149" s="147"/>
      <c r="L149" s="147"/>
      <c r="M149" s="147"/>
    </row>
    <row r="150">
      <c r="A150" s="147"/>
      <c r="B150" s="147"/>
      <c r="C150" s="147"/>
      <c r="D150" s="147"/>
      <c r="E150" s="147"/>
      <c r="F150" s="147"/>
      <c r="G150" s="147"/>
      <c r="H150" s="147"/>
      <c r="I150" s="147"/>
      <c r="J150" s="147"/>
      <c r="K150" s="147"/>
      <c r="L150" s="147"/>
      <c r="M150" s="147"/>
    </row>
    <row r="151">
      <c r="A151" s="147"/>
      <c r="B151" s="147"/>
      <c r="C151" s="147"/>
      <c r="D151" s="147"/>
      <c r="E151" s="147"/>
      <c r="F151" s="147"/>
      <c r="G151" s="147"/>
      <c r="H151" s="147"/>
      <c r="I151" s="147"/>
      <c r="J151" s="147"/>
      <c r="K151" s="147"/>
      <c r="L151" s="147"/>
      <c r="M151" s="147"/>
    </row>
    <row r="152">
      <c r="A152" s="147"/>
      <c r="B152" s="147"/>
      <c r="C152" s="147"/>
      <c r="D152" s="147"/>
      <c r="E152" s="147"/>
      <c r="F152" s="147"/>
      <c r="G152" s="147"/>
      <c r="H152" s="147"/>
      <c r="I152" s="147"/>
      <c r="J152" s="147"/>
      <c r="K152" s="147"/>
      <c r="L152" s="147"/>
      <c r="M152" s="147"/>
    </row>
    <row r="153">
      <c r="A153" s="147"/>
      <c r="B153" s="147"/>
      <c r="C153" s="147"/>
      <c r="D153" s="147"/>
      <c r="E153" s="147"/>
      <c r="F153" s="147"/>
      <c r="G153" s="147"/>
      <c r="H153" s="147"/>
      <c r="I153" s="147"/>
      <c r="J153" s="147"/>
      <c r="K153" s="147"/>
      <c r="L153" s="147"/>
      <c r="M153" s="147"/>
    </row>
    <row r="154">
      <c r="A154" s="147"/>
      <c r="B154" s="147"/>
      <c r="C154" s="147"/>
      <c r="D154" s="147"/>
      <c r="E154" s="147"/>
      <c r="F154" s="147"/>
      <c r="G154" s="147"/>
      <c r="H154" s="147"/>
      <c r="I154" s="147"/>
      <c r="J154" s="147"/>
      <c r="K154" s="147"/>
      <c r="L154" s="147"/>
      <c r="M154" s="147"/>
    </row>
    <row r="155">
      <c r="A155" s="147"/>
      <c r="B155" s="147"/>
      <c r="C155" s="147"/>
      <c r="D155" s="147"/>
      <c r="E155" s="147"/>
      <c r="F155" s="147"/>
      <c r="G155" s="147"/>
      <c r="H155" s="147"/>
      <c r="I155" s="147"/>
      <c r="J155" s="147"/>
      <c r="K155" s="147"/>
      <c r="L155" s="147"/>
      <c r="M155" s="147"/>
    </row>
    <row r="156">
      <c r="A156" s="147"/>
      <c r="B156" s="147"/>
      <c r="C156" s="147"/>
      <c r="D156" s="147"/>
      <c r="E156" s="147"/>
      <c r="F156" s="147"/>
      <c r="G156" s="147"/>
      <c r="H156" s="147"/>
      <c r="I156" s="147"/>
      <c r="J156" s="147"/>
      <c r="K156" s="147"/>
      <c r="L156" s="147"/>
      <c r="M156" s="147"/>
    </row>
    <row r="157">
      <c r="A157" s="147"/>
      <c r="B157" s="147"/>
      <c r="C157" s="147"/>
      <c r="D157" s="147"/>
      <c r="E157" s="147"/>
      <c r="F157" s="147"/>
      <c r="G157" s="147"/>
      <c r="H157" s="147"/>
      <c r="I157" s="147"/>
      <c r="J157" s="147"/>
      <c r="K157" s="147"/>
      <c r="L157" s="147"/>
      <c r="M157" s="147"/>
    </row>
    <row r="158">
      <c r="A158" s="147"/>
      <c r="B158" s="147"/>
      <c r="C158" s="147"/>
      <c r="D158" s="147"/>
      <c r="E158" s="147"/>
      <c r="F158" s="147"/>
      <c r="G158" s="147"/>
      <c r="H158" s="147"/>
      <c r="I158" s="147"/>
      <c r="J158" s="147"/>
      <c r="K158" s="147"/>
      <c r="L158" s="147"/>
      <c r="M158" s="147"/>
    </row>
    <row r="159">
      <c r="A159" s="147"/>
      <c r="B159" s="147"/>
      <c r="C159" s="147"/>
      <c r="D159" s="147"/>
      <c r="E159" s="147"/>
      <c r="F159" s="147"/>
      <c r="G159" s="147"/>
      <c r="H159" s="147"/>
      <c r="I159" s="147"/>
      <c r="J159" s="147"/>
      <c r="K159" s="147"/>
      <c r="L159" s="147"/>
      <c r="M159" s="147"/>
    </row>
    <row r="160">
      <c r="A160" s="147"/>
      <c r="B160" s="147"/>
      <c r="C160" s="147"/>
      <c r="D160" s="147"/>
      <c r="E160" s="147"/>
      <c r="F160" s="147"/>
      <c r="G160" s="147"/>
      <c r="H160" s="147"/>
      <c r="I160" s="147"/>
      <c r="J160" s="147"/>
      <c r="K160" s="147"/>
      <c r="L160" s="147"/>
      <c r="M160" s="147"/>
    </row>
    <row r="161">
      <c r="A161" s="147"/>
      <c r="B161" s="147"/>
      <c r="C161" s="147"/>
      <c r="D161" s="147"/>
      <c r="E161" s="147"/>
      <c r="F161" s="147"/>
      <c r="G161" s="147"/>
      <c r="H161" s="147"/>
      <c r="I161" s="147"/>
      <c r="J161" s="147"/>
      <c r="K161" s="147"/>
      <c r="L161" s="147"/>
      <c r="M161" s="147"/>
    </row>
    <row r="162">
      <c r="A162" s="147"/>
      <c r="B162" s="147"/>
      <c r="C162" s="147"/>
      <c r="D162" s="147"/>
      <c r="E162" s="147"/>
      <c r="F162" s="147"/>
      <c r="G162" s="147"/>
      <c r="H162" s="147"/>
      <c r="I162" s="147"/>
      <c r="J162" s="147"/>
      <c r="K162" s="147"/>
      <c r="L162" s="147"/>
      <c r="M162" s="147"/>
    </row>
    <row r="163">
      <c r="A163" s="147"/>
      <c r="B163" s="147"/>
      <c r="C163" s="147"/>
      <c r="D163" s="147"/>
      <c r="E163" s="147"/>
      <c r="F163" s="147"/>
      <c r="G163" s="147"/>
      <c r="H163" s="147"/>
      <c r="I163" s="147"/>
      <c r="J163" s="147"/>
      <c r="K163" s="147"/>
      <c r="L163" s="147"/>
      <c r="M163" s="147"/>
    </row>
    <row r="164">
      <c r="A164" s="147"/>
      <c r="B164" s="147"/>
      <c r="C164" s="147"/>
      <c r="D164" s="147"/>
      <c r="E164" s="147"/>
      <c r="F164" s="147"/>
      <c r="G164" s="147"/>
      <c r="H164" s="147"/>
      <c r="I164" s="147"/>
      <c r="J164" s="147"/>
      <c r="K164" s="147"/>
      <c r="L164" s="147"/>
      <c r="M164" s="147"/>
    </row>
    <row r="165">
      <c r="A165" s="147"/>
      <c r="B165" s="147"/>
      <c r="C165" s="147"/>
      <c r="D165" s="147"/>
      <c r="E165" s="147"/>
      <c r="F165" s="147"/>
      <c r="G165" s="147"/>
      <c r="H165" s="147"/>
      <c r="I165" s="147"/>
      <c r="J165" s="147"/>
      <c r="K165" s="147"/>
      <c r="L165" s="147"/>
      <c r="M165" s="147"/>
    </row>
    <row r="166">
      <c r="A166" s="147"/>
      <c r="B166" s="147"/>
      <c r="C166" s="147"/>
      <c r="D166" s="147"/>
      <c r="E166" s="147"/>
      <c r="F166" s="147"/>
      <c r="G166" s="147"/>
      <c r="H166" s="147"/>
      <c r="I166" s="147"/>
      <c r="J166" s="147"/>
      <c r="K166" s="147"/>
      <c r="L166" s="147"/>
      <c r="M166" s="147"/>
    </row>
    <row r="167">
      <c r="A167" s="147"/>
      <c r="B167" s="147"/>
      <c r="C167" s="147"/>
      <c r="D167" s="147"/>
      <c r="E167" s="147"/>
      <c r="F167" s="147"/>
      <c r="G167" s="147"/>
      <c r="H167" s="147"/>
      <c r="I167" s="147"/>
      <c r="J167" s="147"/>
      <c r="K167" s="147"/>
      <c r="L167" s="147"/>
      <c r="M167" s="147"/>
    </row>
    <row r="168">
      <c r="A168" s="147"/>
      <c r="B168" s="147"/>
      <c r="C168" s="147"/>
      <c r="D168" s="147"/>
      <c r="E168" s="147"/>
      <c r="F168" s="147"/>
      <c r="G168" s="147"/>
      <c r="H168" s="147"/>
      <c r="I168" s="147"/>
      <c r="J168" s="147"/>
      <c r="K168" s="147"/>
      <c r="L168" s="147"/>
      <c r="M168" s="147"/>
    </row>
    <row r="169">
      <c r="A169" s="147"/>
      <c r="B169" s="147"/>
      <c r="C169" s="147"/>
      <c r="D169" s="147"/>
      <c r="E169" s="147"/>
      <c r="F169" s="147"/>
      <c r="G169" s="147"/>
      <c r="H169" s="147"/>
      <c r="I169" s="147"/>
      <c r="J169" s="147"/>
      <c r="K169" s="147"/>
      <c r="L169" s="147"/>
      <c r="M169" s="147"/>
    </row>
    <row r="170">
      <c r="A170" s="147"/>
      <c r="B170" s="147"/>
      <c r="C170" s="147"/>
      <c r="D170" s="147"/>
      <c r="E170" s="147"/>
      <c r="F170" s="147"/>
      <c r="G170" s="147"/>
      <c r="H170" s="147"/>
      <c r="I170" s="147"/>
      <c r="J170" s="147"/>
      <c r="K170" s="147"/>
      <c r="L170" s="147"/>
      <c r="M170" s="147"/>
    </row>
    <row r="171">
      <c r="A171" s="147"/>
      <c r="B171" s="147"/>
      <c r="C171" s="147"/>
      <c r="D171" s="147"/>
      <c r="E171" s="147"/>
      <c r="F171" s="147"/>
      <c r="G171" s="147"/>
      <c r="H171" s="147"/>
      <c r="I171" s="147"/>
      <c r="J171" s="147"/>
      <c r="K171" s="147"/>
      <c r="L171" s="147"/>
      <c r="M171" s="147"/>
    </row>
    <row r="172">
      <c r="A172" s="147"/>
      <c r="B172" s="147"/>
      <c r="C172" s="147"/>
      <c r="D172" s="147"/>
      <c r="E172" s="147"/>
      <c r="F172" s="147"/>
      <c r="G172" s="147"/>
      <c r="H172" s="147"/>
      <c r="I172" s="147"/>
      <c r="J172" s="147"/>
      <c r="K172" s="147"/>
      <c r="L172" s="147"/>
      <c r="M172" s="147"/>
    </row>
    <row r="173">
      <c r="A173" s="147"/>
      <c r="B173" s="147"/>
      <c r="C173" s="147"/>
      <c r="D173" s="147"/>
      <c r="E173" s="147"/>
      <c r="F173" s="147"/>
      <c r="G173" s="147"/>
      <c r="H173" s="147"/>
      <c r="I173" s="147"/>
      <c r="J173" s="147"/>
      <c r="K173" s="147"/>
      <c r="L173" s="147"/>
      <c r="M173" s="147"/>
    </row>
    <row r="174">
      <c r="A174" s="147"/>
      <c r="B174" s="147"/>
      <c r="C174" s="147"/>
      <c r="D174" s="147"/>
      <c r="E174" s="147"/>
      <c r="F174" s="147"/>
      <c r="G174" s="147"/>
      <c r="H174" s="147"/>
      <c r="I174" s="147"/>
      <c r="J174" s="147"/>
      <c r="K174" s="147"/>
      <c r="L174" s="147"/>
      <c r="M174" s="147"/>
    </row>
    <row r="175">
      <c r="A175" s="147"/>
      <c r="B175" s="147"/>
      <c r="C175" s="147"/>
      <c r="D175" s="147"/>
      <c r="E175" s="147"/>
      <c r="F175" s="147"/>
      <c r="G175" s="147"/>
      <c r="H175" s="147"/>
      <c r="I175" s="147"/>
      <c r="J175" s="147"/>
      <c r="K175" s="147"/>
      <c r="L175" s="147"/>
      <c r="M175" s="147"/>
    </row>
    <row r="176">
      <c r="A176" s="147"/>
      <c r="B176" s="147"/>
      <c r="C176" s="147"/>
      <c r="D176" s="147"/>
      <c r="E176" s="147"/>
      <c r="F176" s="147"/>
      <c r="G176" s="147"/>
      <c r="H176" s="147"/>
      <c r="I176" s="147"/>
      <c r="J176" s="147"/>
      <c r="K176" s="147"/>
      <c r="L176" s="147"/>
      <c r="M176" s="147"/>
    </row>
    <row r="177">
      <c r="A177" s="147"/>
      <c r="B177" s="147"/>
      <c r="C177" s="147"/>
      <c r="D177" s="147"/>
      <c r="E177" s="147"/>
      <c r="F177" s="147"/>
      <c r="G177" s="147"/>
      <c r="H177" s="147"/>
      <c r="I177" s="147"/>
      <c r="J177" s="147"/>
      <c r="K177" s="147"/>
      <c r="L177" s="147"/>
      <c r="M177" s="147"/>
    </row>
    <row r="178">
      <c r="A178" s="147"/>
      <c r="B178" s="147"/>
      <c r="C178" s="147"/>
      <c r="D178" s="147"/>
      <c r="E178" s="147"/>
      <c r="F178" s="147"/>
      <c r="G178" s="147"/>
      <c r="H178" s="147"/>
      <c r="I178" s="147"/>
      <c r="J178" s="147"/>
      <c r="K178" s="147"/>
      <c r="L178" s="147"/>
      <c r="M178" s="147"/>
    </row>
    <row r="179">
      <c r="A179" s="147"/>
      <c r="B179" s="147"/>
      <c r="C179" s="147"/>
      <c r="D179" s="147"/>
      <c r="E179" s="147"/>
      <c r="F179" s="147"/>
      <c r="G179" s="147"/>
      <c r="H179" s="147"/>
      <c r="I179" s="147"/>
      <c r="J179" s="147"/>
      <c r="K179" s="147"/>
      <c r="L179" s="147"/>
      <c r="M179" s="147"/>
    </row>
    <row r="180">
      <c r="A180" s="147"/>
      <c r="B180" s="147"/>
      <c r="C180" s="147"/>
      <c r="D180" s="147"/>
      <c r="E180" s="147"/>
      <c r="F180" s="147"/>
      <c r="G180" s="147"/>
      <c r="H180" s="147"/>
      <c r="I180" s="147"/>
      <c r="J180" s="147"/>
      <c r="K180" s="147"/>
      <c r="L180" s="147"/>
      <c r="M180" s="147"/>
    </row>
    <row r="181">
      <c r="A181" s="147"/>
      <c r="B181" s="147"/>
      <c r="C181" s="147"/>
      <c r="D181" s="147"/>
      <c r="E181" s="147"/>
      <c r="F181" s="147"/>
      <c r="G181" s="147"/>
      <c r="H181" s="147"/>
      <c r="I181" s="147"/>
      <c r="J181" s="147"/>
      <c r="K181" s="147"/>
      <c r="L181" s="147"/>
      <c r="M181" s="147"/>
    </row>
    <row r="182">
      <c r="A182" s="147"/>
      <c r="B182" s="147"/>
      <c r="C182" s="147"/>
      <c r="D182" s="147"/>
      <c r="E182" s="147"/>
      <c r="F182" s="147"/>
      <c r="G182" s="147"/>
      <c r="H182" s="147"/>
      <c r="I182" s="147"/>
      <c r="J182" s="147"/>
      <c r="K182" s="147"/>
      <c r="L182" s="147"/>
      <c r="M182" s="147"/>
    </row>
    <row r="183">
      <c r="A183" s="147"/>
      <c r="B183" s="147"/>
      <c r="C183" s="147"/>
      <c r="D183" s="147"/>
      <c r="E183" s="147"/>
      <c r="F183" s="147"/>
      <c r="G183" s="147"/>
      <c r="H183" s="147"/>
      <c r="I183" s="147"/>
      <c r="J183" s="147"/>
      <c r="K183" s="147"/>
      <c r="L183" s="147"/>
      <c r="M183" s="147"/>
    </row>
    <row r="184">
      <c r="A184" s="147"/>
      <c r="B184" s="147"/>
      <c r="C184" s="147"/>
      <c r="D184" s="147"/>
      <c r="E184" s="147"/>
      <c r="F184" s="147"/>
      <c r="G184" s="147"/>
      <c r="H184" s="147"/>
      <c r="I184" s="147"/>
      <c r="J184" s="147"/>
      <c r="K184" s="147"/>
      <c r="L184" s="147"/>
      <c r="M184" s="147"/>
    </row>
    <row r="185">
      <c r="A185" s="147"/>
      <c r="B185" s="147"/>
      <c r="C185" s="147"/>
      <c r="D185" s="147"/>
      <c r="E185" s="147"/>
      <c r="F185" s="147"/>
      <c r="G185" s="147"/>
      <c r="H185" s="147"/>
      <c r="I185" s="147"/>
      <c r="J185" s="147"/>
      <c r="K185" s="147"/>
      <c r="L185" s="147"/>
      <c r="M185" s="147"/>
    </row>
    <row r="186">
      <c r="A186" s="147"/>
      <c r="B186" s="147"/>
      <c r="C186" s="147"/>
      <c r="D186" s="147"/>
      <c r="E186" s="147"/>
      <c r="F186" s="147"/>
      <c r="G186" s="147"/>
      <c r="H186" s="147"/>
      <c r="I186" s="147"/>
      <c r="J186" s="147"/>
      <c r="K186" s="147"/>
      <c r="L186" s="147"/>
      <c r="M186" s="147"/>
    </row>
    <row r="187">
      <c r="A187" s="147"/>
      <c r="B187" s="147"/>
      <c r="C187" s="147"/>
      <c r="D187" s="147"/>
      <c r="E187" s="147"/>
      <c r="F187" s="147"/>
      <c r="G187" s="147"/>
      <c r="H187" s="147"/>
      <c r="I187" s="147"/>
      <c r="J187" s="147"/>
      <c r="K187" s="147"/>
      <c r="L187" s="147"/>
      <c r="M187" s="147"/>
    </row>
    <row r="188">
      <c r="A188" s="147"/>
      <c r="B188" s="147"/>
      <c r="C188" s="147"/>
      <c r="D188" s="147"/>
      <c r="E188" s="147"/>
      <c r="F188" s="147"/>
      <c r="G188" s="147"/>
      <c r="H188" s="147"/>
      <c r="I188" s="147"/>
      <c r="J188" s="147"/>
      <c r="K188" s="147"/>
      <c r="L188" s="147"/>
      <c r="M188" s="147"/>
    </row>
    <row r="189">
      <c r="A189" s="147"/>
      <c r="B189" s="147"/>
      <c r="C189" s="147"/>
      <c r="D189" s="147"/>
      <c r="E189" s="147"/>
      <c r="F189" s="147"/>
      <c r="G189" s="147"/>
      <c r="H189" s="147"/>
      <c r="I189" s="147"/>
      <c r="J189" s="147"/>
      <c r="K189" s="147"/>
      <c r="L189" s="147"/>
      <c r="M189" s="147"/>
    </row>
    <row r="190">
      <c r="A190" s="147"/>
      <c r="B190" s="147"/>
      <c r="C190" s="147"/>
      <c r="D190" s="147"/>
      <c r="E190" s="147"/>
      <c r="F190" s="147"/>
      <c r="G190" s="147"/>
      <c r="H190" s="147"/>
      <c r="I190" s="147"/>
      <c r="J190" s="147"/>
      <c r="K190" s="147"/>
      <c r="L190" s="147"/>
      <c r="M190" s="147"/>
    </row>
    <row r="191">
      <c r="A191" s="147"/>
      <c r="B191" s="147"/>
      <c r="C191" s="147"/>
      <c r="D191" s="147"/>
      <c r="E191" s="147"/>
      <c r="F191" s="147"/>
      <c r="G191" s="147"/>
      <c r="H191" s="147"/>
      <c r="I191" s="147"/>
      <c r="J191" s="147"/>
      <c r="K191" s="147"/>
      <c r="L191" s="147"/>
      <c r="M191" s="147"/>
    </row>
    <row r="192">
      <c r="A192" s="147"/>
      <c r="B192" s="147"/>
      <c r="C192" s="147"/>
      <c r="D192" s="147"/>
      <c r="E192" s="147"/>
      <c r="F192" s="147"/>
      <c r="G192" s="147"/>
      <c r="H192" s="147"/>
      <c r="I192" s="147"/>
      <c r="J192" s="147"/>
      <c r="K192" s="147"/>
      <c r="L192" s="147"/>
      <c r="M192" s="147"/>
    </row>
    <row r="193">
      <c r="A193" s="147"/>
      <c r="B193" s="147"/>
      <c r="C193" s="147"/>
      <c r="D193" s="147"/>
      <c r="E193" s="147"/>
      <c r="F193" s="147"/>
      <c r="G193" s="147"/>
      <c r="H193" s="147"/>
      <c r="I193" s="147"/>
      <c r="J193" s="147"/>
      <c r="K193" s="147"/>
      <c r="L193" s="147"/>
      <c r="M193" s="147"/>
    </row>
    <row r="194">
      <c r="A194" s="147"/>
      <c r="B194" s="147"/>
      <c r="C194" s="147"/>
      <c r="D194" s="147"/>
      <c r="E194" s="147"/>
      <c r="F194" s="147"/>
      <c r="G194" s="147"/>
      <c r="H194" s="147"/>
      <c r="I194" s="147"/>
      <c r="J194" s="147"/>
      <c r="K194" s="147"/>
      <c r="L194" s="147"/>
      <c r="M194" s="147"/>
    </row>
    <row r="195">
      <c r="A195" s="147"/>
      <c r="B195" s="147"/>
      <c r="C195" s="147"/>
      <c r="D195" s="147"/>
      <c r="E195" s="147"/>
      <c r="F195" s="147"/>
      <c r="G195" s="147"/>
      <c r="H195" s="147"/>
      <c r="I195" s="147"/>
      <c r="J195" s="147"/>
      <c r="K195" s="147"/>
      <c r="L195" s="147"/>
      <c r="M195" s="147"/>
    </row>
    <row r="196">
      <c r="A196" s="147"/>
      <c r="B196" s="147"/>
      <c r="C196" s="147"/>
      <c r="D196" s="147"/>
      <c r="E196" s="147"/>
      <c r="F196" s="147"/>
      <c r="G196" s="147"/>
      <c r="H196" s="147"/>
      <c r="I196" s="147"/>
      <c r="J196" s="147"/>
      <c r="K196" s="147"/>
      <c r="L196" s="147"/>
      <c r="M196" s="147"/>
    </row>
    <row r="197">
      <c r="A197" s="147"/>
      <c r="B197" s="147"/>
      <c r="C197" s="147"/>
      <c r="D197" s="147"/>
      <c r="E197" s="147"/>
      <c r="F197" s="147"/>
      <c r="G197" s="147"/>
      <c r="H197" s="147"/>
      <c r="I197" s="147"/>
      <c r="J197" s="147"/>
      <c r="K197" s="147"/>
      <c r="L197" s="147"/>
      <c r="M197" s="147"/>
    </row>
    <row r="198">
      <c r="A198" s="147"/>
      <c r="B198" s="147"/>
      <c r="C198" s="147"/>
      <c r="D198" s="147"/>
      <c r="E198" s="147"/>
      <c r="F198" s="147"/>
      <c r="G198" s="147"/>
      <c r="H198" s="147"/>
      <c r="I198" s="147"/>
      <c r="J198" s="147"/>
      <c r="K198" s="147"/>
      <c r="L198" s="147"/>
      <c r="M198" s="147"/>
    </row>
    <row r="199">
      <c r="A199" s="147"/>
      <c r="B199" s="147"/>
      <c r="C199" s="147"/>
      <c r="D199" s="147"/>
      <c r="E199" s="147"/>
      <c r="F199" s="147"/>
      <c r="G199" s="147"/>
      <c r="H199" s="147"/>
      <c r="I199" s="147"/>
      <c r="J199" s="147"/>
      <c r="K199" s="147"/>
      <c r="L199" s="147"/>
      <c r="M199" s="147"/>
    </row>
    <row r="200">
      <c r="A200" s="147"/>
      <c r="B200" s="147"/>
      <c r="C200" s="147"/>
      <c r="D200" s="147"/>
      <c r="E200" s="147"/>
      <c r="F200" s="147"/>
      <c r="G200" s="147"/>
      <c r="H200" s="147"/>
      <c r="I200" s="147"/>
      <c r="J200" s="147"/>
      <c r="K200" s="147"/>
      <c r="L200" s="147"/>
      <c r="M200" s="147"/>
    </row>
    <row r="201">
      <c r="A201" s="147"/>
      <c r="B201" s="147"/>
      <c r="C201" s="147"/>
      <c r="D201" s="147"/>
      <c r="E201" s="147"/>
      <c r="F201" s="147"/>
      <c r="G201" s="147"/>
      <c r="H201" s="147"/>
      <c r="I201" s="147"/>
      <c r="J201" s="147"/>
      <c r="K201" s="147"/>
      <c r="L201" s="147"/>
      <c r="M201" s="147"/>
    </row>
    <row r="202">
      <c r="A202" s="147"/>
      <c r="B202" s="147"/>
      <c r="C202" s="147"/>
      <c r="D202" s="147"/>
      <c r="E202" s="147"/>
      <c r="F202" s="147"/>
      <c r="G202" s="147"/>
      <c r="H202" s="147"/>
      <c r="I202" s="147"/>
      <c r="J202" s="147"/>
      <c r="K202" s="147"/>
      <c r="L202" s="147"/>
      <c r="M202" s="147"/>
    </row>
    <row r="203">
      <c r="A203" s="147"/>
      <c r="B203" s="147"/>
      <c r="C203" s="147"/>
      <c r="D203" s="147"/>
      <c r="E203" s="147"/>
      <c r="F203" s="147"/>
      <c r="G203" s="147"/>
      <c r="H203" s="147"/>
      <c r="I203" s="147"/>
      <c r="J203" s="147"/>
      <c r="K203" s="147"/>
      <c r="L203" s="147"/>
      <c r="M203" s="147"/>
    </row>
    <row r="204">
      <c r="A204" s="147"/>
      <c r="B204" s="147"/>
      <c r="C204" s="147"/>
      <c r="D204" s="147"/>
      <c r="E204" s="147"/>
      <c r="F204" s="147"/>
      <c r="G204" s="147"/>
      <c r="H204" s="147"/>
      <c r="I204" s="147"/>
      <c r="J204" s="147"/>
      <c r="K204" s="147"/>
      <c r="L204" s="147"/>
      <c r="M204" s="147"/>
    </row>
    <row r="205">
      <c r="A205" s="147"/>
      <c r="B205" s="147"/>
      <c r="C205" s="147"/>
      <c r="D205" s="147"/>
      <c r="E205" s="147"/>
      <c r="F205" s="147"/>
      <c r="G205" s="147"/>
      <c r="H205" s="147"/>
      <c r="I205" s="147"/>
      <c r="J205" s="147"/>
      <c r="K205" s="147"/>
      <c r="L205" s="147"/>
      <c r="M205" s="147"/>
    </row>
    <row r="206">
      <c r="A206" s="147"/>
      <c r="B206" s="147"/>
      <c r="C206" s="147"/>
      <c r="D206" s="147"/>
      <c r="E206" s="147"/>
      <c r="F206" s="147"/>
      <c r="G206" s="147"/>
      <c r="H206" s="147"/>
      <c r="I206" s="147"/>
      <c r="J206" s="147"/>
      <c r="K206" s="147"/>
      <c r="L206" s="147"/>
      <c r="M206" s="147"/>
    </row>
    <row r="207">
      <c r="A207" s="147"/>
      <c r="B207" s="147"/>
      <c r="C207" s="147"/>
      <c r="D207" s="147"/>
      <c r="E207" s="147"/>
      <c r="F207" s="147"/>
      <c r="G207" s="147"/>
      <c r="H207" s="147"/>
      <c r="I207" s="147"/>
      <c r="J207" s="147"/>
      <c r="K207" s="147"/>
      <c r="L207" s="147"/>
      <c r="M207" s="147"/>
    </row>
    <row r="208">
      <c r="A208" s="147"/>
      <c r="B208" s="147"/>
      <c r="C208" s="147"/>
      <c r="D208" s="147"/>
      <c r="E208" s="147"/>
      <c r="F208" s="147"/>
      <c r="G208" s="147"/>
      <c r="H208" s="147"/>
      <c r="I208" s="147"/>
      <c r="J208" s="147"/>
      <c r="K208" s="147"/>
      <c r="L208" s="147"/>
      <c r="M208" s="147"/>
    </row>
    <row r="209">
      <c r="A209" s="147"/>
      <c r="B209" s="147"/>
      <c r="C209" s="147"/>
      <c r="D209" s="147"/>
      <c r="E209" s="147"/>
      <c r="F209" s="147"/>
      <c r="G209" s="147"/>
      <c r="H209" s="147"/>
      <c r="I209" s="147"/>
      <c r="J209" s="147"/>
      <c r="K209" s="147"/>
      <c r="L209" s="147"/>
      <c r="M209" s="147"/>
    </row>
    <row r="210">
      <c r="A210" s="147"/>
      <c r="B210" s="147"/>
      <c r="C210" s="147"/>
      <c r="D210" s="147"/>
      <c r="E210" s="147"/>
      <c r="F210" s="147"/>
      <c r="G210" s="147"/>
      <c r="H210" s="147"/>
      <c r="I210" s="147"/>
      <c r="J210" s="147"/>
      <c r="K210" s="147"/>
      <c r="L210" s="147"/>
      <c r="M210" s="147"/>
    </row>
    <row r="211">
      <c r="A211" s="147"/>
      <c r="B211" s="147"/>
      <c r="C211" s="147"/>
      <c r="D211" s="147"/>
      <c r="E211" s="147"/>
      <c r="F211" s="147"/>
      <c r="G211" s="147"/>
      <c r="H211" s="147"/>
      <c r="I211" s="147"/>
      <c r="J211" s="147"/>
      <c r="K211" s="147"/>
      <c r="L211" s="147"/>
      <c r="M211" s="147"/>
    </row>
    <row r="212">
      <c r="A212" s="147"/>
      <c r="B212" s="147"/>
      <c r="C212" s="147"/>
      <c r="D212" s="147"/>
      <c r="E212" s="147"/>
      <c r="F212" s="147"/>
      <c r="G212" s="147"/>
      <c r="H212" s="147"/>
      <c r="I212" s="147"/>
      <c r="J212" s="147"/>
      <c r="K212" s="147"/>
      <c r="L212" s="147"/>
      <c r="M212" s="147"/>
    </row>
    <row r="213">
      <c r="A213" s="147"/>
      <c r="B213" s="147"/>
      <c r="C213" s="147"/>
      <c r="D213" s="147"/>
      <c r="E213" s="147"/>
      <c r="F213" s="147"/>
      <c r="G213" s="147"/>
      <c r="H213" s="147"/>
      <c r="I213" s="147"/>
      <c r="J213" s="147"/>
      <c r="K213" s="147"/>
      <c r="L213" s="147"/>
      <c r="M213" s="147"/>
    </row>
    <row r="214">
      <c r="A214" s="147"/>
      <c r="B214" s="147"/>
      <c r="C214" s="147"/>
      <c r="D214" s="147"/>
      <c r="E214" s="147"/>
      <c r="F214" s="147"/>
      <c r="G214" s="147"/>
      <c r="H214" s="147"/>
      <c r="I214" s="147"/>
      <c r="J214" s="147"/>
      <c r="K214" s="147"/>
      <c r="L214" s="147"/>
      <c r="M214" s="147"/>
    </row>
    <row r="215">
      <c r="A215" s="147"/>
      <c r="B215" s="147"/>
      <c r="C215" s="147"/>
      <c r="D215" s="147"/>
      <c r="E215" s="147"/>
      <c r="F215" s="147"/>
      <c r="G215" s="147"/>
      <c r="H215" s="147"/>
      <c r="I215" s="147"/>
      <c r="J215" s="147"/>
      <c r="K215" s="147"/>
      <c r="L215" s="147"/>
      <c r="M215" s="147"/>
    </row>
    <row r="216">
      <c r="A216" s="147"/>
      <c r="B216" s="147"/>
      <c r="C216" s="147"/>
      <c r="D216" s="147"/>
      <c r="E216" s="147"/>
      <c r="F216" s="147"/>
      <c r="G216" s="147"/>
      <c r="H216" s="147"/>
      <c r="I216" s="147"/>
      <c r="J216" s="147"/>
      <c r="K216" s="147"/>
      <c r="L216" s="147"/>
      <c r="M216" s="147"/>
    </row>
    <row r="217">
      <c r="A217" s="147"/>
      <c r="B217" s="147"/>
      <c r="C217" s="147"/>
      <c r="D217" s="147"/>
      <c r="E217" s="147"/>
      <c r="F217" s="147"/>
      <c r="G217" s="147"/>
      <c r="H217" s="147"/>
      <c r="I217" s="147"/>
      <c r="J217" s="147"/>
      <c r="K217" s="147"/>
      <c r="L217" s="147"/>
      <c r="M217" s="147"/>
    </row>
    <row r="218">
      <c r="A218" s="147"/>
      <c r="B218" s="147"/>
      <c r="C218" s="147"/>
      <c r="D218" s="147"/>
      <c r="E218" s="147"/>
      <c r="F218" s="147"/>
      <c r="G218" s="147"/>
      <c r="H218" s="147"/>
      <c r="I218" s="147"/>
      <c r="J218" s="147"/>
      <c r="K218" s="147"/>
      <c r="L218" s="147"/>
      <c r="M218" s="147"/>
    </row>
    <row r="219">
      <c r="A219" s="147"/>
      <c r="B219" s="147"/>
      <c r="C219" s="147"/>
      <c r="D219" s="147"/>
      <c r="E219" s="147"/>
      <c r="F219" s="147"/>
      <c r="G219" s="147"/>
      <c r="H219" s="147"/>
      <c r="I219" s="147"/>
      <c r="J219" s="147"/>
      <c r="K219" s="147"/>
      <c r="L219" s="147"/>
      <c r="M219" s="147"/>
    </row>
    <row r="220">
      <c r="A220" s="147"/>
      <c r="B220" s="147"/>
      <c r="C220" s="147"/>
      <c r="D220" s="147"/>
      <c r="E220" s="147"/>
      <c r="F220" s="147"/>
      <c r="G220" s="147"/>
      <c r="H220" s="147"/>
      <c r="I220" s="147"/>
      <c r="J220" s="147"/>
      <c r="K220" s="147"/>
      <c r="L220" s="147"/>
      <c r="M220" s="147"/>
    </row>
    <row r="221">
      <c r="A221" s="147"/>
      <c r="B221" s="147"/>
      <c r="C221" s="147"/>
      <c r="D221" s="147"/>
      <c r="E221" s="147"/>
      <c r="F221" s="147"/>
      <c r="G221" s="147"/>
      <c r="H221" s="147"/>
      <c r="I221" s="147"/>
      <c r="J221" s="147"/>
      <c r="K221" s="147"/>
      <c r="L221" s="147"/>
      <c r="M221" s="147"/>
    </row>
    <row r="222">
      <c r="A222" s="147"/>
      <c r="B222" s="147"/>
      <c r="C222" s="147"/>
      <c r="D222" s="147"/>
      <c r="E222" s="147"/>
      <c r="F222" s="147"/>
      <c r="G222" s="147"/>
      <c r="H222" s="147"/>
      <c r="I222" s="147"/>
      <c r="J222" s="147"/>
      <c r="K222" s="147"/>
      <c r="L222" s="147"/>
      <c r="M222" s="147"/>
    </row>
    <row r="223">
      <c r="A223" s="147"/>
      <c r="B223" s="147"/>
      <c r="C223" s="147"/>
      <c r="D223" s="147"/>
      <c r="E223" s="147"/>
      <c r="F223" s="147"/>
      <c r="G223" s="147"/>
      <c r="H223" s="147"/>
      <c r="I223" s="147"/>
      <c r="J223" s="147"/>
      <c r="K223" s="147"/>
      <c r="L223" s="147"/>
      <c r="M223" s="147"/>
    </row>
    <row r="224">
      <c r="A224" s="147"/>
      <c r="B224" s="147"/>
      <c r="C224" s="147"/>
      <c r="D224" s="147"/>
      <c r="E224" s="147"/>
      <c r="F224" s="147"/>
      <c r="G224" s="147"/>
      <c r="H224" s="147"/>
      <c r="I224" s="147"/>
      <c r="J224" s="147"/>
      <c r="K224" s="147"/>
      <c r="L224" s="147"/>
      <c r="M224" s="147"/>
    </row>
    <row r="225">
      <c r="A225" s="147"/>
      <c r="B225" s="147"/>
      <c r="C225" s="147"/>
      <c r="D225" s="147"/>
      <c r="E225" s="147"/>
      <c r="F225" s="147"/>
      <c r="G225" s="147"/>
      <c r="H225" s="147"/>
      <c r="I225" s="147"/>
      <c r="J225" s="147"/>
      <c r="K225" s="147"/>
      <c r="L225" s="147"/>
      <c r="M225" s="147"/>
    </row>
    <row r="226">
      <c r="A226" s="147"/>
      <c r="B226" s="147"/>
      <c r="C226" s="147"/>
      <c r="D226" s="147"/>
      <c r="E226" s="147"/>
      <c r="F226" s="147"/>
      <c r="G226" s="147"/>
      <c r="H226" s="147"/>
      <c r="I226" s="147"/>
      <c r="J226" s="147"/>
      <c r="K226" s="147"/>
      <c r="L226" s="147"/>
      <c r="M226" s="147"/>
    </row>
    <row r="227">
      <c r="A227" s="147"/>
      <c r="B227" s="147"/>
      <c r="C227" s="147"/>
      <c r="D227" s="147"/>
      <c r="E227" s="147"/>
      <c r="F227" s="147"/>
      <c r="G227" s="147"/>
      <c r="H227" s="147"/>
      <c r="I227" s="147"/>
      <c r="J227" s="147"/>
      <c r="K227" s="147"/>
      <c r="L227" s="147"/>
      <c r="M227" s="147"/>
    </row>
    <row r="228">
      <c r="A228" s="147"/>
      <c r="B228" s="147"/>
      <c r="C228" s="147"/>
      <c r="D228" s="147"/>
      <c r="E228" s="147"/>
      <c r="F228" s="147"/>
      <c r="G228" s="147"/>
      <c r="H228" s="147"/>
      <c r="I228" s="147"/>
      <c r="J228" s="147"/>
      <c r="K228" s="147"/>
      <c r="L228" s="147"/>
      <c r="M228" s="147"/>
    </row>
    <row r="229">
      <c r="A229" s="147"/>
      <c r="B229" s="147"/>
      <c r="C229" s="147"/>
      <c r="D229" s="147"/>
      <c r="E229" s="147"/>
      <c r="F229" s="147"/>
      <c r="G229" s="147"/>
      <c r="H229" s="147"/>
      <c r="I229" s="147"/>
      <c r="J229" s="147"/>
      <c r="K229" s="147"/>
      <c r="L229" s="147"/>
      <c r="M229" s="147"/>
    </row>
    <row r="230">
      <c r="A230" s="147"/>
      <c r="B230" s="147"/>
      <c r="C230" s="147"/>
      <c r="D230" s="147"/>
      <c r="E230" s="147"/>
      <c r="F230" s="147"/>
      <c r="G230" s="147"/>
      <c r="H230" s="147"/>
      <c r="I230" s="147"/>
      <c r="J230" s="147"/>
      <c r="K230" s="147"/>
      <c r="L230" s="147"/>
      <c r="M230" s="147"/>
    </row>
    <row r="231">
      <c r="A231" s="147"/>
      <c r="B231" s="147"/>
      <c r="C231" s="147"/>
      <c r="D231" s="147"/>
      <c r="E231" s="147"/>
      <c r="F231" s="147"/>
      <c r="G231" s="147"/>
      <c r="H231" s="147"/>
      <c r="I231" s="147"/>
      <c r="J231" s="147"/>
      <c r="K231" s="147"/>
      <c r="L231" s="147"/>
      <c r="M231" s="147"/>
    </row>
    <row r="232">
      <c r="A232" s="147"/>
      <c r="B232" s="147"/>
      <c r="C232" s="147"/>
      <c r="D232" s="147"/>
      <c r="E232" s="147"/>
      <c r="F232" s="147"/>
      <c r="G232" s="147"/>
      <c r="H232" s="147"/>
      <c r="I232" s="147"/>
      <c r="J232" s="147"/>
      <c r="K232" s="147"/>
      <c r="L232" s="147"/>
      <c r="M232" s="147"/>
    </row>
    <row r="233">
      <c r="A233" s="147"/>
      <c r="B233" s="147"/>
      <c r="C233" s="147"/>
      <c r="D233" s="147"/>
      <c r="E233" s="147"/>
      <c r="F233" s="147"/>
      <c r="G233" s="147"/>
      <c r="H233" s="147"/>
      <c r="I233" s="147"/>
      <c r="J233" s="147"/>
      <c r="K233" s="147"/>
      <c r="L233" s="147"/>
      <c r="M233" s="147"/>
    </row>
    <row r="234">
      <c r="A234" s="147"/>
      <c r="B234" s="147"/>
      <c r="C234" s="147"/>
      <c r="D234" s="147"/>
      <c r="E234" s="147"/>
      <c r="F234" s="147"/>
      <c r="G234" s="147"/>
      <c r="H234" s="147"/>
      <c r="I234" s="147"/>
      <c r="J234" s="147"/>
      <c r="K234" s="147"/>
      <c r="L234" s="147"/>
      <c r="M234" s="147"/>
    </row>
    <row r="235">
      <c r="A235" s="147"/>
      <c r="B235" s="147"/>
      <c r="C235" s="147"/>
      <c r="D235" s="147"/>
      <c r="E235" s="147"/>
      <c r="F235" s="147"/>
      <c r="G235" s="147"/>
      <c r="H235" s="147"/>
      <c r="I235" s="147"/>
      <c r="J235" s="147"/>
      <c r="K235" s="147"/>
      <c r="L235" s="147"/>
      <c r="M235" s="147"/>
    </row>
    <row r="236">
      <c r="A236" s="147"/>
      <c r="B236" s="147"/>
      <c r="C236" s="147"/>
      <c r="D236" s="147"/>
      <c r="E236" s="147"/>
      <c r="F236" s="147"/>
      <c r="G236" s="147"/>
      <c r="H236" s="147"/>
      <c r="I236" s="147"/>
      <c r="J236" s="147"/>
      <c r="K236" s="147"/>
      <c r="L236" s="147"/>
      <c r="M236" s="147"/>
    </row>
    <row r="237">
      <c r="A237" s="147"/>
      <c r="B237" s="147"/>
      <c r="C237" s="147"/>
      <c r="D237" s="147"/>
      <c r="E237" s="147"/>
      <c r="F237" s="147"/>
      <c r="G237" s="147"/>
      <c r="H237" s="147"/>
      <c r="I237" s="147"/>
      <c r="J237" s="147"/>
      <c r="K237" s="147"/>
      <c r="L237" s="147"/>
      <c r="M237" s="147"/>
    </row>
    <row r="238">
      <c r="A238" s="147"/>
      <c r="B238" s="147"/>
      <c r="C238" s="147"/>
      <c r="D238" s="147"/>
      <c r="E238" s="147"/>
      <c r="F238" s="147"/>
      <c r="G238" s="147"/>
      <c r="H238" s="147"/>
      <c r="I238" s="147"/>
      <c r="J238" s="147"/>
      <c r="K238" s="147"/>
      <c r="L238" s="147"/>
      <c r="M238" s="147"/>
    </row>
    <row r="239">
      <c r="A239" s="147"/>
      <c r="B239" s="147"/>
      <c r="C239" s="147"/>
      <c r="D239" s="147"/>
      <c r="E239" s="147"/>
      <c r="F239" s="147"/>
      <c r="G239" s="147"/>
      <c r="H239" s="147"/>
      <c r="I239" s="147"/>
      <c r="J239" s="147"/>
      <c r="K239" s="147"/>
      <c r="L239" s="147"/>
      <c r="M239" s="147"/>
    </row>
    <row r="240">
      <c r="A240" s="147"/>
      <c r="B240" s="147"/>
      <c r="C240" s="147"/>
      <c r="D240" s="147"/>
      <c r="E240" s="147"/>
      <c r="F240" s="147"/>
      <c r="G240" s="147"/>
      <c r="H240" s="147"/>
      <c r="I240" s="147"/>
      <c r="J240" s="147"/>
      <c r="K240" s="147"/>
      <c r="L240" s="147"/>
      <c r="M240" s="147"/>
    </row>
    <row r="241">
      <c r="A241" s="147"/>
      <c r="B241" s="147"/>
      <c r="C241" s="147"/>
      <c r="D241" s="147"/>
      <c r="E241" s="147"/>
      <c r="F241" s="147"/>
      <c r="G241" s="147"/>
      <c r="H241" s="147"/>
      <c r="I241" s="147"/>
      <c r="J241" s="147"/>
      <c r="K241" s="147"/>
      <c r="L241" s="147"/>
      <c r="M241" s="147"/>
    </row>
    <row r="242">
      <c r="A242" s="147"/>
      <c r="B242" s="147"/>
      <c r="C242" s="147"/>
      <c r="D242" s="147"/>
      <c r="E242" s="147"/>
      <c r="F242" s="147"/>
      <c r="G242" s="147"/>
      <c r="H242" s="147"/>
      <c r="I242" s="147"/>
      <c r="J242" s="147"/>
      <c r="K242" s="147"/>
      <c r="L242" s="147"/>
      <c r="M242" s="147"/>
    </row>
    <row r="243">
      <c r="A243" s="147"/>
      <c r="B243" s="147"/>
      <c r="C243" s="147"/>
      <c r="D243" s="147"/>
      <c r="E243" s="147"/>
      <c r="F243" s="147"/>
      <c r="G243" s="147"/>
      <c r="H243" s="147"/>
      <c r="I243" s="147"/>
      <c r="J243" s="147"/>
      <c r="K243" s="147"/>
      <c r="L243" s="147"/>
      <c r="M243" s="147"/>
    </row>
    <row r="244">
      <c r="A244" s="147"/>
      <c r="B244" s="147"/>
      <c r="C244" s="147"/>
      <c r="D244" s="147"/>
      <c r="E244" s="147"/>
      <c r="F244" s="147"/>
      <c r="G244" s="147"/>
      <c r="H244" s="147"/>
      <c r="I244" s="147"/>
      <c r="J244" s="147"/>
      <c r="K244" s="147"/>
      <c r="L244" s="147"/>
      <c r="M244" s="147"/>
    </row>
    <row r="245">
      <c r="A245" s="147"/>
      <c r="B245" s="147"/>
      <c r="C245" s="147"/>
      <c r="D245" s="147"/>
      <c r="E245" s="147"/>
      <c r="F245" s="147"/>
      <c r="G245" s="147"/>
      <c r="H245" s="147"/>
      <c r="I245" s="147"/>
      <c r="J245" s="147"/>
      <c r="K245" s="147"/>
      <c r="L245" s="147"/>
      <c r="M245" s="147"/>
    </row>
    <row r="246">
      <c r="A246" s="147"/>
      <c r="B246" s="147"/>
      <c r="C246" s="147"/>
      <c r="D246" s="147"/>
      <c r="E246" s="147"/>
      <c r="F246" s="147"/>
      <c r="G246" s="147"/>
      <c r="H246" s="147"/>
      <c r="I246" s="147"/>
      <c r="J246" s="147"/>
      <c r="K246" s="147"/>
      <c r="L246" s="147"/>
      <c r="M246" s="147"/>
    </row>
    <row r="247">
      <c r="A247" s="147"/>
      <c r="B247" s="147"/>
      <c r="C247" s="147"/>
      <c r="D247" s="147"/>
      <c r="E247" s="147"/>
      <c r="F247" s="147"/>
      <c r="G247" s="147"/>
      <c r="H247" s="147"/>
      <c r="I247" s="147"/>
      <c r="J247" s="147"/>
      <c r="K247" s="147"/>
      <c r="L247" s="147"/>
      <c r="M247" s="147"/>
    </row>
    <row r="248">
      <c r="A248" s="147"/>
      <c r="B248" s="147"/>
      <c r="C248" s="147"/>
      <c r="D248" s="147"/>
      <c r="E248" s="147"/>
      <c r="F248" s="147"/>
      <c r="G248" s="147"/>
      <c r="H248" s="147"/>
      <c r="I248" s="147"/>
      <c r="J248" s="147"/>
      <c r="K248" s="147"/>
      <c r="L248" s="147"/>
      <c r="M248" s="147"/>
    </row>
    <row r="249">
      <c r="A249" s="147"/>
      <c r="B249" s="147"/>
      <c r="C249" s="147"/>
      <c r="D249" s="147"/>
      <c r="E249" s="147"/>
      <c r="F249" s="147"/>
      <c r="G249" s="147"/>
      <c r="H249" s="147"/>
      <c r="I249" s="147"/>
      <c r="J249" s="147"/>
      <c r="K249" s="147"/>
      <c r="L249" s="147"/>
      <c r="M249" s="147"/>
    </row>
    <row r="250">
      <c r="A250" s="147"/>
      <c r="B250" s="147"/>
      <c r="C250" s="147"/>
      <c r="D250" s="147"/>
      <c r="E250" s="147"/>
      <c r="F250" s="147"/>
      <c r="G250" s="147"/>
      <c r="H250" s="147"/>
      <c r="I250" s="147"/>
      <c r="J250" s="147"/>
      <c r="K250" s="147"/>
      <c r="L250" s="147"/>
      <c r="M250" s="147"/>
    </row>
    <row r="251">
      <c r="A251" s="147"/>
      <c r="B251" s="147"/>
      <c r="C251" s="147"/>
      <c r="D251" s="147"/>
      <c r="E251" s="147"/>
      <c r="F251" s="147"/>
      <c r="G251" s="147"/>
      <c r="H251" s="147"/>
      <c r="I251" s="147"/>
      <c r="J251" s="147"/>
      <c r="K251" s="147"/>
      <c r="L251" s="147"/>
      <c r="M251" s="147"/>
    </row>
    <row r="252">
      <c r="A252" s="147"/>
      <c r="B252" s="147"/>
      <c r="C252" s="147"/>
      <c r="D252" s="147"/>
      <c r="E252" s="147"/>
      <c r="F252" s="147"/>
      <c r="G252" s="147"/>
      <c r="H252" s="147"/>
      <c r="I252" s="147"/>
      <c r="J252" s="147"/>
      <c r="K252" s="147"/>
      <c r="L252" s="147"/>
      <c r="M252" s="147"/>
    </row>
    <row r="253">
      <c r="A253" s="147"/>
      <c r="B253" s="147"/>
      <c r="C253" s="147"/>
      <c r="D253" s="147"/>
      <c r="E253" s="147"/>
      <c r="F253" s="147"/>
      <c r="G253" s="147"/>
      <c r="H253" s="147"/>
      <c r="I253" s="147"/>
      <c r="J253" s="147"/>
      <c r="K253" s="147"/>
      <c r="L253" s="147"/>
      <c r="M253" s="147"/>
    </row>
    <row r="254">
      <c r="A254" s="147"/>
      <c r="B254" s="147"/>
      <c r="C254" s="147"/>
      <c r="D254" s="147"/>
      <c r="E254" s="147"/>
      <c r="F254" s="147"/>
      <c r="G254" s="147"/>
      <c r="H254" s="147"/>
      <c r="I254" s="147"/>
      <c r="J254" s="147"/>
      <c r="K254" s="147"/>
      <c r="L254" s="147"/>
      <c r="M254" s="147"/>
    </row>
    <row r="255">
      <c r="A255" s="147"/>
      <c r="B255" s="147"/>
      <c r="C255" s="147"/>
      <c r="D255" s="147"/>
      <c r="E255" s="147"/>
      <c r="F255" s="147"/>
      <c r="G255" s="147"/>
      <c r="H255" s="147"/>
      <c r="I255" s="147"/>
      <c r="J255" s="147"/>
      <c r="K255" s="147"/>
      <c r="L255" s="147"/>
      <c r="M255" s="147"/>
    </row>
    <row r="256">
      <c r="A256" s="147"/>
      <c r="B256" s="147"/>
      <c r="C256" s="147"/>
      <c r="D256" s="147"/>
      <c r="E256" s="147"/>
      <c r="F256" s="147"/>
      <c r="G256" s="147"/>
      <c r="H256" s="147"/>
      <c r="I256" s="147"/>
      <c r="J256" s="147"/>
      <c r="K256" s="147"/>
      <c r="L256" s="147"/>
      <c r="M256" s="147"/>
    </row>
    <row r="257">
      <c r="A257" s="147"/>
      <c r="B257" s="147"/>
      <c r="C257" s="147"/>
      <c r="D257" s="147"/>
      <c r="E257" s="147"/>
      <c r="F257" s="147"/>
      <c r="G257" s="147"/>
      <c r="H257" s="147"/>
      <c r="I257" s="147"/>
      <c r="J257" s="147"/>
      <c r="K257" s="147"/>
      <c r="L257" s="147"/>
      <c r="M257" s="147"/>
    </row>
    <row r="258">
      <c r="A258" s="147"/>
      <c r="B258" s="147"/>
      <c r="C258" s="147"/>
      <c r="D258" s="147"/>
      <c r="E258" s="147"/>
      <c r="F258" s="147"/>
      <c r="G258" s="147"/>
      <c r="H258" s="147"/>
      <c r="I258" s="147"/>
      <c r="J258" s="147"/>
      <c r="K258" s="147"/>
      <c r="L258" s="147"/>
      <c r="M258" s="147"/>
    </row>
    <row r="259">
      <c r="A259" s="147"/>
      <c r="B259" s="147"/>
      <c r="C259" s="147"/>
      <c r="D259" s="147"/>
      <c r="E259" s="147"/>
      <c r="F259" s="147"/>
      <c r="G259" s="147"/>
      <c r="H259" s="147"/>
      <c r="I259" s="147"/>
      <c r="J259" s="147"/>
      <c r="K259" s="147"/>
      <c r="L259" s="147"/>
      <c r="M259" s="147"/>
    </row>
    <row r="260">
      <c r="A260" s="147"/>
      <c r="B260" s="147"/>
      <c r="C260" s="147"/>
      <c r="D260" s="147"/>
      <c r="E260" s="147"/>
      <c r="F260" s="147"/>
      <c r="G260" s="147"/>
      <c r="H260" s="147"/>
      <c r="I260" s="147"/>
      <c r="J260" s="147"/>
      <c r="K260" s="147"/>
      <c r="L260" s="147"/>
      <c r="M260" s="147"/>
    </row>
    <row r="261">
      <c r="A261" s="147"/>
      <c r="B261" s="147"/>
      <c r="C261" s="147"/>
      <c r="D261" s="147"/>
      <c r="E261" s="147"/>
      <c r="F261" s="147"/>
      <c r="G261" s="147"/>
      <c r="H261" s="147"/>
      <c r="I261" s="147"/>
      <c r="J261" s="147"/>
      <c r="K261" s="147"/>
      <c r="L261" s="147"/>
      <c r="M261" s="147"/>
    </row>
    <row r="262">
      <c r="A262" s="147"/>
      <c r="B262" s="147"/>
      <c r="C262" s="147"/>
      <c r="D262" s="147"/>
      <c r="E262" s="147"/>
      <c r="F262" s="147"/>
      <c r="G262" s="147"/>
      <c r="H262" s="147"/>
      <c r="I262" s="147"/>
      <c r="J262" s="147"/>
      <c r="K262" s="147"/>
      <c r="L262" s="147"/>
      <c r="M262" s="147"/>
    </row>
    <row r="263">
      <c r="A263" s="147"/>
      <c r="B263" s="147"/>
      <c r="C263" s="147"/>
      <c r="D263" s="147"/>
      <c r="E263" s="147"/>
      <c r="F263" s="147"/>
      <c r="G263" s="147"/>
      <c r="H263" s="147"/>
      <c r="I263" s="147"/>
      <c r="J263" s="147"/>
      <c r="K263" s="147"/>
      <c r="L263" s="147"/>
      <c r="M263" s="147"/>
    </row>
    <row r="264">
      <c r="A264" s="147"/>
      <c r="B264" s="147"/>
      <c r="C264" s="147"/>
      <c r="D264" s="147"/>
      <c r="E264" s="147"/>
      <c r="F264" s="147"/>
      <c r="G264" s="147"/>
      <c r="H264" s="147"/>
      <c r="I264" s="147"/>
      <c r="J264" s="147"/>
      <c r="K264" s="147"/>
      <c r="L264" s="147"/>
      <c r="M264" s="147"/>
    </row>
    <row r="265">
      <c r="A265" s="147"/>
      <c r="B265" s="147"/>
      <c r="C265" s="147"/>
      <c r="D265" s="147"/>
      <c r="E265" s="147"/>
      <c r="F265" s="147"/>
      <c r="G265" s="147"/>
      <c r="H265" s="147"/>
      <c r="I265" s="147"/>
      <c r="J265" s="147"/>
      <c r="K265" s="147"/>
      <c r="L265" s="147"/>
      <c r="M265" s="147"/>
    </row>
    <row r="266">
      <c r="A266" s="147"/>
      <c r="B266" s="147"/>
      <c r="C266" s="147"/>
      <c r="D266" s="147"/>
      <c r="E266" s="147"/>
      <c r="F266" s="147"/>
      <c r="G266" s="147"/>
      <c r="H266" s="147"/>
      <c r="I266" s="147"/>
      <c r="J266" s="147"/>
      <c r="K266" s="147"/>
      <c r="L266" s="147"/>
      <c r="M266" s="147"/>
    </row>
    <row r="267">
      <c r="A267" s="147"/>
      <c r="B267" s="147"/>
      <c r="C267" s="147"/>
      <c r="D267" s="147"/>
      <c r="E267" s="147"/>
      <c r="F267" s="147"/>
      <c r="G267" s="147"/>
      <c r="H267" s="147"/>
      <c r="I267" s="147"/>
      <c r="J267" s="147"/>
      <c r="K267" s="147"/>
      <c r="L267" s="147"/>
      <c r="M267" s="147"/>
    </row>
    <row r="268">
      <c r="A268" s="147"/>
      <c r="B268" s="147"/>
      <c r="C268" s="147"/>
      <c r="D268" s="147"/>
      <c r="E268" s="147"/>
      <c r="F268" s="147"/>
      <c r="G268" s="147"/>
      <c r="H268" s="147"/>
      <c r="I268" s="147"/>
      <c r="J268" s="147"/>
      <c r="K268" s="147"/>
      <c r="L268" s="147"/>
      <c r="M268" s="147"/>
    </row>
    <row r="269">
      <c r="A269" s="147"/>
      <c r="B269" s="147"/>
      <c r="C269" s="147"/>
      <c r="D269" s="147"/>
      <c r="E269" s="147"/>
      <c r="F269" s="147"/>
      <c r="G269" s="147"/>
      <c r="H269" s="147"/>
      <c r="I269" s="147"/>
      <c r="J269" s="147"/>
      <c r="K269" s="147"/>
      <c r="L269" s="147"/>
      <c r="M269" s="147"/>
    </row>
    <row r="270">
      <c r="A270" s="147"/>
      <c r="B270" s="147"/>
      <c r="C270" s="147"/>
      <c r="D270" s="147"/>
      <c r="E270" s="147"/>
      <c r="F270" s="147"/>
      <c r="G270" s="147"/>
      <c r="H270" s="147"/>
      <c r="I270" s="147"/>
      <c r="J270" s="147"/>
      <c r="K270" s="147"/>
      <c r="L270" s="147"/>
      <c r="M270" s="147"/>
    </row>
    <row r="271">
      <c r="A271" s="147"/>
      <c r="B271" s="147"/>
      <c r="C271" s="147"/>
      <c r="D271" s="147"/>
      <c r="E271" s="147"/>
      <c r="F271" s="147"/>
      <c r="G271" s="147"/>
      <c r="H271" s="147"/>
      <c r="I271" s="147"/>
      <c r="J271" s="147"/>
      <c r="K271" s="147"/>
      <c r="L271" s="147"/>
      <c r="M271" s="147"/>
    </row>
    <row r="272">
      <c r="A272" s="147"/>
      <c r="B272" s="147"/>
      <c r="C272" s="147"/>
      <c r="D272" s="147"/>
      <c r="E272" s="147"/>
      <c r="F272" s="147"/>
      <c r="G272" s="147"/>
      <c r="H272" s="147"/>
      <c r="I272" s="147"/>
      <c r="J272" s="147"/>
      <c r="K272" s="147"/>
      <c r="L272" s="147"/>
      <c r="M272" s="147"/>
    </row>
    <row r="273">
      <c r="A273" s="147"/>
      <c r="B273" s="147"/>
      <c r="C273" s="147"/>
      <c r="D273" s="147"/>
      <c r="E273" s="147"/>
      <c r="F273" s="147"/>
      <c r="G273" s="147"/>
      <c r="H273" s="147"/>
      <c r="I273" s="147"/>
      <c r="J273" s="147"/>
      <c r="K273" s="147"/>
      <c r="L273" s="147"/>
      <c r="M273" s="147"/>
    </row>
    <row r="274">
      <c r="A274" s="147"/>
      <c r="B274" s="147"/>
      <c r="C274" s="147"/>
      <c r="D274" s="147"/>
      <c r="E274" s="147"/>
      <c r="F274" s="147"/>
      <c r="G274" s="147"/>
      <c r="H274" s="147"/>
      <c r="I274" s="147"/>
      <c r="J274" s="147"/>
      <c r="K274" s="147"/>
      <c r="L274" s="147"/>
      <c r="M274" s="147"/>
    </row>
    <row r="275">
      <c r="A275" s="147"/>
      <c r="B275" s="147"/>
      <c r="C275" s="147"/>
      <c r="D275" s="147"/>
      <c r="E275" s="147"/>
      <c r="F275" s="147"/>
      <c r="G275" s="147"/>
      <c r="H275" s="147"/>
      <c r="I275" s="147"/>
      <c r="J275" s="147"/>
      <c r="K275" s="147"/>
      <c r="L275" s="147"/>
      <c r="M275" s="147"/>
    </row>
    <row r="276">
      <c r="A276" s="147"/>
      <c r="B276" s="147"/>
      <c r="C276" s="147"/>
      <c r="D276" s="147"/>
      <c r="E276" s="147"/>
      <c r="F276" s="147"/>
      <c r="G276" s="147"/>
      <c r="H276" s="147"/>
      <c r="I276" s="147"/>
      <c r="J276" s="147"/>
      <c r="K276" s="147"/>
      <c r="L276" s="147"/>
      <c r="M276" s="147"/>
    </row>
    <row r="277">
      <c r="A277" s="147"/>
      <c r="B277" s="147"/>
      <c r="C277" s="147"/>
      <c r="D277" s="147"/>
      <c r="E277" s="147"/>
      <c r="F277" s="147"/>
      <c r="G277" s="147"/>
      <c r="H277" s="147"/>
      <c r="I277" s="147"/>
      <c r="J277" s="147"/>
      <c r="K277" s="147"/>
      <c r="L277" s="147"/>
      <c r="M277" s="147"/>
    </row>
    <row r="278">
      <c r="A278" s="147"/>
      <c r="B278" s="147"/>
      <c r="C278" s="147"/>
      <c r="D278" s="147"/>
      <c r="E278" s="147"/>
      <c r="F278" s="147"/>
      <c r="G278" s="147"/>
      <c r="H278" s="147"/>
      <c r="I278" s="147"/>
      <c r="J278" s="147"/>
      <c r="K278" s="147"/>
      <c r="L278" s="147"/>
      <c r="M278" s="147"/>
    </row>
    <row r="279">
      <c r="A279" s="147"/>
      <c r="B279" s="147"/>
      <c r="C279" s="147"/>
      <c r="D279" s="147"/>
      <c r="E279" s="147"/>
      <c r="F279" s="147"/>
      <c r="G279" s="147"/>
      <c r="H279" s="147"/>
      <c r="I279" s="147"/>
      <c r="J279" s="147"/>
      <c r="K279" s="147"/>
      <c r="L279" s="147"/>
      <c r="M279" s="147"/>
    </row>
    <row r="280">
      <c r="A280" s="147"/>
      <c r="B280" s="147"/>
      <c r="C280" s="147"/>
      <c r="D280" s="147"/>
      <c r="E280" s="147"/>
      <c r="F280" s="147"/>
      <c r="G280" s="147"/>
      <c r="H280" s="147"/>
      <c r="I280" s="147"/>
      <c r="J280" s="147"/>
      <c r="K280" s="147"/>
      <c r="L280" s="147"/>
      <c r="M280" s="147"/>
    </row>
    <row r="281">
      <c r="A281" s="147"/>
      <c r="B281" s="147"/>
      <c r="C281" s="147"/>
      <c r="D281" s="147"/>
      <c r="E281" s="147"/>
      <c r="F281" s="147"/>
      <c r="G281" s="147"/>
      <c r="H281" s="147"/>
      <c r="I281" s="147"/>
      <c r="J281" s="147"/>
      <c r="K281" s="147"/>
      <c r="L281" s="147"/>
      <c r="M281" s="147"/>
    </row>
    <row r="282">
      <c r="A282" s="147"/>
      <c r="B282" s="147"/>
      <c r="C282" s="147"/>
      <c r="D282" s="147"/>
      <c r="E282" s="147"/>
      <c r="F282" s="147"/>
      <c r="G282" s="147"/>
      <c r="H282" s="147"/>
      <c r="I282" s="147"/>
      <c r="J282" s="147"/>
      <c r="K282" s="147"/>
      <c r="L282" s="147"/>
      <c r="M282" s="147"/>
    </row>
    <row r="283">
      <c r="A283" s="147"/>
      <c r="B283" s="147"/>
      <c r="C283" s="147"/>
      <c r="D283" s="147"/>
      <c r="E283" s="147"/>
      <c r="F283" s="147"/>
      <c r="G283" s="147"/>
      <c r="H283" s="147"/>
      <c r="I283" s="147"/>
      <c r="J283" s="147"/>
      <c r="K283" s="147"/>
      <c r="L283" s="147"/>
      <c r="M283" s="147"/>
    </row>
    <row r="284">
      <c r="A284" s="147"/>
      <c r="B284" s="147"/>
      <c r="C284" s="147"/>
      <c r="D284" s="147"/>
      <c r="E284" s="147"/>
      <c r="F284" s="147"/>
      <c r="G284" s="147"/>
      <c r="H284" s="147"/>
      <c r="I284" s="147"/>
      <c r="J284" s="147"/>
      <c r="K284" s="147"/>
      <c r="L284" s="147"/>
      <c r="M284" s="147"/>
    </row>
    <row r="285">
      <c r="A285" s="147"/>
      <c r="B285" s="147"/>
      <c r="C285" s="147"/>
      <c r="D285" s="147"/>
      <c r="E285" s="147"/>
      <c r="F285" s="147"/>
      <c r="G285" s="147"/>
      <c r="H285" s="147"/>
      <c r="I285" s="147"/>
      <c r="J285" s="147"/>
      <c r="K285" s="147"/>
      <c r="L285" s="147"/>
      <c r="M285" s="147"/>
    </row>
    <row r="286">
      <c r="A286" s="147"/>
      <c r="B286" s="147"/>
      <c r="C286" s="147"/>
      <c r="D286" s="147"/>
      <c r="E286" s="147"/>
      <c r="F286" s="147"/>
      <c r="G286" s="147"/>
      <c r="H286" s="147"/>
      <c r="I286" s="147"/>
      <c r="J286" s="147"/>
      <c r="K286" s="147"/>
      <c r="L286" s="147"/>
      <c r="M286" s="147"/>
    </row>
    <row r="287">
      <c r="A287" s="147"/>
      <c r="B287" s="147"/>
      <c r="C287" s="147"/>
      <c r="D287" s="147"/>
      <c r="E287" s="147"/>
      <c r="F287" s="147"/>
      <c r="G287" s="147"/>
      <c r="H287" s="147"/>
      <c r="I287" s="147"/>
      <c r="J287" s="147"/>
      <c r="K287" s="147"/>
      <c r="L287" s="147"/>
      <c r="M287" s="147"/>
    </row>
    <row r="288">
      <c r="A288" s="147"/>
      <c r="B288" s="147"/>
      <c r="C288" s="147"/>
      <c r="D288" s="147"/>
      <c r="E288" s="147"/>
      <c r="F288" s="147"/>
      <c r="G288" s="147"/>
      <c r="H288" s="147"/>
      <c r="I288" s="147"/>
      <c r="J288" s="147"/>
      <c r="K288" s="147"/>
      <c r="L288" s="147"/>
      <c r="M288" s="147"/>
    </row>
    <row r="289">
      <c r="A289" s="147"/>
      <c r="B289" s="147"/>
      <c r="C289" s="147"/>
      <c r="D289" s="147"/>
      <c r="E289" s="147"/>
      <c r="F289" s="147"/>
      <c r="G289" s="147"/>
      <c r="H289" s="147"/>
      <c r="I289" s="147"/>
      <c r="J289" s="147"/>
      <c r="K289" s="147"/>
      <c r="L289" s="147"/>
      <c r="M289" s="147"/>
    </row>
    <row r="290">
      <c r="A290" s="147"/>
      <c r="B290" s="147"/>
      <c r="C290" s="147"/>
      <c r="D290" s="147"/>
      <c r="E290" s="147"/>
      <c r="F290" s="147"/>
      <c r="G290" s="147"/>
      <c r="H290" s="147"/>
      <c r="I290" s="147"/>
      <c r="J290" s="147"/>
      <c r="K290" s="147"/>
      <c r="L290" s="147"/>
      <c r="M290" s="147"/>
    </row>
    <row r="291">
      <c r="A291" s="147"/>
      <c r="B291" s="147"/>
      <c r="C291" s="147"/>
      <c r="D291" s="147"/>
      <c r="E291" s="147"/>
      <c r="F291" s="147"/>
      <c r="G291" s="147"/>
      <c r="H291" s="147"/>
      <c r="I291" s="147"/>
      <c r="J291" s="147"/>
      <c r="K291" s="147"/>
      <c r="L291" s="147"/>
      <c r="M291" s="147"/>
    </row>
    <row r="292">
      <c r="A292" s="147"/>
      <c r="B292" s="147"/>
      <c r="C292" s="147"/>
      <c r="D292" s="147"/>
      <c r="E292" s="147"/>
      <c r="F292" s="147"/>
      <c r="G292" s="147"/>
      <c r="H292" s="147"/>
      <c r="I292" s="147"/>
      <c r="J292" s="147"/>
      <c r="K292" s="147"/>
      <c r="L292" s="147"/>
      <c r="M292" s="147"/>
    </row>
    <row r="293">
      <c r="A293" s="147"/>
      <c r="B293" s="147"/>
      <c r="C293" s="147"/>
      <c r="D293" s="147"/>
      <c r="E293" s="147"/>
      <c r="F293" s="147"/>
      <c r="G293" s="147"/>
      <c r="H293" s="147"/>
      <c r="I293" s="147"/>
      <c r="J293" s="147"/>
      <c r="K293" s="147"/>
      <c r="L293" s="147"/>
      <c r="M293" s="147"/>
    </row>
    <row r="294">
      <c r="A294" s="147"/>
      <c r="B294" s="147"/>
      <c r="C294" s="147"/>
      <c r="D294" s="147"/>
      <c r="E294" s="147"/>
      <c r="F294" s="147"/>
      <c r="G294" s="147"/>
      <c r="H294" s="147"/>
      <c r="I294" s="147"/>
      <c r="J294" s="147"/>
      <c r="K294" s="147"/>
      <c r="L294" s="147"/>
      <c r="M294" s="147"/>
    </row>
    <row r="295">
      <c r="A295" s="147"/>
      <c r="B295" s="147"/>
      <c r="C295" s="147"/>
      <c r="D295" s="147"/>
      <c r="E295" s="147"/>
      <c r="F295" s="147"/>
      <c r="G295" s="147"/>
      <c r="H295" s="147"/>
      <c r="I295" s="147"/>
      <c r="J295" s="147"/>
      <c r="K295" s="147"/>
      <c r="L295" s="147"/>
      <c r="M295" s="147"/>
    </row>
    <row r="296">
      <c r="A296" s="147"/>
      <c r="B296" s="147"/>
      <c r="C296" s="147"/>
      <c r="D296" s="147"/>
      <c r="E296" s="147"/>
      <c r="F296" s="147"/>
      <c r="G296" s="147"/>
      <c r="H296" s="147"/>
      <c r="I296" s="147"/>
      <c r="J296" s="147"/>
      <c r="K296" s="147"/>
      <c r="L296" s="147"/>
      <c r="M296" s="147"/>
    </row>
    <row r="297">
      <c r="A297" s="147"/>
      <c r="B297" s="147"/>
      <c r="C297" s="147"/>
      <c r="D297" s="147"/>
      <c r="E297" s="147"/>
      <c r="F297" s="147"/>
      <c r="G297" s="147"/>
      <c r="H297" s="147"/>
      <c r="I297" s="147"/>
      <c r="J297" s="147"/>
      <c r="K297" s="147"/>
      <c r="L297" s="147"/>
      <c r="M297" s="147"/>
    </row>
    <row r="298">
      <c r="A298" s="147"/>
      <c r="B298" s="147"/>
      <c r="C298" s="147"/>
      <c r="D298" s="147"/>
      <c r="E298" s="147"/>
      <c r="F298" s="147"/>
      <c r="G298" s="147"/>
      <c r="H298" s="147"/>
      <c r="I298" s="147"/>
      <c r="J298" s="147"/>
      <c r="K298" s="147"/>
      <c r="L298" s="147"/>
      <c r="M298" s="147"/>
    </row>
    <row r="299">
      <c r="A299" s="147"/>
      <c r="B299" s="147"/>
      <c r="C299" s="147"/>
      <c r="D299" s="147"/>
      <c r="E299" s="147"/>
      <c r="F299" s="147"/>
      <c r="G299" s="147"/>
      <c r="H299" s="147"/>
      <c r="I299" s="147"/>
      <c r="J299" s="147"/>
      <c r="K299" s="147"/>
      <c r="L299" s="147"/>
      <c r="M299" s="147"/>
    </row>
    <row r="300">
      <c r="A300" s="147"/>
      <c r="B300" s="147"/>
      <c r="C300" s="147"/>
      <c r="D300" s="147"/>
      <c r="E300" s="147"/>
      <c r="F300" s="147"/>
      <c r="G300" s="147"/>
      <c r="H300" s="147"/>
      <c r="I300" s="147"/>
      <c r="J300" s="147"/>
      <c r="K300" s="147"/>
      <c r="L300" s="147"/>
      <c r="M300" s="147"/>
    </row>
    <row r="301">
      <c r="A301" s="147"/>
      <c r="B301" s="147"/>
      <c r="C301" s="147"/>
      <c r="D301" s="147"/>
      <c r="E301" s="147"/>
      <c r="F301" s="147"/>
      <c r="G301" s="147"/>
      <c r="H301" s="147"/>
      <c r="I301" s="147"/>
      <c r="J301" s="147"/>
      <c r="K301" s="147"/>
      <c r="L301" s="147"/>
      <c r="M301" s="147"/>
    </row>
    <row r="302">
      <c r="A302" s="147"/>
      <c r="B302" s="147"/>
      <c r="C302" s="147"/>
      <c r="D302" s="147"/>
      <c r="E302" s="147"/>
      <c r="F302" s="147"/>
      <c r="G302" s="147"/>
      <c r="H302" s="147"/>
      <c r="I302" s="147"/>
      <c r="J302" s="147"/>
      <c r="K302" s="147"/>
      <c r="L302" s="147"/>
      <c r="M302" s="147"/>
    </row>
    <row r="303">
      <c r="A303" s="147"/>
      <c r="B303" s="147"/>
      <c r="C303" s="147"/>
      <c r="D303" s="147"/>
      <c r="E303" s="147"/>
      <c r="F303" s="147"/>
      <c r="G303" s="147"/>
      <c r="H303" s="147"/>
      <c r="I303" s="147"/>
      <c r="J303" s="147"/>
      <c r="K303" s="147"/>
      <c r="L303" s="147"/>
      <c r="M303" s="147"/>
    </row>
    <row r="304">
      <c r="A304" s="147"/>
      <c r="B304" s="147"/>
      <c r="C304" s="147"/>
      <c r="D304" s="147"/>
      <c r="E304" s="147"/>
      <c r="F304" s="147"/>
      <c r="G304" s="147"/>
      <c r="H304" s="147"/>
      <c r="I304" s="147"/>
      <c r="J304" s="147"/>
      <c r="K304" s="147"/>
      <c r="L304" s="147"/>
      <c r="M304" s="147"/>
    </row>
    <row r="305">
      <c r="A305" s="147"/>
      <c r="B305" s="147"/>
      <c r="C305" s="147"/>
      <c r="D305" s="147"/>
      <c r="E305" s="147"/>
      <c r="F305" s="147"/>
      <c r="G305" s="147"/>
      <c r="H305" s="147"/>
      <c r="I305" s="147"/>
      <c r="J305" s="147"/>
      <c r="K305" s="147"/>
      <c r="L305" s="147"/>
      <c r="M305" s="147"/>
    </row>
    <row r="306">
      <c r="A306" s="147"/>
      <c r="B306" s="147"/>
      <c r="C306" s="147"/>
      <c r="D306" s="147"/>
      <c r="E306" s="147"/>
      <c r="F306" s="147"/>
      <c r="G306" s="147"/>
      <c r="H306" s="147"/>
      <c r="I306" s="147"/>
      <c r="J306" s="147"/>
      <c r="K306" s="147"/>
      <c r="L306" s="147"/>
      <c r="M306" s="147"/>
    </row>
    <row r="307">
      <c r="A307" s="147"/>
      <c r="B307" s="147"/>
      <c r="C307" s="147"/>
      <c r="D307" s="147"/>
      <c r="E307" s="147"/>
      <c r="F307" s="147"/>
      <c r="G307" s="147"/>
      <c r="H307" s="147"/>
      <c r="I307" s="147"/>
      <c r="J307" s="147"/>
      <c r="K307" s="147"/>
      <c r="L307" s="147"/>
      <c r="M307" s="147"/>
    </row>
    <row r="308">
      <c r="A308" s="147"/>
      <c r="B308" s="147"/>
      <c r="C308" s="147"/>
      <c r="D308" s="147"/>
      <c r="E308" s="147"/>
      <c r="F308" s="147"/>
      <c r="G308" s="147"/>
      <c r="H308" s="147"/>
      <c r="I308" s="147"/>
      <c r="J308" s="147"/>
      <c r="K308" s="147"/>
      <c r="L308" s="147"/>
      <c r="M308" s="147"/>
    </row>
    <row r="309">
      <c r="A309" s="147"/>
      <c r="B309" s="147"/>
      <c r="C309" s="147"/>
      <c r="D309" s="147"/>
      <c r="E309" s="147"/>
      <c r="F309" s="147"/>
      <c r="G309" s="147"/>
      <c r="H309" s="147"/>
      <c r="I309" s="147"/>
      <c r="J309" s="147"/>
      <c r="K309" s="147"/>
      <c r="L309" s="147"/>
      <c r="M309" s="147"/>
    </row>
    <row r="310">
      <c r="A310" s="147"/>
      <c r="B310" s="147"/>
      <c r="C310" s="147"/>
      <c r="D310" s="147"/>
      <c r="E310" s="147"/>
      <c r="F310" s="147"/>
      <c r="G310" s="147"/>
      <c r="H310" s="147"/>
      <c r="I310" s="147"/>
      <c r="J310" s="147"/>
      <c r="K310" s="147"/>
      <c r="L310" s="147"/>
      <c r="M310" s="147"/>
    </row>
    <row r="311">
      <c r="A311" s="147"/>
      <c r="B311" s="147"/>
      <c r="C311" s="147"/>
      <c r="D311" s="147"/>
      <c r="E311" s="147"/>
      <c r="F311" s="147"/>
      <c r="G311" s="147"/>
      <c r="H311" s="147"/>
      <c r="I311" s="147"/>
      <c r="J311" s="147"/>
      <c r="K311" s="147"/>
      <c r="L311" s="147"/>
      <c r="M311" s="147"/>
    </row>
    <row r="312">
      <c r="A312" s="147"/>
      <c r="B312" s="147"/>
      <c r="C312" s="147"/>
      <c r="D312" s="147"/>
      <c r="E312" s="147"/>
      <c r="F312" s="147"/>
      <c r="G312" s="147"/>
      <c r="H312" s="147"/>
      <c r="I312" s="147"/>
      <c r="J312" s="147"/>
      <c r="K312" s="147"/>
      <c r="L312" s="147"/>
      <c r="M312" s="147"/>
    </row>
    <row r="313">
      <c r="A313" s="147"/>
      <c r="B313" s="147"/>
      <c r="C313" s="147"/>
      <c r="D313" s="147"/>
      <c r="E313" s="147"/>
      <c r="F313" s="147"/>
      <c r="G313" s="147"/>
      <c r="H313" s="147"/>
      <c r="I313" s="147"/>
      <c r="J313" s="147"/>
      <c r="K313" s="147"/>
      <c r="L313" s="147"/>
      <c r="M313" s="147"/>
    </row>
    <row r="314">
      <c r="A314" s="147"/>
      <c r="B314" s="147"/>
      <c r="C314" s="147"/>
      <c r="D314" s="147"/>
      <c r="E314" s="147"/>
      <c r="F314" s="147"/>
      <c r="G314" s="147"/>
      <c r="H314" s="147"/>
      <c r="I314" s="147"/>
      <c r="J314" s="147"/>
      <c r="K314" s="147"/>
      <c r="L314" s="147"/>
      <c r="M314" s="147"/>
    </row>
    <row r="315">
      <c r="A315" s="147"/>
      <c r="B315" s="147"/>
      <c r="C315" s="147"/>
      <c r="D315" s="147"/>
      <c r="E315" s="147"/>
      <c r="F315" s="147"/>
      <c r="G315" s="147"/>
      <c r="H315" s="147"/>
      <c r="I315" s="147"/>
      <c r="J315" s="147"/>
      <c r="K315" s="147"/>
      <c r="L315" s="147"/>
      <c r="M315" s="147"/>
    </row>
    <row r="316">
      <c r="A316" s="147"/>
      <c r="B316" s="147"/>
      <c r="C316" s="147"/>
      <c r="D316" s="147"/>
      <c r="E316" s="147"/>
      <c r="F316" s="147"/>
      <c r="G316" s="147"/>
      <c r="H316" s="147"/>
      <c r="I316" s="147"/>
      <c r="J316" s="147"/>
      <c r="K316" s="147"/>
      <c r="L316" s="147"/>
      <c r="M316" s="147"/>
    </row>
    <row r="317">
      <c r="A317" s="147"/>
      <c r="B317" s="147"/>
      <c r="C317" s="147"/>
      <c r="D317" s="147"/>
      <c r="E317" s="147"/>
      <c r="F317" s="147"/>
      <c r="G317" s="147"/>
      <c r="H317" s="147"/>
      <c r="I317" s="147"/>
      <c r="J317" s="147"/>
      <c r="K317" s="147"/>
      <c r="L317" s="147"/>
      <c r="M317" s="147"/>
    </row>
    <row r="318">
      <c r="A318" s="147"/>
      <c r="B318" s="147"/>
      <c r="C318" s="147"/>
      <c r="D318" s="147"/>
      <c r="E318" s="147"/>
      <c r="F318" s="147"/>
      <c r="G318" s="147"/>
      <c r="H318" s="147"/>
      <c r="I318" s="147"/>
      <c r="J318" s="147"/>
      <c r="K318" s="147"/>
      <c r="L318" s="147"/>
      <c r="M318" s="147"/>
    </row>
    <row r="319">
      <c r="A319" s="147"/>
      <c r="B319" s="147"/>
      <c r="C319" s="147"/>
      <c r="D319" s="147"/>
      <c r="E319" s="147"/>
      <c r="F319" s="147"/>
      <c r="G319" s="147"/>
      <c r="H319" s="147"/>
      <c r="I319" s="147"/>
      <c r="J319" s="147"/>
      <c r="K319" s="147"/>
      <c r="L319" s="147"/>
      <c r="M319" s="147"/>
    </row>
    <row r="320">
      <c r="A320" s="147"/>
      <c r="B320" s="147"/>
      <c r="C320" s="147"/>
      <c r="D320" s="147"/>
      <c r="E320" s="147"/>
      <c r="F320" s="147"/>
      <c r="G320" s="147"/>
      <c r="H320" s="147"/>
      <c r="I320" s="147"/>
      <c r="J320" s="147"/>
      <c r="K320" s="147"/>
      <c r="L320" s="147"/>
      <c r="M320" s="147"/>
    </row>
    <row r="321">
      <c r="A321" s="147"/>
      <c r="B321" s="147"/>
      <c r="C321" s="147"/>
      <c r="D321" s="147"/>
      <c r="E321" s="147"/>
      <c r="F321" s="147"/>
      <c r="G321" s="147"/>
      <c r="H321" s="147"/>
      <c r="I321" s="147"/>
      <c r="J321" s="147"/>
      <c r="K321" s="147"/>
      <c r="L321" s="147"/>
      <c r="M321" s="147"/>
    </row>
    <row r="322">
      <c r="A322" s="147"/>
      <c r="B322" s="147"/>
      <c r="C322" s="147"/>
      <c r="D322" s="147"/>
      <c r="E322" s="147"/>
      <c r="F322" s="147"/>
      <c r="G322" s="147"/>
      <c r="H322" s="147"/>
      <c r="I322" s="147"/>
      <c r="J322" s="147"/>
      <c r="K322" s="147"/>
      <c r="L322" s="147"/>
      <c r="M322" s="147"/>
    </row>
    <row r="323">
      <c r="A323" s="147"/>
      <c r="B323" s="147"/>
      <c r="C323" s="147"/>
      <c r="D323" s="147"/>
      <c r="E323" s="147"/>
      <c r="F323" s="147"/>
      <c r="G323" s="147"/>
      <c r="H323" s="147"/>
      <c r="I323" s="147"/>
      <c r="J323" s="147"/>
      <c r="K323" s="147"/>
      <c r="L323" s="147"/>
      <c r="M323" s="147"/>
    </row>
    <row r="324">
      <c r="A324" s="147"/>
      <c r="B324" s="147"/>
      <c r="C324" s="147"/>
      <c r="D324" s="147"/>
      <c r="E324" s="147"/>
      <c r="F324" s="147"/>
      <c r="G324" s="147"/>
      <c r="H324" s="147"/>
      <c r="I324" s="147"/>
      <c r="J324" s="147"/>
      <c r="K324" s="147"/>
      <c r="L324" s="147"/>
      <c r="M324" s="147"/>
    </row>
    <row r="325">
      <c r="A325" s="147"/>
      <c r="B325" s="147"/>
      <c r="C325" s="147"/>
      <c r="D325" s="147"/>
      <c r="E325" s="147"/>
      <c r="F325" s="147"/>
      <c r="G325" s="147"/>
      <c r="H325" s="147"/>
      <c r="I325" s="147"/>
      <c r="J325" s="147"/>
      <c r="K325" s="147"/>
      <c r="L325" s="147"/>
      <c r="M325" s="147"/>
    </row>
    <row r="326">
      <c r="A326" s="147"/>
      <c r="B326" s="147"/>
      <c r="C326" s="147"/>
      <c r="D326" s="147"/>
      <c r="E326" s="147"/>
      <c r="F326" s="147"/>
      <c r="G326" s="147"/>
      <c r="H326" s="147"/>
      <c r="I326" s="147"/>
      <c r="J326" s="147"/>
      <c r="K326" s="147"/>
      <c r="L326" s="147"/>
      <c r="M326" s="147"/>
    </row>
    <row r="327">
      <c r="A327" s="147"/>
      <c r="B327" s="147"/>
      <c r="C327" s="147"/>
      <c r="D327" s="147"/>
      <c r="E327" s="147"/>
      <c r="F327" s="147"/>
      <c r="G327" s="147"/>
      <c r="H327" s="147"/>
      <c r="I327" s="147"/>
      <c r="J327" s="147"/>
      <c r="K327" s="147"/>
      <c r="L327" s="147"/>
      <c r="M327" s="147"/>
    </row>
    <row r="328">
      <c r="A328" s="147"/>
      <c r="B328" s="147"/>
      <c r="C328" s="147"/>
      <c r="D328" s="147"/>
      <c r="E328" s="147"/>
      <c r="F328" s="147"/>
      <c r="G328" s="147"/>
      <c r="H328" s="147"/>
      <c r="I328" s="147"/>
      <c r="J328" s="147"/>
      <c r="K328" s="147"/>
      <c r="L328" s="147"/>
      <c r="M328" s="147"/>
    </row>
    <row r="329">
      <c r="A329" s="147"/>
      <c r="B329" s="147"/>
      <c r="C329" s="147"/>
      <c r="D329" s="147"/>
      <c r="E329" s="147"/>
      <c r="F329" s="147"/>
      <c r="G329" s="147"/>
      <c r="H329" s="147"/>
      <c r="I329" s="147"/>
      <c r="J329" s="147"/>
      <c r="K329" s="147"/>
      <c r="L329" s="147"/>
      <c r="M329" s="147"/>
    </row>
    <row r="330">
      <c r="A330" s="147"/>
      <c r="B330" s="147"/>
      <c r="C330" s="147"/>
      <c r="D330" s="147"/>
      <c r="E330" s="147"/>
      <c r="F330" s="147"/>
      <c r="G330" s="147"/>
      <c r="H330" s="147"/>
      <c r="I330" s="147"/>
      <c r="J330" s="147"/>
      <c r="K330" s="147"/>
      <c r="L330" s="147"/>
      <c r="M330" s="147"/>
    </row>
    <row r="331">
      <c r="A331" s="147"/>
      <c r="B331" s="147"/>
      <c r="C331" s="147"/>
      <c r="D331" s="147"/>
      <c r="E331" s="147"/>
      <c r="F331" s="147"/>
      <c r="G331" s="147"/>
      <c r="H331" s="147"/>
      <c r="I331" s="147"/>
      <c r="J331" s="147"/>
      <c r="K331" s="147"/>
      <c r="L331" s="147"/>
      <c r="M331" s="147"/>
    </row>
    <row r="332">
      <c r="A332" s="147"/>
      <c r="B332" s="147"/>
      <c r="C332" s="147"/>
      <c r="D332" s="147"/>
      <c r="E332" s="147"/>
      <c r="F332" s="147"/>
      <c r="G332" s="147"/>
      <c r="H332" s="147"/>
      <c r="I332" s="147"/>
      <c r="J332" s="147"/>
      <c r="K332" s="147"/>
      <c r="L332" s="147"/>
      <c r="M332" s="147"/>
    </row>
    <row r="333">
      <c r="A333" s="147"/>
      <c r="B333" s="147"/>
      <c r="C333" s="147"/>
      <c r="D333" s="147"/>
      <c r="E333" s="147"/>
      <c r="F333" s="147"/>
      <c r="G333" s="147"/>
      <c r="H333" s="147"/>
      <c r="I333" s="147"/>
      <c r="J333" s="147"/>
      <c r="K333" s="147"/>
      <c r="L333" s="147"/>
      <c r="M333" s="147"/>
    </row>
    <row r="334">
      <c r="A334" s="147"/>
      <c r="B334" s="147"/>
      <c r="C334" s="147"/>
      <c r="D334" s="147"/>
      <c r="E334" s="147"/>
      <c r="F334" s="147"/>
      <c r="G334" s="147"/>
      <c r="H334" s="147"/>
      <c r="I334" s="147"/>
      <c r="J334" s="147"/>
      <c r="K334" s="147"/>
      <c r="L334" s="147"/>
      <c r="M334" s="147"/>
    </row>
    <row r="335">
      <c r="A335" s="147"/>
      <c r="B335" s="147"/>
      <c r="C335" s="147"/>
      <c r="D335" s="147"/>
      <c r="E335" s="147"/>
      <c r="F335" s="147"/>
      <c r="G335" s="147"/>
      <c r="H335" s="147"/>
      <c r="I335" s="147"/>
      <c r="J335" s="147"/>
      <c r="K335" s="147"/>
      <c r="L335" s="147"/>
      <c r="M335" s="147"/>
    </row>
    <row r="336">
      <c r="A336" s="147"/>
      <c r="B336" s="147"/>
      <c r="C336" s="147"/>
      <c r="D336" s="147"/>
      <c r="E336" s="147"/>
      <c r="F336" s="147"/>
      <c r="G336" s="147"/>
      <c r="H336" s="147"/>
      <c r="I336" s="147"/>
      <c r="J336" s="147"/>
      <c r="K336" s="147"/>
      <c r="L336" s="147"/>
      <c r="M336" s="147"/>
    </row>
    <row r="337">
      <c r="A337" s="147"/>
      <c r="B337" s="147"/>
      <c r="C337" s="147"/>
      <c r="D337" s="147"/>
      <c r="E337" s="147"/>
      <c r="F337" s="147"/>
      <c r="G337" s="147"/>
      <c r="H337" s="147"/>
      <c r="I337" s="147"/>
      <c r="J337" s="147"/>
      <c r="K337" s="147"/>
      <c r="L337" s="147"/>
      <c r="M337" s="147"/>
    </row>
    <row r="338">
      <c r="A338" s="147"/>
      <c r="B338" s="147"/>
      <c r="C338" s="147"/>
      <c r="D338" s="147"/>
      <c r="E338" s="147"/>
      <c r="F338" s="147"/>
      <c r="G338" s="147"/>
      <c r="H338" s="147"/>
      <c r="I338" s="147"/>
      <c r="J338" s="147"/>
      <c r="K338" s="147"/>
      <c r="L338" s="147"/>
      <c r="M338" s="147"/>
    </row>
    <row r="339">
      <c r="A339" s="147"/>
      <c r="B339" s="147"/>
      <c r="C339" s="147"/>
      <c r="D339" s="147"/>
      <c r="E339" s="147"/>
      <c r="F339" s="147"/>
      <c r="G339" s="147"/>
      <c r="H339" s="147"/>
      <c r="I339" s="147"/>
      <c r="J339" s="147"/>
      <c r="K339" s="147"/>
      <c r="L339" s="147"/>
      <c r="M339" s="147"/>
    </row>
    <row r="340">
      <c r="A340" s="147"/>
      <c r="B340" s="147"/>
      <c r="C340" s="147"/>
      <c r="D340" s="147"/>
      <c r="E340" s="147"/>
      <c r="F340" s="147"/>
      <c r="G340" s="147"/>
      <c r="H340" s="147"/>
      <c r="I340" s="147"/>
      <c r="J340" s="147"/>
      <c r="K340" s="147"/>
      <c r="L340" s="147"/>
      <c r="M340" s="147"/>
    </row>
    <row r="341">
      <c r="A341" s="147"/>
      <c r="B341" s="147"/>
      <c r="C341" s="147"/>
      <c r="D341" s="147"/>
      <c r="E341" s="147"/>
      <c r="F341" s="147"/>
      <c r="G341" s="147"/>
      <c r="H341" s="147"/>
      <c r="I341" s="147"/>
      <c r="J341" s="147"/>
      <c r="K341" s="147"/>
      <c r="L341" s="147"/>
      <c r="M341" s="147"/>
    </row>
    <row r="342">
      <c r="A342" s="147"/>
      <c r="B342" s="147"/>
      <c r="C342" s="147"/>
      <c r="D342" s="147"/>
      <c r="E342" s="147"/>
      <c r="F342" s="147"/>
      <c r="G342" s="147"/>
      <c r="H342" s="147"/>
      <c r="I342" s="147"/>
      <c r="J342" s="147"/>
      <c r="K342" s="147"/>
      <c r="L342" s="147"/>
      <c r="M342" s="147"/>
    </row>
    <row r="343">
      <c r="A343" s="147"/>
      <c r="B343" s="147"/>
      <c r="C343" s="147"/>
      <c r="D343" s="147"/>
      <c r="E343" s="147"/>
      <c r="F343" s="147"/>
      <c r="G343" s="147"/>
      <c r="H343" s="147"/>
      <c r="I343" s="147"/>
      <c r="J343" s="147"/>
      <c r="K343" s="147"/>
      <c r="L343" s="147"/>
      <c r="M343" s="147"/>
    </row>
    <row r="344">
      <c r="A344" s="147"/>
      <c r="B344" s="147"/>
      <c r="C344" s="147"/>
      <c r="D344" s="147"/>
      <c r="E344" s="147"/>
      <c r="F344" s="147"/>
      <c r="G344" s="147"/>
      <c r="H344" s="147"/>
      <c r="I344" s="147"/>
      <c r="J344" s="147"/>
      <c r="K344" s="147"/>
      <c r="L344" s="147"/>
      <c r="M344" s="147"/>
    </row>
    <row r="345">
      <c r="A345" s="147"/>
      <c r="B345" s="147"/>
      <c r="C345" s="147"/>
      <c r="D345" s="147"/>
      <c r="E345" s="147"/>
      <c r="F345" s="147"/>
      <c r="G345" s="147"/>
      <c r="H345" s="147"/>
      <c r="I345" s="147"/>
      <c r="J345" s="147"/>
      <c r="K345" s="147"/>
      <c r="L345" s="147"/>
      <c r="M345" s="147"/>
    </row>
    <row r="346">
      <c r="A346" s="147"/>
      <c r="B346" s="147"/>
      <c r="C346" s="147"/>
      <c r="D346" s="147"/>
      <c r="E346" s="147"/>
      <c r="F346" s="147"/>
      <c r="G346" s="147"/>
      <c r="H346" s="147"/>
      <c r="I346" s="147"/>
      <c r="J346" s="147"/>
      <c r="K346" s="147"/>
      <c r="L346" s="147"/>
      <c r="M346" s="147"/>
    </row>
    <row r="347">
      <c r="A347" s="147"/>
      <c r="B347" s="147"/>
      <c r="C347" s="147"/>
      <c r="D347" s="147"/>
      <c r="E347" s="147"/>
      <c r="F347" s="147"/>
      <c r="G347" s="147"/>
      <c r="H347" s="147"/>
      <c r="I347" s="147"/>
      <c r="J347" s="147"/>
      <c r="K347" s="147"/>
      <c r="L347" s="147"/>
      <c r="M347" s="147"/>
    </row>
    <row r="348">
      <c r="A348" s="147"/>
      <c r="B348" s="147"/>
      <c r="C348" s="147"/>
      <c r="D348" s="147"/>
      <c r="E348" s="147"/>
      <c r="F348" s="147"/>
      <c r="G348" s="147"/>
      <c r="H348" s="147"/>
      <c r="I348" s="147"/>
      <c r="J348" s="147"/>
      <c r="K348" s="147"/>
      <c r="L348" s="147"/>
      <c r="M348" s="147"/>
    </row>
    <row r="349">
      <c r="A349" s="147"/>
      <c r="B349" s="147"/>
      <c r="C349" s="147"/>
      <c r="D349" s="147"/>
      <c r="E349" s="147"/>
      <c r="F349" s="147"/>
      <c r="G349" s="147"/>
      <c r="H349" s="147"/>
      <c r="I349" s="147"/>
      <c r="J349" s="147"/>
      <c r="K349" s="147"/>
      <c r="L349" s="147"/>
      <c r="M349" s="147"/>
    </row>
    <row r="350">
      <c r="A350" s="147"/>
      <c r="B350" s="147"/>
      <c r="C350" s="147"/>
      <c r="D350" s="147"/>
      <c r="E350" s="147"/>
      <c r="F350" s="147"/>
      <c r="G350" s="147"/>
      <c r="H350" s="147"/>
      <c r="I350" s="147"/>
      <c r="J350" s="147"/>
      <c r="K350" s="147"/>
      <c r="L350" s="147"/>
      <c r="M350" s="147"/>
    </row>
    <row r="351">
      <c r="A351" s="147"/>
      <c r="B351" s="147"/>
      <c r="C351" s="147"/>
      <c r="D351" s="147"/>
      <c r="E351" s="147"/>
      <c r="F351" s="147"/>
      <c r="G351" s="147"/>
      <c r="H351" s="147"/>
      <c r="I351" s="147"/>
      <c r="J351" s="147"/>
      <c r="K351" s="147"/>
      <c r="L351" s="147"/>
      <c r="M351" s="147"/>
    </row>
    <row r="352">
      <c r="A352" s="147"/>
      <c r="B352" s="147"/>
      <c r="C352" s="147"/>
      <c r="D352" s="147"/>
      <c r="E352" s="147"/>
      <c r="F352" s="147"/>
      <c r="G352" s="147"/>
      <c r="H352" s="147"/>
      <c r="I352" s="147"/>
      <c r="J352" s="147"/>
      <c r="K352" s="147"/>
      <c r="L352" s="147"/>
      <c r="M352" s="147"/>
    </row>
    <row r="353">
      <c r="A353" s="147"/>
      <c r="B353" s="147"/>
      <c r="C353" s="147"/>
      <c r="D353" s="147"/>
      <c r="E353" s="147"/>
      <c r="F353" s="147"/>
      <c r="G353" s="147"/>
      <c r="H353" s="147"/>
      <c r="I353" s="147"/>
      <c r="J353" s="147"/>
      <c r="K353" s="147"/>
      <c r="L353" s="147"/>
      <c r="M353" s="147"/>
    </row>
    <row r="354">
      <c r="A354" s="147"/>
      <c r="B354" s="147"/>
      <c r="C354" s="147"/>
      <c r="D354" s="147"/>
      <c r="E354" s="147"/>
      <c r="F354" s="147"/>
      <c r="G354" s="147"/>
      <c r="H354" s="147"/>
      <c r="I354" s="147"/>
      <c r="J354" s="147"/>
      <c r="K354" s="147"/>
      <c r="L354" s="147"/>
      <c r="M354" s="147"/>
    </row>
    <row r="355">
      <c r="A355" s="147"/>
      <c r="B355" s="147"/>
      <c r="C355" s="147"/>
      <c r="D355" s="147"/>
      <c r="E355" s="147"/>
      <c r="F355" s="147"/>
      <c r="G355" s="147"/>
      <c r="H355" s="147"/>
      <c r="I355" s="147"/>
      <c r="J355" s="147"/>
      <c r="K355" s="147"/>
      <c r="L355" s="147"/>
      <c r="M355" s="147"/>
    </row>
    <row r="356">
      <c r="A356" s="147"/>
      <c r="B356" s="147"/>
      <c r="C356" s="147"/>
      <c r="D356" s="147"/>
      <c r="E356" s="147"/>
      <c r="F356" s="147"/>
      <c r="G356" s="147"/>
      <c r="H356" s="147"/>
      <c r="I356" s="147"/>
      <c r="J356" s="147"/>
      <c r="K356" s="147"/>
      <c r="L356" s="147"/>
      <c r="M356" s="147"/>
    </row>
    <row r="357">
      <c r="A357" s="147"/>
      <c r="B357" s="147"/>
      <c r="C357" s="147"/>
      <c r="D357" s="147"/>
      <c r="E357" s="147"/>
      <c r="F357" s="147"/>
      <c r="G357" s="147"/>
      <c r="H357" s="147"/>
      <c r="I357" s="147"/>
      <c r="J357" s="147"/>
      <c r="K357" s="147"/>
      <c r="L357" s="147"/>
      <c r="M357" s="147"/>
    </row>
    <row r="358">
      <c r="A358" s="147"/>
      <c r="B358" s="147"/>
      <c r="C358" s="147"/>
      <c r="D358" s="147"/>
      <c r="E358" s="147"/>
      <c r="F358" s="147"/>
      <c r="G358" s="147"/>
      <c r="H358" s="147"/>
      <c r="I358" s="147"/>
      <c r="J358" s="147"/>
      <c r="K358" s="147"/>
      <c r="L358" s="147"/>
      <c r="M358" s="147"/>
    </row>
    <row r="359">
      <c r="A359" s="147"/>
      <c r="B359" s="147"/>
      <c r="C359" s="147"/>
      <c r="D359" s="147"/>
      <c r="E359" s="147"/>
      <c r="F359" s="147"/>
      <c r="G359" s="147"/>
      <c r="H359" s="147"/>
      <c r="I359" s="147"/>
      <c r="J359" s="147"/>
      <c r="K359" s="147"/>
      <c r="L359" s="147"/>
      <c r="M359" s="147"/>
    </row>
    <row r="360">
      <c r="A360" s="147"/>
      <c r="B360" s="147"/>
      <c r="C360" s="147"/>
      <c r="D360" s="147"/>
      <c r="E360" s="147"/>
      <c r="F360" s="147"/>
      <c r="G360" s="147"/>
      <c r="H360" s="147"/>
      <c r="I360" s="147"/>
      <c r="J360" s="147"/>
      <c r="K360" s="147"/>
      <c r="L360" s="147"/>
      <c r="M360" s="147"/>
    </row>
    <row r="361">
      <c r="A361" s="147"/>
      <c r="B361" s="147"/>
      <c r="C361" s="147"/>
      <c r="D361" s="147"/>
      <c r="E361" s="147"/>
      <c r="F361" s="147"/>
      <c r="G361" s="147"/>
      <c r="H361" s="147"/>
      <c r="I361" s="147"/>
      <c r="J361" s="147"/>
      <c r="K361" s="147"/>
      <c r="L361" s="147"/>
      <c r="M361" s="147"/>
    </row>
    <row r="362">
      <c r="A362" s="147"/>
      <c r="B362" s="147"/>
      <c r="C362" s="147"/>
      <c r="D362" s="147"/>
      <c r="E362" s="147"/>
      <c r="F362" s="147"/>
      <c r="G362" s="147"/>
      <c r="H362" s="147"/>
      <c r="I362" s="147"/>
      <c r="J362" s="147"/>
      <c r="K362" s="147"/>
      <c r="L362" s="147"/>
      <c r="M362" s="147"/>
    </row>
    <row r="363">
      <c r="A363" s="147"/>
      <c r="B363" s="147"/>
      <c r="C363" s="147"/>
      <c r="D363" s="147"/>
      <c r="E363" s="147"/>
      <c r="F363" s="147"/>
      <c r="G363" s="147"/>
      <c r="H363" s="147"/>
      <c r="I363" s="147"/>
      <c r="J363" s="147"/>
      <c r="K363" s="147"/>
      <c r="L363" s="147"/>
      <c r="M363" s="147"/>
    </row>
    <row r="364">
      <c r="A364" s="147"/>
      <c r="B364" s="147"/>
      <c r="C364" s="147"/>
      <c r="D364" s="147"/>
      <c r="E364" s="147"/>
      <c r="F364" s="147"/>
      <c r="G364" s="147"/>
      <c r="H364" s="147"/>
      <c r="I364" s="147"/>
      <c r="J364" s="147"/>
      <c r="K364" s="147"/>
      <c r="L364" s="147"/>
      <c r="M364" s="147"/>
    </row>
    <row r="365">
      <c r="A365" s="147"/>
      <c r="B365" s="147"/>
      <c r="C365" s="147"/>
      <c r="D365" s="147"/>
      <c r="E365" s="147"/>
      <c r="F365" s="147"/>
      <c r="G365" s="147"/>
      <c r="H365" s="147"/>
      <c r="I365" s="147"/>
      <c r="J365" s="147"/>
      <c r="K365" s="147"/>
      <c r="L365" s="147"/>
      <c r="M365" s="147"/>
    </row>
    <row r="366">
      <c r="A366" s="147"/>
      <c r="B366" s="147"/>
      <c r="C366" s="147"/>
      <c r="D366" s="147"/>
      <c r="E366" s="147"/>
      <c r="F366" s="147"/>
      <c r="G366" s="147"/>
      <c r="H366" s="147"/>
      <c r="I366" s="147"/>
      <c r="J366" s="147"/>
      <c r="K366" s="147"/>
      <c r="L366" s="147"/>
      <c r="M366" s="147"/>
    </row>
    <row r="367">
      <c r="A367" s="147"/>
      <c r="B367" s="147"/>
      <c r="C367" s="147"/>
      <c r="D367" s="147"/>
      <c r="E367" s="147"/>
      <c r="F367" s="147"/>
      <c r="G367" s="147"/>
      <c r="H367" s="147"/>
      <c r="I367" s="147"/>
      <c r="J367" s="147"/>
      <c r="K367" s="147"/>
      <c r="L367" s="147"/>
      <c r="M367" s="147"/>
    </row>
    <row r="368">
      <c r="A368" s="147"/>
      <c r="B368" s="147"/>
      <c r="C368" s="147"/>
      <c r="D368" s="147"/>
      <c r="E368" s="147"/>
      <c r="F368" s="147"/>
      <c r="G368" s="147"/>
      <c r="H368" s="147"/>
      <c r="I368" s="147"/>
      <c r="J368" s="147"/>
      <c r="K368" s="147"/>
      <c r="L368" s="147"/>
      <c r="M368" s="147"/>
    </row>
    <row r="369">
      <c r="A369" s="147"/>
      <c r="B369" s="147"/>
      <c r="C369" s="147"/>
      <c r="D369" s="147"/>
      <c r="E369" s="147"/>
      <c r="F369" s="147"/>
      <c r="G369" s="147"/>
      <c r="H369" s="147"/>
      <c r="I369" s="147"/>
      <c r="J369" s="147"/>
      <c r="K369" s="147"/>
      <c r="L369" s="147"/>
      <c r="M369" s="147"/>
    </row>
    <row r="370">
      <c r="A370" s="147"/>
      <c r="B370" s="147"/>
      <c r="C370" s="147"/>
      <c r="D370" s="147"/>
      <c r="E370" s="147"/>
      <c r="F370" s="147"/>
      <c r="G370" s="147"/>
      <c r="H370" s="147"/>
      <c r="I370" s="147"/>
      <c r="J370" s="147"/>
      <c r="K370" s="147"/>
      <c r="L370" s="147"/>
      <c r="M370" s="147"/>
    </row>
    <row r="371">
      <c r="A371" s="147"/>
      <c r="B371" s="147"/>
      <c r="C371" s="147"/>
      <c r="D371" s="147"/>
      <c r="E371" s="147"/>
      <c r="F371" s="147"/>
      <c r="G371" s="147"/>
      <c r="H371" s="147"/>
      <c r="I371" s="147"/>
      <c r="J371" s="147"/>
      <c r="K371" s="147"/>
      <c r="L371" s="147"/>
      <c r="M371" s="147"/>
    </row>
    <row r="372">
      <c r="A372" s="147"/>
      <c r="B372" s="147"/>
      <c r="C372" s="147"/>
      <c r="D372" s="147"/>
      <c r="E372" s="147"/>
      <c r="F372" s="147"/>
      <c r="G372" s="147"/>
      <c r="H372" s="147"/>
      <c r="I372" s="147"/>
      <c r="J372" s="147"/>
      <c r="K372" s="147"/>
      <c r="L372" s="147"/>
      <c r="M372" s="147"/>
    </row>
    <row r="373">
      <c r="A373" s="147"/>
      <c r="B373" s="147"/>
      <c r="C373" s="147"/>
      <c r="D373" s="147"/>
      <c r="E373" s="147"/>
      <c r="F373" s="147"/>
      <c r="G373" s="147"/>
      <c r="H373" s="147"/>
      <c r="I373" s="147"/>
      <c r="J373" s="147"/>
      <c r="K373" s="147"/>
      <c r="L373" s="147"/>
      <c r="M373" s="147"/>
    </row>
    <row r="374">
      <c r="A374" s="147"/>
      <c r="B374" s="147"/>
      <c r="C374" s="147"/>
      <c r="D374" s="147"/>
      <c r="E374" s="147"/>
      <c r="F374" s="147"/>
      <c r="G374" s="147"/>
      <c r="H374" s="147"/>
      <c r="I374" s="147"/>
      <c r="J374" s="147"/>
      <c r="K374" s="147"/>
      <c r="L374" s="147"/>
      <c r="M374" s="147"/>
    </row>
    <row r="375">
      <c r="A375" s="147"/>
      <c r="B375" s="147"/>
      <c r="C375" s="147"/>
      <c r="D375" s="147"/>
      <c r="E375" s="147"/>
      <c r="F375" s="147"/>
      <c r="G375" s="147"/>
      <c r="H375" s="147"/>
      <c r="I375" s="147"/>
      <c r="J375" s="147"/>
      <c r="K375" s="147"/>
      <c r="L375" s="147"/>
      <c r="M375" s="147"/>
    </row>
    <row r="376">
      <c r="A376" s="147"/>
      <c r="B376" s="147"/>
      <c r="C376" s="147"/>
      <c r="D376" s="147"/>
      <c r="E376" s="147"/>
      <c r="F376" s="147"/>
      <c r="G376" s="147"/>
      <c r="H376" s="147"/>
      <c r="I376" s="147"/>
      <c r="J376" s="147"/>
      <c r="K376" s="147"/>
      <c r="L376" s="147"/>
      <c r="M376" s="147"/>
    </row>
    <row r="377">
      <c r="A377" s="147"/>
      <c r="B377" s="147"/>
      <c r="C377" s="147"/>
      <c r="D377" s="147"/>
      <c r="E377" s="147"/>
      <c r="F377" s="147"/>
      <c r="G377" s="147"/>
      <c r="H377" s="147"/>
      <c r="I377" s="147"/>
      <c r="J377" s="147"/>
      <c r="K377" s="147"/>
      <c r="L377" s="147"/>
      <c r="M377" s="147"/>
    </row>
    <row r="378">
      <c r="A378" s="147"/>
      <c r="B378" s="147"/>
      <c r="C378" s="147"/>
      <c r="D378" s="147"/>
      <c r="E378" s="147"/>
      <c r="F378" s="147"/>
      <c r="G378" s="147"/>
      <c r="H378" s="147"/>
      <c r="I378" s="147"/>
      <c r="J378" s="147"/>
      <c r="K378" s="147"/>
      <c r="L378" s="147"/>
      <c r="M378" s="147"/>
    </row>
    <row r="379">
      <c r="A379" s="147"/>
      <c r="B379" s="147"/>
      <c r="C379" s="147"/>
      <c r="D379" s="147"/>
      <c r="E379" s="147"/>
      <c r="F379" s="147"/>
      <c r="G379" s="147"/>
      <c r="H379" s="147"/>
      <c r="I379" s="147"/>
      <c r="J379" s="147"/>
      <c r="K379" s="147"/>
      <c r="L379" s="147"/>
      <c r="M379" s="147"/>
    </row>
    <row r="380">
      <c r="A380" s="147"/>
      <c r="B380" s="147"/>
      <c r="C380" s="147"/>
      <c r="D380" s="147"/>
      <c r="E380" s="147"/>
      <c r="F380" s="147"/>
      <c r="G380" s="147"/>
      <c r="H380" s="147"/>
      <c r="I380" s="147"/>
      <c r="J380" s="147"/>
      <c r="K380" s="147"/>
      <c r="L380" s="147"/>
      <c r="M380" s="147"/>
    </row>
    <row r="381">
      <c r="A381" s="147"/>
      <c r="B381" s="147"/>
      <c r="C381" s="147"/>
      <c r="D381" s="147"/>
      <c r="E381" s="147"/>
      <c r="F381" s="147"/>
      <c r="G381" s="147"/>
      <c r="H381" s="147"/>
      <c r="I381" s="147"/>
      <c r="J381" s="147"/>
      <c r="K381" s="147"/>
      <c r="L381" s="147"/>
      <c r="M381" s="147"/>
    </row>
    <row r="382">
      <c r="A382" s="147"/>
      <c r="B382" s="147"/>
      <c r="C382" s="147"/>
      <c r="D382" s="147"/>
      <c r="E382" s="147"/>
      <c r="F382" s="147"/>
      <c r="G382" s="147"/>
      <c r="H382" s="147"/>
      <c r="I382" s="147"/>
      <c r="J382" s="147"/>
      <c r="K382" s="147"/>
      <c r="L382" s="147"/>
      <c r="M382" s="147"/>
    </row>
    <row r="383">
      <c r="A383" s="147"/>
      <c r="B383" s="147"/>
      <c r="C383" s="147"/>
      <c r="D383" s="147"/>
      <c r="E383" s="147"/>
      <c r="F383" s="147"/>
      <c r="G383" s="147"/>
      <c r="H383" s="147"/>
      <c r="I383" s="147"/>
      <c r="J383" s="147"/>
      <c r="K383" s="147"/>
      <c r="L383" s="147"/>
      <c r="M383" s="147"/>
    </row>
    <row r="384">
      <c r="A384" s="147"/>
      <c r="B384" s="147"/>
      <c r="C384" s="147"/>
      <c r="D384" s="147"/>
      <c r="E384" s="147"/>
      <c r="F384" s="147"/>
      <c r="G384" s="147"/>
      <c r="H384" s="147"/>
      <c r="I384" s="147"/>
      <c r="J384" s="147"/>
      <c r="K384" s="147"/>
      <c r="L384" s="147"/>
      <c r="M384" s="147"/>
    </row>
    <row r="385">
      <c r="A385" s="147"/>
      <c r="B385" s="147"/>
      <c r="C385" s="147"/>
      <c r="D385" s="147"/>
      <c r="E385" s="147"/>
      <c r="F385" s="147"/>
      <c r="G385" s="147"/>
      <c r="H385" s="147"/>
      <c r="I385" s="147"/>
      <c r="J385" s="147"/>
      <c r="K385" s="147"/>
      <c r="L385" s="147"/>
      <c r="M385" s="147"/>
    </row>
    <row r="386">
      <c r="A386" s="147"/>
      <c r="B386" s="147"/>
      <c r="C386" s="147"/>
      <c r="D386" s="147"/>
      <c r="E386" s="147"/>
      <c r="F386" s="147"/>
      <c r="G386" s="147"/>
      <c r="H386" s="147"/>
      <c r="I386" s="147"/>
      <c r="J386" s="147"/>
      <c r="K386" s="147"/>
      <c r="L386" s="147"/>
      <c r="M386" s="147"/>
    </row>
    <row r="387">
      <c r="A387" s="147"/>
      <c r="B387" s="147"/>
      <c r="C387" s="147"/>
      <c r="D387" s="147"/>
      <c r="E387" s="147"/>
      <c r="F387" s="147"/>
      <c r="G387" s="147"/>
      <c r="H387" s="147"/>
      <c r="I387" s="147"/>
      <c r="J387" s="147"/>
      <c r="K387" s="147"/>
      <c r="L387" s="147"/>
      <c r="M387" s="147"/>
    </row>
    <row r="388">
      <c r="A388" s="147"/>
      <c r="B388" s="147"/>
      <c r="C388" s="147"/>
      <c r="D388" s="147"/>
      <c r="E388" s="147"/>
      <c r="F388" s="147"/>
      <c r="G388" s="147"/>
      <c r="H388" s="147"/>
      <c r="I388" s="147"/>
      <c r="J388" s="147"/>
      <c r="K388" s="147"/>
      <c r="L388" s="147"/>
      <c r="M388" s="147"/>
    </row>
    <row r="389">
      <c r="A389" s="147"/>
      <c r="B389" s="147"/>
      <c r="C389" s="147"/>
      <c r="D389" s="147"/>
      <c r="E389" s="147"/>
      <c r="F389" s="147"/>
      <c r="G389" s="147"/>
      <c r="H389" s="147"/>
      <c r="I389" s="147"/>
      <c r="J389" s="147"/>
      <c r="K389" s="147"/>
      <c r="L389" s="147"/>
      <c r="M389" s="147"/>
    </row>
    <row r="390">
      <c r="A390" s="147"/>
      <c r="B390" s="147"/>
      <c r="C390" s="147"/>
      <c r="D390" s="147"/>
      <c r="E390" s="147"/>
      <c r="F390" s="147"/>
      <c r="G390" s="147"/>
      <c r="H390" s="147"/>
      <c r="I390" s="147"/>
      <c r="J390" s="147"/>
      <c r="K390" s="147"/>
      <c r="L390" s="147"/>
      <c r="M390" s="147"/>
    </row>
    <row r="391">
      <c r="A391" s="147"/>
      <c r="B391" s="147"/>
      <c r="C391" s="147"/>
      <c r="D391" s="147"/>
      <c r="E391" s="147"/>
      <c r="F391" s="147"/>
      <c r="G391" s="147"/>
      <c r="H391" s="147"/>
      <c r="I391" s="147"/>
      <c r="J391" s="147"/>
      <c r="K391" s="147"/>
      <c r="L391" s="147"/>
      <c r="M391" s="147"/>
    </row>
    <row r="392">
      <c r="A392" s="147"/>
      <c r="B392" s="147"/>
      <c r="C392" s="147"/>
      <c r="D392" s="147"/>
      <c r="E392" s="147"/>
      <c r="F392" s="147"/>
      <c r="G392" s="147"/>
      <c r="H392" s="147"/>
      <c r="I392" s="147"/>
      <c r="J392" s="147"/>
      <c r="K392" s="147"/>
      <c r="L392" s="147"/>
      <c r="M392" s="147"/>
    </row>
    <row r="393">
      <c r="A393" s="147"/>
      <c r="B393" s="147"/>
      <c r="C393" s="147"/>
      <c r="D393" s="147"/>
      <c r="E393" s="147"/>
      <c r="F393" s="147"/>
      <c r="G393" s="147"/>
      <c r="H393" s="147"/>
      <c r="I393" s="147"/>
      <c r="J393" s="147"/>
      <c r="K393" s="147"/>
      <c r="L393" s="147"/>
      <c r="M393" s="147"/>
    </row>
    <row r="394">
      <c r="A394" s="147"/>
      <c r="B394" s="147"/>
      <c r="C394" s="147"/>
      <c r="D394" s="147"/>
      <c r="E394" s="147"/>
      <c r="F394" s="147"/>
      <c r="G394" s="147"/>
      <c r="H394" s="147"/>
      <c r="I394" s="147"/>
      <c r="J394" s="147"/>
      <c r="K394" s="147"/>
      <c r="L394" s="147"/>
      <c r="M394" s="147"/>
    </row>
    <row r="395">
      <c r="A395" s="147"/>
      <c r="B395" s="147"/>
      <c r="C395" s="147"/>
      <c r="D395" s="147"/>
      <c r="E395" s="147"/>
      <c r="F395" s="147"/>
      <c r="G395" s="147"/>
      <c r="H395" s="147"/>
      <c r="I395" s="147"/>
      <c r="J395" s="147"/>
      <c r="K395" s="147"/>
      <c r="L395" s="147"/>
      <c r="M395" s="147"/>
    </row>
    <row r="396">
      <c r="A396" s="147"/>
      <c r="B396" s="147"/>
      <c r="C396" s="147"/>
      <c r="D396" s="147"/>
      <c r="E396" s="147"/>
      <c r="F396" s="147"/>
      <c r="G396" s="147"/>
      <c r="H396" s="147"/>
      <c r="I396" s="147"/>
      <c r="J396" s="147"/>
      <c r="K396" s="147"/>
      <c r="L396" s="147"/>
      <c r="M396" s="147"/>
    </row>
    <row r="397">
      <c r="A397" s="147"/>
      <c r="B397" s="147"/>
      <c r="C397" s="147"/>
      <c r="D397" s="147"/>
      <c r="E397" s="147"/>
      <c r="F397" s="147"/>
      <c r="G397" s="147"/>
      <c r="H397" s="147"/>
      <c r="I397" s="147"/>
      <c r="J397" s="147"/>
      <c r="K397" s="147"/>
      <c r="L397" s="147"/>
      <c r="M397" s="147"/>
    </row>
    <row r="398">
      <c r="A398" s="147"/>
      <c r="B398" s="147"/>
      <c r="C398" s="147"/>
      <c r="D398" s="147"/>
      <c r="E398" s="147"/>
      <c r="F398" s="147"/>
      <c r="G398" s="147"/>
      <c r="H398" s="147"/>
      <c r="I398" s="147"/>
      <c r="J398" s="147"/>
      <c r="K398" s="147"/>
      <c r="L398" s="147"/>
      <c r="M398" s="147"/>
    </row>
    <row r="399">
      <c r="A399" s="147"/>
      <c r="B399" s="147"/>
      <c r="C399" s="147"/>
      <c r="D399" s="147"/>
      <c r="E399" s="147"/>
      <c r="F399" s="147"/>
      <c r="G399" s="147"/>
      <c r="H399" s="147"/>
      <c r="I399" s="147"/>
      <c r="J399" s="147"/>
      <c r="K399" s="147"/>
      <c r="L399" s="147"/>
      <c r="M399" s="147"/>
    </row>
    <row r="400">
      <c r="A400" s="147"/>
      <c r="B400" s="147"/>
      <c r="C400" s="147"/>
      <c r="D400" s="147"/>
      <c r="E400" s="147"/>
      <c r="F400" s="147"/>
      <c r="G400" s="147"/>
      <c r="H400" s="147"/>
      <c r="I400" s="147"/>
      <c r="J400" s="147"/>
      <c r="K400" s="147"/>
      <c r="L400" s="147"/>
      <c r="M400" s="147"/>
    </row>
    <row r="401">
      <c r="A401" s="147"/>
      <c r="B401" s="147"/>
      <c r="C401" s="147"/>
      <c r="D401" s="147"/>
      <c r="E401" s="147"/>
      <c r="F401" s="147"/>
      <c r="G401" s="147"/>
      <c r="H401" s="147"/>
      <c r="I401" s="147"/>
      <c r="J401" s="147"/>
      <c r="K401" s="147"/>
      <c r="L401" s="147"/>
      <c r="M401" s="147"/>
    </row>
    <row r="402">
      <c r="A402" s="147"/>
      <c r="B402" s="147"/>
      <c r="C402" s="147"/>
      <c r="D402" s="147"/>
      <c r="E402" s="147"/>
      <c r="F402" s="147"/>
      <c r="G402" s="147"/>
      <c r="H402" s="147"/>
      <c r="I402" s="147"/>
      <c r="J402" s="147"/>
      <c r="K402" s="147"/>
      <c r="L402" s="147"/>
      <c r="M402" s="147"/>
    </row>
    <row r="403">
      <c r="A403" s="147"/>
      <c r="B403" s="147"/>
      <c r="C403" s="147"/>
      <c r="D403" s="147"/>
      <c r="E403" s="147"/>
      <c r="F403" s="147"/>
      <c r="G403" s="147"/>
      <c r="H403" s="147"/>
      <c r="I403" s="147"/>
      <c r="J403" s="147"/>
      <c r="K403" s="147"/>
      <c r="L403" s="147"/>
      <c r="M403" s="147"/>
    </row>
    <row r="404">
      <c r="A404" s="147"/>
      <c r="B404" s="147"/>
      <c r="C404" s="147"/>
      <c r="D404" s="147"/>
      <c r="E404" s="147"/>
      <c r="F404" s="147"/>
      <c r="G404" s="147"/>
      <c r="H404" s="147"/>
      <c r="I404" s="147"/>
      <c r="J404" s="147"/>
      <c r="K404" s="147"/>
      <c r="L404" s="147"/>
      <c r="M404" s="147"/>
    </row>
    <row r="405">
      <c r="A405" s="147"/>
      <c r="B405" s="147"/>
      <c r="C405" s="147"/>
      <c r="D405" s="147"/>
      <c r="E405" s="147"/>
      <c r="F405" s="147"/>
      <c r="G405" s="147"/>
      <c r="H405" s="147"/>
      <c r="I405" s="147"/>
      <c r="J405" s="147"/>
      <c r="K405" s="147"/>
      <c r="L405" s="147"/>
      <c r="M405" s="147"/>
    </row>
    <row r="406">
      <c r="A406" s="147"/>
      <c r="B406" s="147"/>
      <c r="C406" s="147"/>
      <c r="D406" s="147"/>
      <c r="E406" s="147"/>
      <c r="F406" s="147"/>
      <c r="G406" s="147"/>
      <c r="H406" s="147"/>
      <c r="I406" s="147"/>
      <c r="J406" s="147"/>
      <c r="K406" s="147"/>
      <c r="L406" s="147"/>
      <c r="M406" s="147"/>
    </row>
    <row r="407">
      <c r="A407" s="147"/>
      <c r="B407" s="147"/>
      <c r="C407" s="147"/>
      <c r="D407" s="147"/>
      <c r="E407" s="147"/>
      <c r="F407" s="147"/>
      <c r="G407" s="147"/>
      <c r="H407" s="147"/>
      <c r="I407" s="147"/>
      <c r="J407" s="147"/>
      <c r="K407" s="147"/>
      <c r="L407" s="147"/>
      <c r="M407" s="147"/>
    </row>
    <row r="408">
      <c r="A408" s="147"/>
      <c r="B408" s="147"/>
      <c r="C408" s="147"/>
      <c r="D408" s="147"/>
      <c r="E408" s="147"/>
      <c r="F408" s="147"/>
      <c r="G408" s="147"/>
      <c r="H408" s="147"/>
      <c r="I408" s="147"/>
      <c r="J408" s="147"/>
      <c r="K408" s="147"/>
      <c r="L408" s="147"/>
      <c r="M408" s="147"/>
    </row>
    <row r="409">
      <c r="A409" s="147"/>
      <c r="B409" s="147"/>
      <c r="C409" s="147"/>
      <c r="D409" s="147"/>
      <c r="E409" s="147"/>
      <c r="F409" s="147"/>
      <c r="G409" s="147"/>
      <c r="H409" s="147"/>
      <c r="I409" s="147"/>
      <c r="J409" s="147"/>
      <c r="K409" s="147"/>
      <c r="L409" s="147"/>
      <c r="M409" s="147"/>
    </row>
    <row r="410">
      <c r="A410" s="147"/>
      <c r="B410" s="147"/>
      <c r="C410" s="147"/>
      <c r="D410" s="147"/>
      <c r="E410" s="147"/>
      <c r="F410" s="147"/>
      <c r="G410" s="147"/>
      <c r="H410" s="147"/>
      <c r="I410" s="147"/>
      <c r="J410" s="147"/>
      <c r="K410" s="147"/>
      <c r="L410" s="147"/>
      <c r="M410" s="147"/>
    </row>
    <row r="411">
      <c r="A411" s="147"/>
      <c r="B411" s="147"/>
      <c r="C411" s="147"/>
      <c r="D411" s="147"/>
      <c r="E411" s="147"/>
      <c r="F411" s="147"/>
      <c r="G411" s="147"/>
      <c r="H411" s="147"/>
      <c r="I411" s="147"/>
      <c r="J411" s="147"/>
      <c r="K411" s="147"/>
      <c r="L411" s="147"/>
      <c r="M411" s="147"/>
    </row>
    <row r="412">
      <c r="A412" s="147"/>
      <c r="B412" s="147"/>
      <c r="C412" s="147"/>
      <c r="D412" s="147"/>
      <c r="E412" s="147"/>
      <c r="F412" s="147"/>
      <c r="G412" s="147"/>
      <c r="H412" s="147"/>
      <c r="I412" s="147"/>
      <c r="J412" s="147"/>
      <c r="K412" s="147"/>
      <c r="L412" s="147"/>
      <c r="M412" s="147"/>
    </row>
    <row r="413">
      <c r="A413" s="147"/>
      <c r="B413" s="147"/>
      <c r="C413" s="147"/>
      <c r="D413" s="147"/>
      <c r="E413" s="147"/>
      <c r="F413" s="147"/>
      <c r="G413" s="147"/>
      <c r="H413" s="147"/>
      <c r="I413" s="147"/>
      <c r="J413" s="147"/>
      <c r="K413" s="147"/>
      <c r="L413" s="147"/>
      <c r="M413" s="147"/>
    </row>
    <row r="414">
      <c r="A414" s="147"/>
      <c r="B414" s="147"/>
      <c r="C414" s="147"/>
      <c r="D414" s="147"/>
      <c r="E414" s="147"/>
      <c r="F414" s="147"/>
      <c r="G414" s="147"/>
      <c r="H414" s="147"/>
      <c r="I414" s="147"/>
      <c r="J414" s="147"/>
      <c r="K414" s="147"/>
      <c r="L414" s="147"/>
      <c r="M414" s="147"/>
    </row>
    <row r="415">
      <c r="A415" s="147"/>
      <c r="B415" s="147"/>
      <c r="C415" s="147"/>
      <c r="D415" s="147"/>
      <c r="E415" s="147"/>
      <c r="F415" s="147"/>
      <c r="G415" s="147"/>
      <c r="H415" s="147"/>
      <c r="I415" s="147"/>
      <c r="J415" s="147"/>
      <c r="K415" s="147"/>
      <c r="L415" s="147"/>
      <c r="M415" s="147"/>
    </row>
    <row r="416">
      <c r="A416" s="147"/>
      <c r="B416" s="147"/>
      <c r="C416" s="147"/>
      <c r="D416" s="147"/>
      <c r="E416" s="147"/>
      <c r="F416" s="147"/>
      <c r="G416" s="147"/>
      <c r="H416" s="147"/>
      <c r="I416" s="147"/>
      <c r="J416" s="147"/>
      <c r="K416" s="147"/>
      <c r="L416" s="147"/>
      <c r="M416" s="147"/>
    </row>
    <row r="417">
      <c r="A417" s="147"/>
      <c r="B417" s="147"/>
      <c r="C417" s="147"/>
      <c r="D417" s="147"/>
      <c r="E417" s="147"/>
      <c r="F417" s="147"/>
      <c r="G417" s="147"/>
      <c r="H417" s="147"/>
      <c r="I417" s="147"/>
      <c r="J417" s="147"/>
      <c r="K417" s="147"/>
      <c r="L417" s="147"/>
      <c r="M417" s="147"/>
    </row>
    <row r="418">
      <c r="A418" s="147"/>
      <c r="B418" s="147"/>
      <c r="C418" s="147"/>
      <c r="D418" s="147"/>
      <c r="E418" s="147"/>
      <c r="F418" s="147"/>
      <c r="G418" s="147"/>
      <c r="H418" s="147"/>
      <c r="I418" s="147"/>
      <c r="J418" s="147"/>
      <c r="K418" s="147"/>
      <c r="L418" s="147"/>
      <c r="M418" s="147"/>
    </row>
    <row r="419">
      <c r="A419" s="147"/>
      <c r="B419" s="147"/>
      <c r="C419" s="147"/>
      <c r="D419" s="147"/>
      <c r="E419" s="147"/>
      <c r="F419" s="147"/>
      <c r="G419" s="147"/>
      <c r="H419" s="147"/>
      <c r="I419" s="147"/>
      <c r="J419" s="147"/>
      <c r="K419" s="147"/>
      <c r="L419" s="147"/>
      <c r="M419" s="147"/>
    </row>
    <row r="420">
      <c r="A420" s="147"/>
      <c r="B420" s="147"/>
      <c r="C420" s="147"/>
      <c r="D420" s="147"/>
      <c r="E420" s="147"/>
      <c r="F420" s="147"/>
      <c r="G420" s="147"/>
      <c r="H420" s="147"/>
      <c r="I420" s="147"/>
      <c r="J420" s="147"/>
      <c r="K420" s="147"/>
      <c r="L420" s="147"/>
      <c r="M420" s="147"/>
    </row>
    <row r="421">
      <c r="A421" s="147"/>
      <c r="B421" s="147"/>
      <c r="C421" s="147"/>
      <c r="D421" s="147"/>
      <c r="E421" s="147"/>
      <c r="F421" s="147"/>
      <c r="G421" s="147"/>
      <c r="H421" s="147"/>
      <c r="I421" s="147"/>
      <c r="J421" s="147"/>
      <c r="K421" s="147"/>
      <c r="L421" s="147"/>
      <c r="M421" s="147"/>
    </row>
    <row r="422">
      <c r="A422" s="147"/>
      <c r="B422" s="147"/>
      <c r="C422" s="147"/>
      <c r="D422" s="147"/>
      <c r="E422" s="147"/>
      <c r="F422" s="147"/>
      <c r="G422" s="147"/>
      <c r="H422" s="147"/>
      <c r="I422" s="147"/>
      <c r="J422" s="147"/>
      <c r="K422" s="147"/>
      <c r="L422" s="147"/>
      <c r="M422" s="147"/>
    </row>
    <row r="423">
      <c r="A423" s="147"/>
      <c r="B423" s="147"/>
      <c r="C423" s="147"/>
      <c r="D423" s="147"/>
      <c r="E423" s="147"/>
      <c r="F423" s="147"/>
      <c r="G423" s="147"/>
      <c r="H423" s="147"/>
      <c r="I423" s="147"/>
      <c r="J423" s="147"/>
      <c r="K423" s="147"/>
      <c r="L423" s="147"/>
      <c r="M423" s="147"/>
    </row>
    <row r="424">
      <c r="A424" s="147"/>
      <c r="B424" s="147"/>
      <c r="C424" s="147"/>
      <c r="D424" s="147"/>
      <c r="E424" s="147"/>
      <c r="F424" s="147"/>
      <c r="G424" s="147"/>
      <c r="H424" s="147"/>
      <c r="I424" s="147"/>
      <c r="J424" s="147"/>
      <c r="K424" s="147"/>
      <c r="L424" s="147"/>
      <c r="M424" s="147"/>
    </row>
    <row r="425">
      <c r="A425" s="147"/>
      <c r="B425" s="147"/>
      <c r="C425" s="147"/>
      <c r="D425" s="147"/>
      <c r="E425" s="147"/>
      <c r="F425" s="147"/>
      <c r="G425" s="147"/>
      <c r="H425" s="147"/>
      <c r="I425" s="147"/>
      <c r="J425" s="147"/>
      <c r="K425" s="147"/>
      <c r="L425" s="147"/>
      <c r="M425" s="147"/>
    </row>
    <row r="426">
      <c r="A426" s="147"/>
      <c r="B426" s="147"/>
      <c r="C426" s="147"/>
      <c r="D426" s="147"/>
      <c r="E426" s="147"/>
      <c r="F426" s="147"/>
      <c r="G426" s="147"/>
      <c r="H426" s="147"/>
      <c r="I426" s="147"/>
      <c r="J426" s="147"/>
      <c r="K426" s="147"/>
      <c r="L426" s="147"/>
      <c r="M426" s="147"/>
    </row>
    <row r="427">
      <c r="A427" s="147"/>
      <c r="B427" s="147"/>
      <c r="C427" s="147"/>
      <c r="D427" s="147"/>
      <c r="E427" s="147"/>
      <c r="F427" s="147"/>
      <c r="G427" s="147"/>
      <c r="H427" s="147"/>
      <c r="I427" s="147"/>
      <c r="J427" s="147"/>
      <c r="K427" s="147"/>
      <c r="L427" s="147"/>
      <c r="M427" s="147"/>
    </row>
    <row r="428">
      <c r="A428" s="147"/>
      <c r="B428" s="147"/>
      <c r="C428" s="147"/>
      <c r="D428" s="147"/>
      <c r="E428" s="147"/>
      <c r="F428" s="147"/>
      <c r="G428" s="147"/>
      <c r="H428" s="147"/>
      <c r="I428" s="147"/>
      <c r="J428" s="147"/>
      <c r="K428" s="147"/>
      <c r="L428" s="147"/>
      <c r="M428" s="147"/>
    </row>
    <row r="429">
      <c r="A429" s="147"/>
      <c r="B429" s="147"/>
      <c r="C429" s="147"/>
      <c r="D429" s="147"/>
      <c r="E429" s="147"/>
      <c r="F429" s="147"/>
      <c r="G429" s="147"/>
      <c r="H429" s="147"/>
      <c r="I429" s="147"/>
      <c r="J429" s="147"/>
      <c r="K429" s="147"/>
      <c r="L429" s="147"/>
      <c r="M429" s="147"/>
    </row>
    <row r="430">
      <c r="A430" s="147"/>
      <c r="B430" s="147"/>
      <c r="C430" s="147"/>
      <c r="D430" s="147"/>
      <c r="E430" s="147"/>
      <c r="F430" s="147"/>
      <c r="G430" s="147"/>
      <c r="H430" s="147"/>
      <c r="I430" s="147"/>
      <c r="J430" s="147"/>
      <c r="K430" s="147"/>
      <c r="L430" s="147"/>
      <c r="M430" s="147"/>
    </row>
    <row r="431">
      <c r="A431" s="147"/>
      <c r="B431" s="147"/>
      <c r="C431" s="147"/>
      <c r="D431" s="147"/>
      <c r="E431" s="147"/>
      <c r="F431" s="147"/>
      <c r="G431" s="147"/>
      <c r="H431" s="147"/>
      <c r="I431" s="147"/>
      <c r="J431" s="147"/>
      <c r="K431" s="147"/>
      <c r="L431" s="147"/>
      <c r="M431" s="147"/>
    </row>
    <row r="432">
      <c r="A432" s="147"/>
      <c r="B432" s="147"/>
      <c r="C432" s="147"/>
      <c r="D432" s="147"/>
      <c r="E432" s="147"/>
      <c r="F432" s="147"/>
      <c r="G432" s="147"/>
      <c r="H432" s="147"/>
      <c r="I432" s="147"/>
      <c r="J432" s="147"/>
      <c r="K432" s="147"/>
      <c r="L432" s="147"/>
      <c r="M432" s="147"/>
    </row>
    <row r="433">
      <c r="A433" s="147"/>
      <c r="B433" s="147"/>
      <c r="C433" s="147"/>
      <c r="D433" s="147"/>
      <c r="E433" s="147"/>
      <c r="F433" s="147"/>
      <c r="G433" s="147"/>
      <c r="H433" s="147"/>
      <c r="I433" s="147"/>
      <c r="J433" s="147"/>
      <c r="K433" s="147"/>
      <c r="L433" s="147"/>
      <c r="M433" s="147"/>
    </row>
    <row r="434">
      <c r="A434" s="147"/>
      <c r="B434" s="147"/>
      <c r="C434" s="147"/>
      <c r="D434" s="147"/>
      <c r="E434" s="147"/>
      <c r="F434" s="147"/>
      <c r="G434" s="147"/>
      <c r="H434" s="147"/>
      <c r="I434" s="147"/>
      <c r="J434" s="147"/>
      <c r="K434" s="147"/>
      <c r="L434" s="147"/>
      <c r="M434" s="147"/>
    </row>
    <row r="435">
      <c r="A435" s="147"/>
      <c r="B435" s="147"/>
      <c r="C435" s="147"/>
      <c r="D435" s="147"/>
      <c r="E435" s="147"/>
      <c r="F435" s="147"/>
      <c r="G435" s="147"/>
      <c r="H435" s="147"/>
      <c r="I435" s="147"/>
      <c r="J435" s="147"/>
      <c r="K435" s="147"/>
      <c r="L435" s="147"/>
      <c r="M435" s="147"/>
    </row>
    <row r="436">
      <c r="A436" s="147"/>
      <c r="B436" s="147"/>
      <c r="C436" s="147"/>
      <c r="D436" s="147"/>
      <c r="E436" s="147"/>
      <c r="F436" s="147"/>
      <c r="G436" s="147"/>
      <c r="H436" s="147"/>
      <c r="I436" s="147"/>
      <c r="J436" s="147"/>
      <c r="K436" s="147"/>
      <c r="L436" s="147"/>
      <c r="M436" s="147"/>
    </row>
    <row r="437">
      <c r="A437" s="147"/>
      <c r="B437" s="147"/>
      <c r="C437" s="147"/>
      <c r="D437" s="147"/>
      <c r="E437" s="147"/>
      <c r="F437" s="147"/>
      <c r="G437" s="147"/>
      <c r="H437" s="147"/>
      <c r="I437" s="147"/>
      <c r="J437" s="147"/>
      <c r="K437" s="147"/>
      <c r="L437" s="147"/>
      <c r="M437" s="147"/>
    </row>
    <row r="438">
      <c r="A438" s="147"/>
      <c r="B438" s="147"/>
      <c r="C438" s="147"/>
      <c r="D438" s="147"/>
      <c r="E438" s="147"/>
      <c r="F438" s="147"/>
      <c r="G438" s="147"/>
      <c r="H438" s="147"/>
      <c r="I438" s="147"/>
      <c r="J438" s="147"/>
      <c r="K438" s="147"/>
      <c r="L438" s="147"/>
      <c r="M438" s="147"/>
    </row>
    <row r="439">
      <c r="A439" s="147"/>
      <c r="B439" s="147"/>
      <c r="C439" s="147"/>
      <c r="D439" s="147"/>
      <c r="E439" s="147"/>
      <c r="F439" s="147"/>
      <c r="G439" s="147"/>
      <c r="H439" s="147"/>
      <c r="I439" s="147"/>
      <c r="J439" s="147"/>
      <c r="K439" s="147"/>
      <c r="L439" s="147"/>
      <c r="M439" s="147"/>
    </row>
    <row r="440">
      <c r="A440" s="147"/>
      <c r="B440" s="147"/>
      <c r="C440" s="147"/>
      <c r="D440" s="147"/>
      <c r="E440" s="147"/>
      <c r="F440" s="147"/>
      <c r="G440" s="147"/>
      <c r="H440" s="147"/>
      <c r="I440" s="147"/>
      <c r="J440" s="147"/>
      <c r="K440" s="147"/>
      <c r="L440" s="147"/>
      <c r="M440" s="147"/>
    </row>
    <row r="441">
      <c r="A441" s="147"/>
      <c r="B441" s="147"/>
      <c r="C441" s="147"/>
      <c r="D441" s="147"/>
      <c r="E441" s="147"/>
      <c r="F441" s="147"/>
      <c r="G441" s="147"/>
      <c r="H441" s="147"/>
      <c r="I441" s="147"/>
      <c r="J441" s="147"/>
      <c r="K441" s="147"/>
      <c r="L441" s="147"/>
      <c r="M441" s="147"/>
    </row>
    <row r="442">
      <c r="A442" s="147"/>
      <c r="B442" s="147"/>
      <c r="C442" s="147"/>
      <c r="D442" s="147"/>
      <c r="E442" s="147"/>
      <c r="F442" s="147"/>
      <c r="G442" s="147"/>
      <c r="H442" s="147"/>
      <c r="I442" s="147"/>
      <c r="J442" s="147"/>
      <c r="K442" s="147"/>
      <c r="L442" s="147"/>
      <c r="M442" s="147"/>
    </row>
    <row r="443">
      <c r="A443" s="147"/>
      <c r="B443" s="147"/>
      <c r="C443" s="147"/>
      <c r="D443" s="147"/>
      <c r="E443" s="147"/>
      <c r="F443" s="147"/>
      <c r="G443" s="147"/>
      <c r="H443" s="147"/>
      <c r="I443" s="147"/>
      <c r="J443" s="147"/>
      <c r="K443" s="147"/>
      <c r="L443" s="147"/>
      <c r="M443" s="147"/>
    </row>
    <row r="444">
      <c r="A444" s="147"/>
      <c r="B444" s="147"/>
      <c r="C444" s="147"/>
      <c r="D444" s="147"/>
      <c r="E444" s="147"/>
      <c r="F444" s="147"/>
      <c r="G444" s="147"/>
      <c r="H444" s="147"/>
      <c r="I444" s="147"/>
      <c r="J444" s="147"/>
      <c r="K444" s="147"/>
      <c r="L444" s="147"/>
      <c r="M444" s="147"/>
    </row>
    <row r="445">
      <c r="A445" s="147"/>
      <c r="B445" s="147"/>
      <c r="C445" s="147"/>
      <c r="D445" s="147"/>
      <c r="E445" s="147"/>
      <c r="F445" s="147"/>
      <c r="G445" s="147"/>
      <c r="H445" s="147"/>
      <c r="I445" s="147"/>
      <c r="J445" s="147"/>
      <c r="K445" s="147"/>
      <c r="L445" s="147"/>
      <c r="M445" s="147"/>
    </row>
    <row r="446">
      <c r="A446" s="147"/>
      <c r="B446" s="147"/>
      <c r="C446" s="147"/>
      <c r="D446" s="147"/>
      <c r="E446" s="147"/>
      <c r="F446" s="147"/>
      <c r="G446" s="147"/>
      <c r="H446" s="147"/>
      <c r="I446" s="147"/>
      <c r="J446" s="147"/>
      <c r="K446" s="147"/>
      <c r="L446" s="147"/>
      <c r="M446" s="147"/>
    </row>
    <row r="447">
      <c r="A447" s="147"/>
      <c r="B447" s="147"/>
      <c r="C447" s="147"/>
      <c r="D447" s="147"/>
      <c r="E447" s="147"/>
      <c r="F447" s="147"/>
      <c r="G447" s="147"/>
      <c r="H447" s="147"/>
      <c r="I447" s="147"/>
      <c r="J447" s="147"/>
      <c r="K447" s="147"/>
      <c r="L447" s="147"/>
      <c r="M447" s="147"/>
    </row>
    <row r="448">
      <c r="A448" s="147"/>
      <c r="B448" s="147"/>
      <c r="C448" s="147"/>
      <c r="D448" s="147"/>
      <c r="E448" s="147"/>
      <c r="F448" s="147"/>
      <c r="G448" s="147"/>
      <c r="H448" s="147"/>
      <c r="I448" s="147"/>
      <c r="J448" s="147"/>
      <c r="K448" s="147"/>
      <c r="L448" s="147"/>
      <c r="M448" s="147"/>
    </row>
    <row r="449">
      <c r="A449" s="147"/>
      <c r="B449" s="147"/>
      <c r="C449" s="147"/>
      <c r="D449" s="147"/>
      <c r="E449" s="147"/>
      <c r="F449" s="147"/>
      <c r="G449" s="147"/>
      <c r="H449" s="147"/>
      <c r="I449" s="147"/>
      <c r="J449" s="147"/>
      <c r="K449" s="147"/>
      <c r="L449" s="147"/>
      <c r="M449" s="147"/>
    </row>
    <row r="450">
      <c r="A450" s="147"/>
      <c r="B450" s="147"/>
      <c r="C450" s="147"/>
      <c r="D450" s="147"/>
      <c r="E450" s="147"/>
      <c r="F450" s="147"/>
      <c r="G450" s="147"/>
      <c r="H450" s="147"/>
      <c r="I450" s="147"/>
      <c r="J450" s="147"/>
      <c r="K450" s="147"/>
      <c r="L450" s="147"/>
      <c r="M450" s="147"/>
    </row>
    <row r="451">
      <c r="A451" s="147"/>
      <c r="B451" s="147"/>
      <c r="C451" s="147"/>
      <c r="D451" s="147"/>
      <c r="E451" s="147"/>
      <c r="F451" s="147"/>
      <c r="G451" s="147"/>
      <c r="H451" s="147"/>
      <c r="I451" s="147"/>
      <c r="J451" s="147"/>
      <c r="K451" s="147"/>
      <c r="L451" s="147"/>
      <c r="M451" s="147"/>
    </row>
    <row r="452">
      <c r="A452" s="147"/>
      <c r="B452" s="147"/>
      <c r="C452" s="147"/>
      <c r="D452" s="147"/>
      <c r="E452" s="147"/>
      <c r="F452" s="147"/>
      <c r="G452" s="147"/>
      <c r="H452" s="147"/>
      <c r="I452" s="147"/>
      <c r="J452" s="147"/>
      <c r="K452" s="147"/>
      <c r="L452" s="147"/>
      <c r="M452" s="147"/>
    </row>
    <row r="453">
      <c r="A453" s="147"/>
      <c r="B453" s="147"/>
      <c r="C453" s="147"/>
      <c r="D453" s="147"/>
      <c r="E453" s="147"/>
      <c r="F453" s="147"/>
      <c r="G453" s="147"/>
      <c r="H453" s="147"/>
      <c r="I453" s="147"/>
      <c r="J453" s="147"/>
      <c r="K453" s="147"/>
      <c r="L453" s="147"/>
      <c r="M453" s="147"/>
    </row>
    <row r="454">
      <c r="A454" s="147"/>
      <c r="B454" s="147"/>
      <c r="C454" s="147"/>
      <c r="D454" s="147"/>
      <c r="E454" s="147"/>
      <c r="F454" s="147"/>
      <c r="G454" s="147"/>
      <c r="H454" s="147"/>
      <c r="I454" s="147"/>
      <c r="J454" s="147"/>
      <c r="K454" s="147"/>
      <c r="L454" s="147"/>
      <c r="M454" s="147"/>
    </row>
    <row r="455">
      <c r="A455" s="147"/>
      <c r="B455" s="147"/>
      <c r="C455" s="147"/>
      <c r="D455" s="147"/>
      <c r="E455" s="147"/>
      <c r="F455" s="147"/>
      <c r="G455" s="147"/>
      <c r="H455" s="147"/>
      <c r="I455" s="147"/>
      <c r="J455" s="147"/>
      <c r="K455" s="147"/>
      <c r="L455" s="147"/>
      <c r="M455" s="147"/>
    </row>
    <row r="456">
      <c r="A456" s="147"/>
      <c r="B456" s="147"/>
      <c r="C456" s="147"/>
      <c r="D456" s="147"/>
      <c r="E456" s="147"/>
      <c r="F456" s="147"/>
      <c r="G456" s="147"/>
      <c r="H456" s="147"/>
      <c r="I456" s="147"/>
      <c r="J456" s="147"/>
      <c r="K456" s="147"/>
      <c r="L456" s="147"/>
      <c r="M456" s="147"/>
    </row>
    <row r="457">
      <c r="A457" s="147"/>
      <c r="B457" s="147"/>
      <c r="C457" s="147"/>
      <c r="D457" s="147"/>
      <c r="E457" s="147"/>
      <c r="F457" s="147"/>
      <c r="G457" s="147"/>
      <c r="H457" s="147"/>
      <c r="I457" s="147"/>
      <c r="J457" s="147"/>
      <c r="K457" s="147"/>
      <c r="L457" s="147"/>
      <c r="M457" s="147"/>
    </row>
    <row r="458">
      <c r="A458" s="147"/>
      <c r="B458" s="147"/>
      <c r="C458" s="147"/>
      <c r="D458" s="147"/>
      <c r="E458" s="147"/>
      <c r="F458" s="147"/>
      <c r="G458" s="147"/>
      <c r="H458" s="147"/>
      <c r="I458" s="147"/>
      <c r="J458" s="147"/>
      <c r="K458" s="147"/>
      <c r="L458" s="147"/>
      <c r="M458" s="147"/>
    </row>
    <row r="459">
      <c r="A459" s="147"/>
      <c r="B459" s="147"/>
      <c r="C459" s="147"/>
      <c r="D459" s="147"/>
      <c r="E459" s="147"/>
      <c r="F459" s="147"/>
      <c r="G459" s="147"/>
      <c r="H459" s="147"/>
      <c r="I459" s="147"/>
      <c r="J459" s="147"/>
      <c r="K459" s="147"/>
      <c r="L459" s="147"/>
      <c r="M459" s="147"/>
    </row>
    <row r="460">
      <c r="A460" s="147"/>
      <c r="B460" s="147"/>
      <c r="C460" s="147"/>
      <c r="D460" s="147"/>
      <c r="E460" s="147"/>
      <c r="F460" s="147"/>
      <c r="G460" s="147"/>
      <c r="H460" s="147"/>
      <c r="I460" s="147"/>
      <c r="J460" s="147"/>
      <c r="K460" s="147"/>
      <c r="L460" s="147"/>
      <c r="M460" s="147"/>
    </row>
    <row r="461">
      <c r="A461" s="147"/>
      <c r="B461" s="147"/>
      <c r="C461" s="147"/>
      <c r="D461" s="147"/>
      <c r="E461" s="147"/>
      <c r="F461" s="147"/>
      <c r="G461" s="147"/>
      <c r="H461" s="147"/>
      <c r="I461" s="147"/>
      <c r="J461" s="147"/>
      <c r="K461" s="147"/>
      <c r="L461" s="147"/>
      <c r="M461" s="147"/>
    </row>
    <row r="462">
      <c r="A462" s="147"/>
      <c r="B462" s="147"/>
      <c r="C462" s="147"/>
      <c r="D462" s="147"/>
      <c r="E462" s="147"/>
      <c r="F462" s="147"/>
      <c r="G462" s="147"/>
      <c r="H462" s="147"/>
      <c r="I462" s="147"/>
      <c r="J462" s="147"/>
      <c r="K462" s="147"/>
      <c r="L462" s="147"/>
      <c r="M462" s="147"/>
    </row>
    <row r="463">
      <c r="A463" s="147"/>
      <c r="B463" s="147"/>
      <c r="C463" s="147"/>
      <c r="D463" s="147"/>
      <c r="E463" s="147"/>
      <c r="F463" s="147"/>
      <c r="G463" s="147"/>
      <c r="H463" s="147"/>
      <c r="I463" s="147"/>
      <c r="J463" s="147"/>
      <c r="K463" s="147"/>
      <c r="L463" s="147"/>
      <c r="M463" s="147"/>
    </row>
    <row r="464">
      <c r="A464" s="147"/>
      <c r="B464" s="147"/>
      <c r="C464" s="147"/>
      <c r="D464" s="147"/>
      <c r="E464" s="147"/>
      <c r="F464" s="147"/>
      <c r="G464" s="147"/>
      <c r="H464" s="147"/>
      <c r="I464" s="147"/>
      <c r="J464" s="147"/>
      <c r="K464" s="147"/>
      <c r="L464" s="147"/>
      <c r="M464" s="147"/>
    </row>
    <row r="465">
      <c r="A465" s="147"/>
      <c r="B465" s="147"/>
      <c r="C465" s="147"/>
      <c r="D465" s="147"/>
      <c r="E465" s="147"/>
      <c r="F465" s="147"/>
      <c r="G465" s="147"/>
      <c r="H465" s="147"/>
      <c r="I465" s="147"/>
      <c r="J465" s="147"/>
      <c r="K465" s="147"/>
      <c r="L465" s="147"/>
      <c r="M465" s="147"/>
    </row>
    <row r="466">
      <c r="A466" s="147"/>
      <c r="B466" s="147"/>
      <c r="C466" s="147"/>
      <c r="D466" s="147"/>
      <c r="E466" s="147"/>
      <c r="F466" s="147"/>
      <c r="G466" s="147"/>
      <c r="H466" s="147"/>
      <c r="I466" s="147"/>
      <c r="J466" s="147"/>
      <c r="K466" s="147"/>
      <c r="L466" s="147"/>
      <c r="M466" s="147"/>
    </row>
    <row r="467">
      <c r="A467" s="147"/>
      <c r="B467" s="147"/>
      <c r="C467" s="147"/>
      <c r="D467" s="147"/>
      <c r="E467" s="147"/>
      <c r="F467" s="147"/>
      <c r="G467" s="147"/>
      <c r="H467" s="147"/>
      <c r="I467" s="147"/>
      <c r="J467" s="147"/>
      <c r="K467" s="147"/>
      <c r="L467" s="147"/>
      <c r="M467" s="147"/>
    </row>
    <row r="468">
      <c r="A468" s="147"/>
      <c r="B468" s="147"/>
      <c r="C468" s="147"/>
      <c r="D468" s="147"/>
      <c r="E468" s="147"/>
      <c r="F468" s="147"/>
      <c r="G468" s="147"/>
      <c r="H468" s="147"/>
      <c r="I468" s="147"/>
      <c r="J468" s="147"/>
      <c r="K468" s="147"/>
      <c r="L468" s="147"/>
      <c r="M468" s="147"/>
    </row>
    <row r="469">
      <c r="A469" s="147"/>
      <c r="B469" s="147"/>
      <c r="C469" s="147"/>
      <c r="D469" s="147"/>
      <c r="E469" s="147"/>
      <c r="F469" s="147"/>
      <c r="G469" s="147"/>
      <c r="H469" s="147"/>
      <c r="I469" s="147"/>
      <c r="J469" s="147"/>
      <c r="K469" s="147"/>
      <c r="L469" s="147"/>
      <c r="M469" s="147"/>
    </row>
    <row r="470">
      <c r="A470" s="147"/>
      <c r="B470" s="147"/>
      <c r="C470" s="147"/>
      <c r="D470" s="147"/>
      <c r="E470" s="147"/>
      <c r="F470" s="147"/>
      <c r="G470" s="147"/>
      <c r="H470" s="147"/>
      <c r="I470" s="147"/>
      <c r="J470" s="147"/>
      <c r="K470" s="147"/>
      <c r="L470" s="147"/>
      <c r="M470" s="147"/>
    </row>
    <row r="471">
      <c r="A471" s="147"/>
      <c r="B471" s="147"/>
      <c r="C471" s="147"/>
      <c r="D471" s="147"/>
      <c r="E471" s="147"/>
      <c r="F471" s="147"/>
      <c r="G471" s="147"/>
      <c r="H471" s="147"/>
      <c r="I471" s="147"/>
      <c r="J471" s="147"/>
      <c r="K471" s="147"/>
      <c r="L471" s="147"/>
      <c r="M471" s="147"/>
    </row>
    <row r="472">
      <c r="A472" s="147"/>
      <c r="B472" s="147"/>
      <c r="C472" s="147"/>
      <c r="D472" s="147"/>
      <c r="E472" s="147"/>
      <c r="F472" s="147"/>
      <c r="G472" s="147"/>
      <c r="H472" s="147"/>
      <c r="I472" s="147"/>
      <c r="J472" s="147"/>
      <c r="K472" s="147"/>
      <c r="L472" s="147"/>
      <c r="M472" s="147"/>
    </row>
    <row r="473">
      <c r="A473" s="147"/>
      <c r="B473" s="147"/>
      <c r="C473" s="147"/>
      <c r="D473" s="147"/>
      <c r="E473" s="147"/>
      <c r="F473" s="147"/>
      <c r="G473" s="147"/>
      <c r="H473" s="147"/>
      <c r="I473" s="147"/>
      <c r="J473" s="147"/>
      <c r="K473" s="147"/>
      <c r="L473" s="147"/>
      <c r="M473" s="147"/>
    </row>
    <row r="474">
      <c r="A474" s="147"/>
      <c r="B474" s="147"/>
      <c r="C474" s="147"/>
      <c r="D474" s="147"/>
      <c r="E474" s="147"/>
      <c r="F474" s="147"/>
      <c r="G474" s="147"/>
      <c r="H474" s="147"/>
      <c r="I474" s="147"/>
      <c r="J474" s="147"/>
      <c r="K474" s="147"/>
      <c r="L474" s="147"/>
      <c r="M474" s="147"/>
    </row>
    <row r="475">
      <c r="A475" s="147"/>
      <c r="B475" s="147"/>
      <c r="C475" s="147"/>
      <c r="D475" s="147"/>
      <c r="E475" s="147"/>
      <c r="F475" s="147"/>
      <c r="G475" s="147"/>
      <c r="H475" s="147"/>
      <c r="I475" s="147"/>
      <c r="J475" s="147"/>
      <c r="K475" s="147"/>
      <c r="L475" s="147"/>
      <c r="M475" s="147"/>
    </row>
    <row r="476">
      <c r="A476" s="147"/>
      <c r="B476" s="147"/>
      <c r="C476" s="147"/>
      <c r="D476" s="147"/>
      <c r="E476" s="147"/>
      <c r="F476" s="147"/>
      <c r="G476" s="147"/>
      <c r="H476" s="147"/>
      <c r="I476" s="147"/>
      <c r="J476" s="147"/>
      <c r="K476" s="147"/>
      <c r="L476" s="147"/>
      <c r="M476" s="147"/>
    </row>
    <row r="477">
      <c r="A477" s="147"/>
      <c r="B477" s="147"/>
      <c r="C477" s="147"/>
      <c r="D477" s="147"/>
      <c r="E477" s="147"/>
      <c r="F477" s="147"/>
      <c r="G477" s="147"/>
      <c r="H477" s="147"/>
      <c r="I477" s="147"/>
      <c r="J477" s="147"/>
      <c r="K477" s="147"/>
      <c r="L477" s="147"/>
      <c r="M477" s="147"/>
    </row>
    <row r="478">
      <c r="A478" s="147"/>
      <c r="B478" s="147"/>
      <c r="C478" s="147"/>
      <c r="D478" s="147"/>
      <c r="E478" s="147"/>
      <c r="F478" s="147"/>
      <c r="G478" s="147"/>
      <c r="H478" s="147"/>
      <c r="I478" s="147"/>
      <c r="J478" s="147"/>
      <c r="K478" s="147"/>
      <c r="L478" s="147"/>
      <c r="M478" s="147"/>
    </row>
    <row r="479">
      <c r="A479" s="147"/>
      <c r="B479" s="147"/>
      <c r="C479" s="147"/>
      <c r="D479" s="147"/>
      <c r="E479" s="147"/>
      <c r="F479" s="147"/>
      <c r="G479" s="147"/>
      <c r="H479" s="147"/>
      <c r="I479" s="147"/>
      <c r="J479" s="147"/>
      <c r="K479" s="147"/>
      <c r="L479" s="147"/>
      <c r="M479" s="147"/>
    </row>
    <row r="480">
      <c r="A480" s="147"/>
      <c r="B480" s="147"/>
      <c r="C480" s="147"/>
      <c r="D480" s="147"/>
      <c r="E480" s="147"/>
      <c r="F480" s="147"/>
      <c r="G480" s="147"/>
      <c r="H480" s="147"/>
      <c r="I480" s="147"/>
      <c r="J480" s="147"/>
      <c r="K480" s="147"/>
      <c r="L480" s="147"/>
      <c r="M480" s="147"/>
    </row>
    <row r="481">
      <c r="A481" s="147"/>
      <c r="B481" s="147"/>
      <c r="C481" s="147"/>
      <c r="D481" s="147"/>
      <c r="E481" s="147"/>
      <c r="F481" s="147"/>
      <c r="G481" s="147"/>
      <c r="H481" s="147"/>
      <c r="I481" s="147"/>
      <c r="J481" s="147"/>
      <c r="K481" s="147"/>
      <c r="L481" s="147"/>
      <c r="M481" s="147"/>
    </row>
    <row r="482">
      <c r="A482" s="147"/>
      <c r="B482" s="147"/>
      <c r="C482" s="147"/>
      <c r="D482" s="147"/>
      <c r="E482" s="147"/>
      <c r="F482" s="147"/>
      <c r="G482" s="147"/>
      <c r="H482" s="147"/>
      <c r="I482" s="147"/>
      <c r="J482" s="147"/>
      <c r="K482" s="147"/>
      <c r="L482" s="147"/>
      <c r="M482" s="147"/>
    </row>
    <row r="483">
      <c r="A483" s="147"/>
      <c r="B483" s="147"/>
      <c r="C483" s="147"/>
      <c r="D483" s="147"/>
      <c r="E483" s="147"/>
      <c r="F483" s="147"/>
      <c r="G483" s="147"/>
      <c r="H483" s="147"/>
      <c r="I483" s="147"/>
      <c r="J483" s="147"/>
      <c r="K483" s="147"/>
      <c r="L483" s="147"/>
      <c r="M483" s="147"/>
    </row>
    <row r="484">
      <c r="A484" s="147"/>
      <c r="B484" s="147"/>
      <c r="C484" s="147"/>
      <c r="D484" s="147"/>
      <c r="E484" s="147"/>
      <c r="F484" s="147"/>
      <c r="G484" s="147"/>
      <c r="H484" s="147"/>
      <c r="I484" s="147"/>
      <c r="J484" s="147"/>
      <c r="K484" s="147"/>
      <c r="L484" s="147"/>
      <c r="M484" s="147"/>
    </row>
    <row r="485">
      <c r="A485" s="147"/>
      <c r="B485" s="147"/>
      <c r="C485" s="147"/>
      <c r="D485" s="147"/>
      <c r="E485" s="147"/>
      <c r="F485" s="147"/>
      <c r="G485" s="147"/>
      <c r="H485" s="147"/>
      <c r="I485" s="147"/>
      <c r="J485" s="147"/>
      <c r="K485" s="147"/>
      <c r="L485" s="147"/>
      <c r="M485" s="147"/>
    </row>
    <row r="486">
      <c r="A486" s="147"/>
      <c r="B486" s="147"/>
      <c r="C486" s="147"/>
      <c r="D486" s="147"/>
      <c r="E486" s="147"/>
      <c r="F486" s="147"/>
      <c r="G486" s="147"/>
      <c r="H486" s="147"/>
      <c r="I486" s="147"/>
      <c r="J486" s="147"/>
      <c r="K486" s="147"/>
      <c r="L486" s="147"/>
      <c r="M486" s="147"/>
    </row>
    <row r="487">
      <c r="A487" s="147"/>
      <c r="B487" s="147"/>
      <c r="C487" s="147"/>
      <c r="D487" s="147"/>
      <c r="E487" s="147"/>
      <c r="F487" s="147"/>
      <c r="G487" s="147"/>
      <c r="H487" s="147"/>
      <c r="I487" s="147"/>
      <c r="J487" s="147"/>
      <c r="K487" s="147"/>
      <c r="L487" s="147"/>
      <c r="M487" s="147"/>
    </row>
    <row r="488">
      <c r="A488" s="147"/>
      <c r="B488" s="147"/>
      <c r="C488" s="147"/>
      <c r="D488" s="147"/>
      <c r="E488" s="147"/>
      <c r="F488" s="147"/>
      <c r="G488" s="147"/>
      <c r="H488" s="147"/>
      <c r="I488" s="147"/>
      <c r="J488" s="147"/>
      <c r="K488" s="147"/>
      <c r="L488" s="147"/>
      <c r="M488" s="147"/>
    </row>
    <row r="489">
      <c r="A489" s="147"/>
      <c r="B489" s="147"/>
      <c r="C489" s="147"/>
      <c r="D489" s="147"/>
      <c r="E489" s="147"/>
      <c r="F489" s="147"/>
      <c r="G489" s="147"/>
      <c r="H489" s="147"/>
      <c r="I489" s="147"/>
      <c r="J489" s="147"/>
      <c r="K489" s="147"/>
      <c r="L489" s="147"/>
      <c r="M489" s="147"/>
    </row>
    <row r="490">
      <c r="A490" s="147"/>
      <c r="B490" s="147"/>
      <c r="C490" s="147"/>
      <c r="D490" s="147"/>
      <c r="E490" s="147"/>
      <c r="F490" s="147"/>
      <c r="G490" s="147"/>
      <c r="H490" s="147"/>
      <c r="I490" s="147"/>
      <c r="J490" s="147"/>
      <c r="K490" s="147"/>
      <c r="L490" s="147"/>
      <c r="M490" s="147"/>
    </row>
    <row r="491">
      <c r="A491" s="147"/>
      <c r="B491" s="147"/>
      <c r="C491" s="147"/>
      <c r="D491" s="147"/>
      <c r="E491" s="147"/>
      <c r="F491" s="147"/>
      <c r="G491" s="147"/>
      <c r="H491" s="147"/>
      <c r="I491" s="147"/>
      <c r="J491" s="147"/>
      <c r="K491" s="147"/>
      <c r="L491" s="147"/>
      <c r="M491" s="147"/>
    </row>
    <row r="492">
      <c r="A492" s="147"/>
      <c r="B492" s="147"/>
      <c r="C492" s="147"/>
      <c r="D492" s="147"/>
      <c r="E492" s="147"/>
      <c r="F492" s="147"/>
      <c r="G492" s="147"/>
      <c r="H492" s="147"/>
      <c r="I492" s="147"/>
      <c r="J492" s="147"/>
      <c r="K492" s="147"/>
      <c r="L492" s="147"/>
      <c r="M492" s="147"/>
    </row>
    <row r="493">
      <c r="A493" s="147"/>
      <c r="B493" s="147"/>
      <c r="C493" s="147"/>
      <c r="D493" s="147"/>
      <c r="E493" s="147"/>
      <c r="F493" s="147"/>
      <c r="G493" s="147"/>
      <c r="H493" s="147"/>
      <c r="I493" s="147"/>
      <c r="J493" s="147"/>
      <c r="K493" s="147"/>
      <c r="L493" s="147"/>
      <c r="M493" s="147"/>
    </row>
    <row r="494">
      <c r="A494" s="147"/>
      <c r="B494" s="147"/>
      <c r="C494" s="147"/>
      <c r="D494" s="147"/>
      <c r="E494" s="147"/>
      <c r="F494" s="147"/>
      <c r="G494" s="147"/>
      <c r="H494" s="147"/>
      <c r="I494" s="147"/>
      <c r="J494" s="147"/>
      <c r="K494" s="147"/>
      <c r="L494" s="147"/>
      <c r="M494" s="147"/>
    </row>
    <row r="495">
      <c r="A495" s="147"/>
      <c r="B495" s="147"/>
      <c r="C495" s="147"/>
      <c r="D495" s="147"/>
      <c r="E495" s="147"/>
      <c r="F495" s="147"/>
      <c r="G495" s="147"/>
      <c r="H495" s="147"/>
      <c r="I495" s="147"/>
      <c r="J495" s="147"/>
      <c r="K495" s="147"/>
      <c r="L495" s="147"/>
      <c r="M495" s="147"/>
    </row>
    <row r="496">
      <c r="A496" s="147"/>
      <c r="B496" s="147"/>
      <c r="C496" s="147"/>
      <c r="D496" s="147"/>
      <c r="E496" s="147"/>
      <c r="F496" s="147"/>
      <c r="G496" s="147"/>
      <c r="H496" s="147"/>
      <c r="I496" s="147"/>
      <c r="J496" s="147"/>
      <c r="K496" s="147"/>
      <c r="L496" s="147"/>
      <c r="M496" s="147"/>
    </row>
    <row r="497">
      <c r="A497" s="147"/>
      <c r="B497" s="147"/>
      <c r="C497" s="147"/>
      <c r="D497" s="147"/>
      <c r="E497" s="147"/>
      <c r="F497" s="147"/>
      <c r="G497" s="147"/>
      <c r="H497" s="147"/>
      <c r="I497" s="147"/>
      <c r="J497" s="147"/>
      <c r="K497" s="147"/>
      <c r="L497" s="147"/>
      <c r="M497" s="147"/>
    </row>
    <row r="498">
      <c r="A498" s="147"/>
      <c r="B498" s="147"/>
      <c r="C498" s="147"/>
      <c r="D498" s="147"/>
      <c r="E498" s="147"/>
      <c r="F498" s="147"/>
      <c r="G498" s="147"/>
      <c r="H498" s="147"/>
      <c r="I498" s="147"/>
      <c r="J498" s="147"/>
      <c r="K498" s="147"/>
      <c r="L498" s="147"/>
      <c r="M498" s="147"/>
    </row>
    <row r="499">
      <c r="A499" s="147"/>
      <c r="B499" s="147"/>
      <c r="C499" s="147"/>
      <c r="D499" s="147"/>
      <c r="E499" s="147"/>
      <c r="F499" s="147"/>
      <c r="G499" s="147"/>
      <c r="H499" s="147"/>
      <c r="I499" s="147"/>
      <c r="J499" s="147"/>
      <c r="K499" s="147"/>
      <c r="L499" s="147"/>
      <c r="M499" s="147"/>
    </row>
    <row r="500">
      <c r="A500" s="147"/>
      <c r="B500" s="147"/>
      <c r="C500" s="147"/>
      <c r="D500" s="147"/>
      <c r="E500" s="147"/>
      <c r="F500" s="147"/>
      <c r="G500" s="147"/>
      <c r="H500" s="147"/>
      <c r="I500" s="147"/>
      <c r="J500" s="147"/>
      <c r="K500" s="147"/>
      <c r="L500" s="147"/>
      <c r="M500" s="147"/>
    </row>
    <row r="501">
      <c r="A501" s="147"/>
      <c r="B501" s="147"/>
      <c r="C501" s="147"/>
      <c r="D501" s="147"/>
      <c r="E501" s="147"/>
      <c r="F501" s="147"/>
      <c r="G501" s="147"/>
      <c r="H501" s="147"/>
      <c r="I501" s="147"/>
      <c r="J501" s="147"/>
      <c r="K501" s="147"/>
      <c r="L501" s="147"/>
      <c r="M501" s="147"/>
    </row>
    <row r="502">
      <c r="A502" s="147"/>
      <c r="B502" s="147"/>
      <c r="C502" s="147"/>
      <c r="D502" s="147"/>
      <c r="E502" s="147"/>
      <c r="F502" s="147"/>
      <c r="G502" s="147"/>
      <c r="H502" s="147"/>
      <c r="I502" s="147"/>
      <c r="J502" s="147"/>
      <c r="K502" s="147"/>
      <c r="L502" s="147"/>
      <c r="M502" s="147"/>
    </row>
    <row r="503">
      <c r="A503" s="147"/>
      <c r="B503" s="147"/>
      <c r="C503" s="147"/>
      <c r="D503" s="147"/>
      <c r="E503" s="147"/>
      <c r="F503" s="147"/>
      <c r="G503" s="147"/>
      <c r="H503" s="147"/>
      <c r="I503" s="147"/>
      <c r="J503" s="147"/>
      <c r="K503" s="147"/>
      <c r="L503" s="147"/>
      <c r="M503" s="147"/>
    </row>
    <row r="504">
      <c r="A504" s="147"/>
      <c r="B504" s="147"/>
      <c r="C504" s="147"/>
      <c r="D504" s="147"/>
      <c r="E504" s="147"/>
      <c r="F504" s="147"/>
      <c r="G504" s="147"/>
      <c r="H504" s="147"/>
      <c r="I504" s="147"/>
      <c r="J504" s="147"/>
      <c r="K504" s="147"/>
      <c r="L504" s="147"/>
      <c r="M504" s="147"/>
    </row>
    <row r="505">
      <c r="A505" s="147"/>
      <c r="B505" s="147"/>
      <c r="C505" s="147"/>
      <c r="D505" s="147"/>
      <c r="E505" s="147"/>
      <c r="F505" s="147"/>
      <c r="G505" s="147"/>
      <c r="H505" s="147"/>
      <c r="I505" s="147"/>
      <c r="J505" s="147"/>
      <c r="K505" s="147"/>
      <c r="L505" s="147"/>
      <c r="M505" s="147"/>
    </row>
    <row r="506">
      <c r="A506" s="147"/>
      <c r="B506" s="147"/>
      <c r="C506" s="147"/>
      <c r="D506" s="147"/>
      <c r="E506" s="147"/>
      <c r="F506" s="147"/>
      <c r="G506" s="147"/>
      <c r="H506" s="147"/>
      <c r="I506" s="147"/>
      <c r="J506" s="147"/>
      <c r="K506" s="147"/>
      <c r="L506" s="147"/>
      <c r="M506" s="147"/>
    </row>
    <row r="507">
      <c r="A507" s="147"/>
      <c r="B507" s="147"/>
      <c r="C507" s="147"/>
      <c r="D507" s="147"/>
      <c r="E507" s="147"/>
      <c r="F507" s="147"/>
      <c r="G507" s="147"/>
      <c r="H507" s="147"/>
      <c r="I507" s="147"/>
      <c r="J507" s="147"/>
      <c r="K507" s="147"/>
      <c r="L507" s="147"/>
      <c r="M507" s="147"/>
    </row>
    <row r="508">
      <c r="A508" s="147"/>
      <c r="B508" s="147"/>
      <c r="C508" s="147"/>
      <c r="D508" s="147"/>
      <c r="E508" s="147"/>
      <c r="F508" s="147"/>
      <c r="G508" s="147"/>
      <c r="H508" s="147"/>
      <c r="I508" s="147"/>
      <c r="J508" s="147"/>
      <c r="K508" s="147"/>
      <c r="L508" s="147"/>
      <c r="M508" s="147"/>
    </row>
    <row r="509">
      <c r="A509" s="147"/>
      <c r="B509" s="147"/>
      <c r="C509" s="147"/>
      <c r="D509" s="147"/>
      <c r="E509" s="147"/>
      <c r="F509" s="147"/>
      <c r="G509" s="147"/>
      <c r="H509" s="147"/>
      <c r="I509" s="147"/>
      <c r="J509" s="147"/>
      <c r="K509" s="147"/>
      <c r="L509" s="147"/>
      <c r="M509" s="147"/>
    </row>
    <row r="510">
      <c r="A510" s="147"/>
      <c r="B510" s="147"/>
      <c r="C510" s="147"/>
      <c r="D510" s="147"/>
      <c r="E510" s="147"/>
      <c r="F510" s="147"/>
      <c r="G510" s="147"/>
      <c r="H510" s="147"/>
      <c r="I510" s="147"/>
      <c r="J510" s="147"/>
      <c r="K510" s="147"/>
      <c r="L510" s="147"/>
      <c r="M510" s="147"/>
    </row>
    <row r="511">
      <c r="A511" s="147"/>
      <c r="B511" s="147"/>
      <c r="C511" s="147"/>
      <c r="D511" s="147"/>
      <c r="E511" s="147"/>
      <c r="F511" s="147"/>
      <c r="G511" s="147"/>
      <c r="H511" s="147"/>
      <c r="I511" s="147"/>
      <c r="J511" s="147"/>
      <c r="K511" s="147"/>
      <c r="L511" s="147"/>
      <c r="M511" s="147"/>
    </row>
    <row r="512">
      <c r="A512" s="147"/>
      <c r="B512" s="147"/>
      <c r="C512" s="147"/>
      <c r="D512" s="147"/>
      <c r="E512" s="147"/>
      <c r="F512" s="147"/>
      <c r="G512" s="147"/>
      <c r="H512" s="147"/>
      <c r="I512" s="147"/>
      <c r="J512" s="147"/>
      <c r="K512" s="147"/>
      <c r="L512" s="147"/>
      <c r="M512" s="147"/>
    </row>
    <row r="513">
      <c r="A513" s="147"/>
      <c r="B513" s="147"/>
      <c r="C513" s="147"/>
      <c r="D513" s="147"/>
      <c r="E513" s="147"/>
      <c r="F513" s="147"/>
      <c r="G513" s="147"/>
      <c r="H513" s="147"/>
      <c r="I513" s="147"/>
      <c r="J513" s="147"/>
      <c r="K513" s="147"/>
      <c r="L513" s="147"/>
      <c r="M513" s="147"/>
    </row>
    <row r="514">
      <c r="A514" s="147"/>
      <c r="B514" s="147"/>
      <c r="C514" s="147"/>
      <c r="D514" s="147"/>
      <c r="E514" s="147"/>
      <c r="F514" s="147"/>
      <c r="G514" s="147"/>
      <c r="H514" s="147"/>
      <c r="I514" s="147"/>
      <c r="J514" s="147"/>
      <c r="K514" s="147"/>
      <c r="L514" s="147"/>
      <c r="M514" s="147"/>
    </row>
    <row r="515">
      <c r="A515" s="147"/>
      <c r="B515" s="147"/>
      <c r="C515" s="147"/>
      <c r="D515" s="147"/>
      <c r="E515" s="147"/>
      <c r="F515" s="147"/>
      <c r="G515" s="147"/>
      <c r="H515" s="147"/>
      <c r="I515" s="147"/>
      <c r="J515" s="147"/>
      <c r="K515" s="147"/>
      <c r="L515" s="147"/>
      <c r="M515" s="147"/>
    </row>
    <row r="516">
      <c r="A516" s="147"/>
      <c r="B516" s="147"/>
      <c r="C516" s="147"/>
      <c r="D516" s="147"/>
      <c r="E516" s="147"/>
      <c r="F516" s="147"/>
      <c r="G516" s="147"/>
      <c r="H516" s="147"/>
      <c r="I516" s="147"/>
      <c r="J516" s="147"/>
      <c r="K516" s="147"/>
      <c r="L516" s="147"/>
      <c r="M516" s="147"/>
    </row>
    <row r="517">
      <c r="A517" s="147"/>
      <c r="B517" s="147"/>
      <c r="C517" s="147"/>
      <c r="D517" s="147"/>
      <c r="E517" s="147"/>
      <c r="F517" s="147"/>
      <c r="G517" s="147"/>
      <c r="H517" s="147"/>
      <c r="I517" s="147"/>
      <c r="J517" s="147"/>
      <c r="K517" s="147"/>
      <c r="L517" s="147"/>
      <c r="M517" s="147"/>
    </row>
    <row r="518">
      <c r="A518" s="147"/>
      <c r="B518" s="147"/>
      <c r="C518" s="147"/>
      <c r="D518" s="147"/>
      <c r="E518" s="147"/>
      <c r="F518" s="147"/>
      <c r="G518" s="147"/>
      <c r="H518" s="147"/>
      <c r="I518" s="147"/>
      <c r="J518" s="147"/>
      <c r="K518" s="147"/>
      <c r="L518" s="147"/>
      <c r="M518" s="147"/>
    </row>
    <row r="519">
      <c r="A519" s="147"/>
      <c r="B519" s="147"/>
      <c r="C519" s="147"/>
      <c r="D519" s="147"/>
      <c r="E519" s="147"/>
      <c r="F519" s="147"/>
      <c r="G519" s="147"/>
      <c r="H519" s="147"/>
      <c r="I519" s="147"/>
      <c r="J519" s="147"/>
      <c r="K519" s="147"/>
      <c r="L519" s="147"/>
      <c r="M519" s="147"/>
    </row>
    <row r="520">
      <c r="A520" s="147"/>
      <c r="B520" s="147"/>
      <c r="C520" s="147"/>
      <c r="D520" s="147"/>
      <c r="E520" s="147"/>
      <c r="F520" s="147"/>
      <c r="G520" s="147"/>
      <c r="H520" s="147"/>
      <c r="I520" s="147"/>
      <c r="J520" s="147"/>
      <c r="K520" s="147"/>
      <c r="L520" s="147"/>
      <c r="M520" s="147"/>
    </row>
    <row r="521">
      <c r="A521" s="147"/>
      <c r="B521" s="147"/>
      <c r="C521" s="147"/>
      <c r="D521" s="147"/>
      <c r="E521" s="147"/>
      <c r="F521" s="147"/>
      <c r="G521" s="147"/>
      <c r="H521" s="147"/>
      <c r="I521" s="147"/>
      <c r="J521" s="147"/>
      <c r="K521" s="147"/>
      <c r="L521" s="147"/>
      <c r="M521" s="147"/>
    </row>
    <row r="522">
      <c r="A522" s="147"/>
      <c r="B522" s="147"/>
      <c r="C522" s="147"/>
      <c r="D522" s="147"/>
      <c r="E522" s="147"/>
      <c r="F522" s="147"/>
      <c r="G522" s="147"/>
      <c r="H522" s="147"/>
      <c r="I522" s="147"/>
      <c r="J522" s="147"/>
      <c r="K522" s="147"/>
      <c r="L522" s="147"/>
      <c r="M522" s="147"/>
    </row>
    <row r="523">
      <c r="A523" s="147"/>
      <c r="B523" s="147"/>
      <c r="C523" s="147"/>
      <c r="D523" s="147"/>
      <c r="E523" s="147"/>
      <c r="F523" s="147"/>
      <c r="G523" s="147"/>
      <c r="H523" s="147"/>
      <c r="I523" s="147"/>
      <c r="J523" s="147"/>
      <c r="K523" s="147"/>
      <c r="L523" s="147"/>
      <c r="M523" s="147"/>
    </row>
    <row r="524">
      <c r="A524" s="147"/>
      <c r="B524" s="147"/>
      <c r="C524" s="147"/>
      <c r="D524" s="147"/>
      <c r="E524" s="147"/>
      <c r="F524" s="147"/>
      <c r="G524" s="147"/>
      <c r="H524" s="147"/>
      <c r="I524" s="147"/>
      <c r="J524" s="147"/>
      <c r="K524" s="147"/>
      <c r="L524" s="147"/>
      <c r="M524" s="147"/>
    </row>
    <row r="525">
      <c r="A525" s="147"/>
      <c r="B525" s="147"/>
      <c r="C525" s="147"/>
      <c r="D525" s="147"/>
      <c r="E525" s="147"/>
      <c r="F525" s="147"/>
      <c r="G525" s="147"/>
      <c r="H525" s="147"/>
      <c r="I525" s="147"/>
      <c r="J525" s="147"/>
      <c r="K525" s="147"/>
      <c r="L525" s="147"/>
      <c r="M525" s="147"/>
    </row>
    <row r="526">
      <c r="A526" s="147"/>
      <c r="B526" s="147"/>
      <c r="C526" s="147"/>
      <c r="D526" s="147"/>
      <c r="E526" s="147"/>
      <c r="F526" s="147"/>
      <c r="G526" s="147"/>
      <c r="H526" s="147"/>
      <c r="I526" s="147"/>
      <c r="J526" s="147"/>
      <c r="K526" s="147"/>
      <c r="L526" s="147"/>
      <c r="M526" s="147"/>
    </row>
    <row r="527">
      <c r="A527" s="147"/>
      <c r="B527" s="147"/>
      <c r="C527" s="147"/>
      <c r="D527" s="147"/>
      <c r="E527" s="147"/>
      <c r="F527" s="147"/>
      <c r="G527" s="147"/>
      <c r="H527" s="147"/>
      <c r="I527" s="147"/>
      <c r="J527" s="147"/>
      <c r="K527" s="147"/>
      <c r="L527" s="147"/>
      <c r="M527" s="147"/>
    </row>
    <row r="528">
      <c r="A528" s="147"/>
      <c r="B528" s="147"/>
      <c r="C528" s="147"/>
      <c r="D528" s="147"/>
      <c r="E528" s="147"/>
      <c r="F528" s="147"/>
      <c r="G528" s="147"/>
      <c r="H528" s="147"/>
      <c r="I528" s="147"/>
      <c r="J528" s="147"/>
      <c r="K528" s="147"/>
      <c r="L528" s="147"/>
      <c r="M528" s="147"/>
    </row>
    <row r="529">
      <c r="A529" s="147"/>
      <c r="B529" s="147"/>
      <c r="C529" s="147"/>
      <c r="D529" s="147"/>
      <c r="E529" s="147"/>
      <c r="F529" s="147"/>
      <c r="G529" s="147"/>
      <c r="H529" s="147"/>
      <c r="I529" s="147"/>
      <c r="J529" s="147"/>
      <c r="K529" s="147"/>
      <c r="L529" s="147"/>
      <c r="M529" s="147"/>
    </row>
    <row r="530">
      <c r="A530" s="147"/>
      <c r="B530" s="147"/>
      <c r="C530" s="147"/>
      <c r="D530" s="147"/>
      <c r="E530" s="147"/>
      <c r="F530" s="147"/>
      <c r="G530" s="147"/>
      <c r="H530" s="147"/>
      <c r="I530" s="147"/>
      <c r="J530" s="147"/>
      <c r="K530" s="147"/>
      <c r="L530" s="147"/>
      <c r="M530" s="147"/>
    </row>
    <row r="531">
      <c r="A531" s="147"/>
      <c r="B531" s="147"/>
      <c r="C531" s="147"/>
      <c r="D531" s="147"/>
      <c r="E531" s="147"/>
      <c r="F531" s="147"/>
      <c r="G531" s="147"/>
      <c r="H531" s="147"/>
      <c r="I531" s="147"/>
      <c r="J531" s="147"/>
      <c r="K531" s="147"/>
      <c r="L531" s="147"/>
      <c r="M531" s="147"/>
    </row>
    <row r="532">
      <c r="A532" s="147"/>
      <c r="B532" s="147"/>
      <c r="C532" s="147"/>
      <c r="D532" s="147"/>
      <c r="E532" s="147"/>
      <c r="F532" s="147"/>
      <c r="G532" s="147"/>
      <c r="H532" s="147"/>
      <c r="I532" s="147"/>
      <c r="J532" s="147"/>
      <c r="K532" s="147"/>
      <c r="L532" s="147"/>
      <c r="M532" s="147"/>
    </row>
    <row r="533">
      <c r="A533" s="147"/>
      <c r="B533" s="147"/>
      <c r="C533" s="147"/>
      <c r="D533" s="147"/>
      <c r="E533" s="147"/>
      <c r="F533" s="147"/>
      <c r="G533" s="147"/>
      <c r="H533" s="147"/>
      <c r="I533" s="147"/>
      <c r="J533" s="147"/>
      <c r="K533" s="147"/>
      <c r="L533" s="147"/>
      <c r="M533" s="147"/>
    </row>
    <row r="534">
      <c r="A534" s="147"/>
      <c r="B534" s="147"/>
      <c r="C534" s="147"/>
      <c r="D534" s="147"/>
      <c r="E534" s="147"/>
      <c r="F534" s="147"/>
      <c r="G534" s="147"/>
      <c r="H534" s="147"/>
      <c r="I534" s="147"/>
      <c r="J534" s="147"/>
      <c r="K534" s="147"/>
      <c r="L534" s="147"/>
      <c r="M534" s="147"/>
    </row>
    <row r="535">
      <c r="A535" s="147"/>
      <c r="B535" s="147"/>
      <c r="C535" s="147"/>
      <c r="D535" s="147"/>
      <c r="E535" s="147"/>
      <c r="F535" s="147"/>
      <c r="G535" s="147"/>
      <c r="H535" s="147"/>
      <c r="I535" s="147"/>
      <c r="J535" s="147"/>
      <c r="K535" s="147"/>
      <c r="L535" s="147"/>
      <c r="M535" s="147"/>
    </row>
    <row r="536">
      <c r="A536" s="147"/>
      <c r="B536" s="147"/>
      <c r="C536" s="147"/>
      <c r="D536" s="147"/>
      <c r="E536" s="147"/>
      <c r="F536" s="147"/>
      <c r="G536" s="147"/>
      <c r="H536" s="147"/>
      <c r="I536" s="147"/>
      <c r="J536" s="147"/>
      <c r="K536" s="147"/>
      <c r="L536" s="147"/>
      <c r="M536" s="147"/>
    </row>
    <row r="537">
      <c r="A537" s="147"/>
      <c r="B537" s="147"/>
      <c r="C537" s="147"/>
      <c r="D537" s="147"/>
      <c r="E537" s="147"/>
      <c r="F537" s="147"/>
      <c r="G537" s="147"/>
      <c r="H537" s="147"/>
      <c r="I537" s="147"/>
      <c r="J537" s="147"/>
      <c r="K537" s="147"/>
      <c r="L537" s="147"/>
      <c r="M537" s="147"/>
    </row>
    <row r="538">
      <c r="A538" s="147"/>
      <c r="B538" s="147"/>
      <c r="C538" s="147"/>
      <c r="D538" s="147"/>
      <c r="E538" s="147"/>
      <c r="F538" s="147"/>
      <c r="G538" s="147"/>
      <c r="H538" s="147"/>
      <c r="I538" s="147"/>
      <c r="J538" s="147"/>
      <c r="K538" s="147"/>
      <c r="L538" s="147"/>
      <c r="M538" s="147"/>
    </row>
    <row r="539">
      <c r="A539" s="147"/>
      <c r="B539" s="147"/>
      <c r="C539" s="147"/>
      <c r="D539" s="147"/>
      <c r="E539" s="147"/>
      <c r="F539" s="147"/>
      <c r="G539" s="147"/>
      <c r="H539" s="147"/>
      <c r="I539" s="147"/>
      <c r="J539" s="147"/>
      <c r="K539" s="147"/>
      <c r="L539" s="147"/>
      <c r="M539" s="147"/>
    </row>
    <row r="540">
      <c r="A540" s="147"/>
      <c r="B540" s="147"/>
      <c r="C540" s="147"/>
      <c r="D540" s="147"/>
      <c r="E540" s="147"/>
      <c r="F540" s="147"/>
      <c r="G540" s="147"/>
      <c r="H540" s="147"/>
      <c r="I540" s="147"/>
      <c r="J540" s="147"/>
      <c r="K540" s="147"/>
      <c r="L540" s="147"/>
      <c r="M540" s="147"/>
    </row>
    <row r="541">
      <c r="A541" s="147"/>
      <c r="B541" s="147"/>
      <c r="C541" s="147"/>
      <c r="D541" s="147"/>
      <c r="E541" s="147"/>
      <c r="F541" s="147"/>
      <c r="G541" s="147"/>
      <c r="H541" s="147"/>
      <c r="I541" s="147"/>
      <c r="J541" s="147"/>
      <c r="K541" s="147"/>
      <c r="L541" s="147"/>
      <c r="M541" s="147"/>
    </row>
    <row r="542">
      <c r="A542" s="147"/>
      <c r="B542" s="147"/>
      <c r="C542" s="147"/>
      <c r="D542" s="147"/>
      <c r="E542" s="147"/>
      <c r="F542" s="147"/>
      <c r="G542" s="147"/>
      <c r="H542" s="147"/>
      <c r="I542" s="147"/>
      <c r="J542" s="147"/>
      <c r="K542" s="147"/>
      <c r="L542" s="147"/>
      <c r="M542" s="147"/>
    </row>
    <row r="543">
      <c r="A543" s="147"/>
      <c r="B543" s="147"/>
      <c r="C543" s="147"/>
      <c r="D543" s="147"/>
      <c r="E543" s="147"/>
      <c r="F543" s="147"/>
      <c r="G543" s="147"/>
      <c r="H543" s="147"/>
      <c r="I543" s="147"/>
      <c r="J543" s="147"/>
      <c r="K543" s="147"/>
      <c r="L543" s="147"/>
      <c r="M543" s="147"/>
    </row>
    <row r="544">
      <c r="A544" s="147"/>
      <c r="B544" s="147"/>
      <c r="C544" s="147"/>
      <c r="D544" s="147"/>
      <c r="E544" s="147"/>
      <c r="F544" s="147"/>
      <c r="G544" s="147"/>
      <c r="H544" s="147"/>
      <c r="I544" s="147"/>
      <c r="J544" s="147"/>
      <c r="K544" s="147"/>
      <c r="L544" s="147"/>
      <c r="M544" s="147"/>
    </row>
    <row r="545">
      <c r="A545" s="147"/>
      <c r="B545" s="147"/>
      <c r="C545" s="147"/>
      <c r="D545" s="147"/>
      <c r="E545" s="147"/>
      <c r="F545" s="147"/>
      <c r="G545" s="147"/>
      <c r="H545" s="147"/>
      <c r="I545" s="147"/>
      <c r="J545" s="147"/>
      <c r="K545" s="147"/>
      <c r="L545" s="147"/>
      <c r="M545" s="147"/>
    </row>
    <row r="546">
      <c r="A546" s="147"/>
      <c r="B546" s="147"/>
      <c r="C546" s="147"/>
      <c r="D546" s="147"/>
      <c r="E546" s="147"/>
      <c r="F546" s="147"/>
      <c r="G546" s="147"/>
      <c r="H546" s="147"/>
      <c r="I546" s="147"/>
      <c r="J546" s="147"/>
      <c r="K546" s="147"/>
      <c r="L546" s="147"/>
      <c r="M546" s="147"/>
    </row>
    <row r="547">
      <c r="A547" s="147"/>
      <c r="B547" s="147"/>
      <c r="C547" s="147"/>
      <c r="D547" s="147"/>
      <c r="E547" s="147"/>
      <c r="F547" s="147"/>
      <c r="G547" s="147"/>
      <c r="H547" s="147"/>
      <c r="I547" s="147"/>
      <c r="J547" s="147"/>
      <c r="K547" s="147"/>
      <c r="L547" s="147"/>
      <c r="M547" s="147"/>
    </row>
    <row r="548">
      <c r="A548" s="147"/>
      <c r="B548" s="147"/>
      <c r="C548" s="147"/>
      <c r="D548" s="147"/>
      <c r="E548" s="147"/>
      <c r="F548" s="147"/>
      <c r="G548" s="147"/>
      <c r="H548" s="147"/>
      <c r="I548" s="147"/>
      <c r="J548" s="147"/>
      <c r="K548" s="147"/>
      <c r="L548" s="147"/>
      <c r="M548" s="147"/>
    </row>
    <row r="549">
      <c r="A549" s="147"/>
      <c r="B549" s="147"/>
      <c r="C549" s="147"/>
      <c r="D549" s="147"/>
      <c r="E549" s="147"/>
      <c r="F549" s="147"/>
      <c r="G549" s="147"/>
      <c r="H549" s="147"/>
      <c r="I549" s="147"/>
      <c r="J549" s="147"/>
      <c r="K549" s="147"/>
      <c r="L549" s="147"/>
      <c r="M549" s="147"/>
    </row>
    <row r="550">
      <c r="A550" s="147"/>
      <c r="B550" s="147"/>
      <c r="C550" s="147"/>
      <c r="D550" s="147"/>
      <c r="E550" s="147"/>
      <c r="F550" s="147"/>
      <c r="G550" s="147"/>
      <c r="H550" s="147"/>
      <c r="I550" s="147"/>
      <c r="J550" s="147"/>
      <c r="K550" s="147"/>
      <c r="L550" s="147"/>
      <c r="M550" s="147"/>
    </row>
    <row r="551">
      <c r="A551" s="147"/>
      <c r="B551" s="147"/>
      <c r="C551" s="147"/>
      <c r="D551" s="147"/>
      <c r="E551" s="147"/>
      <c r="F551" s="147"/>
      <c r="G551" s="147"/>
      <c r="H551" s="147"/>
      <c r="I551" s="147"/>
      <c r="J551" s="147"/>
      <c r="K551" s="147"/>
      <c r="L551" s="147"/>
      <c r="M551" s="147"/>
    </row>
    <row r="552">
      <c r="A552" s="147"/>
      <c r="B552" s="147"/>
      <c r="C552" s="147"/>
      <c r="D552" s="147"/>
      <c r="E552" s="147"/>
      <c r="F552" s="147"/>
      <c r="G552" s="147"/>
      <c r="H552" s="147"/>
      <c r="I552" s="147"/>
      <c r="J552" s="147"/>
      <c r="K552" s="147"/>
      <c r="L552" s="147"/>
      <c r="M552" s="147"/>
    </row>
    <row r="553">
      <c r="A553" s="147"/>
      <c r="B553" s="147"/>
      <c r="C553" s="147"/>
      <c r="D553" s="147"/>
      <c r="E553" s="147"/>
      <c r="F553" s="147"/>
      <c r="G553" s="147"/>
      <c r="H553" s="147"/>
      <c r="I553" s="147"/>
      <c r="J553" s="147"/>
      <c r="K553" s="147"/>
      <c r="L553" s="147"/>
      <c r="M553" s="147"/>
    </row>
    <row r="554">
      <c r="A554" s="147"/>
      <c r="B554" s="147"/>
      <c r="C554" s="147"/>
      <c r="D554" s="147"/>
      <c r="E554" s="147"/>
      <c r="F554" s="147"/>
      <c r="G554" s="147"/>
      <c r="H554" s="147"/>
      <c r="I554" s="147"/>
      <c r="J554" s="147"/>
      <c r="K554" s="147"/>
      <c r="L554" s="147"/>
      <c r="M554" s="147"/>
    </row>
    <row r="555">
      <c r="A555" s="147"/>
      <c r="B555" s="147"/>
      <c r="C555" s="147"/>
      <c r="D555" s="147"/>
      <c r="E555" s="147"/>
      <c r="F555" s="147"/>
      <c r="G555" s="147"/>
      <c r="H555" s="147"/>
      <c r="I555" s="147"/>
      <c r="J555" s="147"/>
      <c r="K555" s="147"/>
      <c r="L555" s="147"/>
      <c r="M555" s="147"/>
    </row>
    <row r="556">
      <c r="A556" s="147"/>
      <c r="B556" s="147"/>
      <c r="C556" s="147"/>
      <c r="D556" s="147"/>
      <c r="E556" s="147"/>
      <c r="F556" s="147"/>
      <c r="G556" s="147"/>
      <c r="H556" s="147"/>
      <c r="I556" s="147"/>
      <c r="J556" s="147"/>
      <c r="K556" s="147"/>
      <c r="L556" s="147"/>
      <c r="M556" s="147"/>
    </row>
    <row r="557">
      <c r="A557" s="147"/>
      <c r="B557" s="147"/>
      <c r="C557" s="147"/>
      <c r="D557" s="147"/>
      <c r="E557" s="147"/>
      <c r="F557" s="147"/>
      <c r="G557" s="147"/>
      <c r="H557" s="147"/>
      <c r="I557" s="147"/>
      <c r="J557" s="147"/>
      <c r="K557" s="147"/>
      <c r="L557" s="147"/>
      <c r="M557" s="147"/>
    </row>
    <row r="558">
      <c r="A558" s="147"/>
      <c r="B558" s="147"/>
      <c r="C558" s="147"/>
      <c r="D558" s="147"/>
      <c r="E558" s="147"/>
      <c r="F558" s="147"/>
      <c r="G558" s="147"/>
      <c r="H558" s="147"/>
      <c r="I558" s="147"/>
      <c r="J558" s="147"/>
      <c r="K558" s="147"/>
      <c r="L558" s="147"/>
      <c r="M558" s="147"/>
    </row>
    <row r="559">
      <c r="A559" s="147"/>
      <c r="B559" s="147"/>
      <c r="C559" s="147"/>
      <c r="D559" s="147"/>
      <c r="E559" s="147"/>
      <c r="F559" s="147"/>
      <c r="G559" s="147"/>
      <c r="H559" s="147"/>
      <c r="I559" s="147"/>
      <c r="J559" s="147"/>
      <c r="K559" s="147"/>
      <c r="L559" s="147"/>
      <c r="M559" s="147"/>
    </row>
    <row r="560">
      <c r="A560" s="147"/>
      <c r="B560" s="147"/>
      <c r="C560" s="147"/>
      <c r="D560" s="147"/>
      <c r="E560" s="147"/>
      <c r="F560" s="147"/>
      <c r="G560" s="147"/>
      <c r="H560" s="147"/>
      <c r="I560" s="147"/>
      <c r="J560" s="147"/>
      <c r="K560" s="147"/>
      <c r="L560" s="147"/>
      <c r="M560" s="147"/>
    </row>
    <row r="561">
      <c r="A561" s="147"/>
      <c r="B561" s="147"/>
      <c r="C561" s="147"/>
      <c r="D561" s="147"/>
      <c r="E561" s="147"/>
      <c r="F561" s="147"/>
      <c r="G561" s="147"/>
      <c r="H561" s="147"/>
      <c r="I561" s="147"/>
      <c r="J561" s="147"/>
      <c r="K561" s="147"/>
      <c r="L561" s="147"/>
      <c r="M561" s="147"/>
    </row>
    <row r="562">
      <c r="A562" s="147"/>
      <c r="B562" s="147"/>
      <c r="C562" s="147"/>
      <c r="D562" s="147"/>
      <c r="E562" s="147"/>
      <c r="F562" s="147"/>
      <c r="G562" s="147"/>
      <c r="H562" s="147"/>
      <c r="I562" s="147"/>
      <c r="J562" s="147"/>
      <c r="K562" s="147"/>
      <c r="L562" s="147"/>
      <c r="M562" s="147"/>
    </row>
    <row r="563">
      <c r="A563" s="147"/>
      <c r="B563" s="147"/>
      <c r="C563" s="147"/>
      <c r="D563" s="147"/>
      <c r="E563" s="147"/>
      <c r="F563" s="147"/>
      <c r="G563" s="147"/>
      <c r="H563" s="147"/>
      <c r="I563" s="147"/>
      <c r="J563" s="147"/>
      <c r="K563" s="147"/>
      <c r="L563" s="147"/>
      <c r="M563" s="147"/>
    </row>
    <row r="564">
      <c r="A564" s="147"/>
      <c r="B564" s="147"/>
      <c r="C564" s="147"/>
      <c r="D564" s="147"/>
      <c r="E564" s="147"/>
      <c r="F564" s="147"/>
      <c r="G564" s="147"/>
      <c r="H564" s="147"/>
      <c r="I564" s="147"/>
      <c r="J564" s="147"/>
      <c r="K564" s="147"/>
      <c r="L564" s="147"/>
      <c r="M564" s="147"/>
    </row>
    <row r="565">
      <c r="A565" s="147"/>
      <c r="B565" s="147"/>
      <c r="C565" s="147"/>
      <c r="D565" s="147"/>
      <c r="E565" s="147"/>
      <c r="F565" s="147"/>
      <c r="G565" s="147"/>
      <c r="H565" s="147"/>
      <c r="I565" s="147"/>
      <c r="J565" s="147"/>
      <c r="K565" s="147"/>
      <c r="L565" s="147"/>
      <c r="M565" s="147"/>
    </row>
    <row r="566">
      <c r="A566" s="147"/>
      <c r="B566" s="147"/>
      <c r="C566" s="147"/>
      <c r="D566" s="147"/>
      <c r="E566" s="147"/>
      <c r="F566" s="147"/>
      <c r="G566" s="147"/>
      <c r="H566" s="147"/>
      <c r="I566" s="147"/>
      <c r="J566" s="147"/>
      <c r="K566" s="147"/>
      <c r="L566" s="147"/>
      <c r="M566" s="147"/>
    </row>
    <row r="567">
      <c r="A567" s="147"/>
      <c r="B567" s="147"/>
      <c r="C567" s="147"/>
      <c r="D567" s="147"/>
      <c r="E567" s="147"/>
      <c r="F567" s="147"/>
      <c r="G567" s="147"/>
      <c r="H567" s="147"/>
      <c r="I567" s="147"/>
      <c r="J567" s="147"/>
      <c r="K567" s="147"/>
      <c r="L567" s="147"/>
      <c r="M567" s="147"/>
    </row>
    <row r="568">
      <c r="A568" s="147"/>
      <c r="B568" s="147"/>
      <c r="C568" s="147"/>
      <c r="D568" s="147"/>
      <c r="E568" s="147"/>
      <c r="F568" s="147"/>
      <c r="G568" s="147"/>
      <c r="H568" s="147"/>
      <c r="I568" s="147"/>
      <c r="J568" s="147"/>
      <c r="K568" s="147"/>
      <c r="L568" s="147"/>
      <c r="M568" s="147"/>
    </row>
    <row r="569">
      <c r="A569" s="147"/>
      <c r="B569" s="147"/>
      <c r="C569" s="147"/>
      <c r="D569" s="147"/>
      <c r="E569" s="147"/>
      <c r="F569" s="147"/>
      <c r="G569" s="147"/>
      <c r="H569" s="147"/>
      <c r="I569" s="147"/>
      <c r="J569" s="147"/>
      <c r="K569" s="147"/>
      <c r="L569" s="147"/>
      <c r="M569" s="147"/>
    </row>
    <row r="570">
      <c r="A570" s="147"/>
      <c r="B570" s="147"/>
      <c r="C570" s="147"/>
      <c r="D570" s="147"/>
      <c r="E570" s="147"/>
      <c r="F570" s="147"/>
      <c r="G570" s="147"/>
      <c r="H570" s="147"/>
      <c r="I570" s="147"/>
      <c r="J570" s="147"/>
      <c r="K570" s="147"/>
      <c r="L570" s="147"/>
      <c r="M570" s="147"/>
    </row>
    <row r="571">
      <c r="A571" s="147"/>
      <c r="B571" s="147"/>
      <c r="C571" s="147"/>
      <c r="D571" s="147"/>
      <c r="E571" s="147"/>
      <c r="F571" s="147"/>
      <c r="G571" s="147"/>
      <c r="H571" s="147"/>
      <c r="I571" s="147"/>
      <c r="J571" s="147"/>
      <c r="K571" s="147"/>
      <c r="L571" s="147"/>
      <c r="M571" s="147"/>
    </row>
    <row r="572">
      <c r="A572" s="147"/>
      <c r="B572" s="147"/>
      <c r="C572" s="147"/>
      <c r="D572" s="147"/>
      <c r="E572" s="147"/>
      <c r="F572" s="147"/>
      <c r="G572" s="147"/>
      <c r="H572" s="147"/>
      <c r="I572" s="147"/>
      <c r="J572" s="147"/>
      <c r="K572" s="147"/>
      <c r="L572" s="147"/>
      <c r="M572" s="147"/>
    </row>
    <row r="573">
      <c r="A573" s="147"/>
      <c r="B573" s="147"/>
      <c r="C573" s="147"/>
      <c r="D573" s="147"/>
      <c r="E573" s="147"/>
      <c r="F573" s="147"/>
      <c r="G573" s="147"/>
      <c r="H573" s="147"/>
      <c r="I573" s="147"/>
      <c r="J573" s="147"/>
      <c r="K573" s="147"/>
      <c r="L573" s="147"/>
      <c r="M573" s="147"/>
    </row>
    <row r="574">
      <c r="A574" s="147"/>
      <c r="B574" s="147"/>
      <c r="C574" s="147"/>
      <c r="D574" s="147"/>
      <c r="E574" s="147"/>
      <c r="F574" s="147"/>
      <c r="G574" s="147"/>
      <c r="H574" s="147"/>
      <c r="I574" s="147"/>
      <c r="J574" s="147"/>
      <c r="K574" s="147"/>
      <c r="L574" s="147"/>
      <c r="M574" s="147"/>
    </row>
    <row r="575">
      <c r="A575" s="147"/>
      <c r="B575" s="147"/>
      <c r="C575" s="147"/>
      <c r="D575" s="147"/>
      <c r="E575" s="147"/>
      <c r="F575" s="147"/>
      <c r="G575" s="147"/>
      <c r="H575" s="147"/>
      <c r="I575" s="147"/>
      <c r="J575" s="147"/>
      <c r="K575" s="147"/>
      <c r="L575" s="147"/>
      <c r="M575" s="147"/>
    </row>
    <row r="576">
      <c r="A576" s="147"/>
      <c r="B576" s="147"/>
      <c r="C576" s="147"/>
      <c r="D576" s="147"/>
      <c r="E576" s="147"/>
      <c r="F576" s="147"/>
      <c r="G576" s="147"/>
      <c r="H576" s="147"/>
      <c r="I576" s="147"/>
      <c r="J576" s="147"/>
      <c r="K576" s="147"/>
      <c r="L576" s="147"/>
      <c r="M576" s="147"/>
    </row>
    <row r="577">
      <c r="A577" s="147"/>
      <c r="B577" s="147"/>
      <c r="C577" s="147"/>
      <c r="D577" s="147"/>
      <c r="E577" s="147"/>
      <c r="F577" s="147"/>
      <c r="G577" s="147"/>
      <c r="H577" s="147"/>
      <c r="I577" s="147"/>
      <c r="J577" s="147"/>
      <c r="K577" s="147"/>
      <c r="L577" s="147"/>
      <c r="M577" s="147"/>
    </row>
    <row r="578">
      <c r="A578" s="147"/>
      <c r="B578" s="147"/>
      <c r="C578" s="147"/>
      <c r="D578" s="147"/>
      <c r="E578" s="147"/>
      <c r="F578" s="147"/>
      <c r="G578" s="147"/>
      <c r="H578" s="147"/>
      <c r="I578" s="147"/>
      <c r="J578" s="147"/>
      <c r="K578" s="147"/>
      <c r="L578" s="147"/>
      <c r="M578" s="147"/>
    </row>
    <row r="579">
      <c r="A579" s="147"/>
      <c r="B579" s="147"/>
      <c r="C579" s="147"/>
      <c r="D579" s="147"/>
      <c r="E579" s="147"/>
      <c r="F579" s="147"/>
      <c r="G579" s="147"/>
      <c r="H579" s="147"/>
      <c r="I579" s="147"/>
      <c r="J579" s="147"/>
      <c r="K579" s="147"/>
      <c r="L579" s="147"/>
      <c r="M579" s="147"/>
    </row>
    <row r="580">
      <c r="A580" s="147"/>
      <c r="B580" s="147"/>
      <c r="C580" s="147"/>
      <c r="D580" s="147"/>
      <c r="E580" s="147"/>
      <c r="F580" s="147"/>
      <c r="G580" s="147"/>
      <c r="H580" s="147"/>
      <c r="I580" s="147"/>
      <c r="J580" s="147"/>
      <c r="K580" s="147"/>
      <c r="L580" s="147"/>
      <c r="M580" s="147"/>
    </row>
    <row r="581">
      <c r="A581" s="147"/>
      <c r="B581" s="147"/>
      <c r="C581" s="147"/>
      <c r="D581" s="147"/>
      <c r="E581" s="147"/>
      <c r="F581" s="147"/>
      <c r="G581" s="147"/>
      <c r="H581" s="147"/>
      <c r="I581" s="147"/>
      <c r="J581" s="147"/>
      <c r="K581" s="147"/>
      <c r="L581" s="147"/>
      <c r="M581" s="147"/>
    </row>
    <row r="582">
      <c r="A582" s="147"/>
      <c r="B582" s="147"/>
      <c r="C582" s="147"/>
      <c r="D582" s="147"/>
      <c r="E582" s="147"/>
      <c r="F582" s="147"/>
      <c r="G582" s="147"/>
      <c r="H582" s="147"/>
      <c r="I582" s="147"/>
      <c r="J582" s="147"/>
      <c r="K582" s="147"/>
      <c r="L582" s="147"/>
      <c r="M582" s="147"/>
    </row>
    <row r="583">
      <c r="A583" s="147"/>
      <c r="B583" s="147"/>
      <c r="C583" s="147"/>
      <c r="D583" s="147"/>
      <c r="E583" s="147"/>
      <c r="F583" s="147"/>
      <c r="G583" s="147"/>
      <c r="H583" s="147"/>
      <c r="I583" s="147"/>
      <c r="J583" s="147"/>
      <c r="K583" s="147"/>
      <c r="L583" s="147"/>
      <c r="M583" s="147"/>
    </row>
    <row r="584">
      <c r="A584" s="147"/>
      <c r="B584" s="147"/>
      <c r="C584" s="147"/>
      <c r="D584" s="147"/>
      <c r="E584" s="147"/>
      <c r="F584" s="147"/>
      <c r="G584" s="147"/>
      <c r="H584" s="147"/>
      <c r="I584" s="147"/>
      <c r="J584" s="147"/>
      <c r="K584" s="147"/>
      <c r="L584" s="147"/>
      <c r="M584" s="147"/>
    </row>
    <row r="585">
      <c r="A585" s="147"/>
      <c r="B585" s="147"/>
      <c r="C585" s="147"/>
      <c r="D585" s="147"/>
      <c r="E585" s="147"/>
      <c r="F585" s="147"/>
      <c r="G585" s="147"/>
      <c r="H585" s="147"/>
      <c r="I585" s="147"/>
      <c r="J585" s="147"/>
      <c r="K585" s="147"/>
      <c r="L585" s="147"/>
      <c r="M585" s="147"/>
    </row>
    <row r="586">
      <c r="A586" s="147"/>
      <c r="B586" s="147"/>
      <c r="C586" s="147"/>
      <c r="D586" s="147"/>
      <c r="E586" s="147"/>
      <c r="F586" s="147"/>
      <c r="G586" s="147"/>
      <c r="H586" s="147"/>
      <c r="I586" s="147"/>
      <c r="J586" s="147"/>
      <c r="K586" s="147"/>
      <c r="L586" s="147"/>
      <c r="M586" s="147"/>
    </row>
    <row r="587">
      <c r="A587" s="147"/>
      <c r="B587" s="147"/>
      <c r="C587" s="147"/>
      <c r="D587" s="147"/>
      <c r="E587" s="147"/>
      <c r="F587" s="147"/>
      <c r="G587" s="147"/>
      <c r="H587" s="147"/>
      <c r="I587" s="147"/>
      <c r="J587" s="147"/>
      <c r="K587" s="147"/>
      <c r="L587" s="147"/>
      <c r="M587" s="147"/>
    </row>
    <row r="588">
      <c r="A588" s="147"/>
      <c r="B588" s="147"/>
      <c r="C588" s="147"/>
      <c r="D588" s="147"/>
      <c r="E588" s="147"/>
      <c r="F588" s="147"/>
      <c r="G588" s="147"/>
      <c r="H588" s="147"/>
      <c r="I588" s="147"/>
      <c r="J588" s="147"/>
      <c r="K588" s="147"/>
      <c r="L588" s="147"/>
      <c r="M588" s="147"/>
    </row>
    <row r="589">
      <c r="A589" s="147"/>
      <c r="B589" s="147"/>
      <c r="C589" s="147"/>
      <c r="D589" s="147"/>
      <c r="E589" s="147"/>
      <c r="F589" s="147"/>
      <c r="G589" s="147"/>
      <c r="H589" s="147"/>
      <c r="I589" s="147"/>
      <c r="J589" s="147"/>
      <c r="K589" s="147"/>
      <c r="L589" s="147"/>
      <c r="M589" s="147"/>
    </row>
    <row r="590">
      <c r="A590" s="147"/>
      <c r="B590" s="147"/>
      <c r="C590" s="147"/>
      <c r="D590" s="147"/>
      <c r="E590" s="147"/>
      <c r="F590" s="147"/>
      <c r="G590" s="147"/>
      <c r="H590" s="147"/>
      <c r="I590" s="147"/>
      <c r="J590" s="147"/>
      <c r="K590" s="147"/>
      <c r="L590" s="147"/>
      <c r="M590" s="147"/>
    </row>
    <row r="591">
      <c r="A591" s="147"/>
      <c r="B591" s="147"/>
      <c r="C591" s="147"/>
      <c r="D591" s="147"/>
      <c r="E591" s="147"/>
      <c r="F591" s="147"/>
      <c r="G591" s="147"/>
      <c r="H591" s="147"/>
      <c r="I591" s="147"/>
      <c r="J591" s="147"/>
      <c r="K591" s="147"/>
      <c r="L591" s="147"/>
      <c r="M591" s="147"/>
    </row>
    <row r="592">
      <c r="A592" s="147"/>
      <c r="B592" s="147"/>
      <c r="C592" s="147"/>
      <c r="D592" s="147"/>
      <c r="E592" s="147"/>
      <c r="F592" s="147"/>
      <c r="G592" s="147"/>
      <c r="H592" s="147"/>
      <c r="I592" s="147"/>
      <c r="J592" s="147"/>
      <c r="K592" s="147"/>
      <c r="L592" s="147"/>
      <c r="M592" s="147"/>
    </row>
    <row r="593">
      <c r="A593" s="147"/>
      <c r="B593" s="147"/>
      <c r="C593" s="147"/>
      <c r="D593" s="147"/>
      <c r="E593" s="147"/>
      <c r="F593" s="147"/>
      <c r="G593" s="147"/>
      <c r="H593" s="147"/>
      <c r="I593" s="147"/>
      <c r="J593" s="147"/>
      <c r="K593" s="147"/>
      <c r="L593" s="147"/>
      <c r="M593" s="147"/>
    </row>
    <row r="594">
      <c r="A594" s="147"/>
      <c r="B594" s="147"/>
      <c r="C594" s="147"/>
      <c r="D594" s="147"/>
      <c r="E594" s="147"/>
      <c r="F594" s="147"/>
      <c r="G594" s="147"/>
      <c r="H594" s="147"/>
      <c r="I594" s="147"/>
      <c r="J594" s="147"/>
      <c r="K594" s="147"/>
      <c r="L594" s="147"/>
      <c r="M594" s="147"/>
    </row>
    <row r="595">
      <c r="A595" s="147"/>
      <c r="B595" s="147"/>
      <c r="C595" s="147"/>
      <c r="D595" s="147"/>
      <c r="E595" s="147"/>
      <c r="F595" s="147"/>
      <c r="G595" s="147"/>
      <c r="H595" s="147"/>
      <c r="I595" s="147"/>
      <c r="J595" s="147"/>
      <c r="K595" s="147"/>
      <c r="L595" s="147"/>
      <c r="M595" s="147"/>
    </row>
    <row r="596">
      <c r="A596" s="147"/>
      <c r="B596" s="147"/>
      <c r="C596" s="147"/>
      <c r="D596" s="147"/>
      <c r="E596" s="147"/>
      <c r="F596" s="147"/>
      <c r="G596" s="147"/>
      <c r="H596" s="147"/>
      <c r="I596" s="147"/>
      <c r="J596" s="147"/>
      <c r="K596" s="147"/>
      <c r="L596" s="147"/>
      <c r="M596" s="147"/>
    </row>
    <row r="597">
      <c r="A597" s="147"/>
      <c r="B597" s="147"/>
      <c r="C597" s="147"/>
      <c r="D597" s="147"/>
      <c r="E597" s="147"/>
      <c r="F597" s="147"/>
      <c r="G597" s="147"/>
      <c r="H597" s="147"/>
      <c r="I597" s="147"/>
      <c r="J597" s="147"/>
      <c r="K597" s="147"/>
      <c r="L597" s="147"/>
      <c r="M597" s="147"/>
    </row>
    <row r="598">
      <c r="A598" s="147"/>
      <c r="B598" s="147"/>
      <c r="C598" s="147"/>
      <c r="D598" s="147"/>
      <c r="E598" s="147"/>
      <c r="F598" s="147"/>
      <c r="G598" s="147"/>
      <c r="H598" s="147"/>
      <c r="I598" s="147"/>
      <c r="J598" s="147"/>
      <c r="K598" s="147"/>
      <c r="L598" s="147"/>
      <c r="M598" s="147"/>
    </row>
    <row r="599">
      <c r="A599" s="147"/>
      <c r="B599" s="147"/>
      <c r="C599" s="147"/>
      <c r="D599" s="147"/>
      <c r="E599" s="147"/>
      <c r="F599" s="147"/>
      <c r="G599" s="147"/>
      <c r="H599" s="147"/>
      <c r="I599" s="147"/>
      <c r="J599" s="147"/>
      <c r="K599" s="147"/>
      <c r="L599" s="147"/>
      <c r="M599" s="147"/>
    </row>
    <row r="600">
      <c r="A600" s="147"/>
      <c r="B600" s="147"/>
      <c r="C600" s="147"/>
      <c r="D600" s="147"/>
      <c r="E600" s="147"/>
      <c r="F600" s="147"/>
      <c r="G600" s="147"/>
      <c r="H600" s="147"/>
      <c r="I600" s="147"/>
      <c r="J600" s="147"/>
      <c r="K600" s="147"/>
      <c r="L600" s="147"/>
      <c r="M600" s="147"/>
    </row>
    <row r="601">
      <c r="A601" s="147"/>
      <c r="B601" s="147"/>
      <c r="C601" s="147"/>
      <c r="D601" s="147"/>
      <c r="E601" s="147"/>
      <c r="F601" s="147"/>
      <c r="G601" s="147"/>
      <c r="H601" s="147"/>
      <c r="I601" s="147"/>
      <c r="J601" s="147"/>
      <c r="K601" s="147"/>
      <c r="L601" s="147"/>
      <c r="M601" s="147"/>
    </row>
    <row r="602">
      <c r="A602" s="147"/>
      <c r="B602" s="147"/>
      <c r="C602" s="147"/>
      <c r="D602" s="147"/>
      <c r="E602" s="147"/>
      <c r="F602" s="147"/>
      <c r="G602" s="147"/>
      <c r="H602" s="147"/>
      <c r="I602" s="147"/>
      <c r="J602" s="147"/>
      <c r="K602" s="147"/>
      <c r="L602" s="147"/>
      <c r="M602" s="147"/>
    </row>
    <row r="603">
      <c r="A603" s="147"/>
      <c r="B603" s="147"/>
      <c r="C603" s="147"/>
      <c r="D603" s="147"/>
      <c r="E603" s="147"/>
      <c r="F603" s="147"/>
      <c r="G603" s="147"/>
      <c r="H603" s="147"/>
      <c r="I603" s="147"/>
      <c r="J603" s="147"/>
      <c r="K603" s="147"/>
      <c r="L603" s="147"/>
      <c r="M603" s="147"/>
    </row>
    <row r="604">
      <c r="A604" s="147"/>
      <c r="B604" s="147"/>
      <c r="C604" s="147"/>
      <c r="D604" s="147"/>
      <c r="E604" s="147"/>
      <c r="F604" s="147"/>
      <c r="G604" s="147"/>
      <c r="H604" s="147"/>
      <c r="I604" s="147"/>
      <c r="J604" s="147"/>
      <c r="K604" s="147"/>
      <c r="L604" s="147"/>
      <c r="M604" s="147"/>
    </row>
    <row r="605">
      <c r="A605" s="147"/>
      <c r="B605" s="147"/>
      <c r="C605" s="147"/>
      <c r="D605" s="147"/>
      <c r="E605" s="147"/>
      <c r="F605" s="147"/>
      <c r="G605" s="147"/>
      <c r="H605" s="147"/>
      <c r="I605" s="147"/>
      <c r="J605" s="147"/>
      <c r="K605" s="147"/>
      <c r="L605" s="147"/>
      <c r="M605" s="147"/>
    </row>
    <row r="606">
      <c r="A606" s="147"/>
      <c r="B606" s="147"/>
      <c r="C606" s="147"/>
      <c r="D606" s="147"/>
      <c r="E606" s="147"/>
      <c r="F606" s="147"/>
      <c r="G606" s="147"/>
      <c r="H606" s="147"/>
      <c r="I606" s="147"/>
      <c r="J606" s="147"/>
      <c r="K606" s="147"/>
      <c r="L606" s="147"/>
      <c r="M606" s="147"/>
    </row>
    <row r="607">
      <c r="A607" s="147"/>
      <c r="B607" s="147"/>
      <c r="C607" s="147"/>
      <c r="D607" s="147"/>
      <c r="E607" s="147"/>
      <c r="F607" s="147"/>
      <c r="G607" s="147"/>
      <c r="H607" s="147"/>
      <c r="I607" s="147"/>
      <c r="J607" s="147"/>
      <c r="K607" s="147"/>
      <c r="L607" s="147"/>
      <c r="M607" s="147"/>
    </row>
    <row r="608">
      <c r="A608" s="147"/>
      <c r="B608" s="147"/>
      <c r="C608" s="147"/>
      <c r="D608" s="147"/>
      <c r="E608" s="147"/>
      <c r="F608" s="147"/>
      <c r="G608" s="147"/>
      <c r="H608" s="147"/>
      <c r="I608" s="147"/>
      <c r="J608" s="147"/>
      <c r="K608" s="147"/>
      <c r="L608" s="147"/>
      <c r="M608" s="147"/>
    </row>
    <row r="609">
      <c r="A609" s="147"/>
      <c r="B609" s="147"/>
      <c r="C609" s="147"/>
      <c r="D609" s="147"/>
      <c r="E609" s="147"/>
      <c r="F609" s="147"/>
      <c r="G609" s="147"/>
      <c r="H609" s="147"/>
      <c r="I609" s="147"/>
      <c r="J609" s="147"/>
      <c r="K609" s="147"/>
      <c r="L609" s="147"/>
      <c r="M609" s="147"/>
    </row>
    <row r="610">
      <c r="A610" s="147"/>
      <c r="B610" s="147"/>
      <c r="C610" s="147"/>
      <c r="D610" s="147"/>
      <c r="E610" s="147"/>
      <c r="F610" s="147"/>
      <c r="G610" s="147"/>
      <c r="H610" s="147"/>
      <c r="I610" s="147"/>
      <c r="J610" s="147"/>
      <c r="K610" s="147"/>
      <c r="L610" s="147"/>
      <c r="M610" s="147"/>
    </row>
    <row r="611">
      <c r="A611" s="147"/>
      <c r="B611" s="147"/>
      <c r="C611" s="147"/>
      <c r="D611" s="147"/>
      <c r="E611" s="147"/>
      <c r="F611" s="147"/>
      <c r="G611" s="147"/>
      <c r="H611" s="147"/>
      <c r="I611" s="147"/>
      <c r="J611" s="147"/>
      <c r="K611" s="147"/>
      <c r="L611" s="147"/>
      <c r="M611" s="147"/>
    </row>
    <row r="612">
      <c r="A612" s="147"/>
      <c r="B612" s="147"/>
      <c r="C612" s="147"/>
      <c r="D612" s="147"/>
      <c r="E612" s="147"/>
      <c r="F612" s="147"/>
      <c r="G612" s="147"/>
      <c r="H612" s="147"/>
      <c r="I612" s="147"/>
      <c r="J612" s="147"/>
      <c r="K612" s="147"/>
      <c r="L612" s="147"/>
      <c r="M612" s="147"/>
    </row>
    <row r="613">
      <c r="A613" s="147"/>
      <c r="B613" s="147"/>
      <c r="C613" s="147"/>
      <c r="D613" s="147"/>
      <c r="E613" s="147"/>
      <c r="F613" s="147"/>
      <c r="G613" s="147"/>
      <c r="H613" s="147"/>
      <c r="I613" s="147"/>
      <c r="J613" s="147"/>
      <c r="K613" s="147"/>
      <c r="L613" s="147"/>
      <c r="M613" s="147"/>
    </row>
    <row r="614">
      <c r="A614" s="147"/>
      <c r="B614" s="147"/>
      <c r="C614" s="147"/>
      <c r="D614" s="147"/>
      <c r="E614" s="147"/>
      <c r="F614" s="147"/>
      <c r="G614" s="147"/>
      <c r="H614" s="147"/>
      <c r="I614" s="147"/>
      <c r="J614" s="147"/>
      <c r="K614" s="147"/>
      <c r="L614" s="147"/>
      <c r="M614" s="147"/>
    </row>
    <row r="615">
      <c r="A615" s="147"/>
      <c r="B615" s="147"/>
      <c r="C615" s="147"/>
      <c r="D615" s="147"/>
      <c r="E615" s="147"/>
      <c r="F615" s="147"/>
      <c r="G615" s="147"/>
      <c r="H615" s="147"/>
      <c r="I615" s="147"/>
      <c r="J615" s="147"/>
      <c r="K615" s="147"/>
      <c r="L615" s="147"/>
      <c r="M615" s="147"/>
    </row>
    <row r="616">
      <c r="A616" s="147"/>
      <c r="B616" s="147"/>
      <c r="C616" s="147"/>
      <c r="D616" s="147"/>
      <c r="E616" s="147"/>
      <c r="F616" s="147"/>
      <c r="G616" s="147"/>
      <c r="H616" s="147"/>
      <c r="I616" s="147"/>
      <c r="J616" s="147"/>
      <c r="K616" s="147"/>
      <c r="L616" s="147"/>
      <c r="M616" s="147"/>
    </row>
    <row r="617">
      <c r="A617" s="147"/>
      <c r="B617" s="147"/>
      <c r="C617" s="147"/>
      <c r="D617" s="147"/>
      <c r="E617" s="147"/>
      <c r="F617" s="147"/>
      <c r="G617" s="147"/>
      <c r="H617" s="147"/>
      <c r="I617" s="147"/>
      <c r="J617" s="147"/>
      <c r="K617" s="147"/>
      <c r="L617" s="147"/>
      <c r="M617" s="147"/>
    </row>
    <row r="618">
      <c r="A618" s="147"/>
      <c r="B618" s="147"/>
      <c r="C618" s="147"/>
      <c r="D618" s="147"/>
      <c r="E618" s="147"/>
      <c r="F618" s="147"/>
      <c r="G618" s="147"/>
      <c r="H618" s="147"/>
      <c r="I618" s="147"/>
      <c r="J618" s="147"/>
      <c r="K618" s="147"/>
      <c r="L618" s="147"/>
      <c r="M618" s="147"/>
    </row>
    <row r="619">
      <c r="A619" s="147"/>
      <c r="B619" s="147"/>
      <c r="C619" s="147"/>
      <c r="D619" s="147"/>
      <c r="E619" s="147"/>
      <c r="F619" s="147"/>
      <c r="G619" s="147"/>
      <c r="H619" s="147"/>
      <c r="I619" s="147"/>
      <c r="J619" s="147"/>
      <c r="K619" s="147"/>
      <c r="L619" s="147"/>
      <c r="M619" s="147"/>
    </row>
    <row r="620">
      <c r="A620" s="147"/>
      <c r="B620" s="147"/>
      <c r="C620" s="147"/>
      <c r="D620" s="147"/>
      <c r="E620" s="147"/>
      <c r="F620" s="147"/>
      <c r="G620" s="147"/>
      <c r="H620" s="147"/>
      <c r="I620" s="147"/>
      <c r="J620" s="147"/>
      <c r="K620" s="147"/>
      <c r="L620" s="147"/>
      <c r="M620" s="147"/>
    </row>
    <row r="621">
      <c r="A621" s="147"/>
      <c r="B621" s="147"/>
      <c r="C621" s="147"/>
      <c r="D621" s="147"/>
      <c r="E621" s="147"/>
      <c r="F621" s="147"/>
      <c r="G621" s="147"/>
      <c r="H621" s="147"/>
      <c r="I621" s="147"/>
      <c r="J621" s="147"/>
      <c r="K621" s="147"/>
      <c r="L621" s="147"/>
      <c r="M621" s="147"/>
    </row>
    <row r="622">
      <c r="A622" s="147"/>
      <c r="B622" s="147"/>
      <c r="C622" s="147"/>
      <c r="D622" s="147"/>
      <c r="E622" s="147"/>
      <c r="F622" s="147"/>
      <c r="G622" s="147"/>
      <c r="H622" s="147"/>
      <c r="I622" s="147"/>
      <c r="J622" s="147"/>
      <c r="K622" s="147"/>
      <c r="L622" s="147"/>
      <c r="M622" s="147"/>
    </row>
    <row r="623">
      <c r="A623" s="147"/>
      <c r="B623" s="147"/>
      <c r="C623" s="147"/>
      <c r="D623" s="147"/>
      <c r="E623" s="147"/>
      <c r="F623" s="147"/>
      <c r="G623" s="147"/>
      <c r="H623" s="147"/>
      <c r="I623" s="147"/>
      <c r="J623" s="147"/>
      <c r="K623" s="147"/>
      <c r="L623" s="147"/>
      <c r="M623" s="147"/>
    </row>
    <row r="624">
      <c r="A624" s="147"/>
      <c r="B624" s="147"/>
      <c r="C624" s="147"/>
      <c r="D624" s="147"/>
      <c r="E624" s="147"/>
      <c r="F624" s="147"/>
      <c r="G624" s="147"/>
      <c r="H624" s="147"/>
      <c r="I624" s="147"/>
      <c r="J624" s="147"/>
      <c r="K624" s="147"/>
      <c r="L624" s="147"/>
      <c r="M624" s="147"/>
    </row>
    <row r="625">
      <c r="A625" s="147"/>
      <c r="B625" s="147"/>
      <c r="C625" s="147"/>
      <c r="D625" s="147"/>
      <c r="E625" s="147"/>
      <c r="F625" s="147"/>
      <c r="G625" s="147"/>
      <c r="H625" s="147"/>
      <c r="I625" s="147"/>
      <c r="J625" s="147"/>
      <c r="K625" s="147"/>
      <c r="L625" s="147"/>
      <c r="M625" s="147"/>
    </row>
    <row r="626">
      <c r="A626" s="147"/>
      <c r="B626" s="147"/>
      <c r="C626" s="147"/>
      <c r="D626" s="147"/>
      <c r="E626" s="147"/>
      <c r="F626" s="147"/>
      <c r="G626" s="147"/>
      <c r="H626" s="147"/>
      <c r="I626" s="147"/>
      <c r="J626" s="147"/>
      <c r="K626" s="147"/>
      <c r="L626" s="147"/>
      <c r="M626" s="147"/>
    </row>
    <row r="627">
      <c r="A627" s="147"/>
      <c r="B627" s="147"/>
      <c r="C627" s="147"/>
      <c r="D627" s="147"/>
      <c r="E627" s="147"/>
      <c r="F627" s="147"/>
      <c r="G627" s="147"/>
      <c r="H627" s="147"/>
      <c r="I627" s="147"/>
      <c r="J627" s="147"/>
      <c r="K627" s="147"/>
      <c r="L627" s="147"/>
      <c r="M627" s="147"/>
    </row>
    <row r="628">
      <c r="A628" s="147"/>
      <c r="B628" s="147"/>
      <c r="C628" s="147"/>
      <c r="D628" s="147"/>
      <c r="E628" s="147"/>
      <c r="F628" s="147"/>
      <c r="G628" s="147"/>
      <c r="H628" s="147"/>
      <c r="I628" s="147"/>
      <c r="J628" s="147"/>
      <c r="K628" s="147"/>
      <c r="L628" s="147"/>
      <c r="M628" s="147"/>
    </row>
    <row r="629">
      <c r="A629" s="147"/>
      <c r="B629" s="147"/>
      <c r="C629" s="147"/>
      <c r="D629" s="147"/>
      <c r="E629" s="147"/>
      <c r="F629" s="147"/>
      <c r="G629" s="147"/>
      <c r="H629" s="147"/>
      <c r="I629" s="147"/>
      <c r="J629" s="147"/>
      <c r="K629" s="147"/>
      <c r="L629" s="147"/>
      <c r="M629" s="147"/>
    </row>
    <row r="630">
      <c r="A630" s="147"/>
      <c r="B630" s="147"/>
      <c r="C630" s="147"/>
      <c r="D630" s="147"/>
      <c r="E630" s="147"/>
      <c r="F630" s="147"/>
      <c r="G630" s="147"/>
      <c r="H630" s="147"/>
      <c r="I630" s="147"/>
      <c r="J630" s="147"/>
      <c r="K630" s="147"/>
      <c r="L630" s="147"/>
      <c r="M630" s="147"/>
    </row>
    <row r="631">
      <c r="A631" s="147"/>
      <c r="B631" s="147"/>
      <c r="C631" s="147"/>
      <c r="D631" s="147"/>
      <c r="E631" s="147"/>
      <c r="F631" s="147"/>
      <c r="G631" s="147"/>
      <c r="H631" s="147"/>
      <c r="I631" s="147"/>
      <c r="J631" s="147"/>
      <c r="K631" s="147"/>
      <c r="L631" s="147"/>
      <c r="M631" s="147"/>
    </row>
    <row r="632">
      <c r="A632" s="147"/>
      <c r="B632" s="147"/>
      <c r="C632" s="147"/>
      <c r="D632" s="147"/>
      <c r="E632" s="147"/>
      <c r="F632" s="147"/>
      <c r="G632" s="147"/>
      <c r="H632" s="147"/>
      <c r="I632" s="147"/>
      <c r="J632" s="147"/>
      <c r="K632" s="147"/>
      <c r="L632" s="147"/>
      <c r="M632" s="147"/>
    </row>
    <row r="633">
      <c r="A633" s="147"/>
      <c r="B633" s="147"/>
      <c r="C633" s="147"/>
      <c r="D633" s="147"/>
      <c r="E633" s="147"/>
      <c r="F633" s="147"/>
      <c r="G633" s="147"/>
      <c r="H633" s="147"/>
      <c r="I633" s="147"/>
      <c r="J633" s="147"/>
      <c r="K633" s="147"/>
      <c r="L633" s="147"/>
      <c r="M633" s="147"/>
    </row>
    <row r="634">
      <c r="A634" s="147"/>
      <c r="B634" s="147"/>
      <c r="C634" s="147"/>
      <c r="D634" s="147"/>
      <c r="E634" s="147"/>
      <c r="F634" s="147"/>
      <c r="G634" s="147"/>
      <c r="H634" s="147"/>
      <c r="I634" s="147"/>
      <c r="J634" s="147"/>
      <c r="K634" s="147"/>
      <c r="L634" s="147"/>
      <c r="M634" s="147"/>
    </row>
    <row r="635">
      <c r="A635" s="147"/>
      <c r="B635" s="147"/>
      <c r="C635" s="147"/>
      <c r="D635" s="147"/>
      <c r="E635" s="147"/>
      <c r="F635" s="147"/>
      <c r="G635" s="147"/>
      <c r="H635" s="147"/>
      <c r="I635" s="147"/>
      <c r="J635" s="147"/>
      <c r="K635" s="147"/>
      <c r="L635" s="147"/>
      <c r="M635" s="147"/>
    </row>
    <row r="636">
      <c r="A636" s="147"/>
      <c r="B636" s="147"/>
      <c r="C636" s="147"/>
      <c r="D636" s="147"/>
      <c r="E636" s="147"/>
      <c r="F636" s="147"/>
      <c r="G636" s="147"/>
      <c r="H636" s="147"/>
      <c r="I636" s="147"/>
      <c r="J636" s="147"/>
      <c r="K636" s="147"/>
      <c r="L636" s="147"/>
      <c r="M636" s="147"/>
    </row>
    <row r="637">
      <c r="A637" s="147"/>
      <c r="B637" s="147"/>
      <c r="C637" s="147"/>
      <c r="D637" s="147"/>
      <c r="E637" s="147"/>
      <c r="F637" s="147"/>
      <c r="G637" s="147"/>
      <c r="H637" s="147"/>
      <c r="I637" s="147"/>
      <c r="J637" s="147"/>
      <c r="K637" s="147"/>
      <c r="L637" s="147"/>
      <c r="M637" s="147"/>
    </row>
    <row r="638">
      <c r="A638" s="147"/>
      <c r="B638" s="147"/>
      <c r="C638" s="147"/>
      <c r="D638" s="147"/>
      <c r="E638" s="147"/>
      <c r="F638" s="147"/>
      <c r="G638" s="147"/>
      <c r="H638" s="147"/>
      <c r="I638" s="147"/>
      <c r="J638" s="147"/>
      <c r="K638" s="147"/>
      <c r="L638" s="147"/>
      <c r="M638" s="147"/>
    </row>
    <row r="639">
      <c r="A639" s="147"/>
      <c r="B639" s="147"/>
      <c r="C639" s="147"/>
      <c r="D639" s="147"/>
      <c r="E639" s="147"/>
      <c r="F639" s="147"/>
      <c r="G639" s="147"/>
      <c r="H639" s="147"/>
      <c r="I639" s="147"/>
      <c r="J639" s="147"/>
      <c r="K639" s="147"/>
      <c r="L639" s="147"/>
      <c r="M639" s="147"/>
    </row>
    <row r="640">
      <c r="A640" s="147"/>
      <c r="B640" s="147"/>
      <c r="C640" s="147"/>
      <c r="D640" s="147"/>
      <c r="E640" s="147"/>
      <c r="F640" s="147"/>
      <c r="G640" s="147"/>
      <c r="H640" s="147"/>
      <c r="I640" s="147"/>
      <c r="J640" s="147"/>
      <c r="K640" s="147"/>
      <c r="L640" s="147"/>
      <c r="M640" s="147"/>
    </row>
    <row r="641">
      <c r="A641" s="147"/>
      <c r="B641" s="147"/>
      <c r="C641" s="147"/>
      <c r="D641" s="147"/>
      <c r="E641" s="147"/>
      <c r="F641" s="147"/>
      <c r="G641" s="147"/>
      <c r="H641" s="147"/>
      <c r="I641" s="147"/>
      <c r="J641" s="147"/>
      <c r="K641" s="147"/>
      <c r="L641" s="147"/>
      <c r="M641" s="147"/>
    </row>
    <row r="642">
      <c r="A642" s="147"/>
      <c r="B642" s="147"/>
      <c r="C642" s="147"/>
      <c r="D642" s="147"/>
      <c r="E642" s="147"/>
      <c r="F642" s="147"/>
      <c r="G642" s="147"/>
      <c r="H642" s="147"/>
      <c r="I642" s="147"/>
      <c r="J642" s="147"/>
      <c r="K642" s="147"/>
      <c r="L642" s="147"/>
      <c r="M642" s="147"/>
    </row>
    <row r="643">
      <c r="A643" s="147"/>
      <c r="B643" s="147"/>
      <c r="C643" s="147"/>
      <c r="D643" s="147"/>
      <c r="E643" s="147"/>
      <c r="F643" s="147"/>
      <c r="G643" s="147"/>
      <c r="H643" s="147"/>
      <c r="I643" s="147"/>
      <c r="J643" s="147"/>
      <c r="K643" s="147"/>
      <c r="L643" s="147"/>
      <c r="M643" s="147"/>
    </row>
    <row r="644">
      <c r="A644" s="147"/>
      <c r="B644" s="147"/>
      <c r="C644" s="147"/>
      <c r="D644" s="147"/>
      <c r="E644" s="147"/>
      <c r="F644" s="147"/>
      <c r="G644" s="147"/>
      <c r="H644" s="147"/>
      <c r="I644" s="147"/>
      <c r="J644" s="147"/>
      <c r="K644" s="147"/>
      <c r="L644" s="147"/>
      <c r="M644" s="147"/>
    </row>
    <row r="645">
      <c r="A645" s="147"/>
      <c r="B645" s="147"/>
      <c r="C645" s="147"/>
      <c r="D645" s="147"/>
      <c r="E645" s="147"/>
      <c r="F645" s="147"/>
      <c r="G645" s="147"/>
      <c r="H645" s="147"/>
      <c r="I645" s="147"/>
      <c r="J645" s="147"/>
      <c r="K645" s="147"/>
      <c r="L645" s="147"/>
      <c r="M645" s="147"/>
    </row>
    <row r="646">
      <c r="A646" s="147"/>
      <c r="B646" s="147"/>
      <c r="C646" s="147"/>
      <c r="D646" s="147"/>
      <c r="E646" s="147"/>
      <c r="F646" s="147"/>
      <c r="G646" s="147"/>
      <c r="H646" s="147"/>
      <c r="I646" s="147"/>
      <c r="J646" s="147"/>
      <c r="K646" s="147"/>
      <c r="L646" s="147"/>
      <c r="M646" s="147"/>
    </row>
    <row r="647">
      <c r="A647" s="147"/>
      <c r="B647" s="147"/>
      <c r="C647" s="147"/>
      <c r="D647" s="147"/>
      <c r="E647" s="147"/>
      <c r="F647" s="147"/>
      <c r="G647" s="147"/>
      <c r="H647" s="147"/>
      <c r="I647" s="147"/>
      <c r="J647" s="147"/>
      <c r="K647" s="147"/>
      <c r="L647" s="147"/>
      <c r="M647" s="147"/>
    </row>
    <row r="648">
      <c r="A648" s="147"/>
      <c r="B648" s="147"/>
      <c r="C648" s="147"/>
      <c r="D648" s="147"/>
      <c r="E648" s="147"/>
      <c r="F648" s="147"/>
      <c r="G648" s="147"/>
      <c r="H648" s="147"/>
      <c r="I648" s="147"/>
      <c r="J648" s="147"/>
      <c r="K648" s="147"/>
      <c r="L648" s="147"/>
      <c r="M648" s="147"/>
    </row>
    <row r="649">
      <c r="A649" s="147"/>
      <c r="B649" s="147"/>
      <c r="C649" s="147"/>
      <c r="D649" s="147"/>
      <c r="E649" s="147"/>
      <c r="F649" s="147"/>
      <c r="G649" s="147"/>
      <c r="H649" s="147"/>
      <c r="I649" s="147"/>
      <c r="J649" s="147"/>
      <c r="K649" s="147"/>
      <c r="L649" s="147"/>
      <c r="M649" s="147"/>
    </row>
    <row r="650">
      <c r="A650" s="147"/>
      <c r="B650" s="147"/>
      <c r="C650" s="147"/>
      <c r="D650" s="147"/>
      <c r="E650" s="147"/>
      <c r="F650" s="147"/>
      <c r="G650" s="147"/>
      <c r="H650" s="147"/>
      <c r="I650" s="147"/>
      <c r="J650" s="147"/>
      <c r="K650" s="147"/>
      <c r="L650" s="147"/>
      <c r="M650" s="147"/>
    </row>
    <row r="651">
      <c r="A651" s="147"/>
      <c r="B651" s="147"/>
      <c r="C651" s="147"/>
      <c r="D651" s="147"/>
      <c r="E651" s="147"/>
      <c r="F651" s="147"/>
      <c r="G651" s="147"/>
      <c r="H651" s="147"/>
      <c r="I651" s="147"/>
      <c r="J651" s="147"/>
      <c r="K651" s="147"/>
      <c r="L651" s="147"/>
      <c r="M651" s="147"/>
    </row>
    <row r="652">
      <c r="A652" s="147"/>
      <c r="B652" s="147"/>
      <c r="C652" s="147"/>
      <c r="D652" s="147"/>
      <c r="E652" s="147"/>
      <c r="F652" s="147"/>
      <c r="G652" s="147"/>
      <c r="H652" s="147"/>
      <c r="I652" s="147"/>
      <c r="J652" s="147"/>
      <c r="K652" s="147"/>
      <c r="L652" s="147"/>
      <c r="M652" s="147"/>
    </row>
    <row r="653">
      <c r="A653" s="147"/>
      <c r="B653" s="147"/>
      <c r="C653" s="147"/>
      <c r="D653" s="147"/>
      <c r="E653" s="147"/>
      <c r="F653" s="147"/>
      <c r="G653" s="147"/>
      <c r="H653" s="147"/>
      <c r="I653" s="147"/>
      <c r="J653" s="147"/>
      <c r="K653" s="147"/>
      <c r="L653" s="147"/>
      <c r="M653" s="147"/>
    </row>
    <row r="654">
      <c r="A654" s="147"/>
      <c r="B654" s="147"/>
      <c r="C654" s="147"/>
      <c r="D654" s="147"/>
      <c r="E654" s="147"/>
      <c r="F654" s="147"/>
      <c r="G654" s="147"/>
      <c r="H654" s="147"/>
      <c r="I654" s="147"/>
      <c r="J654" s="147"/>
      <c r="K654" s="147"/>
      <c r="L654" s="147"/>
      <c r="M654" s="147"/>
    </row>
    <row r="655">
      <c r="A655" s="147"/>
      <c r="B655" s="147"/>
      <c r="C655" s="147"/>
      <c r="D655" s="147"/>
      <c r="E655" s="147"/>
      <c r="F655" s="147"/>
      <c r="G655" s="147"/>
      <c r="H655" s="147"/>
      <c r="I655" s="147"/>
      <c r="J655" s="147"/>
      <c r="K655" s="147"/>
      <c r="L655" s="147"/>
      <c r="M655" s="147"/>
    </row>
    <row r="656">
      <c r="A656" s="147"/>
      <c r="B656" s="147"/>
      <c r="C656" s="147"/>
      <c r="D656" s="147"/>
      <c r="E656" s="147"/>
      <c r="F656" s="147"/>
      <c r="G656" s="147"/>
      <c r="H656" s="147"/>
      <c r="I656" s="147"/>
      <c r="J656" s="147"/>
      <c r="K656" s="147"/>
      <c r="L656" s="147"/>
      <c r="M656" s="147"/>
    </row>
    <row r="657">
      <c r="A657" s="147"/>
      <c r="B657" s="147"/>
      <c r="C657" s="147"/>
      <c r="D657" s="147"/>
      <c r="E657" s="147"/>
      <c r="F657" s="147"/>
      <c r="G657" s="147"/>
      <c r="H657" s="147"/>
      <c r="I657" s="147"/>
      <c r="J657" s="147"/>
      <c r="K657" s="147"/>
      <c r="L657" s="147"/>
      <c r="M657" s="147"/>
    </row>
    <row r="658">
      <c r="A658" s="147"/>
      <c r="B658" s="147"/>
      <c r="C658" s="147"/>
      <c r="D658" s="147"/>
      <c r="E658" s="147"/>
      <c r="F658" s="147"/>
      <c r="G658" s="147"/>
      <c r="H658" s="147"/>
      <c r="I658" s="147"/>
      <c r="J658" s="147"/>
      <c r="K658" s="147"/>
      <c r="L658" s="147"/>
      <c r="M658" s="147"/>
    </row>
    <row r="659">
      <c r="A659" s="147"/>
      <c r="B659" s="147"/>
      <c r="C659" s="147"/>
      <c r="D659" s="147"/>
      <c r="E659" s="147"/>
      <c r="F659" s="147"/>
      <c r="G659" s="147"/>
      <c r="H659" s="147"/>
      <c r="I659" s="147"/>
      <c r="J659" s="147"/>
      <c r="K659" s="147"/>
      <c r="L659" s="147"/>
      <c r="M659" s="147"/>
    </row>
    <row r="660">
      <c r="A660" s="147"/>
      <c r="B660" s="147"/>
      <c r="C660" s="147"/>
      <c r="D660" s="147"/>
      <c r="E660" s="147"/>
      <c r="F660" s="147"/>
      <c r="G660" s="147"/>
      <c r="H660" s="147"/>
      <c r="I660" s="147"/>
      <c r="J660" s="147"/>
      <c r="K660" s="147"/>
      <c r="L660" s="147"/>
      <c r="M660" s="147"/>
    </row>
    <row r="661">
      <c r="A661" s="147"/>
      <c r="B661" s="147"/>
      <c r="C661" s="147"/>
      <c r="D661" s="147"/>
      <c r="E661" s="147"/>
      <c r="F661" s="147"/>
      <c r="G661" s="147"/>
      <c r="H661" s="147"/>
      <c r="I661" s="147"/>
      <c r="J661" s="147"/>
      <c r="K661" s="147"/>
      <c r="L661" s="147"/>
      <c r="M661" s="147"/>
    </row>
    <row r="662">
      <c r="A662" s="147"/>
      <c r="B662" s="147"/>
      <c r="C662" s="147"/>
      <c r="D662" s="147"/>
      <c r="E662" s="147"/>
      <c r="F662" s="147"/>
      <c r="G662" s="147"/>
      <c r="H662" s="147"/>
      <c r="I662" s="147"/>
      <c r="J662" s="147"/>
      <c r="K662" s="147"/>
      <c r="L662" s="147"/>
      <c r="M662" s="147"/>
    </row>
    <row r="663">
      <c r="A663" s="147"/>
      <c r="B663" s="147"/>
      <c r="C663" s="147"/>
      <c r="D663" s="147"/>
      <c r="E663" s="147"/>
      <c r="F663" s="147"/>
      <c r="G663" s="147"/>
      <c r="H663" s="147"/>
      <c r="I663" s="147"/>
      <c r="J663" s="147"/>
      <c r="K663" s="147"/>
      <c r="L663" s="147"/>
      <c r="M663" s="147"/>
    </row>
    <row r="664">
      <c r="A664" s="147"/>
      <c r="B664" s="147"/>
      <c r="C664" s="147"/>
      <c r="D664" s="147"/>
      <c r="E664" s="147"/>
      <c r="F664" s="147"/>
      <c r="G664" s="147"/>
      <c r="H664" s="147"/>
      <c r="I664" s="147"/>
      <c r="J664" s="147"/>
      <c r="K664" s="147"/>
      <c r="L664" s="147"/>
      <c r="M664" s="147"/>
    </row>
    <row r="665">
      <c r="A665" s="147"/>
      <c r="B665" s="147"/>
      <c r="C665" s="147"/>
      <c r="D665" s="147"/>
      <c r="E665" s="147"/>
      <c r="F665" s="147"/>
      <c r="G665" s="147"/>
      <c r="H665" s="147"/>
      <c r="I665" s="147"/>
      <c r="J665" s="147"/>
      <c r="K665" s="147"/>
      <c r="L665" s="147"/>
      <c r="M665" s="147"/>
    </row>
    <row r="666">
      <c r="A666" s="147"/>
      <c r="B666" s="147"/>
      <c r="C666" s="147"/>
      <c r="D666" s="147"/>
      <c r="E666" s="147"/>
      <c r="F666" s="147"/>
      <c r="G666" s="147"/>
      <c r="H666" s="147"/>
      <c r="I666" s="147"/>
      <c r="J666" s="147"/>
      <c r="K666" s="147"/>
      <c r="L666" s="147"/>
      <c r="M666" s="147"/>
    </row>
    <row r="667">
      <c r="A667" s="147"/>
      <c r="B667" s="147"/>
      <c r="C667" s="147"/>
      <c r="D667" s="147"/>
      <c r="E667" s="147"/>
      <c r="F667" s="147"/>
      <c r="G667" s="147"/>
      <c r="H667" s="147"/>
      <c r="I667" s="147"/>
      <c r="J667" s="147"/>
      <c r="K667" s="147"/>
      <c r="L667" s="147"/>
      <c r="M667" s="147"/>
    </row>
    <row r="668">
      <c r="A668" s="147"/>
      <c r="B668" s="147"/>
      <c r="C668" s="147"/>
      <c r="D668" s="147"/>
      <c r="E668" s="147"/>
      <c r="F668" s="147"/>
      <c r="G668" s="147"/>
      <c r="H668" s="147"/>
      <c r="I668" s="147"/>
      <c r="J668" s="147"/>
      <c r="K668" s="147"/>
      <c r="L668" s="147"/>
      <c r="M668" s="147"/>
    </row>
    <row r="669">
      <c r="A669" s="147"/>
      <c r="B669" s="147"/>
      <c r="C669" s="147"/>
      <c r="D669" s="147"/>
      <c r="E669" s="147"/>
      <c r="F669" s="147"/>
      <c r="G669" s="147"/>
      <c r="H669" s="147"/>
      <c r="I669" s="147"/>
      <c r="J669" s="147"/>
      <c r="K669" s="147"/>
      <c r="L669" s="147"/>
      <c r="M669" s="147"/>
    </row>
    <row r="670">
      <c r="A670" s="147"/>
      <c r="B670" s="147"/>
      <c r="C670" s="147"/>
      <c r="D670" s="147"/>
      <c r="E670" s="147"/>
      <c r="F670" s="147"/>
      <c r="G670" s="147"/>
      <c r="H670" s="147"/>
      <c r="I670" s="147"/>
      <c r="J670" s="147"/>
      <c r="K670" s="147"/>
      <c r="L670" s="147"/>
      <c r="M670" s="147"/>
    </row>
    <row r="671">
      <c r="A671" s="147"/>
      <c r="B671" s="147"/>
      <c r="C671" s="147"/>
      <c r="D671" s="147"/>
      <c r="E671" s="147"/>
      <c r="F671" s="147"/>
      <c r="G671" s="147"/>
      <c r="H671" s="147"/>
      <c r="I671" s="147"/>
      <c r="J671" s="147"/>
      <c r="K671" s="147"/>
      <c r="L671" s="147"/>
      <c r="M671" s="147"/>
    </row>
    <row r="672">
      <c r="A672" s="147"/>
      <c r="B672" s="147"/>
      <c r="C672" s="147"/>
      <c r="D672" s="147"/>
      <c r="E672" s="147"/>
      <c r="F672" s="147"/>
      <c r="G672" s="147"/>
      <c r="H672" s="147"/>
      <c r="I672" s="147"/>
      <c r="J672" s="147"/>
      <c r="K672" s="147"/>
      <c r="L672" s="147"/>
      <c r="M672" s="147"/>
    </row>
    <row r="673">
      <c r="A673" s="147"/>
      <c r="B673" s="147"/>
      <c r="C673" s="147"/>
      <c r="D673" s="147"/>
      <c r="E673" s="147"/>
      <c r="F673" s="147"/>
      <c r="G673" s="147"/>
      <c r="H673" s="147"/>
      <c r="I673" s="147"/>
      <c r="J673" s="147"/>
      <c r="K673" s="147"/>
      <c r="L673" s="147"/>
      <c r="M673" s="147"/>
    </row>
    <row r="674">
      <c r="A674" s="147"/>
      <c r="B674" s="147"/>
      <c r="C674" s="147"/>
      <c r="D674" s="147"/>
      <c r="E674" s="147"/>
      <c r="F674" s="147"/>
      <c r="G674" s="147"/>
      <c r="H674" s="147"/>
      <c r="I674" s="147"/>
      <c r="J674" s="147"/>
      <c r="K674" s="147"/>
      <c r="L674" s="147"/>
      <c r="M674" s="147"/>
    </row>
    <row r="675">
      <c r="A675" s="147"/>
      <c r="B675" s="147"/>
      <c r="C675" s="147"/>
      <c r="D675" s="147"/>
      <c r="E675" s="147"/>
      <c r="F675" s="147"/>
      <c r="G675" s="147"/>
      <c r="H675" s="147"/>
      <c r="I675" s="147"/>
      <c r="J675" s="147"/>
      <c r="K675" s="147"/>
      <c r="L675" s="147"/>
      <c r="M675" s="147"/>
    </row>
    <row r="676">
      <c r="A676" s="147"/>
      <c r="B676" s="147"/>
      <c r="C676" s="147"/>
      <c r="D676" s="147"/>
      <c r="E676" s="147"/>
      <c r="F676" s="147"/>
      <c r="G676" s="147"/>
      <c r="H676" s="147"/>
      <c r="I676" s="147"/>
      <c r="J676" s="147"/>
      <c r="K676" s="147"/>
      <c r="L676" s="147"/>
      <c r="M676" s="147"/>
    </row>
    <row r="677">
      <c r="A677" s="147"/>
      <c r="B677" s="147"/>
      <c r="C677" s="147"/>
      <c r="D677" s="147"/>
      <c r="E677" s="147"/>
      <c r="F677" s="147"/>
      <c r="G677" s="147"/>
      <c r="H677" s="147"/>
      <c r="I677" s="147"/>
      <c r="J677" s="147"/>
      <c r="K677" s="147"/>
      <c r="L677" s="147"/>
      <c r="M677" s="147"/>
    </row>
    <row r="678">
      <c r="A678" s="147"/>
      <c r="B678" s="147"/>
      <c r="C678" s="147"/>
      <c r="D678" s="147"/>
      <c r="E678" s="147"/>
      <c r="F678" s="147"/>
      <c r="G678" s="147"/>
      <c r="H678" s="147"/>
      <c r="I678" s="147"/>
      <c r="J678" s="147"/>
      <c r="K678" s="147"/>
      <c r="L678" s="147"/>
      <c r="M678" s="147"/>
    </row>
    <row r="679">
      <c r="A679" s="147"/>
      <c r="B679" s="147"/>
      <c r="C679" s="147"/>
      <c r="D679" s="147"/>
      <c r="E679" s="147"/>
      <c r="F679" s="147"/>
      <c r="G679" s="147"/>
      <c r="H679" s="147"/>
      <c r="I679" s="147"/>
      <c r="J679" s="147"/>
      <c r="K679" s="147"/>
      <c r="L679" s="147"/>
      <c r="M679" s="147"/>
    </row>
    <row r="680">
      <c r="A680" s="147"/>
      <c r="B680" s="147"/>
      <c r="C680" s="147"/>
      <c r="D680" s="147"/>
      <c r="E680" s="147"/>
      <c r="F680" s="147"/>
      <c r="G680" s="147"/>
      <c r="H680" s="147"/>
      <c r="I680" s="147"/>
      <c r="J680" s="147"/>
      <c r="K680" s="147"/>
      <c r="L680" s="147"/>
      <c r="M680" s="147"/>
    </row>
    <row r="681">
      <c r="A681" s="147"/>
      <c r="B681" s="147"/>
      <c r="C681" s="147"/>
      <c r="D681" s="147"/>
      <c r="E681" s="147"/>
      <c r="F681" s="147"/>
      <c r="G681" s="147"/>
      <c r="H681" s="147"/>
      <c r="I681" s="147"/>
      <c r="J681" s="147"/>
      <c r="K681" s="147"/>
      <c r="L681" s="147"/>
      <c r="M681" s="147"/>
    </row>
    <row r="682">
      <c r="A682" s="147"/>
      <c r="B682" s="147"/>
      <c r="C682" s="147"/>
      <c r="D682" s="147"/>
      <c r="E682" s="147"/>
      <c r="F682" s="147"/>
      <c r="G682" s="147"/>
      <c r="H682" s="147"/>
      <c r="I682" s="147"/>
      <c r="J682" s="147"/>
      <c r="K682" s="147"/>
      <c r="L682" s="147"/>
      <c r="M682" s="147"/>
    </row>
    <row r="683">
      <c r="A683" s="147"/>
      <c r="B683" s="147"/>
      <c r="C683" s="147"/>
      <c r="D683" s="147"/>
      <c r="E683" s="147"/>
      <c r="F683" s="147"/>
      <c r="G683" s="147"/>
      <c r="H683" s="147"/>
      <c r="I683" s="147"/>
      <c r="J683" s="147"/>
      <c r="K683" s="147"/>
      <c r="L683" s="147"/>
      <c r="M683" s="147"/>
    </row>
    <row r="684">
      <c r="A684" s="147"/>
      <c r="B684" s="147"/>
      <c r="C684" s="147"/>
      <c r="D684" s="147"/>
      <c r="E684" s="147"/>
      <c r="F684" s="147"/>
      <c r="G684" s="147"/>
      <c r="H684" s="147"/>
      <c r="I684" s="147"/>
      <c r="J684" s="147"/>
      <c r="K684" s="147"/>
      <c r="L684" s="147"/>
      <c r="M684" s="147"/>
    </row>
    <row r="685">
      <c r="A685" s="147"/>
      <c r="B685" s="147"/>
      <c r="C685" s="147"/>
      <c r="D685" s="147"/>
      <c r="E685" s="147"/>
      <c r="F685" s="147"/>
      <c r="G685" s="147"/>
      <c r="H685" s="147"/>
      <c r="I685" s="147"/>
      <c r="J685" s="147"/>
      <c r="K685" s="147"/>
      <c r="L685" s="147"/>
      <c r="M685" s="147"/>
    </row>
    <row r="686">
      <c r="A686" s="147"/>
      <c r="B686" s="147"/>
      <c r="C686" s="147"/>
      <c r="D686" s="147"/>
      <c r="E686" s="147"/>
      <c r="F686" s="147"/>
      <c r="G686" s="147"/>
      <c r="H686" s="147"/>
      <c r="I686" s="147"/>
      <c r="J686" s="147"/>
      <c r="K686" s="147"/>
      <c r="L686" s="147"/>
      <c r="M686" s="147"/>
    </row>
    <row r="687">
      <c r="A687" s="147"/>
      <c r="B687" s="147"/>
      <c r="C687" s="147"/>
      <c r="D687" s="147"/>
      <c r="E687" s="147"/>
      <c r="F687" s="147"/>
      <c r="G687" s="147"/>
      <c r="H687" s="147"/>
      <c r="I687" s="147"/>
      <c r="J687" s="147"/>
      <c r="K687" s="147"/>
      <c r="L687" s="147"/>
      <c r="M687" s="147"/>
    </row>
    <row r="688">
      <c r="A688" s="147"/>
      <c r="B688" s="147"/>
      <c r="C688" s="147"/>
      <c r="D688" s="147"/>
      <c r="E688" s="147"/>
      <c r="F688" s="147"/>
      <c r="G688" s="147"/>
      <c r="H688" s="147"/>
      <c r="I688" s="147"/>
      <c r="J688" s="147"/>
      <c r="K688" s="147"/>
      <c r="L688" s="147"/>
      <c r="M688" s="147"/>
    </row>
    <row r="689">
      <c r="A689" s="147"/>
      <c r="B689" s="147"/>
      <c r="C689" s="147"/>
      <c r="D689" s="147"/>
      <c r="E689" s="147"/>
      <c r="F689" s="147"/>
      <c r="G689" s="147"/>
      <c r="H689" s="147"/>
      <c r="I689" s="147"/>
      <c r="J689" s="147"/>
      <c r="K689" s="147"/>
      <c r="L689" s="147"/>
      <c r="M689" s="147"/>
    </row>
    <row r="690">
      <c r="A690" s="147"/>
      <c r="B690" s="147"/>
      <c r="C690" s="147"/>
      <c r="D690" s="147"/>
      <c r="E690" s="147"/>
      <c r="F690" s="147"/>
      <c r="G690" s="147"/>
      <c r="H690" s="147"/>
      <c r="I690" s="147"/>
      <c r="J690" s="147"/>
      <c r="K690" s="147"/>
      <c r="L690" s="147"/>
      <c r="M690" s="147"/>
    </row>
    <row r="691">
      <c r="A691" s="147"/>
      <c r="B691" s="147"/>
      <c r="C691" s="147"/>
      <c r="D691" s="147"/>
      <c r="E691" s="147"/>
      <c r="F691" s="147"/>
      <c r="G691" s="147"/>
      <c r="H691" s="147"/>
      <c r="I691" s="147"/>
      <c r="J691" s="147"/>
      <c r="K691" s="147"/>
      <c r="L691" s="147"/>
      <c r="M691" s="147"/>
    </row>
    <row r="692">
      <c r="A692" s="147"/>
      <c r="B692" s="147"/>
      <c r="C692" s="147"/>
      <c r="D692" s="147"/>
      <c r="E692" s="147"/>
      <c r="F692" s="147"/>
      <c r="G692" s="147"/>
      <c r="H692" s="147"/>
      <c r="I692" s="147"/>
      <c r="J692" s="147"/>
      <c r="K692" s="147"/>
      <c r="L692" s="147"/>
      <c r="M692" s="147"/>
    </row>
    <row r="693">
      <c r="A693" s="147"/>
      <c r="B693" s="147"/>
      <c r="C693" s="147"/>
      <c r="D693" s="147"/>
      <c r="E693" s="147"/>
      <c r="F693" s="147"/>
      <c r="G693" s="147"/>
      <c r="H693" s="147"/>
      <c r="I693" s="147"/>
      <c r="J693" s="147"/>
      <c r="K693" s="147"/>
      <c r="L693" s="147"/>
      <c r="M693" s="147"/>
    </row>
    <row r="694">
      <c r="A694" s="147"/>
      <c r="B694" s="147"/>
      <c r="C694" s="147"/>
      <c r="D694" s="147"/>
      <c r="E694" s="147"/>
      <c r="F694" s="147"/>
      <c r="G694" s="147"/>
      <c r="H694" s="147"/>
      <c r="I694" s="147"/>
      <c r="J694" s="147"/>
      <c r="K694" s="147"/>
      <c r="L694" s="147"/>
      <c r="M694" s="147"/>
    </row>
    <row r="695">
      <c r="A695" s="147"/>
      <c r="B695" s="147"/>
      <c r="C695" s="147"/>
      <c r="D695" s="147"/>
      <c r="E695" s="147"/>
      <c r="F695" s="147"/>
      <c r="G695" s="147"/>
      <c r="H695" s="147"/>
      <c r="I695" s="147"/>
      <c r="J695" s="147"/>
      <c r="K695" s="147"/>
      <c r="L695" s="147"/>
      <c r="M695" s="147"/>
    </row>
    <row r="696">
      <c r="A696" s="147"/>
      <c r="B696" s="147"/>
      <c r="C696" s="147"/>
      <c r="D696" s="147"/>
      <c r="E696" s="147"/>
      <c r="F696" s="147"/>
      <c r="G696" s="147"/>
      <c r="H696" s="147"/>
      <c r="I696" s="147"/>
      <c r="J696" s="147"/>
      <c r="K696" s="147"/>
      <c r="L696" s="147"/>
      <c r="M696" s="147"/>
    </row>
    <row r="697">
      <c r="A697" s="147"/>
      <c r="B697" s="147"/>
      <c r="C697" s="147"/>
      <c r="D697" s="147"/>
      <c r="E697" s="147"/>
      <c r="F697" s="147"/>
      <c r="G697" s="147"/>
      <c r="H697" s="147"/>
      <c r="I697" s="147"/>
      <c r="J697" s="147"/>
      <c r="K697" s="147"/>
      <c r="L697" s="147"/>
      <c r="M697" s="147"/>
    </row>
    <row r="698">
      <c r="A698" s="147"/>
      <c r="B698" s="147"/>
      <c r="C698" s="147"/>
      <c r="D698" s="147"/>
      <c r="E698" s="147"/>
      <c r="F698" s="147"/>
      <c r="G698" s="147"/>
      <c r="H698" s="147"/>
      <c r="I698" s="147"/>
      <c r="J698" s="147"/>
      <c r="K698" s="147"/>
      <c r="L698" s="147"/>
      <c r="M698" s="147"/>
    </row>
    <row r="699">
      <c r="A699" s="147"/>
      <c r="B699" s="147"/>
      <c r="C699" s="147"/>
      <c r="D699" s="147"/>
      <c r="E699" s="147"/>
      <c r="F699" s="147"/>
      <c r="G699" s="147"/>
      <c r="H699" s="147"/>
      <c r="I699" s="147"/>
      <c r="J699" s="147"/>
      <c r="K699" s="147"/>
      <c r="L699" s="147"/>
      <c r="M699" s="147"/>
    </row>
    <row r="700">
      <c r="A700" s="147"/>
      <c r="B700" s="147"/>
      <c r="C700" s="147"/>
      <c r="D700" s="147"/>
      <c r="E700" s="147"/>
      <c r="F700" s="147"/>
      <c r="G700" s="147"/>
      <c r="H700" s="147"/>
      <c r="I700" s="147"/>
      <c r="J700" s="147"/>
      <c r="K700" s="147"/>
      <c r="L700" s="147"/>
      <c r="M700" s="147"/>
    </row>
    <row r="701">
      <c r="A701" s="147"/>
      <c r="B701" s="147"/>
      <c r="C701" s="147"/>
      <c r="D701" s="147"/>
      <c r="E701" s="147"/>
      <c r="F701" s="147"/>
      <c r="G701" s="147"/>
      <c r="H701" s="147"/>
      <c r="I701" s="147"/>
      <c r="J701" s="147"/>
      <c r="K701" s="147"/>
      <c r="L701" s="147"/>
      <c r="M701" s="147"/>
    </row>
    <row r="702">
      <c r="A702" s="147"/>
      <c r="B702" s="147"/>
      <c r="C702" s="147"/>
      <c r="D702" s="147"/>
      <c r="E702" s="147"/>
      <c r="F702" s="147"/>
      <c r="G702" s="147"/>
      <c r="H702" s="147"/>
      <c r="I702" s="147"/>
      <c r="J702" s="147"/>
      <c r="K702" s="147"/>
      <c r="L702" s="147"/>
      <c r="M702" s="147"/>
    </row>
    <row r="703">
      <c r="A703" s="147"/>
      <c r="B703" s="147"/>
      <c r="C703" s="147"/>
      <c r="D703" s="147"/>
      <c r="E703" s="147"/>
      <c r="F703" s="147"/>
      <c r="G703" s="147"/>
      <c r="H703" s="147"/>
      <c r="I703" s="147"/>
      <c r="J703" s="147"/>
      <c r="K703" s="147"/>
      <c r="L703" s="147"/>
      <c r="M703" s="147"/>
    </row>
    <row r="704">
      <c r="A704" s="147"/>
      <c r="B704" s="147"/>
      <c r="C704" s="147"/>
      <c r="D704" s="147"/>
      <c r="E704" s="147"/>
      <c r="F704" s="147"/>
      <c r="G704" s="147"/>
      <c r="H704" s="147"/>
      <c r="I704" s="147"/>
      <c r="J704" s="147"/>
      <c r="K704" s="147"/>
      <c r="L704" s="147"/>
      <c r="M704" s="147"/>
    </row>
    <row r="705">
      <c r="A705" s="147"/>
      <c r="B705" s="147"/>
      <c r="C705" s="147"/>
      <c r="D705" s="147"/>
      <c r="E705" s="147"/>
      <c r="F705" s="147"/>
      <c r="G705" s="147"/>
      <c r="H705" s="147"/>
      <c r="I705" s="147"/>
      <c r="J705" s="147"/>
      <c r="K705" s="147"/>
      <c r="L705" s="147"/>
      <c r="M705" s="147"/>
    </row>
    <row r="706">
      <c r="A706" s="147"/>
      <c r="B706" s="147"/>
      <c r="C706" s="147"/>
      <c r="D706" s="147"/>
      <c r="E706" s="147"/>
      <c r="F706" s="147"/>
      <c r="G706" s="147"/>
      <c r="H706" s="147"/>
      <c r="I706" s="147"/>
      <c r="J706" s="147"/>
      <c r="K706" s="147"/>
      <c r="L706" s="147"/>
      <c r="M706" s="147"/>
    </row>
    <row r="707">
      <c r="A707" s="147"/>
      <c r="B707" s="147"/>
      <c r="C707" s="147"/>
      <c r="D707" s="147"/>
      <c r="E707" s="147"/>
      <c r="F707" s="147"/>
      <c r="G707" s="147"/>
      <c r="H707" s="147"/>
      <c r="I707" s="147"/>
      <c r="J707" s="147"/>
      <c r="K707" s="147"/>
      <c r="L707" s="147"/>
      <c r="M707" s="147"/>
    </row>
    <row r="708">
      <c r="A708" s="147"/>
      <c r="B708" s="147"/>
      <c r="C708" s="147"/>
      <c r="D708" s="147"/>
      <c r="E708" s="147"/>
      <c r="F708" s="147"/>
      <c r="G708" s="147"/>
      <c r="H708" s="147"/>
      <c r="I708" s="147"/>
      <c r="J708" s="147"/>
      <c r="K708" s="147"/>
      <c r="L708" s="147"/>
      <c r="M708" s="147"/>
    </row>
    <row r="709">
      <c r="A709" s="147"/>
      <c r="B709" s="147"/>
      <c r="C709" s="147"/>
      <c r="D709" s="147"/>
      <c r="E709" s="147"/>
      <c r="F709" s="147"/>
      <c r="G709" s="147"/>
      <c r="H709" s="147"/>
      <c r="I709" s="147"/>
      <c r="J709" s="147"/>
      <c r="K709" s="147"/>
      <c r="L709" s="147"/>
      <c r="M709" s="147"/>
    </row>
    <row r="710">
      <c r="A710" s="147"/>
      <c r="B710" s="147"/>
      <c r="C710" s="147"/>
      <c r="D710" s="147"/>
      <c r="E710" s="147"/>
      <c r="F710" s="147"/>
      <c r="G710" s="147"/>
      <c r="H710" s="147"/>
      <c r="I710" s="147"/>
      <c r="J710" s="147"/>
      <c r="K710" s="147"/>
      <c r="L710" s="147"/>
      <c r="M710" s="147"/>
    </row>
    <row r="711">
      <c r="A711" s="147"/>
      <c r="B711" s="147"/>
      <c r="C711" s="147"/>
      <c r="D711" s="147"/>
      <c r="E711" s="147"/>
      <c r="F711" s="147"/>
      <c r="G711" s="147"/>
      <c r="H711" s="147"/>
      <c r="I711" s="147"/>
      <c r="J711" s="147"/>
      <c r="K711" s="147"/>
      <c r="L711" s="147"/>
      <c r="M711" s="147"/>
    </row>
    <row r="712">
      <c r="A712" s="147"/>
      <c r="B712" s="147"/>
      <c r="C712" s="147"/>
      <c r="D712" s="147"/>
      <c r="E712" s="147"/>
      <c r="F712" s="147"/>
      <c r="G712" s="147"/>
      <c r="H712" s="147"/>
      <c r="I712" s="147"/>
      <c r="J712" s="147"/>
      <c r="K712" s="147"/>
      <c r="L712" s="147"/>
      <c r="M712" s="147"/>
    </row>
    <row r="713">
      <c r="A713" s="147"/>
      <c r="B713" s="147"/>
      <c r="C713" s="147"/>
      <c r="D713" s="147"/>
      <c r="E713" s="147"/>
      <c r="F713" s="147"/>
      <c r="G713" s="147"/>
      <c r="H713" s="147"/>
      <c r="I713" s="147"/>
      <c r="J713" s="147"/>
      <c r="K713" s="147"/>
      <c r="L713" s="147"/>
      <c r="M713" s="147"/>
    </row>
    <row r="714">
      <c r="A714" s="147"/>
      <c r="B714" s="147"/>
      <c r="C714" s="147"/>
      <c r="D714" s="147"/>
      <c r="E714" s="147"/>
      <c r="F714" s="147"/>
      <c r="G714" s="147"/>
      <c r="H714" s="147"/>
      <c r="I714" s="147"/>
      <c r="J714" s="147"/>
      <c r="K714" s="147"/>
      <c r="L714" s="147"/>
      <c r="M714" s="147"/>
    </row>
    <row r="715">
      <c r="A715" s="147"/>
      <c r="B715" s="147"/>
      <c r="C715" s="147"/>
      <c r="D715" s="147"/>
      <c r="E715" s="147"/>
      <c r="F715" s="147"/>
      <c r="G715" s="147"/>
      <c r="H715" s="147"/>
      <c r="I715" s="147"/>
      <c r="J715" s="147"/>
      <c r="K715" s="147"/>
      <c r="L715" s="147"/>
      <c r="M715" s="147"/>
    </row>
    <row r="716">
      <c r="A716" s="147"/>
      <c r="B716" s="147"/>
      <c r="C716" s="147"/>
      <c r="D716" s="147"/>
      <c r="E716" s="147"/>
      <c r="F716" s="147"/>
      <c r="G716" s="147"/>
      <c r="H716" s="147"/>
      <c r="I716" s="147"/>
      <c r="J716" s="147"/>
      <c r="K716" s="147"/>
      <c r="L716" s="147"/>
      <c r="M716" s="147"/>
    </row>
    <row r="717">
      <c r="A717" s="147"/>
      <c r="B717" s="147"/>
      <c r="C717" s="147"/>
      <c r="D717" s="147"/>
      <c r="E717" s="147"/>
      <c r="F717" s="147"/>
      <c r="G717" s="147"/>
      <c r="H717" s="147"/>
      <c r="I717" s="147"/>
      <c r="J717" s="147"/>
      <c r="K717" s="147"/>
      <c r="L717" s="147"/>
      <c r="M717" s="147"/>
    </row>
    <row r="718">
      <c r="A718" s="147"/>
      <c r="B718" s="147"/>
      <c r="C718" s="147"/>
      <c r="D718" s="147"/>
      <c r="E718" s="147"/>
      <c r="F718" s="147"/>
      <c r="G718" s="147"/>
      <c r="H718" s="147"/>
      <c r="I718" s="147"/>
      <c r="J718" s="147"/>
      <c r="K718" s="147"/>
      <c r="L718" s="147"/>
      <c r="M718" s="147"/>
    </row>
    <row r="719">
      <c r="A719" s="147"/>
      <c r="B719" s="147"/>
      <c r="C719" s="147"/>
      <c r="D719" s="147"/>
      <c r="E719" s="147"/>
      <c r="F719" s="147"/>
      <c r="G719" s="147"/>
      <c r="H719" s="147"/>
      <c r="I719" s="147"/>
      <c r="J719" s="147"/>
      <c r="K719" s="147"/>
      <c r="L719" s="147"/>
      <c r="M719" s="147"/>
    </row>
    <row r="720">
      <c r="A720" s="147"/>
      <c r="B720" s="147"/>
      <c r="C720" s="147"/>
      <c r="D720" s="147"/>
      <c r="E720" s="147"/>
      <c r="F720" s="147"/>
      <c r="G720" s="147"/>
      <c r="H720" s="147"/>
      <c r="I720" s="147"/>
      <c r="J720" s="147"/>
      <c r="K720" s="147"/>
      <c r="L720" s="147"/>
      <c r="M720" s="147"/>
    </row>
    <row r="721">
      <c r="A721" s="147"/>
      <c r="B721" s="147"/>
      <c r="C721" s="147"/>
      <c r="D721" s="147"/>
      <c r="E721" s="147"/>
      <c r="F721" s="147"/>
      <c r="G721" s="147"/>
      <c r="H721" s="147"/>
      <c r="I721" s="147"/>
      <c r="J721" s="147"/>
      <c r="K721" s="147"/>
      <c r="L721" s="147"/>
      <c r="M721" s="147"/>
    </row>
    <row r="722">
      <c r="A722" s="147"/>
      <c r="B722" s="147"/>
      <c r="C722" s="147"/>
      <c r="D722" s="147"/>
      <c r="E722" s="147"/>
      <c r="F722" s="147"/>
      <c r="G722" s="147"/>
      <c r="H722" s="147"/>
      <c r="I722" s="147"/>
      <c r="J722" s="147"/>
      <c r="K722" s="147"/>
      <c r="L722" s="147"/>
      <c r="M722" s="147"/>
    </row>
    <row r="723">
      <c r="A723" s="147"/>
      <c r="B723" s="147"/>
      <c r="C723" s="147"/>
      <c r="D723" s="147"/>
      <c r="E723" s="147"/>
      <c r="F723" s="147"/>
      <c r="G723" s="147"/>
      <c r="H723" s="147"/>
      <c r="I723" s="147"/>
      <c r="J723" s="147"/>
      <c r="K723" s="147"/>
      <c r="L723" s="147"/>
      <c r="M723" s="147"/>
    </row>
    <row r="724">
      <c r="A724" s="147"/>
      <c r="B724" s="147"/>
      <c r="C724" s="147"/>
      <c r="D724" s="147"/>
      <c r="E724" s="147"/>
      <c r="F724" s="147"/>
      <c r="G724" s="147"/>
      <c r="H724" s="147"/>
      <c r="I724" s="147"/>
      <c r="J724" s="147"/>
      <c r="K724" s="147"/>
      <c r="L724" s="147"/>
      <c r="M724" s="147"/>
    </row>
    <row r="725">
      <c r="A725" s="147"/>
      <c r="B725" s="147"/>
      <c r="C725" s="147"/>
      <c r="D725" s="147"/>
      <c r="E725" s="147"/>
      <c r="F725" s="147"/>
      <c r="G725" s="147"/>
      <c r="H725" s="147"/>
      <c r="I725" s="147"/>
      <c r="J725" s="147"/>
      <c r="K725" s="147"/>
      <c r="L725" s="147"/>
      <c r="M725" s="147"/>
    </row>
    <row r="726">
      <c r="A726" s="147"/>
      <c r="B726" s="147"/>
      <c r="C726" s="147"/>
      <c r="D726" s="147"/>
      <c r="E726" s="147"/>
      <c r="F726" s="147"/>
      <c r="G726" s="147"/>
      <c r="H726" s="147"/>
      <c r="I726" s="147"/>
      <c r="J726" s="147"/>
      <c r="K726" s="147"/>
      <c r="L726" s="147"/>
      <c r="M726" s="147"/>
    </row>
    <row r="727">
      <c r="A727" s="147"/>
      <c r="B727" s="147"/>
      <c r="C727" s="147"/>
      <c r="D727" s="147"/>
      <c r="E727" s="147"/>
      <c r="F727" s="147"/>
      <c r="G727" s="147"/>
      <c r="H727" s="147"/>
      <c r="I727" s="147"/>
      <c r="J727" s="147"/>
      <c r="K727" s="147"/>
      <c r="L727" s="147"/>
      <c r="M727" s="147"/>
    </row>
    <row r="728">
      <c r="A728" s="147"/>
      <c r="B728" s="147"/>
      <c r="C728" s="147"/>
      <c r="D728" s="147"/>
      <c r="E728" s="147"/>
      <c r="F728" s="147"/>
      <c r="G728" s="147"/>
      <c r="H728" s="147"/>
      <c r="I728" s="147"/>
      <c r="J728" s="147"/>
      <c r="K728" s="147"/>
      <c r="L728" s="147"/>
      <c r="M728" s="147"/>
    </row>
    <row r="729">
      <c r="A729" s="147"/>
      <c r="B729" s="147"/>
      <c r="C729" s="147"/>
      <c r="D729" s="147"/>
      <c r="E729" s="147"/>
      <c r="F729" s="147"/>
      <c r="G729" s="147"/>
      <c r="H729" s="147"/>
      <c r="I729" s="147"/>
      <c r="J729" s="147"/>
      <c r="K729" s="147"/>
      <c r="L729" s="147"/>
      <c r="M729" s="147"/>
    </row>
    <row r="730">
      <c r="A730" s="147"/>
      <c r="B730" s="147"/>
      <c r="C730" s="147"/>
      <c r="D730" s="147"/>
      <c r="E730" s="147"/>
      <c r="F730" s="147"/>
      <c r="G730" s="147"/>
      <c r="H730" s="147"/>
      <c r="I730" s="147"/>
      <c r="J730" s="147"/>
      <c r="K730" s="147"/>
      <c r="L730" s="147"/>
      <c r="M730" s="147"/>
    </row>
    <row r="731">
      <c r="A731" s="147"/>
      <c r="B731" s="147"/>
      <c r="C731" s="147"/>
      <c r="D731" s="147"/>
      <c r="E731" s="147"/>
      <c r="F731" s="147"/>
      <c r="G731" s="147"/>
      <c r="H731" s="147"/>
      <c r="I731" s="147"/>
      <c r="J731" s="147"/>
      <c r="K731" s="147"/>
      <c r="L731" s="147"/>
      <c r="M731" s="147"/>
    </row>
    <row r="732">
      <c r="A732" s="147"/>
      <c r="B732" s="147"/>
      <c r="C732" s="147"/>
      <c r="D732" s="147"/>
      <c r="E732" s="147"/>
      <c r="F732" s="147"/>
      <c r="G732" s="147"/>
      <c r="H732" s="147"/>
      <c r="I732" s="147"/>
      <c r="J732" s="147"/>
      <c r="K732" s="147"/>
      <c r="L732" s="147"/>
      <c r="M732" s="147"/>
    </row>
    <row r="733">
      <c r="A733" s="147"/>
      <c r="B733" s="147"/>
      <c r="C733" s="147"/>
      <c r="D733" s="147"/>
      <c r="E733" s="147"/>
      <c r="F733" s="147"/>
      <c r="G733" s="147"/>
      <c r="H733" s="147"/>
      <c r="I733" s="147"/>
      <c r="J733" s="147"/>
      <c r="K733" s="147"/>
      <c r="L733" s="147"/>
      <c r="M733" s="147"/>
    </row>
    <row r="734">
      <c r="A734" s="147"/>
      <c r="B734" s="147"/>
      <c r="C734" s="147"/>
      <c r="D734" s="147"/>
      <c r="E734" s="147"/>
      <c r="F734" s="147"/>
      <c r="G734" s="147"/>
      <c r="H734" s="147"/>
      <c r="I734" s="147"/>
      <c r="J734" s="147"/>
      <c r="K734" s="147"/>
      <c r="L734" s="147"/>
      <c r="M734" s="147"/>
    </row>
    <row r="735">
      <c r="A735" s="147"/>
      <c r="B735" s="147"/>
      <c r="C735" s="147"/>
      <c r="D735" s="147"/>
      <c r="E735" s="147"/>
      <c r="F735" s="147"/>
      <c r="G735" s="147"/>
      <c r="H735" s="147"/>
      <c r="I735" s="147"/>
      <c r="J735" s="147"/>
      <c r="K735" s="147"/>
      <c r="L735" s="147"/>
      <c r="M735" s="147"/>
    </row>
    <row r="736">
      <c r="A736" s="147"/>
      <c r="B736" s="147"/>
      <c r="C736" s="147"/>
      <c r="D736" s="147"/>
      <c r="E736" s="147"/>
      <c r="F736" s="147"/>
      <c r="G736" s="147"/>
      <c r="H736" s="147"/>
      <c r="I736" s="147"/>
      <c r="J736" s="147"/>
      <c r="K736" s="147"/>
      <c r="L736" s="147"/>
      <c r="M736" s="147"/>
    </row>
    <row r="737">
      <c r="A737" s="147"/>
      <c r="B737" s="147"/>
      <c r="C737" s="147"/>
      <c r="D737" s="147"/>
      <c r="E737" s="147"/>
      <c r="F737" s="147"/>
      <c r="G737" s="147"/>
      <c r="H737" s="147"/>
      <c r="I737" s="147"/>
      <c r="J737" s="147"/>
      <c r="K737" s="147"/>
      <c r="L737" s="147"/>
      <c r="M737" s="147"/>
    </row>
    <row r="738">
      <c r="A738" s="147"/>
      <c r="B738" s="147"/>
      <c r="C738" s="147"/>
      <c r="D738" s="147"/>
      <c r="E738" s="147"/>
      <c r="F738" s="147"/>
      <c r="G738" s="147"/>
      <c r="H738" s="147"/>
      <c r="I738" s="147"/>
      <c r="J738" s="147"/>
      <c r="K738" s="147"/>
      <c r="L738" s="147"/>
      <c r="M738" s="147"/>
    </row>
    <row r="739">
      <c r="A739" s="147"/>
      <c r="B739" s="147"/>
      <c r="C739" s="147"/>
      <c r="D739" s="147"/>
      <c r="E739" s="147"/>
      <c r="F739" s="147"/>
      <c r="G739" s="147"/>
      <c r="H739" s="147"/>
      <c r="I739" s="147"/>
      <c r="J739" s="147"/>
      <c r="K739" s="147"/>
      <c r="L739" s="147"/>
      <c r="M739" s="147"/>
    </row>
    <row r="740">
      <c r="A740" s="147"/>
      <c r="B740" s="147"/>
      <c r="C740" s="147"/>
      <c r="D740" s="147"/>
      <c r="E740" s="147"/>
      <c r="F740" s="147"/>
      <c r="G740" s="147"/>
      <c r="H740" s="147"/>
      <c r="I740" s="147"/>
      <c r="J740" s="147"/>
      <c r="K740" s="147"/>
      <c r="L740" s="147"/>
      <c r="M740" s="147"/>
    </row>
    <row r="741">
      <c r="A741" s="147"/>
      <c r="B741" s="147"/>
      <c r="C741" s="147"/>
      <c r="D741" s="147"/>
      <c r="E741" s="147"/>
      <c r="F741" s="147"/>
      <c r="G741" s="147"/>
      <c r="H741" s="147"/>
      <c r="I741" s="147"/>
      <c r="J741" s="147"/>
      <c r="K741" s="147"/>
      <c r="L741" s="147"/>
      <c r="M741" s="147"/>
    </row>
    <row r="742">
      <c r="A742" s="147"/>
      <c r="B742" s="147"/>
      <c r="C742" s="147"/>
      <c r="D742" s="147"/>
      <c r="E742" s="147"/>
      <c r="F742" s="147"/>
      <c r="G742" s="147"/>
      <c r="H742" s="147"/>
      <c r="I742" s="147"/>
      <c r="J742" s="147"/>
      <c r="K742" s="147"/>
      <c r="L742" s="147"/>
      <c r="M742" s="147"/>
    </row>
    <row r="743">
      <c r="A743" s="147"/>
      <c r="B743" s="147"/>
      <c r="C743" s="147"/>
      <c r="D743" s="147"/>
      <c r="E743" s="147"/>
      <c r="F743" s="147"/>
      <c r="G743" s="147"/>
      <c r="H743" s="147"/>
      <c r="I743" s="147"/>
      <c r="J743" s="147"/>
      <c r="K743" s="147"/>
      <c r="L743" s="147"/>
      <c r="M743" s="147"/>
    </row>
    <row r="744">
      <c r="A744" s="147"/>
      <c r="B744" s="147"/>
      <c r="C744" s="147"/>
      <c r="D744" s="147"/>
      <c r="E744" s="147"/>
      <c r="F744" s="147"/>
      <c r="G744" s="147"/>
      <c r="H744" s="147"/>
      <c r="I744" s="147"/>
      <c r="J744" s="147"/>
      <c r="K744" s="147"/>
      <c r="L744" s="147"/>
      <c r="M744" s="147"/>
    </row>
    <row r="745">
      <c r="A745" s="147"/>
      <c r="B745" s="147"/>
      <c r="C745" s="147"/>
      <c r="D745" s="147"/>
      <c r="E745" s="147"/>
      <c r="F745" s="147"/>
      <c r="G745" s="147"/>
      <c r="H745" s="147"/>
      <c r="I745" s="147"/>
      <c r="J745" s="147"/>
      <c r="K745" s="147"/>
      <c r="L745" s="147"/>
      <c r="M745" s="147"/>
    </row>
    <row r="746">
      <c r="A746" s="147"/>
      <c r="B746" s="147"/>
      <c r="C746" s="147"/>
      <c r="D746" s="147"/>
      <c r="E746" s="147"/>
      <c r="F746" s="147"/>
      <c r="G746" s="147"/>
      <c r="H746" s="147"/>
      <c r="I746" s="147"/>
      <c r="J746" s="147"/>
      <c r="K746" s="147"/>
      <c r="L746" s="147"/>
      <c r="M746" s="147"/>
    </row>
    <row r="747">
      <c r="A747" s="147"/>
      <c r="B747" s="147"/>
      <c r="C747" s="147"/>
      <c r="D747" s="147"/>
      <c r="E747" s="147"/>
      <c r="F747" s="147"/>
      <c r="G747" s="147"/>
      <c r="H747" s="147"/>
      <c r="I747" s="147"/>
      <c r="J747" s="147"/>
      <c r="K747" s="147"/>
      <c r="L747" s="147"/>
      <c r="M747" s="147"/>
    </row>
    <row r="748">
      <c r="A748" s="147"/>
      <c r="B748" s="147"/>
      <c r="C748" s="147"/>
      <c r="D748" s="147"/>
      <c r="E748" s="147"/>
      <c r="F748" s="147"/>
      <c r="G748" s="147"/>
      <c r="H748" s="147"/>
      <c r="I748" s="147"/>
      <c r="J748" s="147"/>
      <c r="K748" s="147"/>
      <c r="L748" s="147"/>
      <c r="M748" s="147"/>
    </row>
    <row r="749">
      <c r="A749" s="147"/>
      <c r="B749" s="147"/>
      <c r="C749" s="147"/>
      <c r="D749" s="147"/>
      <c r="E749" s="147"/>
      <c r="F749" s="147"/>
      <c r="G749" s="147"/>
      <c r="H749" s="147"/>
      <c r="I749" s="147"/>
      <c r="J749" s="147"/>
      <c r="K749" s="147"/>
      <c r="L749" s="147"/>
      <c r="M749" s="147"/>
    </row>
    <row r="750">
      <c r="A750" s="147"/>
      <c r="B750" s="147"/>
      <c r="C750" s="147"/>
      <c r="D750" s="147"/>
      <c r="E750" s="147"/>
      <c r="F750" s="147"/>
      <c r="G750" s="147"/>
      <c r="H750" s="147"/>
      <c r="I750" s="147"/>
      <c r="J750" s="147"/>
      <c r="K750" s="147"/>
      <c r="L750" s="147"/>
      <c r="M750" s="147"/>
    </row>
    <row r="751">
      <c r="A751" s="147"/>
      <c r="B751" s="147"/>
      <c r="C751" s="147"/>
      <c r="D751" s="147"/>
      <c r="E751" s="147"/>
      <c r="F751" s="147"/>
      <c r="G751" s="147"/>
      <c r="H751" s="147"/>
      <c r="I751" s="147"/>
      <c r="J751" s="147"/>
      <c r="K751" s="147"/>
      <c r="L751" s="147"/>
      <c r="M751" s="147"/>
    </row>
    <row r="752">
      <c r="A752" s="147"/>
      <c r="B752" s="147"/>
      <c r="C752" s="147"/>
      <c r="D752" s="147"/>
      <c r="E752" s="147"/>
      <c r="F752" s="147"/>
      <c r="G752" s="147"/>
      <c r="H752" s="147"/>
      <c r="I752" s="147"/>
      <c r="J752" s="147"/>
      <c r="K752" s="147"/>
      <c r="L752" s="147"/>
      <c r="M752" s="147"/>
    </row>
    <row r="753">
      <c r="A753" s="147"/>
      <c r="B753" s="147"/>
      <c r="C753" s="147"/>
      <c r="D753" s="147"/>
      <c r="E753" s="147"/>
      <c r="F753" s="147"/>
      <c r="G753" s="147"/>
      <c r="H753" s="147"/>
      <c r="I753" s="147"/>
      <c r="J753" s="147"/>
      <c r="K753" s="147"/>
      <c r="L753" s="147"/>
      <c r="M753" s="147"/>
    </row>
    <row r="754">
      <c r="A754" s="147"/>
      <c r="B754" s="147"/>
      <c r="C754" s="147"/>
      <c r="D754" s="147"/>
      <c r="E754" s="147"/>
      <c r="F754" s="147"/>
      <c r="G754" s="147"/>
      <c r="H754" s="147"/>
      <c r="I754" s="147"/>
      <c r="J754" s="147"/>
      <c r="K754" s="147"/>
      <c r="L754" s="147"/>
      <c r="M754" s="147"/>
    </row>
    <row r="755">
      <c r="A755" s="147"/>
      <c r="B755" s="147"/>
      <c r="C755" s="147"/>
      <c r="D755" s="147"/>
      <c r="E755" s="147"/>
      <c r="F755" s="147"/>
      <c r="G755" s="147"/>
      <c r="H755" s="147"/>
      <c r="I755" s="147"/>
      <c r="J755" s="147"/>
      <c r="K755" s="147"/>
      <c r="L755" s="147"/>
      <c r="M755" s="147"/>
    </row>
    <row r="756">
      <c r="A756" s="147"/>
      <c r="B756" s="147"/>
      <c r="C756" s="147"/>
      <c r="D756" s="147"/>
      <c r="E756" s="147"/>
      <c r="F756" s="147"/>
      <c r="G756" s="147"/>
      <c r="H756" s="147"/>
      <c r="I756" s="147"/>
      <c r="J756" s="147"/>
      <c r="K756" s="147"/>
      <c r="L756" s="147"/>
      <c r="M756" s="147"/>
    </row>
    <row r="757">
      <c r="A757" s="147"/>
      <c r="B757" s="147"/>
      <c r="C757" s="147"/>
      <c r="D757" s="147"/>
      <c r="E757" s="147"/>
      <c r="F757" s="147"/>
      <c r="G757" s="147"/>
      <c r="H757" s="147"/>
      <c r="I757" s="147"/>
      <c r="J757" s="147"/>
      <c r="K757" s="147"/>
      <c r="L757" s="147"/>
      <c r="M757" s="147"/>
    </row>
    <row r="758">
      <c r="A758" s="147"/>
      <c r="B758" s="147"/>
      <c r="C758" s="147"/>
      <c r="D758" s="147"/>
      <c r="E758" s="147"/>
      <c r="F758" s="147"/>
      <c r="G758" s="147"/>
      <c r="H758" s="147"/>
      <c r="I758" s="147"/>
      <c r="J758" s="147"/>
      <c r="K758" s="147"/>
      <c r="L758" s="147"/>
      <c r="M758" s="147"/>
    </row>
    <row r="759">
      <c r="A759" s="147"/>
      <c r="B759" s="147"/>
      <c r="C759" s="147"/>
      <c r="D759" s="147"/>
      <c r="E759" s="147"/>
      <c r="F759" s="147"/>
      <c r="G759" s="147"/>
      <c r="H759" s="147"/>
      <c r="I759" s="147"/>
      <c r="J759" s="147"/>
      <c r="K759" s="147"/>
      <c r="L759" s="147"/>
      <c r="M759" s="147"/>
    </row>
    <row r="760">
      <c r="A760" s="147"/>
      <c r="B760" s="147"/>
      <c r="C760" s="147"/>
      <c r="D760" s="147"/>
      <c r="E760" s="147"/>
      <c r="F760" s="147"/>
      <c r="G760" s="147"/>
      <c r="H760" s="147"/>
      <c r="I760" s="147"/>
      <c r="J760" s="147"/>
      <c r="K760" s="147"/>
      <c r="L760" s="147"/>
      <c r="M760" s="147"/>
    </row>
    <row r="761">
      <c r="A761" s="147"/>
      <c r="B761" s="147"/>
      <c r="C761" s="147"/>
      <c r="D761" s="147"/>
      <c r="E761" s="147"/>
      <c r="F761" s="147"/>
      <c r="G761" s="147"/>
      <c r="H761" s="147"/>
      <c r="I761" s="147"/>
      <c r="J761" s="147"/>
      <c r="K761" s="147"/>
      <c r="L761" s="147"/>
      <c r="M761" s="147"/>
    </row>
    <row r="762">
      <c r="A762" s="147"/>
      <c r="B762" s="147"/>
      <c r="C762" s="147"/>
      <c r="D762" s="147"/>
      <c r="E762" s="147"/>
      <c r="F762" s="147"/>
      <c r="G762" s="147"/>
      <c r="H762" s="147"/>
      <c r="I762" s="147"/>
      <c r="J762" s="147"/>
      <c r="K762" s="147"/>
      <c r="L762" s="147"/>
      <c r="M762" s="147"/>
    </row>
    <row r="763">
      <c r="A763" s="147"/>
      <c r="B763" s="147"/>
      <c r="C763" s="147"/>
      <c r="D763" s="147"/>
      <c r="E763" s="147"/>
      <c r="F763" s="147"/>
      <c r="G763" s="147"/>
      <c r="H763" s="147"/>
      <c r="I763" s="147"/>
      <c r="J763" s="147"/>
      <c r="K763" s="147"/>
      <c r="L763" s="147"/>
      <c r="M763" s="147"/>
    </row>
    <row r="764">
      <c r="A764" s="147"/>
      <c r="B764" s="147"/>
      <c r="C764" s="147"/>
      <c r="D764" s="147"/>
      <c r="E764" s="147"/>
      <c r="F764" s="147"/>
      <c r="G764" s="147"/>
      <c r="H764" s="147"/>
      <c r="I764" s="147"/>
      <c r="J764" s="147"/>
      <c r="K764" s="147"/>
      <c r="L764" s="147"/>
      <c r="M764" s="147"/>
    </row>
    <row r="765">
      <c r="A765" s="147"/>
      <c r="B765" s="147"/>
      <c r="C765" s="147"/>
      <c r="D765" s="147"/>
      <c r="E765" s="147"/>
      <c r="F765" s="147"/>
      <c r="G765" s="147"/>
      <c r="H765" s="147"/>
      <c r="I765" s="147"/>
      <c r="J765" s="147"/>
      <c r="K765" s="147"/>
      <c r="L765" s="147"/>
      <c r="M765" s="147"/>
    </row>
    <row r="766">
      <c r="A766" s="147"/>
      <c r="B766" s="147"/>
      <c r="C766" s="147"/>
      <c r="D766" s="147"/>
      <c r="E766" s="147"/>
      <c r="F766" s="147"/>
      <c r="G766" s="147"/>
      <c r="H766" s="147"/>
      <c r="I766" s="147"/>
      <c r="J766" s="147"/>
      <c r="K766" s="147"/>
      <c r="L766" s="147"/>
      <c r="M766" s="147"/>
    </row>
    <row r="767">
      <c r="A767" s="147"/>
      <c r="B767" s="147"/>
      <c r="C767" s="147"/>
      <c r="D767" s="147"/>
      <c r="E767" s="147"/>
      <c r="F767" s="147"/>
      <c r="G767" s="147"/>
      <c r="H767" s="147"/>
      <c r="I767" s="147"/>
      <c r="J767" s="147"/>
      <c r="K767" s="147"/>
      <c r="L767" s="147"/>
      <c r="M767" s="147"/>
    </row>
    <row r="768">
      <c r="A768" s="147"/>
      <c r="B768" s="147"/>
      <c r="C768" s="147"/>
      <c r="D768" s="147"/>
      <c r="E768" s="147"/>
      <c r="F768" s="147"/>
      <c r="G768" s="147"/>
      <c r="H768" s="147"/>
      <c r="I768" s="147"/>
      <c r="J768" s="147"/>
      <c r="K768" s="147"/>
      <c r="L768" s="147"/>
      <c r="M768" s="147"/>
    </row>
    <row r="769">
      <c r="A769" s="147"/>
      <c r="B769" s="147"/>
      <c r="C769" s="147"/>
      <c r="D769" s="147"/>
      <c r="E769" s="147"/>
      <c r="F769" s="147"/>
      <c r="G769" s="147"/>
      <c r="H769" s="147"/>
      <c r="I769" s="147"/>
      <c r="J769" s="147"/>
      <c r="K769" s="147"/>
      <c r="L769" s="147"/>
      <c r="M769" s="147"/>
    </row>
    <row r="770">
      <c r="A770" s="147"/>
      <c r="B770" s="147"/>
      <c r="C770" s="147"/>
      <c r="D770" s="147"/>
      <c r="E770" s="147"/>
      <c r="F770" s="147"/>
      <c r="G770" s="147"/>
      <c r="H770" s="147"/>
      <c r="I770" s="147"/>
      <c r="J770" s="147"/>
      <c r="K770" s="147"/>
      <c r="L770" s="147"/>
      <c r="M770" s="147"/>
    </row>
    <row r="771">
      <c r="A771" s="147"/>
      <c r="B771" s="147"/>
      <c r="C771" s="147"/>
      <c r="D771" s="147"/>
      <c r="E771" s="147"/>
      <c r="F771" s="147"/>
      <c r="G771" s="147"/>
      <c r="H771" s="147"/>
      <c r="I771" s="147"/>
      <c r="J771" s="147"/>
      <c r="K771" s="147"/>
      <c r="L771" s="147"/>
      <c r="M771" s="147"/>
    </row>
    <row r="772">
      <c r="A772" s="147"/>
      <c r="B772" s="147"/>
      <c r="C772" s="147"/>
      <c r="D772" s="147"/>
      <c r="E772" s="147"/>
      <c r="F772" s="147"/>
      <c r="G772" s="147"/>
      <c r="H772" s="147"/>
      <c r="I772" s="147"/>
      <c r="J772" s="147"/>
      <c r="K772" s="147"/>
      <c r="L772" s="147"/>
      <c r="M772" s="147"/>
    </row>
    <row r="773">
      <c r="A773" s="147"/>
      <c r="B773" s="147"/>
      <c r="C773" s="147"/>
      <c r="D773" s="147"/>
      <c r="E773" s="147"/>
      <c r="F773" s="147"/>
      <c r="G773" s="147"/>
      <c r="H773" s="147"/>
      <c r="I773" s="147"/>
      <c r="J773" s="147"/>
      <c r="K773" s="147"/>
      <c r="L773" s="147"/>
      <c r="M773" s="147"/>
    </row>
    <row r="774">
      <c r="A774" s="147"/>
      <c r="B774" s="147"/>
      <c r="C774" s="147"/>
      <c r="D774" s="147"/>
      <c r="E774" s="147"/>
      <c r="F774" s="147"/>
      <c r="G774" s="147"/>
      <c r="H774" s="147"/>
      <c r="I774" s="147"/>
      <c r="J774" s="147"/>
      <c r="K774" s="147"/>
      <c r="L774" s="147"/>
      <c r="M774" s="147"/>
    </row>
    <row r="775">
      <c r="A775" s="147"/>
      <c r="B775" s="147"/>
      <c r="C775" s="147"/>
      <c r="D775" s="147"/>
      <c r="E775" s="147"/>
      <c r="F775" s="147"/>
      <c r="G775" s="147"/>
      <c r="H775" s="147"/>
      <c r="I775" s="147"/>
      <c r="J775" s="147"/>
      <c r="K775" s="147"/>
      <c r="L775" s="147"/>
      <c r="M775" s="147"/>
    </row>
    <row r="776">
      <c r="A776" s="147"/>
      <c r="B776" s="147"/>
      <c r="C776" s="147"/>
      <c r="D776" s="147"/>
      <c r="E776" s="147"/>
      <c r="F776" s="147"/>
      <c r="G776" s="147"/>
      <c r="H776" s="147"/>
      <c r="I776" s="147"/>
      <c r="J776" s="147"/>
      <c r="K776" s="147"/>
      <c r="L776" s="147"/>
      <c r="M776" s="147"/>
    </row>
    <row r="777">
      <c r="A777" s="147"/>
      <c r="B777" s="147"/>
      <c r="C777" s="147"/>
      <c r="D777" s="147"/>
      <c r="E777" s="147"/>
      <c r="F777" s="147"/>
      <c r="G777" s="147"/>
      <c r="H777" s="147"/>
      <c r="I777" s="147"/>
      <c r="J777" s="147"/>
      <c r="K777" s="147"/>
      <c r="L777" s="147"/>
      <c r="M777" s="147"/>
    </row>
    <row r="778">
      <c r="A778" s="147"/>
      <c r="B778" s="147"/>
      <c r="C778" s="147"/>
      <c r="D778" s="147"/>
      <c r="E778" s="147"/>
      <c r="F778" s="147"/>
      <c r="G778" s="147"/>
      <c r="H778" s="147"/>
      <c r="I778" s="147"/>
      <c r="J778" s="147"/>
      <c r="K778" s="147"/>
      <c r="L778" s="147"/>
      <c r="M778" s="147"/>
    </row>
    <row r="779">
      <c r="A779" s="147"/>
      <c r="B779" s="147"/>
      <c r="C779" s="147"/>
      <c r="D779" s="147"/>
      <c r="E779" s="147"/>
      <c r="F779" s="147"/>
      <c r="G779" s="147"/>
      <c r="H779" s="147"/>
      <c r="I779" s="147"/>
      <c r="J779" s="147"/>
      <c r="K779" s="147"/>
      <c r="L779" s="147"/>
      <c r="M779" s="147"/>
    </row>
    <row r="780">
      <c r="A780" s="147"/>
      <c r="B780" s="147"/>
      <c r="C780" s="147"/>
      <c r="D780" s="147"/>
      <c r="E780" s="147"/>
      <c r="F780" s="147"/>
      <c r="G780" s="147"/>
      <c r="H780" s="147"/>
      <c r="I780" s="147"/>
      <c r="J780" s="147"/>
      <c r="K780" s="147"/>
      <c r="L780" s="147"/>
      <c r="M780" s="147"/>
    </row>
    <row r="781">
      <c r="A781" s="147"/>
      <c r="B781" s="147"/>
      <c r="C781" s="147"/>
      <c r="D781" s="147"/>
      <c r="E781" s="147"/>
      <c r="F781" s="147"/>
      <c r="G781" s="147"/>
      <c r="H781" s="147"/>
      <c r="I781" s="147"/>
      <c r="J781" s="147"/>
      <c r="K781" s="147"/>
      <c r="L781" s="147"/>
      <c r="M781" s="147"/>
    </row>
    <row r="782">
      <c r="A782" s="147"/>
      <c r="B782" s="147"/>
      <c r="C782" s="147"/>
      <c r="D782" s="147"/>
      <c r="E782" s="147"/>
      <c r="F782" s="147"/>
      <c r="G782" s="147"/>
      <c r="H782" s="147"/>
      <c r="I782" s="147"/>
      <c r="J782" s="147"/>
      <c r="K782" s="147"/>
      <c r="L782" s="147"/>
      <c r="M782" s="147"/>
    </row>
    <row r="783">
      <c r="A783" s="147"/>
      <c r="B783" s="147"/>
      <c r="C783" s="147"/>
      <c r="D783" s="147"/>
      <c r="E783" s="147"/>
      <c r="F783" s="147"/>
      <c r="G783" s="147"/>
      <c r="H783" s="147"/>
      <c r="I783" s="147"/>
      <c r="J783" s="147"/>
      <c r="K783" s="147"/>
      <c r="L783" s="147"/>
      <c r="M783" s="147"/>
    </row>
    <row r="784">
      <c r="A784" s="147"/>
      <c r="B784" s="147"/>
      <c r="C784" s="147"/>
      <c r="D784" s="147"/>
      <c r="E784" s="147"/>
      <c r="F784" s="147"/>
      <c r="G784" s="147"/>
      <c r="H784" s="147"/>
      <c r="I784" s="147"/>
      <c r="J784" s="147"/>
      <c r="K784" s="147"/>
      <c r="L784" s="147"/>
      <c r="M784" s="147"/>
    </row>
    <row r="785">
      <c r="A785" s="147"/>
      <c r="B785" s="147"/>
      <c r="C785" s="147"/>
      <c r="D785" s="147"/>
      <c r="E785" s="147"/>
      <c r="F785" s="147"/>
      <c r="G785" s="147"/>
      <c r="H785" s="147"/>
      <c r="I785" s="147"/>
      <c r="J785" s="147"/>
      <c r="K785" s="147"/>
      <c r="L785" s="147"/>
      <c r="M785" s="147"/>
    </row>
    <row r="786">
      <c r="A786" s="147"/>
      <c r="B786" s="147"/>
      <c r="C786" s="147"/>
      <c r="D786" s="147"/>
      <c r="E786" s="147"/>
      <c r="F786" s="147"/>
      <c r="G786" s="147"/>
      <c r="H786" s="147"/>
      <c r="I786" s="147"/>
      <c r="J786" s="147"/>
      <c r="K786" s="147"/>
      <c r="L786" s="147"/>
      <c r="M786" s="147"/>
    </row>
    <row r="787">
      <c r="A787" s="147"/>
      <c r="B787" s="147"/>
      <c r="C787" s="147"/>
      <c r="D787" s="147"/>
      <c r="E787" s="147"/>
      <c r="F787" s="147"/>
      <c r="G787" s="147"/>
      <c r="H787" s="147"/>
      <c r="I787" s="147"/>
      <c r="J787" s="147"/>
      <c r="K787" s="147"/>
      <c r="L787" s="147"/>
      <c r="M787" s="147"/>
    </row>
    <row r="788">
      <c r="A788" s="147"/>
      <c r="B788" s="147"/>
      <c r="C788" s="147"/>
      <c r="D788" s="147"/>
      <c r="E788" s="147"/>
      <c r="F788" s="147"/>
      <c r="G788" s="147"/>
      <c r="H788" s="147"/>
      <c r="I788" s="147"/>
      <c r="J788" s="147"/>
      <c r="K788" s="147"/>
      <c r="L788" s="147"/>
      <c r="M788" s="147"/>
    </row>
    <row r="789">
      <c r="A789" s="147"/>
      <c r="B789" s="147"/>
      <c r="C789" s="147"/>
      <c r="D789" s="147"/>
      <c r="E789" s="147"/>
      <c r="F789" s="147"/>
      <c r="G789" s="147"/>
      <c r="H789" s="147"/>
      <c r="I789" s="147"/>
      <c r="J789" s="147"/>
      <c r="K789" s="147"/>
      <c r="L789" s="147"/>
      <c r="M789" s="147"/>
    </row>
    <row r="790">
      <c r="A790" s="147"/>
      <c r="B790" s="147"/>
      <c r="C790" s="147"/>
      <c r="D790" s="147"/>
      <c r="E790" s="147"/>
      <c r="F790" s="147"/>
      <c r="G790" s="147"/>
      <c r="H790" s="147"/>
      <c r="I790" s="147"/>
      <c r="J790" s="147"/>
      <c r="K790" s="147"/>
      <c r="L790" s="147"/>
      <c r="M790" s="147"/>
    </row>
    <row r="791">
      <c r="A791" s="147"/>
      <c r="B791" s="147"/>
      <c r="C791" s="147"/>
      <c r="D791" s="147"/>
      <c r="E791" s="147"/>
      <c r="F791" s="147"/>
      <c r="G791" s="147"/>
      <c r="H791" s="147"/>
      <c r="I791" s="147"/>
      <c r="J791" s="147"/>
      <c r="K791" s="147"/>
      <c r="L791" s="147"/>
      <c r="M791" s="147"/>
    </row>
    <row r="792">
      <c r="A792" s="147"/>
      <c r="B792" s="147"/>
      <c r="C792" s="147"/>
      <c r="D792" s="147"/>
      <c r="E792" s="147"/>
      <c r="F792" s="147"/>
      <c r="G792" s="147"/>
      <c r="H792" s="147"/>
      <c r="I792" s="147"/>
      <c r="J792" s="147"/>
      <c r="K792" s="147"/>
      <c r="L792" s="147"/>
      <c r="M792" s="147"/>
    </row>
    <row r="793">
      <c r="A793" s="147"/>
      <c r="B793" s="147"/>
      <c r="C793" s="147"/>
      <c r="D793" s="147"/>
      <c r="E793" s="147"/>
      <c r="F793" s="147"/>
      <c r="G793" s="147"/>
      <c r="H793" s="147"/>
      <c r="I793" s="147"/>
      <c r="J793" s="147"/>
      <c r="K793" s="147"/>
      <c r="L793" s="147"/>
      <c r="M793" s="147"/>
    </row>
    <row r="794">
      <c r="A794" s="147"/>
      <c r="B794" s="147"/>
      <c r="C794" s="147"/>
      <c r="D794" s="147"/>
      <c r="E794" s="147"/>
      <c r="F794" s="147"/>
      <c r="G794" s="147"/>
      <c r="H794" s="147"/>
      <c r="I794" s="147"/>
      <c r="J794" s="147"/>
      <c r="K794" s="147"/>
      <c r="L794" s="147"/>
      <c r="M794" s="147"/>
    </row>
    <row r="795">
      <c r="A795" s="147"/>
      <c r="B795" s="147"/>
      <c r="C795" s="147"/>
      <c r="D795" s="147"/>
      <c r="E795" s="147"/>
      <c r="F795" s="147"/>
      <c r="G795" s="147"/>
      <c r="H795" s="147"/>
      <c r="I795" s="147"/>
      <c r="J795" s="147"/>
      <c r="K795" s="147"/>
      <c r="L795" s="147"/>
      <c r="M795" s="147"/>
    </row>
    <row r="796">
      <c r="A796" s="147"/>
      <c r="B796" s="147"/>
      <c r="C796" s="147"/>
      <c r="D796" s="147"/>
      <c r="E796" s="147"/>
      <c r="F796" s="147"/>
      <c r="G796" s="147"/>
      <c r="H796" s="147"/>
      <c r="I796" s="147"/>
      <c r="J796" s="147"/>
      <c r="K796" s="147"/>
      <c r="L796" s="147"/>
      <c r="M796" s="147"/>
    </row>
    <row r="797">
      <c r="A797" s="147"/>
      <c r="B797" s="147"/>
      <c r="C797" s="147"/>
      <c r="D797" s="147"/>
      <c r="E797" s="147"/>
      <c r="F797" s="147"/>
      <c r="G797" s="147"/>
      <c r="H797" s="147"/>
      <c r="I797" s="147"/>
      <c r="J797" s="147"/>
      <c r="K797" s="147"/>
      <c r="L797" s="147"/>
      <c r="M797" s="147"/>
    </row>
    <row r="798">
      <c r="A798" s="147"/>
      <c r="B798" s="147"/>
      <c r="C798" s="147"/>
      <c r="D798" s="147"/>
      <c r="E798" s="147"/>
      <c r="F798" s="147"/>
      <c r="G798" s="147"/>
      <c r="H798" s="147"/>
      <c r="I798" s="147"/>
      <c r="J798" s="147"/>
      <c r="K798" s="147"/>
      <c r="L798" s="147"/>
      <c r="M798" s="147"/>
    </row>
    <row r="799">
      <c r="A799" s="147"/>
      <c r="B799" s="147"/>
      <c r="C799" s="147"/>
      <c r="D799" s="147"/>
      <c r="E799" s="147"/>
      <c r="F799" s="147"/>
      <c r="G799" s="147"/>
      <c r="H799" s="147"/>
      <c r="I799" s="147"/>
      <c r="J799" s="147"/>
      <c r="K799" s="147"/>
      <c r="L799" s="147"/>
      <c r="M799" s="147"/>
    </row>
    <row r="800">
      <c r="A800" s="147"/>
      <c r="B800" s="147"/>
      <c r="C800" s="147"/>
      <c r="D800" s="147"/>
      <c r="E800" s="147"/>
      <c r="F800" s="147"/>
      <c r="G800" s="147"/>
      <c r="H800" s="147"/>
      <c r="I800" s="147"/>
      <c r="J800" s="147"/>
      <c r="K800" s="147"/>
      <c r="L800" s="147"/>
      <c r="M800" s="147"/>
    </row>
    <row r="801">
      <c r="A801" s="147"/>
      <c r="B801" s="147"/>
      <c r="C801" s="147"/>
      <c r="D801" s="147"/>
      <c r="E801" s="147"/>
      <c r="F801" s="147"/>
      <c r="G801" s="147"/>
      <c r="H801" s="147"/>
      <c r="I801" s="147"/>
      <c r="J801" s="147"/>
      <c r="K801" s="147"/>
      <c r="L801" s="147"/>
      <c r="M801" s="147"/>
    </row>
    <row r="802">
      <c r="A802" s="147"/>
      <c r="B802" s="147"/>
      <c r="C802" s="147"/>
      <c r="D802" s="147"/>
      <c r="E802" s="147"/>
      <c r="F802" s="147"/>
      <c r="G802" s="147"/>
      <c r="H802" s="147"/>
      <c r="I802" s="147"/>
      <c r="J802" s="147"/>
      <c r="K802" s="147"/>
      <c r="L802" s="147"/>
      <c r="M802" s="147"/>
    </row>
    <row r="803">
      <c r="A803" s="147"/>
      <c r="B803" s="147"/>
      <c r="C803" s="147"/>
      <c r="D803" s="147"/>
      <c r="E803" s="147"/>
      <c r="F803" s="147"/>
      <c r="G803" s="147"/>
      <c r="H803" s="147"/>
      <c r="I803" s="147"/>
      <c r="J803" s="147"/>
      <c r="K803" s="147"/>
      <c r="L803" s="147"/>
      <c r="M803" s="147"/>
    </row>
    <row r="804">
      <c r="A804" s="147"/>
      <c r="B804" s="147"/>
      <c r="C804" s="147"/>
      <c r="D804" s="147"/>
      <c r="E804" s="147"/>
      <c r="F804" s="147"/>
      <c r="G804" s="147"/>
      <c r="H804" s="147"/>
      <c r="I804" s="147"/>
      <c r="J804" s="147"/>
      <c r="K804" s="147"/>
      <c r="L804" s="147"/>
      <c r="M804" s="147"/>
    </row>
    <row r="805">
      <c r="A805" s="147"/>
      <c r="B805" s="147"/>
      <c r="C805" s="147"/>
      <c r="D805" s="147"/>
      <c r="E805" s="147"/>
      <c r="F805" s="147"/>
      <c r="G805" s="147"/>
      <c r="H805" s="147"/>
      <c r="I805" s="147"/>
      <c r="J805" s="147"/>
      <c r="K805" s="147"/>
      <c r="L805" s="147"/>
      <c r="M805" s="147"/>
    </row>
    <row r="806">
      <c r="A806" s="147"/>
      <c r="B806" s="147"/>
      <c r="C806" s="147"/>
      <c r="D806" s="147"/>
      <c r="E806" s="147"/>
      <c r="F806" s="147"/>
      <c r="G806" s="147"/>
      <c r="H806" s="147"/>
      <c r="I806" s="147"/>
      <c r="J806" s="147"/>
      <c r="K806" s="147"/>
      <c r="L806" s="147"/>
      <c r="M806" s="147"/>
    </row>
    <row r="807">
      <c r="A807" s="147"/>
      <c r="B807" s="147"/>
      <c r="C807" s="147"/>
      <c r="D807" s="147"/>
      <c r="E807" s="147"/>
      <c r="F807" s="147"/>
      <c r="G807" s="147"/>
      <c r="H807" s="147"/>
      <c r="I807" s="147"/>
      <c r="J807" s="147"/>
      <c r="K807" s="147"/>
      <c r="L807" s="147"/>
      <c r="M807" s="147"/>
    </row>
    <row r="808">
      <c r="A808" s="147"/>
      <c r="B808" s="147"/>
      <c r="C808" s="147"/>
      <c r="D808" s="147"/>
      <c r="E808" s="147"/>
      <c r="F808" s="147"/>
      <c r="G808" s="147"/>
      <c r="H808" s="147"/>
      <c r="I808" s="147"/>
      <c r="J808" s="147"/>
      <c r="K808" s="147"/>
      <c r="L808" s="147"/>
      <c r="M808" s="147"/>
    </row>
    <row r="809">
      <c r="A809" s="147"/>
      <c r="B809" s="147"/>
      <c r="C809" s="147"/>
      <c r="D809" s="147"/>
      <c r="E809" s="147"/>
      <c r="F809" s="147"/>
      <c r="G809" s="147"/>
      <c r="H809" s="147"/>
      <c r="I809" s="147"/>
      <c r="J809" s="147"/>
      <c r="K809" s="147"/>
      <c r="L809" s="147"/>
      <c r="M809" s="147"/>
    </row>
    <row r="810">
      <c r="A810" s="147"/>
      <c r="B810" s="147"/>
      <c r="C810" s="147"/>
      <c r="D810" s="147"/>
      <c r="E810" s="147"/>
      <c r="F810" s="147"/>
      <c r="G810" s="147"/>
      <c r="H810" s="147"/>
      <c r="I810" s="147"/>
      <c r="J810" s="147"/>
      <c r="K810" s="147"/>
      <c r="L810" s="147"/>
      <c r="M810" s="147"/>
    </row>
    <row r="811">
      <c r="A811" s="147"/>
      <c r="B811" s="147"/>
      <c r="C811" s="147"/>
      <c r="D811" s="147"/>
      <c r="E811" s="147"/>
      <c r="F811" s="147"/>
      <c r="G811" s="147"/>
      <c r="H811" s="147"/>
      <c r="I811" s="147"/>
      <c r="J811" s="147"/>
      <c r="K811" s="147"/>
      <c r="L811" s="147"/>
      <c r="M811" s="147"/>
    </row>
    <row r="812">
      <c r="A812" s="147"/>
      <c r="B812" s="147"/>
      <c r="C812" s="147"/>
      <c r="D812" s="147"/>
      <c r="E812" s="147"/>
      <c r="F812" s="147"/>
      <c r="G812" s="147"/>
      <c r="H812" s="147"/>
      <c r="I812" s="147"/>
      <c r="J812" s="147"/>
      <c r="K812" s="147"/>
      <c r="L812" s="147"/>
      <c r="M812" s="147"/>
    </row>
    <row r="813">
      <c r="A813" s="147"/>
      <c r="B813" s="147"/>
      <c r="C813" s="147"/>
      <c r="D813" s="147"/>
      <c r="E813" s="147"/>
      <c r="F813" s="147"/>
      <c r="G813" s="147"/>
      <c r="H813" s="147"/>
      <c r="I813" s="147"/>
      <c r="J813" s="147"/>
      <c r="K813" s="147"/>
      <c r="L813" s="147"/>
      <c r="M813" s="147"/>
    </row>
    <row r="814">
      <c r="A814" s="147"/>
      <c r="B814" s="147"/>
      <c r="C814" s="147"/>
      <c r="D814" s="147"/>
      <c r="E814" s="147"/>
      <c r="F814" s="147"/>
      <c r="G814" s="147"/>
      <c r="H814" s="147"/>
      <c r="I814" s="147"/>
      <c r="J814" s="147"/>
      <c r="K814" s="147"/>
      <c r="L814" s="147"/>
      <c r="M814" s="147"/>
    </row>
    <row r="815">
      <c r="A815" s="147"/>
      <c r="B815" s="147"/>
      <c r="C815" s="147"/>
      <c r="D815" s="147"/>
      <c r="E815" s="147"/>
      <c r="F815" s="147"/>
      <c r="G815" s="147"/>
      <c r="H815" s="147"/>
      <c r="I815" s="147"/>
      <c r="J815" s="147"/>
      <c r="K815" s="147"/>
      <c r="L815" s="147"/>
      <c r="M815" s="147"/>
    </row>
    <row r="816">
      <c r="A816" s="147"/>
      <c r="B816" s="147"/>
      <c r="C816" s="147"/>
      <c r="D816" s="147"/>
      <c r="E816" s="147"/>
      <c r="F816" s="147"/>
      <c r="G816" s="147"/>
      <c r="H816" s="147"/>
      <c r="I816" s="147"/>
      <c r="J816" s="147"/>
      <c r="K816" s="147"/>
      <c r="L816" s="147"/>
      <c r="M816" s="147"/>
    </row>
    <row r="817">
      <c r="A817" s="147"/>
      <c r="B817" s="147"/>
      <c r="C817" s="147"/>
      <c r="D817" s="147"/>
      <c r="E817" s="147"/>
      <c r="F817" s="147"/>
      <c r="G817" s="147"/>
      <c r="H817" s="147"/>
      <c r="I817" s="147"/>
      <c r="J817" s="147"/>
      <c r="K817" s="147"/>
      <c r="L817" s="147"/>
      <c r="M817" s="147"/>
    </row>
    <row r="818">
      <c r="A818" s="147"/>
      <c r="B818" s="147"/>
      <c r="C818" s="147"/>
      <c r="D818" s="147"/>
      <c r="E818" s="147"/>
      <c r="F818" s="147"/>
      <c r="G818" s="147"/>
      <c r="H818" s="147"/>
      <c r="I818" s="147"/>
      <c r="J818" s="147"/>
      <c r="K818" s="147"/>
      <c r="L818" s="147"/>
      <c r="M818" s="147"/>
    </row>
    <row r="819">
      <c r="A819" s="147"/>
      <c r="B819" s="147"/>
      <c r="C819" s="147"/>
      <c r="D819" s="147"/>
      <c r="E819" s="147"/>
      <c r="F819" s="147"/>
      <c r="G819" s="147"/>
      <c r="H819" s="147"/>
      <c r="I819" s="147"/>
      <c r="J819" s="147"/>
      <c r="K819" s="147"/>
      <c r="L819" s="147"/>
      <c r="M819" s="147"/>
    </row>
    <row r="820">
      <c r="A820" s="147"/>
      <c r="B820" s="147"/>
      <c r="C820" s="147"/>
      <c r="D820" s="147"/>
      <c r="E820" s="147"/>
      <c r="F820" s="147"/>
      <c r="G820" s="147"/>
      <c r="H820" s="147"/>
      <c r="I820" s="147"/>
      <c r="J820" s="147"/>
      <c r="K820" s="147"/>
      <c r="L820" s="147"/>
      <c r="M820" s="147"/>
    </row>
    <row r="821">
      <c r="A821" s="147"/>
      <c r="B821" s="147"/>
      <c r="C821" s="147"/>
      <c r="D821" s="147"/>
      <c r="E821" s="147"/>
      <c r="F821" s="147"/>
      <c r="G821" s="147"/>
      <c r="H821" s="147"/>
      <c r="I821" s="147"/>
      <c r="J821" s="147"/>
      <c r="K821" s="147"/>
      <c r="L821" s="147"/>
      <c r="M821" s="147"/>
    </row>
    <row r="822">
      <c r="A822" s="147"/>
      <c r="B822" s="147"/>
      <c r="C822" s="147"/>
      <c r="D822" s="147"/>
      <c r="E822" s="147"/>
      <c r="F822" s="147"/>
      <c r="G822" s="147"/>
      <c r="H822" s="147"/>
      <c r="I822" s="147"/>
      <c r="J822" s="147"/>
      <c r="K822" s="147"/>
      <c r="L822" s="147"/>
      <c r="M822" s="147"/>
    </row>
    <row r="823">
      <c r="A823" s="147"/>
      <c r="B823" s="147"/>
      <c r="C823" s="147"/>
      <c r="D823" s="147"/>
      <c r="E823" s="147"/>
      <c r="F823" s="147"/>
      <c r="G823" s="147"/>
      <c r="H823" s="147"/>
      <c r="I823" s="147"/>
      <c r="J823" s="147"/>
      <c r="K823" s="147"/>
      <c r="L823" s="147"/>
      <c r="M823" s="147"/>
    </row>
    <row r="824">
      <c r="A824" s="147"/>
      <c r="B824" s="147"/>
      <c r="C824" s="147"/>
      <c r="D824" s="147"/>
      <c r="E824" s="147"/>
      <c r="F824" s="147"/>
      <c r="G824" s="147"/>
      <c r="H824" s="147"/>
      <c r="I824" s="147"/>
      <c r="J824" s="147"/>
      <c r="K824" s="147"/>
      <c r="L824" s="147"/>
      <c r="M824" s="147"/>
    </row>
    <row r="825">
      <c r="A825" s="147"/>
      <c r="B825" s="147"/>
      <c r="C825" s="147"/>
      <c r="D825" s="147"/>
      <c r="E825" s="147"/>
      <c r="F825" s="147"/>
      <c r="G825" s="147"/>
      <c r="H825" s="147"/>
      <c r="I825" s="147"/>
      <c r="J825" s="147"/>
      <c r="K825" s="147"/>
      <c r="L825" s="147"/>
      <c r="M825" s="147"/>
    </row>
    <row r="826">
      <c r="A826" s="147"/>
      <c r="B826" s="147"/>
      <c r="C826" s="147"/>
      <c r="D826" s="147"/>
      <c r="E826" s="147"/>
      <c r="F826" s="147"/>
      <c r="G826" s="147"/>
      <c r="H826" s="147"/>
      <c r="I826" s="147"/>
      <c r="J826" s="147"/>
      <c r="K826" s="147"/>
      <c r="L826" s="147"/>
      <c r="M826" s="147"/>
    </row>
    <row r="827">
      <c r="A827" s="147"/>
      <c r="B827" s="147"/>
      <c r="C827" s="147"/>
      <c r="D827" s="147"/>
      <c r="E827" s="147"/>
      <c r="F827" s="147"/>
      <c r="G827" s="147"/>
      <c r="H827" s="147"/>
      <c r="I827" s="147"/>
      <c r="J827" s="147"/>
      <c r="K827" s="147"/>
      <c r="L827" s="147"/>
      <c r="M827" s="147"/>
    </row>
    <row r="828">
      <c r="A828" s="147"/>
      <c r="B828" s="147"/>
      <c r="C828" s="147"/>
      <c r="D828" s="147"/>
      <c r="E828" s="147"/>
      <c r="F828" s="147"/>
      <c r="G828" s="147"/>
      <c r="H828" s="147"/>
      <c r="I828" s="147"/>
      <c r="J828" s="147"/>
      <c r="K828" s="147"/>
      <c r="L828" s="147"/>
      <c r="M828" s="147"/>
    </row>
    <row r="829">
      <c r="A829" s="147"/>
      <c r="B829" s="147"/>
      <c r="C829" s="147"/>
      <c r="D829" s="147"/>
      <c r="E829" s="147"/>
      <c r="F829" s="147"/>
      <c r="G829" s="147"/>
      <c r="H829" s="147"/>
      <c r="I829" s="147"/>
      <c r="J829" s="147"/>
      <c r="K829" s="147"/>
      <c r="L829" s="147"/>
      <c r="M829" s="147"/>
    </row>
    <row r="830">
      <c r="A830" s="147"/>
      <c r="B830" s="147"/>
      <c r="C830" s="147"/>
      <c r="D830" s="147"/>
      <c r="E830" s="147"/>
      <c r="F830" s="147"/>
      <c r="G830" s="147"/>
      <c r="H830" s="147"/>
      <c r="I830" s="147"/>
      <c r="J830" s="147"/>
      <c r="K830" s="147"/>
      <c r="L830" s="147"/>
      <c r="M830" s="147"/>
    </row>
    <row r="831">
      <c r="A831" s="147"/>
      <c r="B831" s="147"/>
      <c r="C831" s="147"/>
      <c r="D831" s="147"/>
      <c r="E831" s="147"/>
      <c r="F831" s="147"/>
      <c r="G831" s="147"/>
      <c r="H831" s="147"/>
      <c r="I831" s="147"/>
      <c r="J831" s="147"/>
      <c r="K831" s="147"/>
      <c r="L831" s="147"/>
      <c r="M831" s="147"/>
    </row>
    <row r="832">
      <c r="A832" s="147"/>
      <c r="B832" s="147"/>
      <c r="C832" s="147"/>
      <c r="D832" s="147"/>
      <c r="E832" s="147"/>
      <c r="F832" s="147"/>
      <c r="G832" s="147"/>
      <c r="H832" s="147"/>
      <c r="I832" s="147"/>
      <c r="J832" s="147"/>
      <c r="K832" s="147"/>
      <c r="L832" s="147"/>
      <c r="M832" s="147"/>
    </row>
    <row r="833">
      <c r="A833" s="147"/>
      <c r="B833" s="147"/>
      <c r="C833" s="147"/>
      <c r="D833" s="147"/>
      <c r="E833" s="147"/>
      <c r="F833" s="147"/>
      <c r="G833" s="147"/>
      <c r="H833" s="147"/>
      <c r="I833" s="147"/>
      <c r="J833" s="147"/>
      <c r="K833" s="147"/>
      <c r="L833" s="147"/>
      <c r="M833" s="147"/>
    </row>
    <row r="834">
      <c r="A834" s="147"/>
      <c r="B834" s="147"/>
      <c r="C834" s="147"/>
      <c r="D834" s="147"/>
      <c r="E834" s="147"/>
      <c r="F834" s="147"/>
      <c r="G834" s="147"/>
      <c r="H834" s="147"/>
      <c r="I834" s="147"/>
      <c r="J834" s="147"/>
      <c r="K834" s="147"/>
      <c r="L834" s="147"/>
      <c r="M834" s="147"/>
    </row>
    <row r="835">
      <c r="A835" s="147"/>
      <c r="B835" s="147"/>
      <c r="C835" s="147"/>
      <c r="D835" s="147"/>
      <c r="E835" s="147"/>
      <c r="F835" s="147"/>
      <c r="G835" s="147"/>
      <c r="H835" s="147"/>
      <c r="I835" s="147"/>
      <c r="J835" s="147"/>
      <c r="K835" s="147"/>
      <c r="L835" s="147"/>
      <c r="M835" s="147"/>
    </row>
    <row r="836">
      <c r="A836" s="147"/>
      <c r="B836" s="147"/>
      <c r="C836" s="147"/>
      <c r="D836" s="147"/>
      <c r="E836" s="147"/>
      <c r="F836" s="147"/>
      <c r="G836" s="147"/>
      <c r="H836" s="147"/>
      <c r="I836" s="147"/>
      <c r="J836" s="147"/>
      <c r="K836" s="147"/>
      <c r="L836" s="147"/>
      <c r="M836" s="147"/>
    </row>
    <row r="837">
      <c r="A837" s="147"/>
      <c r="B837" s="147"/>
      <c r="C837" s="147"/>
      <c r="D837" s="147"/>
      <c r="E837" s="147"/>
      <c r="F837" s="147"/>
      <c r="G837" s="147"/>
      <c r="H837" s="147"/>
      <c r="I837" s="147"/>
      <c r="J837" s="147"/>
      <c r="K837" s="147"/>
      <c r="L837" s="147"/>
      <c r="M837" s="147"/>
    </row>
    <row r="838">
      <c r="A838" s="147"/>
      <c r="B838" s="147"/>
      <c r="C838" s="147"/>
      <c r="D838" s="147"/>
      <c r="E838" s="147"/>
      <c r="F838" s="147"/>
      <c r="G838" s="147"/>
      <c r="H838" s="147"/>
      <c r="I838" s="147"/>
      <c r="J838" s="147"/>
      <c r="K838" s="147"/>
      <c r="L838" s="147"/>
      <c r="M838" s="147"/>
    </row>
    <row r="839">
      <c r="A839" s="147"/>
      <c r="B839" s="147"/>
      <c r="C839" s="147"/>
      <c r="D839" s="147"/>
      <c r="E839" s="147"/>
      <c r="F839" s="147"/>
      <c r="G839" s="147"/>
      <c r="H839" s="147"/>
      <c r="I839" s="147"/>
      <c r="J839" s="147"/>
      <c r="K839" s="147"/>
      <c r="L839" s="147"/>
      <c r="M839" s="147"/>
    </row>
    <row r="840">
      <c r="A840" s="147"/>
      <c r="B840" s="147"/>
      <c r="C840" s="147"/>
      <c r="D840" s="147"/>
      <c r="E840" s="147"/>
      <c r="F840" s="147"/>
      <c r="G840" s="147"/>
      <c r="H840" s="147"/>
      <c r="I840" s="147"/>
      <c r="J840" s="147"/>
      <c r="K840" s="147"/>
      <c r="L840" s="147"/>
      <c r="M840" s="147"/>
    </row>
    <row r="841">
      <c r="A841" s="147"/>
      <c r="B841" s="147"/>
      <c r="C841" s="147"/>
      <c r="D841" s="147"/>
      <c r="E841" s="147"/>
      <c r="F841" s="147"/>
      <c r="G841" s="147"/>
      <c r="H841" s="147"/>
      <c r="I841" s="147"/>
      <c r="J841" s="147"/>
      <c r="K841" s="147"/>
      <c r="L841" s="147"/>
      <c r="M841" s="147"/>
    </row>
    <row r="842">
      <c r="A842" s="147"/>
      <c r="B842" s="147"/>
      <c r="C842" s="147"/>
      <c r="D842" s="147"/>
      <c r="E842" s="147"/>
      <c r="F842" s="147"/>
      <c r="G842" s="147"/>
      <c r="H842" s="147"/>
      <c r="I842" s="147"/>
      <c r="J842" s="147"/>
      <c r="K842" s="147"/>
      <c r="L842" s="147"/>
      <c r="M842" s="147"/>
    </row>
    <row r="843">
      <c r="A843" s="147"/>
      <c r="B843" s="147"/>
      <c r="C843" s="147"/>
      <c r="D843" s="147"/>
      <c r="E843" s="147"/>
      <c r="F843" s="147"/>
      <c r="G843" s="147"/>
      <c r="H843" s="147"/>
      <c r="I843" s="147"/>
      <c r="J843" s="147"/>
      <c r="K843" s="147"/>
      <c r="L843" s="147"/>
      <c r="M843" s="147"/>
    </row>
    <row r="844">
      <c r="A844" s="147"/>
      <c r="B844" s="147"/>
      <c r="C844" s="147"/>
      <c r="D844" s="147"/>
      <c r="E844" s="147"/>
      <c r="F844" s="147"/>
      <c r="G844" s="147"/>
      <c r="H844" s="147"/>
      <c r="I844" s="147"/>
      <c r="J844" s="147"/>
      <c r="K844" s="147"/>
      <c r="L844" s="147"/>
      <c r="M844" s="147"/>
    </row>
    <row r="845">
      <c r="A845" s="147"/>
      <c r="B845" s="147"/>
      <c r="C845" s="147"/>
      <c r="D845" s="147"/>
      <c r="E845" s="147"/>
      <c r="F845" s="147"/>
      <c r="G845" s="147"/>
      <c r="H845" s="147"/>
      <c r="I845" s="147"/>
      <c r="J845" s="147"/>
      <c r="K845" s="147"/>
      <c r="L845" s="147"/>
      <c r="M845" s="147"/>
    </row>
    <row r="846">
      <c r="A846" s="147"/>
      <c r="B846" s="147"/>
      <c r="C846" s="147"/>
      <c r="D846" s="147"/>
      <c r="E846" s="147"/>
      <c r="F846" s="147"/>
      <c r="G846" s="147"/>
      <c r="H846" s="147"/>
      <c r="I846" s="147"/>
      <c r="J846" s="147"/>
      <c r="K846" s="147"/>
      <c r="L846" s="147"/>
      <c r="M846" s="147"/>
    </row>
    <row r="847">
      <c r="A847" s="147"/>
      <c r="B847" s="147"/>
      <c r="C847" s="147"/>
      <c r="D847" s="147"/>
      <c r="E847" s="147"/>
      <c r="F847" s="147"/>
      <c r="G847" s="147"/>
      <c r="H847" s="147"/>
      <c r="I847" s="147"/>
      <c r="J847" s="147"/>
      <c r="K847" s="147"/>
      <c r="L847" s="147"/>
      <c r="M847" s="147"/>
    </row>
    <row r="848">
      <c r="A848" s="147"/>
      <c r="B848" s="147"/>
      <c r="C848" s="147"/>
      <c r="D848" s="147"/>
      <c r="E848" s="147"/>
      <c r="F848" s="147"/>
      <c r="G848" s="147"/>
      <c r="H848" s="147"/>
      <c r="I848" s="147"/>
      <c r="J848" s="147"/>
      <c r="K848" s="147"/>
      <c r="L848" s="147"/>
      <c r="M848" s="147"/>
    </row>
    <row r="849">
      <c r="A849" s="147"/>
      <c r="B849" s="147"/>
      <c r="C849" s="147"/>
      <c r="D849" s="147"/>
      <c r="E849" s="147"/>
      <c r="F849" s="147"/>
      <c r="G849" s="147"/>
      <c r="H849" s="147"/>
      <c r="I849" s="147"/>
      <c r="J849" s="147"/>
      <c r="K849" s="147"/>
      <c r="L849" s="147"/>
      <c r="M849" s="147"/>
    </row>
    <row r="850">
      <c r="A850" s="147"/>
      <c r="B850" s="147"/>
      <c r="C850" s="147"/>
      <c r="D850" s="147"/>
      <c r="E850" s="147"/>
      <c r="F850" s="147"/>
      <c r="G850" s="147"/>
      <c r="H850" s="147"/>
      <c r="I850" s="147"/>
      <c r="J850" s="147"/>
      <c r="K850" s="147"/>
      <c r="L850" s="147"/>
      <c r="M850" s="147"/>
    </row>
    <row r="851">
      <c r="A851" s="147"/>
      <c r="B851" s="147"/>
      <c r="C851" s="147"/>
      <c r="D851" s="147"/>
      <c r="E851" s="147"/>
      <c r="F851" s="147"/>
      <c r="G851" s="147"/>
      <c r="H851" s="147"/>
      <c r="I851" s="147"/>
      <c r="J851" s="147"/>
      <c r="K851" s="147"/>
      <c r="L851" s="147"/>
      <c r="M851" s="147"/>
    </row>
    <row r="852">
      <c r="A852" s="147"/>
      <c r="B852" s="147"/>
      <c r="C852" s="147"/>
      <c r="D852" s="147"/>
      <c r="E852" s="147"/>
      <c r="F852" s="147"/>
      <c r="G852" s="147"/>
      <c r="H852" s="147"/>
      <c r="I852" s="147"/>
      <c r="J852" s="147"/>
      <c r="K852" s="147"/>
      <c r="L852" s="147"/>
      <c r="M852" s="147"/>
    </row>
    <row r="853">
      <c r="A853" s="147"/>
      <c r="B853" s="147"/>
      <c r="C853" s="147"/>
      <c r="D853" s="147"/>
      <c r="E853" s="147"/>
      <c r="F853" s="147"/>
      <c r="G853" s="147"/>
      <c r="H853" s="147"/>
      <c r="I853" s="147"/>
      <c r="J853" s="147"/>
      <c r="K853" s="147"/>
      <c r="L853" s="147"/>
      <c r="M853" s="147"/>
    </row>
    <row r="854">
      <c r="A854" s="147"/>
      <c r="B854" s="147"/>
      <c r="C854" s="147"/>
      <c r="D854" s="147"/>
      <c r="E854" s="147"/>
      <c r="F854" s="147"/>
      <c r="G854" s="147"/>
      <c r="H854" s="147"/>
      <c r="I854" s="147"/>
      <c r="J854" s="147"/>
      <c r="K854" s="147"/>
      <c r="L854" s="147"/>
      <c r="M854" s="147"/>
    </row>
    <row r="855">
      <c r="A855" s="147"/>
      <c r="B855" s="147"/>
      <c r="C855" s="147"/>
      <c r="D855" s="147"/>
      <c r="E855" s="147"/>
      <c r="F855" s="147"/>
      <c r="G855" s="147"/>
      <c r="H855" s="147"/>
      <c r="I855" s="147"/>
      <c r="J855" s="147"/>
      <c r="K855" s="147"/>
      <c r="L855" s="147"/>
      <c r="M855" s="147"/>
    </row>
    <row r="856">
      <c r="A856" s="147"/>
      <c r="B856" s="147"/>
      <c r="C856" s="147"/>
      <c r="D856" s="147"/>
      <c r="E856" s="147"/>
      <c r="F856" s="147"/>
      <c r="G856" s="147"/>
      <c r="H856" s="147"/>
      <c r="I856" s="147"/>
      <c r="J856" s="147"/>
      <c r="K856" s="147"/>
      <c r="L856" s="147"/>
      <c r="M856" s="147"/>
    </row>
    <row r="857">
      <c r="A857" s="147"/>
      <c r="B857" s="147"/>
      <c r="C857" s="147"/>
      <c r="D857" s="147"/>
      <c r="E857" s="147"/>
      <c r="F857" s="147"/>
      <c r="G857" s="147"/>
      <c r="H857" s="147"/>
      <c r="I857" s="147"/>
      <c r="J857" s="147"/>
      <c r="K857" s="147"/>
      <c r="L857" s="147"/>
      <c r="M857" s="147"/>
    </row>
    <row r="858">
      <c r="A858" s="147"/>
      <c r="B858" s="147"/>
      <c r="C858" s="147"/>
      <c r="D858" s="147"/>
      <c r="E858" s="147"/>
      <c r="F858" s="147"/>
      <c r="G858" s="147"/>
      <c r="H858" s="147"/>
      <c r="I858" s="147"/>
      <c r="J858" s="147"/>
      <c r="K858" s="147"/>
      <c r="L858" s="147"/>
      <c r="M858" s="147"/>
    </row>
    <row r="859">
      <c r="A859" s="147"/>
      <c r="B859" s="147"/>
      <c r="C859" s="147"/>
      <c r="D859" s="147"/>
      <c r="E859" s="147"/>
      <c r="F859" s="147"/>
      <c r="G859" s="147"/>
      <c r="H859" s="147"/>
      <c r="I859" s="147"/>
      <c r="J859" s="147"/>
      <c r="K859" s="147"/>
      <c r="L859" s="147"/>
      <c r="M859" s="147"/>
    </row>
    <row r="860">
      <c r="A860" s="147"/>
      <c r="B860" s="147"/>
      <c r="C860" s="147"/>
      <c r="D860" s="147"/>
      <c r="E860" s="147"/>
      <c r="F860" s="147"/>
      <c r="G860" s="147"/>
      <c r="H860" s="147"/>
      <c r="I860" s="147"/>
      <c r="J860" s="147"/>
      <c r="K860" s="147"/>
      <c r="L860" s="147"/>
      <c r="M860" s="147"/>
    </row>
    <row r="861">
      <c r="A861" s="147"/>
      <c r="B861" s="147"/>
      <c r="C861" s="147"/>
      <c r="D861" s="147"/>
      <c r="E861" s="147"/>
      <c r="F861" s="147"/>
      <c r="G861" s="147"/>
      <c r="H861" s="147"/>
      <c r="I861" s="147"/>
      <c r="J861" s="147"/>
      <c r="K861" s="147"/>
      <c r="L861" s="147"/>
      <c r="M861" s="147"/>
    </row>
    <row r="862">
      <c r="A862" s="147"/>
      <c r="B862" s="147"/>
      <c r="C862" s="147"/>
      <c r="D862" s="147"/>
      <c r="E862" s="147"/>
      <c r="F862" s="147"/>
      <c r="G862" s="147"/>
      <c r="H862" s="147"/>
      <c r="I862" s="147"/>
      <c r="J862" s="147"/>
      <c r="K862" s="147"/>
      <c r="L862" s="147"/>
      <c r="M862" s="147"/>
    </row>
    <row r="863">
      <c r="A863" s="147"/>
      <c r="B863" s="147"/>
      <c r="C863" s="147"/>
      <c r="D863" s="147"/>
      <c r="E863" s="147"/>
      <c r="F863" s="147"/>
      <c r="G863" s="147"/>
      <c r="H863" s="147"/>
      <c r="I863" s="147"/>
      <c r="J863" s="147"/>
      <c r="K863" s="147"/>
      <c r="L863" s="147"/>
      <c r="M863" s="147"/>
    </row>
    <row r="864">
      <c r="A864" s="147"/>
      <c r="B864" s="147"/>
      <c r="C864" s="147"/>
      <c r="D864" s="147"/>
      <c r="E864" s="147"/>
      <c r="F864" s="147"/>
      <c r="G864" s="147"/>
      <c r="H864" s="147"/>
      <c r="I864" s="147"/>
      <c r="J864" s="147"/>
      <c r="K864" s="147"/>
      <c r="L864" s="147"/>
      <c r="M864" s="147"/>
    </row>
    <row r="865">
      <c r="A865" s="147"/>
      <c r="B865" s="147"/>
      <c r="C865" s="147"/>
      <c r="D865" s="147"/>
      <c r="E865" s="147"/>
      <c r="F865" s="147"/>
      <c r="G865" s="147"/>
      <c r="H865" s="147"/>
      <c r="I865" s="147"/>
      <c r="J865" s="147"/>
      <c r="K865" s="147"/>
      <c r="L865" s="147"/>
      <c r="M865" s="147"/>
    </row>
    <row r="866">
      <c r="A866" s="147"/>
      <c r="B866" s="147"/>
      <c r="C866" s="147"/>
      <c r="D866" s="147"/>
      <c r="E866" s="147"/>
      <c r="F866" s="147"/>
      <c r="G866" s="147"/>
      <c r="H866" s="147"/>
      <c r="I866" s="147"/>
      <c r="J866" s="147"/>
      <c r="K866" s="147"/>
      <c r="L866" s="147"/>
      <c r="M866" s="147"/>
    </row>
    <row r="867">
      <c r="A867" s="147"/>
      <c r="B867" s="147"/>
      <c r="C867" s="147"/>
      <c r="D867" s="147"/>
      <c r="E867" s="147"/>
      <c r="F867" s="147"/>
      <c r="G867" s="147"/>
      <c r="H867" s="147"/>
      <c r="I867" s="147"/>
      <c r="J867" s="147"/>
      <c r="K867" s="147"/>
      <c r="L867" s="147"/>
      <c r="M867" s="147"/>
    </row>
    <row r="868">
      <c r="A868" s="147"/>
      <c r="B868" s="147"/>
      <c r="C868" s="147"/>
      <c r="D868" s="147"/>
      <c r="E868" s="147"/>
      <c r="F868" s="147"/>
      <c r="G868" s="147"/>
      <c r="H868" s="147"/>
      <c r="I868" s="147"/>
      <c r="J868" s="147"/>
      <c r="K868" s="147"/>
      <c r="L868" s="147"/>
      <c r="M868" s="147"/>
    </row>
    <row r="869">
      <c r="A869" s="147"/>
      <c r="B869" s="147"/>
      <c r="C869" s="147"/>
      <c r="D869" s="147"/>
      <c r="E869" s="147"/>
      <c r="F869" s="147"/>
      <c r="G869" s="147"/>
      <c r="H869" s="147"/>
      <c r="I869" s="147"/>
      <c r="J869" s="147"/>
      <c r="K869" s="147"/>
      <c r="L869" s="147"/>
      <c r="M869" s="147"/>
    </row>
    <row r="870">
      <c r="A870" s="147"/>
      <c r="B870" s="147"/>
      <c r="C870" s="147"/>
      <c r="D870" s="147"/>
      <c r="E870" s="147"/>
      <c r="F870" s="147"/>
      <c r="G870" s="147"/>
      <c r="H870" s="147"/>
      <c r="I870" s="147"/>
      <c r="J870" s="147"/>
      <c r="K870" s="147"/>
      <c r="L870" s="147"/>
      <c r="M870" s="147"/>
    </row>
    <row r="871">
      <c r="A871" s="147"/>
      <c r="B871" s="147"/>
      <c r="C871" s="147"/>
      <c r="D871" s="147"/>
      <c r="E871" s="147"/>
      <c r="F871" s="147"/>
      <c r="G871" s="147"/>
      <c r="H871" s="147"/>
      <c r="I871" s="147"/>
      <c r="J871" s="147"/>
      <c r="K871" s="147"/>
      <c r="L871" s="147"/>
      <c r="M871" s="147"/>
    </row>
    <row r="872">
      <c r="A872" s="147"/>
      <c r="B872" s="147"/>
      <c r="C872" s="147"/>
      <c r="D872" s="147"/>
      <c r="E872" s="147"/>
      <c r="F872" s="147"/>
      <c r="G872" s="147"/>
      <c r="H872" s="147"/>
      <c r="I872" s="147"/>
      <c r="J872" s="147"/>
      <c r="K872" s="147"/>
      <c r="L872" s="147"/>
      <c r="M872" s="147"/>
    </row>
    <row r="873">
      <c r="A873" s="147"/>
      <c r="B873" s="147"/>
      <c r="C873" s="147"/>
      <c r="D873" s="147"/>
      <c r="E873" s="147"/>
      <c r="F873" s="147"/>
      <c r="G873" s="147"/>
      <c r="H873" s="147"/>
      <c r="I873" s="147"/>
      <c r="J873" s="147"/>
      <c r="K873" s="147"/>
      <c r="L873" s="147"/>
      <c r="M873" s="147"/>
    </row>
    <row r="874">
      <c r="A874" s="147"/>
      <c r="B874" s="147"/>
      <c r="C874" s="147"/>
      <c r="D874" s="147"/>
      <c r="E874" s="147"/>
      <c r="F874" s="147"/>
      <c r="G874" s="147"/>
      <c r="H874" s="147"/>
      <c r="I874" s="147"/>
      <c r="J874" s="147"/>
      <c r="K874" s="147"/>
      <c r="L874" s="147"/>
      <c r="M874" s="147"/>
    </row>
    <row r="875">
      <c r="A875" s="147"/>
      <c r="B875" s="147"/>
      <c r="C875" s="147"/>
      <c r="D875" s="147"/>
      <c r="E875" s="147"/>
      <c r="F875" s="147"/>
      <c r="G875" s="147"/>
      <c r="H875" s="147"/>
      <c r="I875" s="147"/>
      <c r="J875" s="147"/>
      <c r="K875" s="147"/>
      <c r="L875" s="147"/>
      <c r="M875" s="147"/>
    </row>
    <row r="876">
      <c r="A876" s="147"/>
      <c r="B876" s="147"/>
      <c r="C876" s="147"/>
      <c r="D876" s="147"/>
      <c r="E876" s="147"/>
      <c r="F876" s="147"/>
      <c r="G876" s="147"/>
      <c r="H876" s="147"/>
      <c r="I876" s="147"/>
      <c r="J876" s="147"/>
      <c r="K876" s="147"/>
      <c r="L876" s="147"/>
      <c r="M876" s="147"/>
    </row>
    <row r="877">
      <c r="A877" s="147"/>
      <c r="B877" s="147"/>
      <c r="C877" s="147"/>
      <c r="D877" s="147"/>
      <c r="E877" s="147"/>
      <c r="F877" s="147"/>
      <c r="G877" s="147"/>
      <c r="H877" s="147"/>
      <c r="I877" s="147"/>
      <c r="J877" s="147"/>
      <c r="K877" s="147"/>
      <c r="L877" s="147"/>
      <c r="M877" s="147"/>
    </row>
    <row r="878">
      <c r="A878" s="147"/>
      <c r="B878" s="147"/>
      <c r="C878" s="147"/>
      <c r="D878" s="147"/>
      <c r="E878" s="147"/>
      <c r="F878" s="147"/>
      <c r="G878" s="147"/>
      <c r="H878" s="147"/>
      <c r="I878" s="147"/>
      <c r="J878" s="147"/>
      <c r="K878" s="147"/>
      <c r="L878" s="147"/>
      <c r="M878" s="147"/>
    </row>
    <row r="879">
      <c r="A879" s="147"/>
      <c r="B879" s="147"/>
      <c r="C879" s="147"/>
      <c r="D879" s="147"/>
      <c r="E879" s="147"/>
      <c r="F879" s="147"/>
      <c r="G879" s="147"/>
      <c r="H879" s="147"/>
      <c r="I879" s="147"/>
      <c r="J879" s="147"/>
      <c r="K879" s="147"/>
      <c r="L879" s="147"/>
      <c r="M879" s="147"/>
    </row>
    <row r="880">
      <c r="A880" s="147"/>
      <c r="B880" s="147"/>
      <c r="C880" s="147"/>
      <c r="D880" s="147"/>
      <c r="E880" s="147"/>
      <c r="F880" s="147"/>
      <c r="G880" s="147"/>
      <c r="H880" s="147"/>
      <c r="I880" s="147"/>
      <c r="J880" s="147"/>
      <c r="K880" s="147"/>
      <c r="L880" s="147"/>
      <c r="M880" s="147"/>
    </row>
    <row r="881">
      <c r="A881" s="147"/>
      <c r="B881" s="147"/>
      <c r="C881" s="147"/>
      <c r="D881" s="147"/>
      <c r="E881" s="147"/>
      <c r="F881" s="147"/>
      <c r="G881" s="147"/>
      <c r="H881" s="147"/>
      <c r="I881" s="147"/>
      <c r="J881" s="147"/>
      <c r="K881" s="147"/>
      <c r="L881" s="147"/>
      <c r="M881" s="147"/>
    </row>
    <row r="882">
      <c r="A882" s="147"/>
      <c r="B882" s="147"/>
      <c r="C882" s="147"/>
      <c r="D882" s="147"/>
      <c r="E882" s="147"/>
      <c r="F882" s="147"/>
      <c r="G882" s="147"/>
      <c r="H882" s="147"/>
      <c r="I882" s="147"/>
      <c r="J882" s="147"/>
      <c r="K882" s="147"/>
      <c r="L882" s="147"/>
      <c r="M882" s="147"/>
    </row>
    <row r="883">
      <c r="A883" s="147"/>
      <c r="B883" s="147"/>
      <c r="C883" s="147"/>
      <c r="D883" s="147"/>
      <c r="E883" s="147"/>
      <c r="F883" s="147"/>
      <c r="G883" s="147"/>
      <c r="H883" s="147"/>
      <c r="I883" s="147"/>
      <c r="J883" s="147"/>
      <c r="K883" s="147"/>
      <c r="L883" s="147"/>
      <c r="M883" s="147"/>
    </row>
    <row r="884">
      <c r="A884" s="147"/>
      <c r="B884" s="147"/>
      <c r="C884" s="147"/>
      <c r="D884" s="147"/>
      <c r="E884" s="147"/>
      <c r="F884" s="147"/>
      <c r="G884" s="147"/>
      <c r="H884" s="147"/>
      <c r="I884" s="147"/>
      <c r="J884" s="147"/>
      <c r="K884" s="147"/>
      <c r="L884" s="147"/>
      <c r="M884" s="147"/>
    </row>
    <row r="885">
      <c r="A885" s="147"/>
      <c r="B885" s="147"/>
      <c r="C885" s="147"/>
      <c r="D885" s="147"/>
      <c r="E885" s="147"/>
      <c r="F885" s="147"/>
      <c r="G885" s="147"/>
      <c r="H885" s="147"/>
      <c r="I885" s="147"/>
      <c r="J885" s="147"/>
      <c r="K885" s="147"/>
      <c r="L885" s="147"/>
      <c r="M885" s="147"/>
    </row>
    <row r="886">
      <c r="A886" s="147"/>
      <c r="B886" s="147"/>
      <c r="C886" s="147"/>
      <c r="D886" s="147"/>
      <c r="E886" s="147"/>
      <c r="F886" s="147"/>
      <c r="G886" s="147"/>
      <c r="H886" s="147"/>
      <c r="I886" s="147"/>
      <c r="J886" s="147"/>
      <c r="K886" s="147"/>
      <c r="L886" s="147"/>
      <c r="M886" s="147"/>
    </row>
    <row r="887">
      <c r="A887" s="147"/>
      <c r="B887" s="147"/>
      <c r="C887" s="147"/>
      <c r="D887" s="147"/>
      <c r="E887" s="147"/>
      <c r="F887" s="147"/>
      <c r="G887" s="147"/>
      <c r="H887" s="147"/>
      <c r="I887" s="147"/>
      <c r="J887" s="147"/>
      <c r="K887" s="147"/>
      <c r="L887" s="147"/>
      <c r="M887" s="147"/>
    </row>
    <row r="888">
      <c r="A888" s="147"/>
      <c r="B888" s="147"/>
      <c r="C888" s="147"/>
      <c r="D888" s="147"/>
      <c r="E888" s="147"/>
      <c r="F888" s="147"/>
      <c r="G888" s="147"/>
      <c r="H888" s="147"/>
      <c r="I888" s="147"/>
      <c r="J888" s="147"/>
      <c r="K888" s="147"/>
      <c r="L888" s="147"/>
      <c r="M888" s="147"/>
    </row>
    <row r="889">
      <c r="A889" s="147"/>
      <c r="B889" s="147"/>
      <c r="C889" s="147"/>
      <c r="D889" s="147"/>
      <c r="E889" s="147"/>
      <c r="F889" s="147"/>
      <c r="G889" s="147"/>
      <c r="H889" s="147"/>
      <c r="I889" s="147"/>
      <c r="J889" s="147"/>
      <c r="K889" s="147"/>
      <c r="L889" s="147"/>
      <c r="M889" s="147"/>
    </row>
    <row r="890">
      <c r="A890" s="147"/>
      <c r="B890" s="147"/>
      <c r="C890" s="147"/>
      <c r="D890" s="147"/>
      <c r="E890" s="147"/>
      <c r="F890" s="147"/>
      <c r="G890" s="147"/>
      <c r="H890" s="147"/>
      <c r="I890" s="147"/>
      <c r="J890" s="147"/>
      <c r="K890" s="147"/>
      <c r="L890" s="147"/>
      <c r="M890" s="147"/>
    </row>
    <row r="891">
      <c r="A891" s="147"/>
      <c r="B891" s="147"/>
      <c r="C891" s="147"/>
      <c r="D891" s="147"/>
      <c r="E891" s="147"/>
      <c r="F891" s="147"/>
      <c r="G891" s="147"/>
      <c r="H891" s="147"/>
      <c r="I891" s="147"/>
      <c r="J891" s="147"/>
      <c r="K891" s="147"/>
      <c r="L891" s="147"/>
      <c r="M891" s="147"/>
    </row>
    <row r="892">
      <c r="A892" s="147"/>
      <c r="B892" s="147"/>
      <c r="C892" s="147"/>
      <c r="D892" s="147"/>
      <c r="E892" s="147"/>
      <c r="F892" s="147"/>
      <c r="G892" s="147"/>
      <c r="H892" s="147"/>
      <c r="I892" s="147"/>
      <c r="J892" s="147"/>
      <c r="K892" s="147"/>
      <c r="L892" s="147"/>
      <c r="M892" s="147"/>
    </row>
    <row r="893">
      <c r="A893" s="147"/>
      <c r="B893" s="147"/>
      <c r="C893" s="147"/>
      <c r="D893" s="147"/>
      <c r="E893" s="147"/>
      <c r="F893" s="147"/>
      <c r="G893" s="147"/>
      <c r="H893" s="147"/>
      <c r="I893" s="147"/>
      <c r="J893" s="147"/>
      <c r="K893" s="147"/>
      <c r="L893" s="147"/>
      <c r="M893" s="147"/>
    </row>
    <row r="894">
      <c r="A894" s="147"/>
      <c r="B894" s="147"/>
      <c r="C894" s="147"/>
      <c r="D894" s="147"/>
      <c r="E894" s="147"/>
      <c r="F894" s="147"/>
      <c r="G894" s="147"/>
      <c r="H894" s="147"/>
      <c r="I894" s="147"/>
      <c r="J894" s="147"/>
      <c r="K894" s="147"/>
      <c r="L894" s="147"/>
      <c r="M894" s="147"/>
    </row>
    <row r="895">
      <c r="A895" s="147"/>
      <c r="B895" s="147"/>
      <c r="C895" s="147"/>
      <c r="D895" s="147"/>
      <c r="E895" s="147"/>
      <c r="F895" s="147"/>
      <c r="G895" s="147"/>
      <c r="H895" s="147"/>
      <c r="I895" s="147"/>
      <c r="J895" s="147"/>
      <c r="K895" s="147"/>
      <c r="L895" s="147"/>
      <c r="M895" s="147"/>
    </row>
    <row r="896">
      <c r="A896" s="147"/>
      <c r="B896" s="147"/>
      <c r="C896" s="147"/>
      <c r="D896" s="147"/>
      <c r="E896" s="147"/>
      <c r="F896" s="147"/>
      <c r="G896" s="147"/>
      <c r="H896" s="147"/>
      <c r="I896" s="147"/>
      <c r="J896" s="147"/>
      <c r="K896" s="147"/>
      <c r="L896" s="147"/>
      <c r="M896" s="147"/>
    </row>
    <row r="897">
      <c r="A897" s="147"/>
      <c r="B897" s="147"/>
      <c r="C897" s="147"/>
      <c r="D897" s="147"/>
      <c r="E897" s="147"/>
      <c r="F897" s="147"/>
      <c r="G897" s="147"/>
      <c r="H897" s="147"/>
      <c r="I897" s="147"/>
      <c r="J897" s="147"/>
      <c r="K897" s="147"/>
      <c r="L897" s="147"/>
      <c r="M897" s="147"/>
    </row>
    <row r="898">
      <c r="A898" s="147"/>
      <c r="B898" s="147"/>
      <c r="C898" s="147"/>
      <c r="D898" s="147"/>
      <c r="E898" s="147"/>
      <c r="F898" s="147"/>
      <c r="G898" s="147"/>
      <c r="H898" s="147"/>
      <c r="I898" s="147"/>
      <c r="J898" s="147"/>
      <c r="K898" s="147"/>
      <c r="L898" s="147"/>
      <c r="M898" s="147"/>
    </row>
    <row r="899">
      <c r="A899" s="147"/>
      <c r="B899" s="147"/>
      <c r="C899" s="147"/>
      <c r="D899" s="147"/>
      <c r="E899" s="147"/>
      <c r="F899" s="147"/>
      <c r="G899" s="147"/>
      <c r="H899" s="147"/>
      <c r="I899" s="147"/>
      <c r="J899" s="147"/>
      <c r="K899" s="147"/>
      <c r="L899" s="147"/>
      <c r="M899" s="147"/>
    </row>
    <row r="900">
      <c r="A900" s="147"/>
      <c r="B900" s="147"/>
      <c r="C900" s="147"/>
      <c r="D900" s="147"/>
      <c r="E900" s="147"/>
      <c r="F900" s="147"/>
      <c r="G900" s="147"/>
      <c r="H900" s="147"/>
      <c r="I900" s="147"/>
      <c r="J900" s="147"/>
      <c r="K900" s="147"/>
      <c r="L900" s="147"/>
      <c r="M900" s="147"/>
    </row>
    <row r="901">
      <c r="A901" s="147"/>
      <c r="B901" s="147"/>
      <c r="C901" s="147"/>
      <c r="D901" s="147"/>
      <c r="E901" s="147"/>
      <c r="F901" s="147"/>
      <c r="G901" s="147"/>
      <c r="H901" s="147"/>
      <c r="I901" s="147"/>
      <c r="J901" s="147"/>
      <c r="K901" s="147"/>
      <c r="L901" s="147"/>
      <c r="M901" s="147"/>
    </row>
    <row r="902">
      <c r="A902" s="147"/>
      <c r="B902" s="147"/>
      <c r="C902" s="147"/>
      <c r="D902" s="147"/>
      <c r="E902" s="147"/>
      <c r="F902" s="147"/>
      <c r="G902" s="147"/>
      <c r="H902" s="147"/>
      <c r="I902" s="147"/>
      <c r="J902" s="147"/>
      <c r="K902" s="147"/>
      <c r="L902" s="147"/>
      <c r="M902" s="147"/>
    </row>
    <row r="903">
      <c r="A903" s="147"/>
      <c r="B903" s="147"/>
      <c r="C903" s="147"/>
      <c r="D903" s="147"/>
      <c r="E903" s="147"/>
      <c r="F903" s="147"/>
      <c r="G903" s="147"/>
      <c r="H903" s="147"/>
      <c r="I903" s="147"/>
      <c r="J903" s="147"/>
      <c r="K903" s="147"/>
      <c r="L903" s="147"/>
      <c r="M903" s="147"/>
    </row>
    <row r="904">
      <c r="A904" s="147"/>
      <c r="B904" s="147"/>
      <c r="C904" s="147"/>
      <c r="D904" s="147"/>
      <c r="E904" s="147"/>
      <c r="F904" s="147"/>
      <c r="G904" s="147"/>
      <c r="H904" s="147"/>
      <c r="I904" s="147"/>
      <c r="J904" s="147"/>
      <c r="K904" s="147"/>
      <c r="L904" s="147"/>
      <c r="M904" s="147"/>
    </row>
    <row r="905">
      <c r="A905" s="147"/>
      <c r="B905" s="147"/>
      <c r="C905" s="147"/>
      <c r="D905" s="147"/>
      <c r="E905" s="147"/>
      <c r="F905" s="147"/>
      <c r="G905" s="147"/>
      <c r="H905" s="147"/>
      <c r="I905" s="147"/>
      <c r="J905" s="147"/>
      <c r="K905" s="147"/>
      <c r="L905" s="147"/>
      <c r="M905" s="147"/>
    </row>
    <row r="906">
      <c r="A906" s="147"/>
      <c r="B906" s="147"/>
      <c r="C906" s="147"/>
      <c r="D906" s="147"/>
      <c r="E906" s="147"/>
      <c r="F906" s="147"/>
      <c r="G906" s="147"/>
      <c r="H906" s="147"/>
      <c r="I906" s="147"/>
      <c r="J906" s="147"/>
      <c r="K906" s="147"/>
      <c r="L906" s="147"/>
      <c r="M906" s="147"/>
    </row>
    <row r="907">
      <c r="A907" s="147"/>
      <c r="B907" s="147"/>
      <c r="C907" s="147"/>
      <c r="D907" s="147"/>
      <c r="E907" s="147"/>
      <c r="F907" s="147"/>
      <c r="G907" s="147"/>
      <c r="H907" s="147"/>
      <c r="I907" s="147"/>
      <c r="J907" s="147"/>
      <c r="K907" s="147"/>
      <c r="L907" s="147"/>
      <c r="M907" s="147"/>
    </row>
    <row r="908">
      <c r="A908" s="147"/>
      <c r="B908" s="147"/>
      <c r="C908" s="147"/>
      <c r="D908" s="147"/>
      <c r="E908" s="147"/>
      <c r="F908" s="147"/>
      <c r="G908" s="147"/>
      <c r="H908" s="147"/>
      <c r="I908" s="147"/>
      <c r="J908" s="147"/>
      <c r="K908" s="147"/>
      <c r="L908" s="147"/>
      <c r="M908" s="147"/>
    </row>
    <row r="909">
      <c r="A909" s="147"/>
      <c r="B909" s="147"/>
      <c r="C909" s="147"/>
      <c r="D909" s="147"/>
      <c r="E909" s="147"/>
      <c r="F909" s="147"/>
      <c r="G909" s="147"/>
      <c r="H909" s="147"/>
      <c r="I909" s="147"/>
      <c r="J909" s="147"/>
      <c r="K909" s="147"/>
      <c r="L909" s="147"/>
      <c r="M909" s="147"/>
    </row>
    <row r="910">
      <c r="A910" s="147"/>
      <c r="B910" s="147"/>
      <c r="C910" s="147"/>
      <c r="D910" s="147"/>
      <c r="E910" s="147"/>
      <c r="F910" s="147"/>
      <c r="G910" s="147"/>
      <c r="H910" s="147"/>
      <c r="I910" s="147"/>
      <c r="J910" s="147"/>
      <c r="K910" s="147"/>
      <c r="L910" s="147"/>
      <c r="M910" s="147"/>
    </row>
    <row r="911">
      <c r="A911" s="147"/>
      <c r="B911" s="147"/>
      <c r="C911" s="147"/>
      <c r="D911" s="147"/>
      <c r="E911" s="147"/>
      <c r="F911" s="147"/>
      <c r="G911" s="147"/>
      <c r="H911" s="147"/>
      <c r="I911" s="147"/>
      <c r="J911" s="147"/>
      <c r="K911" s="147"/>
      <c r="L911" s="147"/>
      <c r="M911" s="147"/>
    </row>
    <row r="912">
      <c r="A912" s="147"/>
      <c r="B912" s="147"/>
      <c r="C912" s="147"/>
      <c r="D912" s="147"/>
      <c r="E912" s="147"/>
      <c r="F912" s="147"/>
      <c r="G912" s="147"/>
      <c r="H912" s="147"/>
      <c r="I912" s="147"/>
      <c r="J912" s="147"/>
      <c r="K912" s="147"/>
      <c r="L912" s="147"/>
      <c r="M912" s="147"/>
    </row>
    <row r="913">
      <c r="A913" s="147"/>
      <c r="B913" s="147"/>
      <c r="C913" s="147"/>
      <c r="D913" s="147"/>
      <c r="E913" s="147"/>
      <c r="F913" s="147"/>
      <c r="G913" s="147"/>
      <c r="H913" s="147"/>
      <c r="I913" s="147"/>
      <c r="J913" s="147"/>
      <c r="K913" s="147"/>
      <c r="L913" s="147"/>
      <c r="M913" s="147"/>
    </row>
    <row r="914">
      <c r="A914" s="147"/>
      <c r="B914" s="147"/>
      <c r="C914" s="147"/>
      <c r="D914" s="147"/>
      <c r="E914" s="147"/>
      <c r="F914" s="147"/>
      <c r="G914" s="147"/>
      <c r="H914" s="147"/>
      <c r="I914" s="147"/>
      <c r="J914" s="147"/>
      <c r="K914" s="147"/>
      <c r="L914" s="147"/>
      <c r="M914" s="147"/>
    </row>
    <row r="915">
      <c r="A915" s="147"/>
      <c r="B915" s="147"/>
      <c r="C915" s="147"/>
      <c r="D915" s="147"/>
      <c r="E915" s="147"/>
      <c r="F915" s="147"/>
      <c r="G915" s="147"/>
      <c r="H915" s="147"/>
      <c r="I915" s="147"/>
      <c r="J915" s="147"/>
      <c r="K915" s="147"/>
      <c r="L915" s="147"/>
      <c r="M915" s="147"/>
    </row>
    <row r="916">
      <c r="A916" s="147"/>
      <c r="B916" s="147"/>
      <c r="C916" s="147"/>
      <c r="D916" s="147"/>
      <c r="E916" s="147"/>
      <c r="F916" s="147"/>
      <c r="G916" s="147"/>
      <c r="H916" s="147"/>
      <c r="I916" s="147"/>
      <c r="J916" s="147"/>
      <c r="K916" s="147"/>
      <c r="L916" s="147"/>
      <c r="M916" s="147"/>
    </row>
    <row r="917">
      <c r="A917" s="147"/>
      <c r="B917" s="147"/>
      <c r="C917" s="147"/>
      <c r="D917" s="147"/>
      <c r="E917" s="147"/>
      <c r="F917" s="147"/>
      <c r="G917" s="147"/>
      <c r="H917" s="147"/>
      <c r="I917" s="147"/>
      <c r="J917" s="147"/>
      <c r="K917" s="147"/>
      <c r="L917" s="147"/>
      <c r="M917" s="147"/>
    </row>
    <row r="918">
      <c r="A918" s="147"/>
      <c r="B918" s="147"/>
      <c r="C918" s="147"/>
      <c r="D918" s="147"/>
      <c r="E918" s="147"/>
      <c r="F918" s="147"/>
      <c r="G918" s="147"/>
      <c r="H918" s="147"/>
      <c r="I918" s="147"/>
      <c r="J918" s="147"/>
      <c r="K918" s="147"/>
      <c r="L918" s="147"/>
      <c r="M918" s="147"/>
    </row>
    <row r="919">
      <c r="A919" s="147"/>
      <c r="B919" s="147"/>
      <c r="C919" s="147"/>
      <c r="D919" s="147"/>
      <c r="E919" s="147"/>
      <c r="F919" s="147"/>
      <c r="G919" s="147"/>
      <c r="H919" s="147"/>
      <c r="I919" s="147"/>
      <c r="J919" s="147"/>
      <c r="K919" s="147"/>
      <c r="L919" s="147"/>
      <c r="M919" s="147"/>
    </row>
    <row r="920">
      <c r="A920" s="147"/>
      <c r="B920" s="147"/>
      <c r="C920" s="147"/>
      <c r="D920" s="147"/>
      <c r="E920" s="147"/>
      <c r="F920" s="147"/>
      <c r="G920" s="147"/>
      <c r="H920" s="147"/>
      <c r="I920" s="147"/>
      <c r="J920" s="147"/>
      <c r="K920" s="147"/>
      <c r="L920" s="147"/>
      <c r="M920" s="147"/>
    </row>
    <row r="921">
      <c r="A921" s="147"/>
      <c r="B921" s="147"/>
      <c r="C921" s="147"/>
      <c r="D921" s="147"/>
      <c r="E921" s="147"/>
      <c r="F921" s="147"/>
      <c r="G921" s="147"/>
      <c r="H921" s="147"/>
      <c r="I921" s="147"/>
      <c r="J921" s="147"/>
      <c r="K921" s="147"/>
      <c r="L921" s="147"/>
      <c r="M921" s="147"/>
    </row>
    <row r="922">
      <c r="A922" s="147"/>
      <c r="B922" s="147"/>
      <c r="C922" s="147"/>
      <c r="D922" s="147"/>
      <c r="E922" s="147"/>
      <c r="F922" s="147"/>
      <c r="G922" s="147"/>
      <c r="H922" s="147"/>
      <c r="I922" s="147"/>
      <c r="J922" s="147"/>
      <c r="K922" s="147"/>
      <c r="L922" s="147"/>
      <c r="M922" s="147"/>
    </row>
    <row r="923">
      <c r="A923" s="147"/>
      <c r="B923" s="147"/>
      <c r="C923" s="147"/>
      <c r="D923" s="147"/>
      <c r="E923" s="147"/>
      <c r="F923" s="147"/>
      <c r="G923" s="147"/>
      <c r="H923" s="147"/>
      <c r="I923" s="147"/>
      <c r="J923" s="147"/>
      <c r="K923" s="147"/>
      <c r="L923" s="147"/>
      <c r="M923" s="147"/>
    </row>
    <row r="924">
      <c r="A924" s="147"/>
      <c r="B924" s="147"/>
      <c r="C924" s="147"/>
      <c r="D924" s="147"/>
      <c r="E924" s="147"/>
      <c r="F924" s="147"/>
      <c r="G924" s="147"/>
      <c r="H924" s="147"/>
      <c r="I924" s="147"/>
      <c r="J924" s="147"/>
      <c r="K924" s="147"/>
      <c r="L924" s="147"/>
      <c r="M924" s="147"/>
    </row>
    <row r="925">
      <c r="A925" s="147"/>
      <c r="B925" s="147"/>
      <c r="C925" s="147"/>
      <c r="D925" s="147"/>
      <c r="E925" s="147"/>
      <c r="F925" s="147"/>
      <c r="G925" s="147"/>
      <c r="H925" s="147"/>
      <c r="I925" s="147"/>
      <c r="J925" s="147"/>
      <c r="K925" s="147"/>
      <c r="L925" s="147"/>
      <c r="M925" s="147"/>
    </row>
    <row r="926">
      <c r="A926" s="147"/>
      <c r="B926" s="147"/>
      <c r="C926" s="147"/>
      <c r="D926" s="147"/>
      <c r="E926" s="147"/>
      <c r="F926" s="147"/>
      <c r="G926" s="147"/>
      <c r="H926" s="147"/>
      <c r="I926" s="147"/>
      <c r="J926" s="147"/>
      <c r="K926" s="147"/>
      <c r="L926" s="147"/>
      <c r="M926" s="147"/>
    </row>
    <row r="927">
      <c r="A927" s="147"/>
      <c r="B927" s="147"/>
      <c r="C927" s="147"/>
      <c r="D927" s="147"/>
      <c r="E927" s="147"/>
      <c r="F927" s="147"/>
      <c r="G927" s="147"/>
      <c r="H927" s="147"/>
      <c r="I927" s="147"/>
      <c r="J927" s="147"/>
      <c r="K927" s="147"/>
      <c r="L927" s="147"/>
      <c r="M927" s="147"/>
    </row>
    <row r="928">
      <c r="A928" s="147"/>
      <c r="B928" s="147"/>
      <c r="C928" s="147"/>
      <c r="D928" s="147"/>
      <c r="E928" s="147"/>
      <c r="F928" s="147"/>
      <c r="G928" s="147"/>
      <c r="H928" s="147"/>
      <c r="I928" s="147"/>
      <c r="J928" s="147"/>
      <c r="K928" s="147"/>
      <c r="L928" s="147"/>
      <c r="M928" s="147"/>
    </row>
    <row r="929">
      <c r="A929" s="147"/>
      <c r="B929" s="147"/>
      <c r="C929" s="147"/>
      <c r="D929" s="147"/>
      <c r="E929" s="147"/>
      <c r="F929" s="147"/>
      <c r="G929" s="147"/>
      <c r="H929" s="147"/>
      <c r="I929" s="147"/>
      <c r="J929" s="147"/>
      <c r="K929" s="147"/>
      <c r="L929" s="147"/>
      <c r="M929" s="147"/>
    </row>
    <row r="930">
      <c r="A930" s="147"/>
      <c r="B930" s="147"/>
      <c r="C930" s="147"/>
      <c r="D930" s="147"/>
      <c r="E930" s="147"/>
      <c r="F930" s="147"/>
      <c r="G930" s="147"/>
      <c r="H930" s="147"/>
      <c r="I930" s="147"/>
      <c r="J930" s="147"/>
      <c r="K930" s="147"/>
      <c r="L930" s="147"/>
      <c r="M930" s="147"/>
    </row>
    <row r="931">
      <c r="A931" s="147"/>
      <c r="B931" s="147"/>
      <c r="C931" s="147"/>
      <c r="D931" s="147"/>
      <c r="E931" s="147"/>
      <c r="F931" s="147"/>
      <c r="G931" s="147"/>
      <c r="H931" s="147"/>
      <c r="I931" s="147"/>
      <c r="J931" s="147"/>
      <c r="K931" s="147"/>
      <c r="L931" s="147"/>
      <c r="M931" s="147"/>
    </row>
    <row r="932">
      <c r="A932" s="147"/>
      <c r="B932" s="147"/>
      <c r="C932" s="147"/>
      <c r="D932" s="147"/>
      <c r="E932" s="147"/>
      <c r="F932" s="147"/>
      <c r="G932" s="147"/>
      <c r="H932" s="147"/>
      <c r="I932" s="147"/>
      <c r="J932" s="147"/>
      <c r="K932" s="147"/>
      <c r="L932" s="147"/>
      <c r="M932" s="147"/>
    </row>
    <row r="933">
      <c r="A933" s="147"/>
      <c r="B933" s="147"/>
      <c r="C933" s="147"/>
      <c r="D933" s="147"/>
      <c r="E933" s="147"/>
      <c r="F933" s="147"/>
      <c r="G933" s="147"/>
      <c r="H933" s="147"/>
      <c r="I933" s="147"/>
      <c r="J933" s="147"/>
      <c r="K933" s="147"/>
      <c r="L933" s="147"/>
      <c r="M933" s="147"/>
    </row>
    <row r="934">
      <c r="A934" s="147"/>
      <c r="B934" s="147"/>
      <c r="C934" s="147"/>
      <c r="D934" s="147"/>
      <c r="E934" s="147"/>
      <c r="F934" s="147"/>
      <c r="G934" s="147"/>
      <c r="H934" s="147"/>
      <c r="I934" s="147"/>
      <c r="J934" s="147"/>
      <c r="K934" s="147"/>
      <c r="L934" s="147"/>
      <c r="M934" s="147"/>
    </row>
    <row r="935">
      <c r="A935" s="147"/>
      <c r="B935" s="147"/>
      <c r="C935" s="147"/>
      <c r="D935" s="147"/>
      <c r="E935" s="147"/>
      <c r="F935" s="147"/>
      <c r="G935" s="147"/>
      <c r="H935" s="147"/>
      <c r="I935" s="147"/>
      <c r="J935" s="147"/>
      <c r="K935" s="147"/>
      <c r="L935" s="147"/>
      <c r="M935" s="147"/>
    </row>
    <row r="936">
      <c r="A936" s="147"/>
      <c r="B936" s="147"/>
      <c r="C936" s="147"/>
      <c r="D936" s="147"/>
      <c r="E936" s="147"/>
      <c r="F936" s="147"/>
      <c r="G936" s="147"/>
      <c r="H936" s="147"/>
      <c r="I936" s="147"/>
      <c r="J936" s="147"/>
      <c r="K936" s="147"/>
      <c r="L936" s="147"/>
      <c r="M936" s="147"/>
    </row>
    <row r="937">
      <c r="A937" s="147"/>
      <c r="B937" s="147"/>
      <c r="C937" s="147"/>
      <c r="D937" s="147"/>
      <c r="E937" s="147"/>
      <c r="F937" s="147"/>
      <c r="G937" s="147"/>
      <c r="H937" s="147"/>
      <c r="I937" s="147"/>
      <c r="J937" s="147"/>
      <c r="K937" s="147"/>
      <c r="L937" s="147"/>
      <c r="M937" s="147"/>
    </row>
    <row r="938">
      <c r="A938" s="147"/>
      <c r="B938" s="147"/>
      <c r="C938" s="147"/>
      <c r="D938" s="147"/>
      <c r="E938" s="147"/>
      <c r="F938" s="147"/>
      <c r="G938" s="147"/>
      <c r="H938" s="147"/>
      <c r="I938" s="147"/>
      <c r="J938" s="147"/>
      <c r="K938" s="147"/>
      <c r="L938" s="147"/>
      <c r="M938" s="147"/>
    </row>
    <row r="939">
      <c r="A939" s="147"/>
      <c r="B939" s="147"/>
      <c r="C939" s="147"/>
      <c r="D939" s="147"/>
      <c r="E939" s="147"/>
      <c r="F939" s="147"/>
      <c r="G939" s="147"/>
      <c r="H939" s="147"/>
      <c r="I939" s="147"/>
      <c r="J939" s="147"/>
      <c r="K939" s="147"/>
      <c r="L939" s="147"/>
      <c r="M939" s="147"/>
    </row>
    <row r="940">
      <c r="A940" s="147"/>
      <c r="B940" s="147"/>
      <c r="C940" s="147"/>
      <c r="D940" s="147"/>
      <c r="E940" s="147"/>
      <c r="F940" s="147"/>
      <c r="G940" s="147"/>
      <c r="H940" s="147"/>
      <c r="I940" s="147"/>
      <c r="J940" s="147"/>
      <c r="K940" s="147"/>
      <c r="L940" s="147"/>
      <c r="M940" s="147"/>
    </row>
    <row r="941">
      <c r="A941" s="147"/>
      <c r="B941" s="147"/>
      <c r="C941" s="147"/>
      <c r="D941" s="147"/>
      <c r="E941" s="147"/>
      <c r="F941" s="147"/>
      <c r="G941" s="147"/>
      <c r="H941" s="147"/>
      <c r="I941" s="147"/>
      <c r="J941" s="147"/>
      <c r="K941" s="147"/>
      <c r="L941" s="147"/>
      <c r="M941" s="147"/>
    </row>
    <row r="942">
      <c r="A942" s="147"/>
      <c r="B942" s="147"/>
      <c r="C942" s="147"/>
      <c r="D942" s="147"/>
      <c r="E942" s="147"/>
      <c r="F942" s="147"/>
      <c r="G942" s="147"/>
      <c r="H942" s="147"/>
      <c r="I942" s="147"/>
      <c r="J942" s="147"/>
      <c r="K942" s="147"/>
      <c r="L942" s="147"/>
      <c r="M942" s="147"/>
    </row>
    <row r="943">
      <c r="A943" s="147"/>
      <c r="B943" s="147"/>
      <c r="C943" s="147"/>
      <c r="D943" s="147"/>
      <c r="E943" s="147"/>
      <c r="F943" s="147"/>
      <c r="G943" s="147"/>
      <c r="H943" s="147"/>
      <c r="I943" s="147"/>
      <c r="J943" s="147"/>
      <c r="K943" s="147"/>
      <c r="L943" s="147"/>
      <c r="M943" s="147"/>
    </row>
    <row r="944">
      <c r="A944" s="147"/>
      <c r="B944" s="147"/>
      <c r="C944" s="147"/>
      <c r="D944" s="147"/>
      <c r="E944" s="147"/>
      <c r="F944" s="147"/>
      <c r="G944" s="147"/>
      <c r="H944" s="147"/>
      <c r="I944" s="147"/>
      <c r="J944" s="147"/>
      <c r="K944" s="147"/>
      <c r="L944" s="147"/>
      <c r="M944" s="147"/>
    </row>
    <row r="945">
      <c r="A945" s="147"/>
      <c r="B945" s="147"/>
      <c r="C945" s="147"/>
      <c r="D945" s="147"/>
      <c r="E945" s="147"/>
      <c r="F945" s="147"/>
      <c r="G945" s="147"/>
      <c r="H945" s="147"/>
      <c r="I945" s="147"/>
      <c r="J945" s="147"/>
      <c r="K945" s="147"/>
      <c r="L945" s="147"/>
      <c r="M945" s="147"/>
    </row>
    <row r="946">
      <c r="A946" s="147"/>
      <c r="B946" s="147"/>
      <c r="C946" s="147"/>
      <c r="D946" s="147"/>
      <c r="E946" s="147"/>
      <c r="F946" s="147"/>
      <c r="G946" s="147"/>
      <c r="H946" s="147"/>
      <c r="I946" s="147"/>
      <c r="J946" s="147"/>
      <c r="K946" s="147"/>
      <c r="L946" s="147"/>
      <c r="M946" s="147"/>
    </row>
    <row r="947">
      <c r="A947" s="147"/>
      <c r="B947" s="147"/>
      <c r="C947" s="147"/>
      <c r="D947" s="147"/>
      <c r="E947" s="147"/>
      <c r="F947" s="147"/>
      <c r="G947" s="147"/>
      <c r="H947" s="147"/>
      <c r="I947" s="147"/>
      <c r="J947" s="147"/>
      <c r="K947" s="147"/>
      <c r="L947" s="147"/>
      <c r="M947" s="147"/>
    </row>
    <row r="948">
      <c r="A948" s="147"/>
      <c r="B948" s="147"/>
      <c r="C948" s="147"/>
      <c r="D948" s="147"/>
      <c r="E948" s="147"/>
      <c r="F948" s="147"/>
      <c r="G948" s="147"/>
      <c r="H948" s="147"/>
      <c r="I948" s="147"/>
      <c r="J948" s="147"/>
      <c r="K948" s="147"/>
      <c r="L948" s="147"/>
      <c r="M948" s="147"/>
    </row>
    <row r="949">
      <c r="A949" s="147"/>
      <c r="B949" s="147"/>
      <c r="C949" s="147"/>
      <c r="D949" s="147"/>
      <c r="E949" s="147"/>
      <c r="F949" s="147"/>
      <c r="G949" s="147"/>
      <c r="H949" s="147"/>
      <c r="I949" s="147"/>
      <c r="J949" s="147"/>
      <c r="K949" s="147"/>
      <c r="L949" s="147"/>
      <c r="M949" s="147"/>
    </row>
    <row r="950">
      <c r="A950" s="147"/>
      <c r="B950" s="147"/>
      <c r="C950" s="147"/>
      <c r="D950" s="147"/>
      <c r="E950" s="147"/>
      <c r="F950" s="147"/>
      <c r="G950" s="147"/>
      <c r="H950" s="147"/>
      <c r="I950" s="147"/>
      <c r="J950" s="147"/>
      <c r="K950" s="147"/>
      <c r="L950" s="147"/>
      <c r="M950" s="147"/>
    </row>
    <row r="951">
      <c r="A951" s="147"/>
      <c r="B951" s="147"/>
      <c r="C951" s="147"/>
      <c r="D951" s="147"/>
      <c r="E951" s="147"/>
      <c r="F951" s="147"/>
      <c r="G951" s="147"/>
      <c r="H951" s="147"/>
      <c r="I951" s="147"/>
      <c r="J951" s="147"/>
      <c r="K951" s="147"/>
      <c r="L951" s="147"/>
      <c r="M951" s="147"/>
    </row>
    <row r="952">
      <c r="A952" s="147"/>
      <c r="B952" s="147"/>
      <c r="C952" s="147"/>
      <c r="D952" s="147"/>
      <c r="E952" s="147"/>
      <c r="F952" s="147"/>
      <c r="G952" s="147"/>
      <c r="H952" s="147"/>
      <c r="I952" s="147"/>
      <c r="J952" s="147"/>
      <c r="K952" s="147"/>
      <c r="L952" s="147"/>
      <c r="M952" s="147"/>
    </row>
    <row r="953">
      <c r="A953" s="147"/>
      <c r="B953" s="147"/>
      <c r="C953" s="147"/>
      <c r="D953" s="147"/>
      <c r="E953" s="147"/>
      <c r="F953" s="147"/>
      <c r="G953" s="147"/>
      <c r="H953" s="147"/>
      <c r="I953" s="147"/>
      <c r="J953" s="147"/>
      <c r="K953" s="147"/>
      <c r="L953" s="147"/>
      <c r="M953" s="147"/>
    </row>
    <row r="954">
      <c r="A954" s="147"/>
      <c r="B954" s="147"/>
      <c r="C954" s="147"/>
      <c r="D954" s="147"/>
      <c r="E954" s="147"/>
      <c r="F954" s="147"/>
      <c r="G954" s="147"/>
      <c r="H954" s="147"/>
      <c r="I954" s="147"/>
      <c r="J954" s="147"/>
      <c r="K954" s="147"/>
      <c r="L954" s="147"/>
      <c r="M954" s="147"/>
    </row>
    <row r="955">
      <c r="A955" s="147"/>
      <c r="B955" s="147"/>
      <c r="C955" s="147"/>
      <c r="D955" s="147"/>
      <c r="E955" s="147"/>
      <c r="F955" s="147"/>
      <c r="G955" s="147"/>
      <c r="H955" s="147"/>
      <c r="I955" s="147"/>
      <c r="J955" s="147"/>
      <c r="K955" s="147"/>
      <c r="L955" s="147"/>
      <c r="M955" s="147"/>
    </row>
    <row r="956">
      <c r="A956" s="147"/>
      <c r="B956" s="147"/>
      <c r="C956" s="147"/>
      <c r="D956" s="147"/>
      <c r="E956" s="147"/>
      <c r="F956" s="147"/>
      <c r="G956" s="147"/>
      <c r="H956" s="147"/>
      <c r="I956" s="147"/>
      <c r="J956" s="147"/>
      <c r="K956" s="147"/>
      <c r="L956" s="147"/>
      <c r="M956" s="147"/>
    </row>
    <row r="957">
      <c r="A957" s="147"/>
      <c r="B957" s="147"/>
      <c r="C957" s="147"/>
      <c r="D957" s="147"/>
      <c r="E957" s="147"/>
      <c r="F957" s="147"/>
      <c r="G957" s="147"/>
      <c r="H957" s="147"/>
      <c r="I957" s="147"/>
      <c r="J957" s="147"/>
      <c r="K957" s="147"/>
      <c r="L957" s="147"/>
      <c r="M957" s="147"/>
    </row>
    <row r="958">
      <c r="A958" s="147"/>
      <c r="B958" s="147"/>
      <c r="C958" s="147"/>
      <c r="D958" s="147"/>
      <c r="E958" s="147"/>
      <c r="F958" s="147"/>
      <c r="G958" s="147"/>
      <c r="H958" s="147"/>
      <c r="I958" s="147"/>
      <c r="J958" s="147"/>
      <c r="K958" s="147"/>
      <c r="L958" s="147"/>
      <c r="M958" s="147"/>
    </row>
    <row r="959">
      <c r="A959" s="147"/>
      <c r="B959" s="147"/>
      <c r="C959" s="147"/>
      <c r="D959" s="147"/>
      <c r="E959" s="147"/>
      <c r="F959" s="147"/>
      <c r="G959" s="147"/>
      <c r="H959" s="147"/>
      <c r="I959" s="147"/>
      <c r="J959" s="147"/>
      <c r="K959" s="147"/>
      <c r="L959" s="147"/>
      <c r="M959" s="147"/>
    </row>
    <row r="960">
      <c r="A960" s="147"/>
      <c r="B960" s="147"/>
      <c r="C960" s="147"/>
      <c r="D960" s="147"/>
      <c r="E960" s="147"/>
      <c r="F960" s="147"/>
      <c r="G960" s="147"/>
      <c r="H960" s="147"/>
      <c r="I960" s="147"/>
      <c r="J960" s="147"/>
      <c r="K960" s="147"/>
      <c r="L960" s="147"/>
      <c r="M960" s="147"/>
    </row>
    <row r="961">
      <c r="A961" s="147"/>
      <c r="B961" s="147"/>
      <c r="C961" s="147"/>
      <c r="D961" s="147"/>
      <c r="E961" s="147"/>
      <c r="F961" s="147"/>
      <c r="G961" s="147"/>
      <c r="H961" s="147"/>
      <c r="I961" s="147"/>
      <c r="J961" s="147"/>
      <c r="K961" s="147"/>
      <c r="L961" s="147"/>
      <c r="M961" s="147"/>
    </row>
    <row r="962">
      <c r="A962" s="147"/>
      <c r="B962" s="147"/>
      <c r="C962" s="147"/>
      <c r="D962" s="147"/>
      <c r="E962" s="147"/>
      <c r="F962" s="147"/>
      <c r="G962" s="147"/>
      <c r="H962" s="147"/>
      <c r="I962" s="147"/>
      <c r="J962" s="147"/>
      <c r="K962" s="147"/>
      <c r="L962" s="147"/>
      <c r="M962" s="147"/>
    </row>
    <row r="963">
      <c r="A963" s="147"/>
      <c r="B963" s="147"/>
      <c r="C963" s="147"/>
      <c r="D963" s="147"/>
      <c r="E963" s="147"/>
      <c r="F963" s="147"/>
      <c r="G963" s="147"/>
      <c r="H963" s="147"/>
      <c r="I963" s="147"/>
      <c r="J963" s="147"/>
      <c r="K963" s="147"/>
      <c r="L963" s="147"/>
      <c r="M963" s="147"/>
    </row>
    <row r="964">
      <c r="A964" s="147"/>
      <c r="B964" s="147"/>
      <c r="C964" s="147"/>
      <c r="D964" s="147"/>
      <c r="E964" s="147"/>
      <c r="F964" s="147"/>
      <c r="G964" s="147"/>
      <c r="H964" s="147"/>
      <c r="I964" s="147"/>
      <c r="J964" s="147"/>
      <c r="K964" s="147"/>
      <c r="L964" s="147"/>
      <c r="M964" s="147"/>
    </row>
    <row r="965">
      <c r="A965" s="147"/>
      <c r="B965" s="147"/>
      <c r="C965" s="147"/>
      <c r="D965" s="147"/>
      <c r="E965" s="147"/>
      <c r="F965" s="147"/>
      <c r="G965" s="147"/>
      <c r="H965" s="147"/>
      <c r="I965" s="147"/>
      <c r="J965" s="147"/>
      <c r="K965" s="147"/>
      <c r="L965" s="147"/>
      <c r="M965" s="147"/>
    </row>
    <row r="966">
      <c r="A966" s="147"/>
      <c r="B966" s="147"/>
      <c r="C966" s="147"/>
      <c r="D966" s="147"/>
      <c r="E966" s="147"/>
      <c r="F966" s="147"/>
      <c r="G966" s="147"/>
      <c r="H966" s="147"/>
      <c r="I966" s="147"/>
      <c r="J966" s="147"/>
      <c r="K966" s="147"/>
      <c r="L966" s="147"/>
      <c r="M966" s="147"/>
    </row>
    <row r="967">
      <c r="A967" s="147"/>
      <c r="B967" s="147"/>
      <c r="C967" s="147"/>
      <c r="D967" s="147"/>
      <c r="E967" s="147"/>
      <c r="F967" s="147"/>
      <c r="G967" s="147"/>
      <c r="H967" s="147"/>
      <c r="I967" s="147"/>
      <c r="J967" s="147"/>
      <c r="K967" s="147"/>
      <c r="L967" s="147"/>
      <c r="M967" s="147"/>
    </row>
    <row r="968">
      <c r="A968" s="147"/>
      <c r="B968" s="147"/>
      <c r="C968" s="147"/>
      <c r="D968" s="147"/>
      <c r="E968" s="147"/>
      <c r="F968" s="147"/>
      <c r="G968" s="147"/>
      <c r="H968" s="147"/>
      <c r="I968" s="147"/>
      <c r="J968" s="147"/>
      <c r="K968" s="147"/>
      <c r="L968" s="147"/>
      <c r="M968" s="147"/>
    </row>
    <row r="969">
      <c r="A969" s="147"/>
      <c r="B969" s="147"/>
      <c r="C969" s="147"/>
      <c r="D969" s="147"/>
      <c r="E969" s="147"/>
      <c r="F969" s="147"/>
      <c r="G969" s="147"/>
      <c r="H969" s="147"/>
      <c r="I969" s="147"/>
      <c r="J969" s="147"/>
      <c r="K969" s="147"/>
      <c r="L969" s="147"/>
      <c r="M969" s="147"/>
    </row>
    <row r="970">
      <c r="A970" s="147"/>
      <c r="B970" s="147"/>
      <c r="C970" s="147"/>
      <c r="D970" s="147"/>
      <c r="E970" s="147"/>
      <c r="F970" s="147"/>
      <c r="G970" s="147"/>
      <c r="H970" s="147"/>
      <c r="I970" s="147"/>
      <c r="J970" s="147"/>
      <c r="K970" s="147"/>
      <c r="L970" s="147"/>
      <c r="M970" s="147"/>
    </row>
    <row r="971">
      <c r="A971" s="147"/>
      <c r="B971" s="147"/>
      <c r="C971" s="147"/>
      <c r="D971" s="147"/>
      <c r="E971" s="147"/>
      <c r="F971" s="147"/>
      <c r="G971" s="147"/>
      <c r="H971" s="147"/>
      <c r="I971" s="147"/>
      <c r="J971" s="147"/>
      <c r="K971" s="147"/>
      <c r="L971" s="147"/>
      <c r="M971" s="147"/>
    </row>
    <row r="972">
      <c r="A972" s="147"/>
      <c r="B972" s="147"/>
      <c r="C972" s="147"/>
      <c r="D972" s="147"/>
      <c r="E972" s="147"/>
      <c r="F972" s="147"/>
      <c r="G972" s="147"/>
      <c r="H972" s="147"/>
      <c r="I972" s="147"/>
      <c r="J972" s="147"/>
      <c r="K972" s="147"/>
      <c r="L972" s="147"/>
      <c r="M972" s="147"/>
    </row>
    <row r="973">
      <c r="A973" s="147"/>
      <c r="B973" s="147"/>
      <c r="C973" s="147"/>
      <c r="D973" s="147"/>
      <c r="E973" s="147"/>
      <c r="F973" s="147"/>
      <c r="G973" s="147"/>
      <c r="H973" s="147"/>
      <c r="I973" s="147"/>
      <c r="J973" s="147"/>
      <c r="K973" s="147"/>
      <c r="L973" s="147"/>
      <c r="M973" s="147"/>
    </row>
    <row r="974">
      <c r="A974" s="147"/>
      <c r="B974" s="147"/>
      <c r="C974" s="147"/>
      <c r="D974" s="147"/>
      <c r="E974" s="147"/>
      <c r="F974" s="147"/>
      <c r="G974" s="147"/>
      <c r="H974" s="147"/>
      <c r="I974" s="147"/>
      <c r="J974" s="147"/>
      <c r="K974" s="147"/>
      <c r="L974" s="147"/>
      <c r="M974" s="147"/>
    </row>
    <row r="975">
      <c r="A975" s="147"/>
      <c r="B975" s="147"/>
      <c r="C975" s="147"/>
      <c r="D975" s="147"/>
      <c r="E975" s="147"/>
      <c r="F975" s="147"/>
      <c r="G975" s="147"/>
      <c r="H975" s="147"/>
      <c r="I975" s="147"/>
      <c r="J975" s="147"/>
      <c r="K975" s="147"/>
      <c r="L975" s="147"/>
      <c r="M975" s="147"/>
    </row>
    <row r="976">
      <c r="A976" s="147"/>
      <c r="B976" s="147"/>
      <c r="C976" s="147"/>
      <c r="D976" s="147"/>
      <c r="E976" s="147"/>
      <c r="F976" s="147"/>
      <c r="G976" s="147"/>
      <c r="H976" s="147"/>
      <c r="I976" s="147"/>
      <c r="J976" s="147"/>
      <c r="K976" s="147"/>
      <c r="L976" s="147"/>
      <c r="M976" s="147"/>
    </row>
    <row r="977">
      <c r="A977" s="147"/>
      <c r="B977" s="147"/>
      <c r="C977" s="147"/>
      <c r="D977" s="147"/>
      <c r="E977" s="147"/>
      <c r="F977" s="147"/>
      <c r="G977" s="147"/>
      <c r="H977" s="147"/>
      <c r="I977" s="147"/>
      <c r="J977" s="147"/>
      <c r="K977" s="147"/>
      <c r="L977" s="147"/>
      <c r="M977" s="147"/>
    </row>
    <row r="978">
      <c r="A978" s="147"/>
      <c r="B978" s="147"/>
      <c r="C978" s="147"/>
      <c r="D978" s="147"/>
      <c r="E978" s="147"/>
      <c r="F978" s="147"/>
      <c r="G978" s="147"/>
      <c r="H978" s="147"/>
      <c r="I978" s="147"/>
      <c r="J978" s="147"/>
      <c r="K978" s="147"/>
      <c r="L978" s="147"/>
      <c r="M978" s="147"/>
    </row>
    <row r="979">
      <c r="A979" s="147"/>
      <c r="B979" s="147"/>
      <c r="C979" s="147"/>
      <c r="D979" s="147"/>
      <c r="E979" s="147"/>
      <c r="F979" s="147"/>
      <c r="G979" s="147"/>
      <c r="H979" s="147"/>
      <c r="I979" s="147"/>
      <c r="J979" s="147"/>
      <c r="K979" s="147"/>
      <c r="L979" s="147"/>
      <c r="M979" s="147"/>
    </row>
    <row r="980">
      <c r="A980" s="147"/>
      <c r="B980" s="147"/>
      <c r="C980" s="147"/>
      <c r="D980" s="147"/>
      <c r="E980" s="147"/>
      <c r="F980" s="147"/>
      <c r="G980" s="147"/>
      <c r="H980" s="147"/>
      <c r="I980" s="147"/>
      <c r="J980" s="147"/>
      <c r="K980" s="147"/>
      <c r="L980" s="147"/>
      <c r="M980" s="147"/>
    </row>
    <row r="981">
      <c r="A981" s="147"/>
      <c r="B981" s="147"/>
      <c r="C981" s="147"/>
      <c r="D981" s="147"/>
      <c r="E981" s="147"/>
      <c r="F981" s="147"/>
      <c r="G981" s="147"/>
      <c r="H981" s="147"/>
      <c r="I981" s="147"/>
      <c r="J981" s="147"/>
      <c r="K981" s="147"/>
      <c r="L981" s="147"/>
      <c r="M981" s="147"/>
    </row>
    <row r="982">
      <c r="A982" s="147"/>
      <c r="B982" s="147"/>
      <c r="C982" s="147"/>
      <c r="D982" s="147"/>
      <c r="E982" s="147"/>
      <c r="F982" s="147"/>
      <c r="G982" s="147"/>
      <c r="H982" s="147"/>
      <c r="I982" s="147"/>
      <c r="J982" s="147"/>
      <c r="K982" s="147"/>
      <c r="L982" s="147"/>
      <c r="M982" s="147"/>
    </row>
    <row r="983">
      <c r="A983" s="147"/>
      <c r="B983" s="147"/>
      <c r="C983" s="147"/>
      <c r="D983" s="147"/>
      <c r="E983" s="147"/>
      <c r="F983" s="147"/>
      <c r="G983" s="147"/>
      <c r="H983" s="147"/>
      <c r="I983" s="147"/>
      <c r="J983" s="147"/>
      <c r="K983" s="147"/>
      <c r="L983" s="147"/>
      <c r="M983" s="147"/>
    </row>
    <row r="984">
      <c r="A984" s="147"/>
      <c r="B984" s="147"/>
      <c r="C984" s="147"/>
      <c r="D984" s="147"/>
      <c r="E984" s="147"/>
      <c r="F984" s="147"/>
      <c r="G984" s="147"/>
      <c r="H984" s="147"/>
      <c r="I984" s="147"/>
      <c r="J984" s="147"/>
      <c r="K984" s="147"/>
      <c r="L984" s="147"/>
      <c r="M984" s="147"/>
    </row>
    <row r="985">
      <c r="A985" s="147"/>
      <c r="B985" s="147"/>
      <c r="C985" s="147"/>
      <c r="D985" s="147"/>
      <c r="E985" s="147"/>
      <c r="F985" s="147"/>
      <c r="G985" s="147"/>
      <c r="H985" s="147"/>
      <c r="I985" s="147"/>
      <c r="J985" s="147"/>
      <c r="K985" s="147"/>
      <c r="L985" s="147"/>
      <c r="M985" s="147"/>
    </row>
    <row r="986">
      <c r="A986" s="147"/>
      <c r="B986" s="147"/>
      <c r="C986" s="147"/>
      <c r="D986" s="147"/>
      <c r="E986" s="147"/>
      <c r="F986" s="147"/>
      <c r="G986" s="147"/>
      <c r="H986" s="147"/>
      <c r="I986" s="147"/>
      <c r="J986" s="147"/>
      <c r="K986" s="147"/>
      <c r="L986" s="147"/>
      <c r="M986" s="147"/>
    </row>
    <row r="987">
      <c r="A987" s="147"/>
      <c r="B987" s="147"/>
      <c r="C987" s="147"/>
      <c r="D987" s="147"/>
      <c r="E987" s="147"/>
      <c r="F987" s="147"/>
      <c r="G987" s="147"/>
      <c r="H987" s="147"/>
      <c r="I987" s="147"/>
      <c r="J987" s="147"/>
      <c r="K987" s="147"/>
      <c r="L987" s="147"/>
      <c r="M987" s="147"/>
    </row>
    <row r="988">
      <c r="A988" s="147"/>
      <c r="B988" s="147"/>
      <c r="C988" s="147"/>
      <c r="D988" s="147"/>
      <c r="E988" s="147"/>
      <c r="F988" s="147"/>
      <c r="G988" s="147"/>
      <c r="H988" s="147"/>
      <c r="I988" s="147"/>
      <c r="J988" s="147"/>
      <c r="K988" s="147"/>
      <c r="L988" s="147"/>
      <c r="M988" s="147"/>
    </row>
    <row r="989">
      <c r="A989" s="147"/>
      <c r="B989" s="147"/>
      <c r="C989" s="147"/>
      <c r="D989" s="147"/>
      <c r="E989" s="147"/>
      <c r="F989" s="147"/>
      <c r="G989" s="147"/>
      <c r="H989" s="147"/>
      <c r="I989" s="147"/>
      <c r="J989" s="147"/>
      <c r="K989" s="147"/>
      <c r="L989" s="147"/>
      <c r="M989" s="147"/>
    </row>
    <row r="990">
      <c r="A990" s="147"/>
      <c r="B990" s="147"/>
      <c r="C990" s="147"/>
      <c r="D990" s="147"/>
      <c r="E990" s="147"/>
      <c r="F990" s="147"/>
      <c r="G990" s="147"/>
      <c r="H990" s="147"/>
      <c r="I990" s="147"/>
      <c r="J990" s="147"/>
      <c r="K990" s="147"/>
      <c r="L990" s="147"/>
      <c r="M990" s="147"/>
    </row>
    <row r="991">
      <c r="A991" s="147"/>
      <c r="B991" s="147"/>
      <c r="C991" s="147"/>
      <c r="D991" s="147"/>
      <c r="E991" s="147"/>
      <c r="F991" s="147"/>
      <c r="G991" s="147"/>
      <c r="H991" s="147"/>
      <c r="I991" s="147"/>
      <c r="J991" s="147"/>
      <c r="K991" s="147"/>
      <c r="L991" s="147"/>
      <c r="M991" s="147"/>
    </row>
    <row r="992">
      <c r="A992" s="147"/>
      <c r="B992" s="147"/>
      <c r="C992" s="147"/>
      <c r="D992" s="147"/>
      <c r="E992" s="147"/>
      <c r="F992" s="147"/>
      <c r="G992" s="147"/>
      <c r="H992" s="147"/>
      <c r="I992" s="147"/>
      <c r="J992" s="147"/>
      <c r="K992" s="147"/>
      <c r="L992" s="147"/>
      <c r="M992" s="147"/>
    </row>
    <row r="993">
      <c r="A993" s="147"/>
      <c r="B993" s="147"/>
      <c r="C993" s="147"/>
      <c r="D993" s="147"/>
      <c r="E993" s="147"/>
      <c r="F993" s="147"/>
      <c r="G993" s="147"/>
      <c r="H993" s="147"/>
      <c r="I993" s="147"/>
      <c r="J993" s="147"/>
      <c r="K993" s="147"/>
      <c r="L993" s="147"/>
      <c r="M993" s="147"/>
    </row>
    <row r="994">
      <c r="A994" s="147"/>
      <c r="B994" s="147"/>
      <c r="C994" s="147"/>
      <c r="D994" s="147"/>
      <c r="E994" s="147"/>
      <c r="F994" s="147"/>
      <c r="G994" s="147"/>
      <c r="H994" s="147"/>
      <c r="I994" s="147"/>
      <c r="J994" s="147"/>
      <c r="K994" s="147"/>
      <c r="L994" s="147"/>
      <c r="M994" s="147"/>
    </row>
    <row r="995">
      <c r="A995" s="147"/>
      <c r="B995" s="147"/>
      <c r="C995" s="147"/>
      <c r="D995" s="147"/>
      <c r="E995" s="147"/>
      <c r="F995" s="147"/>
      <c r="G995" s="147"/>
      <c r="H995" s="147"/>
      <c r="I995" s="147"/>
      <c r="J995" s="147"/>
      <c r="K995" s="147"/>
      <c r="L995" s="147"/>
      <c r="M995" s="147"/>
    </row>
    <row r="996">
      <c r="A996" s="147"/>
      <c r="B996" s="147"/>
      <c r="C996" s="147"/>
      <c r="D996" s="147"/>
      <c r="E996" s="147"/>
      <c r="F996" s="147"/>
      <c r="G996" s="147"/>
      <c r="H996" s="147"/>
      <c r="I996" s="147"/>
      <c r="J996" s="147"/>
      <c r="K996" s="147"/>
      <c r="L996" s="147"/>
      <c r="M996" s="147"/>
    </row>
    <row r="997">
      <c r="A997" s="147"/>
      <c r="B997" s="147"/>
      <c r="C997" s="147"/>
      <c r="D997" s="147"/>
      <c r="E997" s="147"/>
      <c r="F997" s="147"/>
      <c r="G997" s="147"/>
      <c r="H997" s="147"/>
      <c r="I997" s="147"/>
      <c r="J997" s="147"/>
      <c r="K997" s="147"/>
      <c r="L997" s="147"/>
      <c r="M997" s="147"/>
    </row>
    <row r="998">
      <c r="A998" s="147"/>
      <c r="B998" s="147"/>
      <c r="C998" s="147"/>
      <c r="D998" s="147"/>
      <c r="E998" s="147"/>
      <c r="F998" s="147"/>
      <c r="G998" s="147"/>
      <c r="H998" s="147"/>
      <c r="I998" s="147"/>
      <c r="J998" s="147"/>
      <c r="K998" s="147"/>
      <c r="L998" s="147"/>
      <c r="M998" s="147"/>
    </row>
    <row r="999">
      <c r="A999" s="147"/>
      <c r="B999" s="147"/>
      <c r="C999" s="147"/>
      <c r="D999" s="147"/>
      <c r="E999" s="147"/>
      <c r="F999" s="147"/>
      <c r="G999" s="147"/>
      <c r="H999" s="147"/>
      <c r="I999" s="147"/>
      <c r="J999" s="147"/>
      <c r="K999" s="147"/>
      <c r="L999" s="147"/>
      <c r="M999" s="147"/>
    </row>
    <row r="1000">
      <c r="A1000" s="147"/>
      <c r="B1000" s="147"/>
      <c r="C1000" s="147"/>
      <c r="D1000" s="147"/>
      <c r="E1000" s="147"/>
      <c r="F1000" s="147"/>
      <c r="G1000" s="147"/>
      <c r="H1000" s="147"/>
      <c r="I1000" s="147"/>
      <c r="J1000" s="147"/>
      <c r="K1000" s="147"/>
      <c r="L1000" s="147"/>
      <c r="M1000" s="147"/>
    </row>
    <row r="1001">
      <c r="A1001" s="147"/>
      <c r="B1001" s="147"/>
      <c r="C1001" s="147"/>
      <c r="D1001" s="147"/>
      <c r="E1001" s="147"/>
      <c r="F1001" s="147"/>
      <c r="G1001" s="147"/>
      <c r="H1001" s="147"/>
      <c r="I1001" s="147"/>
      <c r="J1001" s="147"/>
      <c r="K1001" s="147"/>
      <c r="L1001" s="147"/>
      <c r="M1001" s="147"/>
    </row>
    <row r="1002">
      <c r="A1002" s="147"/>
      <c r="B1002" s="147"/>
      <c r="C1002" s="147"/>
      <c r="D1002" s="147"/>
      <c r="E1002" s="147"/>
      <c r="F1002" s="147"/>
      <c r="G1002" s="147"/>
      <c r="H1002" s="147"/>
      <c r="I1002" s="147"/>
      <c r="J1002" s="147"/>
      <c r="K1002" s="147"/>
      <c r="L1002" s="147"/>
      <c r="M1002" s="147"/>
    </row>
    <row r="1003">
      <c r="A1003" s="147"/>
      <c r="B1003" s="147"/>
      <c r="C1003" s="147"/>
      <c r="D1003" s="147"/>
      <c r="E1003" s="147"/>
      <c r="F1003" s="147"/>
      <c r="G1003" s="147"/>
      <c r="H1003" s="147"/>
      <c r="I1003" s="147"/>
      <c r="J1003" s="147"/>
      <c r="K1003" s="147"/>
      <c r="L1003" s="147"/>
      <c r="M1003" s="147"/>
    </row>
    <row r="1004">
      <c r="A1004" s="147"/>
      <c r="B1004" s="147"/>
      <c r="C1004" s="147"/>
      <c r="D1004" s="147"/>
      <c r="E1004" s="147"/>
      <c r="F1004" s="147"/>
      <c r="G1004" s="147"/>
      <c r="H1004" s="147"/>
      <c r="I1004" s="147"/>
      <c r="J1004" s="147"/>
      <c r="K1004" s="147"/>
      <c r="L1004" s="147"/>
      <c r="M1004" s="147"/>
    </row>
    <row r="1005">
      <c r="A1005" s="147"/>
      <c r="B1005" s="147"/>
      <c r="C1005" s="147"/>
      <c r="D1005" s="147"/>
      <c r="E1005" s="147"/>
      <c r="F1005" s="147"/>
      <c r="G1005" s="147"/>
      <c r="H1005" s="147"/>
      <c r="I1005" s="147"/>
      <c r="J1005" s="147"/>
      <c r="K1005" s="147"/>
      <c r="L1005" s="147"/>
      <c r="M1005" s="147"/>
    </row>
    <row r="1006">
      <c r="A1006" s="147"/>
      <c r="B1006" s="147"/>
      <c r="C1006" s="147"/>
      <c r="D1006" s="147"/>
      <c r="E1006" s="147"/>
      <c r="F1006" s="147"/>
      <c r="G1006" s="147"/>
      <c r="H1006" s="147"/>
      <c r="I1006" s="147"/>
      <c r="J1006" s="147"/>
      <c r="K1006" s="147"/>
      <c r="L1006" s="147"/>
      <c r="M1006" s="147"/>
    </row>
    <row r="1007">
      <c r="A1007" s="147"/>
      <c r="B1007" s="147"/>
      <c r="C1007" s="147"/>
      <c r="D1007" s="147"/>
      <c r="E1007" s="147"/>
      <c r="F1007" s="147"/>
      <c r="G1007" s="147"/>
      <c r="H1007" s="147"/>
      <c r="I1007" s="147"/>
      <c r="J1007" s="147"/>
      <c r="K1007" s="147"/>
      <c r="L1007" s="147"/>
      <c r="M1007" s="147"/>
    </row>
    <row r="1008">
      <c r="A1008" s="147"/>
      <c r="B1008" s="147"/>
      <c r="C1008" s="147"/>
      <c r="D1008" s="147"/>
      <c r="E1008" s="147"/>
      <c r="F1008" s="147"/>
      <c r="G1008" s="147"/>
      <c r="H1008" s="147"/>
      <c r="I1008" s="147"/>
      <c r="J1008" s="147"/>
      <c r="K1008" s="147"/>
      <c r="L1008" s="147"/>
      <c r="M1008" s="147"/>
    </row>
    <row r="1009">
      <c r="A1009" s="147"/>
      <c r="B1009" s="147"/>
      <c r="C1009" s="147"/>
      <c r="D1009" s="147"/>
      <c r="E1009" s="147"/>
      <c r="F1009" s="147"/>
      <c r="G1009" s="147"/>
      <c r="H1009" s="147"/>
      <c r="I1009" s="147"/>
      <c r="J1009" s="147"/>
      <c r="K1009" s="147"/>
      <c r="L1009" s="147"/>
      <c r="M1009" s="147"/>
    </row>
    <row r="1010">
      <c r="A1010" s="147"/>
      <c r="B1010" s="147"/>
      <c r="C1010" s="147"/>
      <c r="D1010" s="147"/>
      <c r="E1010" s="147"/>
      <c r="F1010" s="147"/>
      <c r="G1010" s="147"/>
      <c r="H1010" s="147"/>
      <c r="I1010" s="147"/>
      <c r="J1010" s="147"/>
      <c r="K1010" s="147"/>
      <c r="L1010" s="147"/>
      <c r="M1010" s="147"/>
    </row>
    <row r="1011">
      <c r="A1011" s="147"/>
      <c r="B1011" s="147"/>
      <c r="C1011" s="147"/>
      <c r="D1011" s="147"/>
      <c r="E1011" s="147"/>
      <c r="F1011" s="147"/>
      <c r="G1011" s="147"/>
      <c r="H1011" s="147"/>
      <c r="I1011" s="147"/>
      <c r="J1011" s="147"/>
      <c r="K1011" s="147"/>
      <c r="L1011" s="147"/>
      <c r="M1011" s="147"/>
    </row>
    <row r="1012">
      <c r="A1012" s="147"/>
      <c r="B1012" s="147"/>
      <c r="C1012" s="147"/>
      <c r="D1012" s="147"/>
      <c r="E1012" s="147"/>
      <c r="F1012" s="147"/>
      <c r="G1012" s="147"/>
      <c r="H1012" s="147"/>
      <c r="I1012" s="147"/>
      <c r="J1012" s="147"/>
      <c r="K1012" s="147"/>
      <c r="L1012" s="147"/>
      <c r="M1012" s="147"/>
    </row>
    <row r="1013">
      <c r="A1013" s="147"/>
      <c r="B1013" s="147"/>
      <c r="C1013" s="147"/>
      <c r="D1013" s="147"/>
      <c r="E1013" s="147"/>
      <c r="F1013" s="147"/>
      <c r="G1013" s="147"/>
      <c r="H1013" s="147"/>
      <c r="I1013" s="147"/>
      <c r="J1013" s="147"/>
      <c r="K1013" s="147"/>
      <c r="L1013" s="147"/>
      <c r="M1013" s="147"/>
    </row>
    <row r="1014">
      <c r="A1014" s="147"/>
      <c r="B1014" s="147"/>
      <c r="C1014" s="147"/>
      <c r="D1014" s="147"/>
      <c r="E1014" s="147"/>
      <c r="F1014" s="147"/>
      <c r="G1014" s="147"/>
      <c r="H1014" s="147"/>
      <c r="I1014" s="147"/>
      <c r="J1014" s="147"/>
      <c r="K1014" s="147"/>
      <c r="L1014" s="147"/>
      <c r="M1014" s="147"/>
    </row>
    <row r="1015">
      <c r="A1015" s="147"/>
      <c r="B1015" s="147"/>
      <c r="C1015" s="147"/>
      <c r="D1015" s="147"/>
      <c r="E1015" s="147"/>
      <c r="F1015" s="147"/>
      <c r="G1015" s="147"/>
      <c r="H1015" s="147"/>
      <c r="I1015" s="147"/>
      <c r="J1015" s="147"/>
      <c r="K1015" s="147"/>
      <c r="L1015" s="147"/>
      <c r="M1015" s="147"/>
    </row>
    <row r="1016">
      <c r="A1016" s="147"/>
      <c r="B1016" s="147"/>
      <c r="C1016" s="147"/>
      <c r="D1016" s="147"/>
      <c r="E1016" s="147"/>
      <c r="F1016" s="147"/>
      <c r="G1016" s="147"/>
      <c r="H1016" s="147"/>
      <c r="I1016" s="147"/>
      <c r="J1016" s="147"/>
      <c r="K1016" s="147"/>
      <c r="L1016" s="147"/>
      <c r="M1016" s="147"/>
    </row>
    <row r="1017">
      <c r="A1017" s="147"/>
      <c r="B1017" s="147"/>
      <c r="C1017" s="147"/>
      <c r="D1017" s="147"/>
      <c r="E1017" s="147"/>
      <c r="F1017" s="147"/>
      <c r="G1017" s="147"/>
      <c r="H1017" s="147"/>
      <c r="I1017" s="147"/>
      <c r="J1017" s="147"/>
      <c r="K1017" s="147"/>
      <c r="L1017" s="147"/>
      <c r="M1017" s="147"/>
    </row>
    <row r="1018">
      <c r="A1018" s="147"/>
      <c r="B1018" s="147"/>
      <c r="C1018" s="147"/>
      <c r="D1018" s="147"/>
      <c r="E1018" s="147"/>
      <c r="F1018" s="147"/>
      <c r="G1018" s="147"/>
      <c r="H1018" s="147"/>
      <c r="I1018" s="147"/>
      <c r="J1018" s="147"/>
      <c r="K1018" s="147"/>
      <c r="L1018" s="147"/>
      <c r="M1018" s="147"/>
    </row>
    <row r="1019">
      <c r="A1019" s="147"/>
      <c r="B1019" s="147"/>
      <c r="C1019" s="147"/>
      <c r="D1019" s="147"/>
      <c r="E1019" s="147"/>
      <c r="F1019" s="147"/>
      <c r="G1019" s="147"/>
      <c r="H1019" s="147"/>
      <c r="I1019" s="147"/>
      <c r="J1019" s="147"/>
      <c r="K1019" s="147"/>
      <c r="L1019" s="147"/>
      <c r="M1019" s="147"/>
    </row>
    <row r="1020">
      <c r="A1020" s="147"/>
      <c r="B1020" s="147"/>
      <c r="C1020" s="147"/>
      <c r="D1020" s="147"/>
      <c r="E1020" s="147"/>
      <c r="F1020" s="147"/>
      <c r="G1020" s="147"/>
      <c r="H1020" s="147"/>
      <c r="I1020" s="147"/>
      <c r="J1020" s="147"/>
      <c r="K1020" s="147"/>
      <c r="L1020" s="147"/>
      <c r="M1020" s="147"/>
    </row>
    <row r="1021">
      <c r="A1021" s="147"/>
      <c r="B1021" s="147"/>
      <c r="C1021" s="147"/>
      <c r="D1021" s="147"/>
      <c r="E1021" s="147"/>
      <c r="F1021" s="147"/>
      <c r="G1021" s="147"/>
      <c r="H1021" s="147"/>
      <c r="I1021" s="147"/>
      <c r="J1021" s="147"/>
      <c r="K1021" s="147"/>
      <c r="L1021" s="147"/>
      <c r="M1021" s="147"/>
    </row>
    <row r="1022">
      <c r="A1022" s="147"/>
      <c r="B1022" s="147"/>
      <c r="C1022" s="147"/>
      <c r="D1022" s="147"/>
      <c r="E1022" s="147"/>
      <c r="F1022" s="147"/>
      <c r="G1022" s="147"/>
      <c r="H1022" s="147"/>
      <c r="I1022" s="147"/>
      <c r="J1022" s="147"/>
      <c r="K1022" s="147"/>
      <c r="L1022" s="147"/>
      <c r="M1022" s="147"/>
    </row>
    <row r="1023">
      <c r="A1023" s="147"/>
      <c r="B1023" s="147"/>
      <c r="C1023" s="147"/>
      <c r="D1023" s="147"/>
      <c r="E1023" s="147"/>
      <c r="F1023" s="147"/>
      <c r="G1023" s="147"/>
      <c r="H1023" s="147"/>
      <c r="I1023" s="147"/>
      <c r="J1023" s="147"/>
      <c r="K1023" s="147"/>
      <c r="L1023" s="147"/>
      <c r="M1023" s="147"/>
    </row>
    <row r="1024">
      <c r="A1024" s="147"/>
      <c r="B1024" s="147"/>
      <c r="C1024" s="147"/>
      <c r="D1024" s="147"/>
      <c r="E1024" s="147"/>
      <c r="F1024" s="147"/>
      <c r="G1024" s="147"/>
      <c r="H1024" s="147"/>
      <c r="I1024" s="147"/>
      <c r="J1024" s="147"/>
      <c r="K1024" s="147"/>
      <c r="L1024" s="147"/>
      <c r="M1024" s="147"/>
    </row>
    <row r="1025">
      <c r="A1025" s="147"/>
      <c r="B1025" s="147"/>
      <c r="C1025" s="147"/>
      <c r="D1025" s="147"/>
      <c r="E1025" s="147"/>
      <c r="F1025" s="147"/>
      <c r="G1025" s="147"/>
      <c r="H1025" s="147"/>
      <c r="I1025" s="147"/>
      <c r="J1025" s="147"/>
      <c r="K1025" s="147"/>
      <c r="L1025" s="147"/>
      <c r="M1025" s="147"/>
    </row>
    <row r="1026">
      <c r="A1026" s="147"/>
      <c r="B1026" s="147"/>
      <c r="C1026" s="147"/>
      <c r="D1026" s="147"/>
      <c r="E1026" s="147"/>
      <c r="F1026" s="147"/>
      <c r="G1026" s="147"/>
      <c r="H1026" s="147"/>
      <c r="I1026" s="147"/>
      <c r="J1026" s="147"/>
      <c r="K1026" s="147"/>
      <c r="L1026" s="147"/>
      <c r="M1026" s="147"/>
    </row>
    <row r="1027">
      <c r="A1027" s="147"/>
      <c r="B1027" s="147"/>
      <c r="C1027" s="147"/>
      <c r="D1027" s="147"/>
      <c r="E1027" s="147"/>
      <c r="F1027" s="147"/>
      <c r="G1027" s="147"/>
      <c r="H1027" s="147"/>
      <c r="I1027" s="147"/>
      <c r="J1027" s="147"/>
      <c r="K1027" s="147"/>
      <c r="L1027" s="147"/>
      <c r="M1027" s="147"/>
    </row>
    <row r="1028">
      <c r="A1028" s="147"/>
      <c r="B1028" s="147"/>
      <c r="C1028" s="147"/>
      <c r="D1028" s="147"/>
      <c r="E1028" s="147"/>
      <c r="F1028" s="147"/>
      <c r="G1028" s="147"/>
      <c r="H1028" s="147"/>
      <c r="I1028" s="147"/>
      <c r="J1028" s="147"/>
      <c r="K1028" s="147"/>
      <c r="L1028" s="147"/>
      <c r="M1028" s="147"/>
    </row>
    <row r="1029">
      <c r="A1029" s="147"/>
      <c r="B1029" s="147"/>
      <c r="C1029" s="147"/>
      <c r="D1029" s="147"/>
      <c r="E1029" s="147"/>
      <c r="F1029" s="147"/>
      <c r="G1029" s="147"/>
      <c r="H1029" s="147"/>
      <c r="I1029" s="147"/>
      <c r="J1029" s="147"/>
      <c r="K1029" s="147"/>
      <c r="L1029" s="147"/>
      <c r="M1029" s="147"/>
    </row>
    <row r="1030">
      <c r="A1030" s="147"/>
      <c r="B1030" s="147"/>
      <c r="C1030" s="147"/>
      <c r="D1030" s="147"/>
      <c r="E1030" s="147"/>
      <c r="F1030" s="147"/>
      <c r="G1030" s="147"/>
      <c r="H1030" s="147"/>
      <c r="I1030" s="147"/>
      <c r="J1030" s="147"/>
      <c r="K1030" s="147"/>
      <c r="L1030" s="147"/>
      <c r="M1030" s="147"/>
    </row>
    <row r="1031">
      <c r="A1031" s="147"/>
      <c r="B1031" s="147"/>
      <c r="C1031" s="147"/>
      <c r="D1031" s="147"/>
      <c r="E1031" s="147"/>
      <c r="F1031" s="147"/>
      <c r="G1031" s="147"/>
      <c r="H1031" s="147"/>
      <c r="I1031" s="147"/>
      <c r="J1031" s="147"/>
      <c r="K1031" s="147"/>
      <c r="L1031" s="147"/>
      <c r="M1031" s="147"/>
    </row>
    <row r="1032">
      <c r="A1032" s="147"/>
      <c r="B1032" s="147"/>
      <c r="C1032" s="147"/>
      <c r="D1032" s="147"/>
      <c r="E1032" s="147"/>
      <c r="F1032" s="147"/>
      <c r="G1032" s="147"/>
      <c r="H1032" s="147"/>
      <c r="I1032" s="147"/>
      <c r="J1032" s="147"/>
      <c r="K1032" s="147"/>
      <c r="L1032" s="147"/>
      <c r="M1032" s="147"/>
    </row>
    <row r="1033">
      <c r="A1033" s="147"/>
      <c r="B1033" s="147"/>
      <c r="C1033" s="147"/>
      <c r="D1033" s="147"/>
      <c r="E1033" s="147"/>
      <c r="F1033" s="147"/>
      <c r="G1033" s="147"/>
      <c r="H1033" s="147"/>
      <c r="I1033" s="147"/>
      <c r="J1033" s="147"/>
      <c r="K1033" s="147"/>
      <c r="L1033" s="147"/>
      <c r="M1033" s="147"/>
    </row>
    <row r="1034">
      <c r="A1034" s="147"/>
      <c r="B1034" s="147"/>
      <c r="C1034" s="147"/>
      <c r="D1034" s="147"/>
      <c r="E1034" s="147"/>
      <c r="F1034" s="147"/>
      <c r="G1034" s="147"/>
      <c r="H1034" s="147"/>
      <c r="I1034" s="147"/>
      <c r="J1034" s="147"/>
      <c r="K1034" s="147"/>
      <c r="L1034" s="147"/>
      <c r="M1034" s="147"/>
    </row>
    <row r="1035">
      <c r="A1035" s="147"/>
      <c r="B1035" s="147"/>
      <c r="C1035" s="147"/>
      <c r="D1035" s="147"/>
      <c r="E1035" s="147"/>
      <c r="F1035" s="147"/>
      <c r="G1035" s="147"/>
      <c r="H1035" s="147"/>
      <c r="I1035" s="147"/>
      <c r="J1035" s="147"/>
      <c r="K1035" s="147"/>
      <c r="L1035" s="147"/>
      <c r="M1035" s="147"/>
    </row>
    <row r="1036">
      <c r="A1036" s="147"/>
      <c r="B1036" s="147"/>
      <c r="C1036" s="147"/>
      <c r="D1036" s="147"/>
      <c r="E1036" s="147"/>
      <c r="F1036" s="147"/>
      <c r="G1036" s="147"/>
      <c r="H1036" s="147"/>
      <c r="I1036" s="147"/>
      <c r="J1036" s="147"/>
      <c r="K1036" s="147"/>
      <c r="L1036" s="147"/>
      <c r="M1036" s="147"/>
    </row>
    <row r="1037">
      <c r="A1037" s="147"/>
      <c r="B1037" s="147"/>
      <c r="C1037" s="147"/>
      <c r="D1037" s="147"/>
      <c r="E1037" s="147"/>
      <c r="F1037" s="147"/>
      <c r="G1037" s="147"/>
      <c r="H1037" s="147"/>
      <c r="I1037" s="147"/>
      <c r="J1037" s="147"/>
      <c r="K1037" s="147"/>
      <c r="L1037" s="147"/>
      <c r="M1037" s="147"/>
    </row>
    <row r="1038">
      <c r="A1038" s="147"/>
      <c r="B1038" s="147"/>
      <c r="C1038" s="147"/>
      <c r="D1038" s="147"/>
      <c r="E1038" s="147"/>
      <c r="F1038" s="147"/>
      <c r="G1038" s="147"/>
      <c r="H1038" s="147"/>
      <c r="I1038" s="147"/>
      <c r="J1038" s="147"/>
      <c r="K1038" s="147"/>
      <c r="L1038" s="147"/>
      <c r="M1038" s="147"/>
    </row>
    <row r="1039">
      <c r="A1039" s="147"/>
      <c r="B1039" s="147"/>
      <c r="C1039" s="147"/>
      <c r="D1039" s="147"/>
      <c r="E1039" s="147"/>
      <c r="F1039" s="147"/>
      <c r="G1039" s="147"/>
      <c r="H1039" s="147"/>
      <c r="I1039" s="147"/>
      <c r="J1039" s="147"/>
      <c r="K1039" s="147"/>
      <c r="L1039" s="147"/>
      <c r="M1039" s="147"/>
    </row>
    <row r="1040">
      <c r="A1040" s="147"/>
      <c r="B1040" s="147"/>
      <c r="C1040" s="147"/>
      <c r="D1040" s="147"/>
      <c r="E1040" s="147"/>
      <c r="F1040" s="147"/>
      <c r="G1040" s="147"/>
      <c r="H1040" s="147"/>
      <c r="I1040" s="147"/>
      <c r="J1040" s="147"/>
      <c r="K1040" s="147"/>
      <c r="L1040" s="147"/>
      <c r="M1040" s="147"/>
    </row>
    <row r="1041">
      <c r="A1041" s="147"/>
      <c r="B1041" s="147"/>
      <c r="C1041" s="147"/>
      <c r="D1041" s="147"/>
      <c r="E1041" s="147"/>
      <c r="F1041" s="147"/>
      <c r="G1041" s="147"/>
      <c r="H1041" s="147"/>
      <c r="I1041" s="147"/>
      <c r="J1041" s="147"/>
      <c r="K1041" s="147"/>
      <c r="L1041" s="147"/>
      <c r="M1041" s="147"/>
    </row>
    <row r="1042">
      <c r="A1042" s="147"/>
      <c r="B1042" s="147"/>
      <c r="C1042" s="147"/>
      <c r="D1042" s="147"/>
      <c r="E1042" s="147"/>
      <c r="F1042" s="147"/>
      <c r="G1042" s="147"/>
      <c r="H1042" s="147"/>
      <c r="I1042" s="147"/>
      <c r="J1042" s="147"/>
      <c r="K1042" s="147"/>
      <c r="L1042" s="147"/>
      <c r="M1042" s="147"/>
    </row>
    <row r="1043">
      <c r="A1043" s="147"/>
      <c r="B1043" s="147"/>
      <c r="C1043" s="147"/>
      <c r="D1043" s="147"/>
      <c r="E1043" s="147"/>
      <c r="F1043" s="147"/>
      <c r="G1043" s="147"/>
      <c r="H1043" s="147"/>
      <c r="I1043" s="147"/>
      <c r="J1043" s="147"/>
      <c r="K1043" s="147"/>
      <c r="L1043" s="147"/>
      <c r="M1043" s="147"/>
    </row>
    <row r="1044">
      <c r="A1044" s="147"/>
      <c r="B1044" s="147"/>
      <c r="C1044" s="147"/>
      <c r="D1044" s="147"/>
      <c r="E1044" s="147"/>
      <c r="F1044" s="147"/>
      <c r="G1044" s="147"/>
      <c r="H1044" s="147"/>
      <c r="I1044" s="147"/>
      <c r="J1044" s="147"/>
      <c r="K1044" s="147"/>
      <c r="L1044" s="147"/>
      <c r="M1044" s="147"/>
    </row>
    <row r="1045">
      <c r="A1045" s="147"/>
      <c r="B1045" s="147"/>
      <c r="C1045" s="147"/>
      <c r="D1045" s="147"/>
      <c r="E1045" s="147"/>
      <c r="F1045" s="147"/>
      <c r="G1045" s="147"/>
      <c r="H1045" s="147"/>
      <c r="I1045" s="147"/>
      <c r="J1045" s="147"/>
      <c r="K1045" s="147"/>
      <c r="L1045" s="147"/>
      <c r="M1045" s="147"/>
    </row>
    <row r="1046">
      <c r="A1046" s="147"/>
      <c r="B1046" s="147"/>
      <c r="C1046" s="147"/>
      <c r="D1046" s="147"/>
      <c r="E1046" s="147"/>
      <c r="F1046" s="147"/>
      <c r="G1046" s="147"/>
      <c r="H1046" s="147"/>
      <c r="I1046" s="147"/>
      <c r="J1046" s="147"/>
      <c r="K1046" s="147"/>
      <c r="L1046" s="147"/>
      <c r="M1046" s="147"/>
    </row>
    <row r="1047">
      <c r="A1047" s="147"/>
      <c r="B1047" s="147"/>
      <c r="C1047" s="147"/>
      <c r="D1047" s="147"/>
      <c r="E1047" s="147"/>
      <c r="F1047" s="147"/>
      <c r="G1047" s="147"/>
      <c r="H1047" s="147"/>
      <c r="I1047" s="147"/>
      <c r="J1047" s="147"/>
      <c r="K1047" s="147"/>
      <c r="L1047" s="147"/>
      <c r="M1047" s="147"/>
    </row>
    <row r="1048">
      <c r="A1048" s="147"/>
      <c r="B1048" s="147"/>
      <c r="C1048" s="147"/>
      <c r="D1048" s="147"/>
      <c r="E1048" s="147"/>
      <c r="F1048" s="147"/>
      <c r="G1048" s="147"/>
      <c r="H1048" s="147"/>
      <c r="I1048" s="147"/>
      <c r="J1048" s="147"/>
      <c r="K1048" s="147"/>
      <c r="L1048" s="147"/>
      <c r="M1048" s="147"/>
    </row>
    <row r="1049">
      <c r="A1049" s="147"/>
      <c r="B1049" s="147"/>
      <c r="C1049" s="147"/>
      <c r="D1049" s="147"/>
      <c r="E1049" s="147"/>
      <c r="F1049" s="147"/>
      <c r="G1049" s="147"/>
      <c r="H1049" s="147"/>
      <c r="I1049" s="147"/>
      <c r="J1049" s="147"/>
      <c r="K1049" s="147"/>
      <c r="L1049" s="147"/>
      <c r="M1049" s="147"/>
    </row>
    <row r="1050">
      <c r="A1050" s="147"/>
      <c r="B1050" s="147"/>
      <c r="C1050" s="147"/>
      <c r="D1050" s="147"/>
      <c r="E1050" s="147"/>
      <c r="F1050" s="147"/>
      <c r="G1050" s="147"/>
      <c r="H1050" s="147"/>
      <c r="I1050" s="147"/>
      <c r="J1050" s="147"/>
      <c r="K1050" s="147"/>
      <c r="L1050" s="147"/>
      <c r="M1050" s="147"/>
    </row>
    <row r="1051">
      <c r="A1051" s="147"/>
      <c r="B1051" s="147"/>
      <c r="C1051" s="147"/>
      <c r="D1051" s="147"/>
      <c r="E1051" s="147"/>
      <c r="F1051" s="147"/>
      <c r="G1051" s="147"/>
      <c r="H1051" s="147"/>
      <c r="I1051" s="147"/>
      <c r="J1051" s="147"/>
      <c r="K1051" s="147"/>
      <c r="L1051" s="147"/>
      <c r="M1051" s="147"/>
    </row>
    <row r="1052">
      <c r="A1052" s="147"/>
      <c r="B1052" s="147"/>
      <c r="C1052" s="147"/>
      <c r="D1052" s="147"/>
      <c r="E1052" s="147"/>
      <c r="F1052" s="147"/>
      <c r="G1052" s="147"/>
      <c r="H1052" s="147"/>
      <c r="I1052" s="147"/>
      <c r="J1052" s="147"/>
      <c r="K1052" s="147"/>
      <c r="L1052" s="147"/>
      <c r="M1052" s="147"/>
    </row>
    <row r="1053">
      <c r="A1053" s="147"/>
      <c r="B1053" s="147"/>
      <c r="C1053" s="147"/>
      <c r="D1053" s="147"/>
      <c r="E1053" s="147"/>
      <c r="F1053" s="147"/>
      <c r="G1053" s="147"/>
      <c r="H1053" s="147"/>
      <c r="I1053" s="147"/>
      <c r="J1053" s="147"/>
      <c r="K1053" s="147"/>
      <c r="L1053" s="147"/>
      <c r="M1053" s="147"/>
    </row>
    <row r="1054">
      <c r="A1054" s="147"/>
      <c r="B1054" s="147"/>
      <c r="C1054" s="147"/>
      <c r="D1054" s="147"/>
      <c r="E1054" s="147"/>
      <c r="F1054" s="147"/>
      <c r="G1054" s="147"/>
      <c r="H1054" s="147"/>
      <c r="I1054" s="147"/>
      <c r="J1054" s="147"/>
      <c r="K1054" s="147"/>
      <c r="L1054" s="147"/>
      <c r="M1054" s="147"/>
    </row>
    <row r="1055">
      <c r="A1055" s="147"/>
      <c r="B1055" s="147"/>
      <c r="C1055" s="147"/>
      <c r="D1055" s="147"/>
      <c r="E1055" s="147"/>
      <c r="F1055" s="147"/>
      <c r="G1055" s="147"/>
      <c r="H1055" s="147"/>
      <c r="I1055" s="147"/>
      <c r="J1055" s="147"/>
      <c r="K1055" s="147"/>
      <c r="L1055" s="147"/>
      <c r="M1055" s="147"/>
    </row>
    <row r="1056">
      <c r="A1056" s="147"/>
      <c r="B1056" s="147"/>
      <c r="C1056" s="147"/>
      <c r="D1056" s="147"/>
      <c r="E1056" s="147"/>
      <c r="F1056" s="147"/>
      <c r="G1056" s="147"/>
      <c r="H1056" s="147"/>
      <c r="I1056" s="147"/>
      <c r="J1056" s="147"/>
      <c r="K1056" s="147"/>
      <c r="L1056" s="147"/>
      <c r="M1056" s="147"/>
    </row>
    <row r="1057">
      <c r="A1057" s="147"/>
      <c r="B1057" s="147"/>
      <c r="C1057" s="147"/>
      <c r="D1057" s="147"/>
      <c r="E1057" s="147"/>
      <c r="F1057" s="147"/>
      <c r="G1057" s="147"/>
      <c r="H1057" s="147"/>
      <c r="I1057" s="147"/>
      <c r="J1057" s="147"/>
      <c r="K1057" s="147"/>
      <c r="L1057" s="147"/>
      <c r="M1057" s="147"/>
    </row>
    <row r="1058">
      <c r="A1058" s="147"/>
      <c r="B1058" s="147"/>
      <c r="C1058" s="147"/>
      <c r="D1058" s="147"/>
      <c r="E1058" s="147"/>
      <c r="F1058" s="147"/>
      <c r="G1058" s="147"/>
      <c r="H1058" s="147"/>
      <c r="I1058" s="147"/>
      <c r="J1058" s="147"/>
      <c r="K1058" s="147"/>
      <c r="L1058" s="147"/>
      <c r="M1058" s="147"/>
    </row>
    <row r="1059">
      <c r="A1059" s="147"/>
      <c r="B1059" s="147"/>
      <c r="C1059" s="147"/>
      <c r="D1059" s="147"/>
      <c r="E1059" s="147"/>
      <c r="F1059" s="147"/>
      <c r="G1059" s="147"/>
      <c r="H1059" s="147"/>
      <c r="I1059" s="147"/>
      <c r="J1059" s="147"/>
      <c r="K1059" s="147"/>
      <c r="L1059" s="147"/>
      <c r="M1059" s="147"/>
    </row>
    <row r="1060">
      <c r="A1060" s="147"/>
      <c r="B1060" s="147"/>
      <c r="C1060" s="147"/>
      <c r="D1060" s="147"/>
      <c r="E1060" s="147"/>
      <c r="F1060" s="147"/>
      <c r="G1060" s="147"/>
      <c r="H1060" s="147"/>
      <c r="I1060" s="147"/>
      <c r="J1060" s="147"/>
      <c r="K1060" s="147"/>
      <c r="L1060" s="147"/>
      <c r="M1060" s="147"/>
    </row>
    <row r="1061">
      <c r="A1061" s="147"/>
      <c r="B1061" s="147"/>
      <c r="C1061" s="147"/>
      <c r="D1061" s="147"/>
      <c r="E1061" s="147"/>
      <c r="F1061" s="147"/>
      <c r="G1061" s="147"/>
      <c r="H1061" s="147"/>
      <c r="I1061" s="147"/>
      <c r="J1061" s="147"/>
      <c r="K1061" s="147"/>
      <c r="L1061" s="147"/>
      <c r="M1061" s="147"/>
    </row>
    <row r="1062">
      <c r="A1062" s="147"/>
      <c r="B1062" s="147"/>
      <c r="C1062" s="147"/>
      <c r="D1062" s="147"/>
      <c r="E1062" s="147"/>
      <c r="F1062" s="147"/>
      <c r="G1062" s="147"/>
      <c r="H1062" s="147"/>
      <c r="I1062" s="147"/>
      <c r="J1062" s="147"/>
      <c r="K1062" s="147"/>
      <c r="L1062" s="147"/>
      <c r="M1062" s="147"/>
    </row>
    <row r="1063">
      <c r="A1063" s="147"/>
      <c r="B1063" s="147"/>
      <c r="C1063" s="147"/>
      <c r="D1063" s="147"/>
      <c r="E1063" s="147"/>
      <c r="F1063" s="147"/>
      <c r="G1063" s="147"/>
      <c r="H1063" s="147"/>
      <c r="I1063" s="147"/>
      <c r="J1063" s="147"/>
      <c r="K1063" s="147"/>
      <c r="L1063" s="147"/>
      <c r="M1063" s="147"/>
    </row>
    <row r="1064">
      <c r="A1064" s="147"/>
      <c r="B1064" s="147"/>
      <c r="C1064" s="147"/>
      <c r="D1064" s="147"/>
      <c r="E1064" s="147"/>
      <c r="F1064" s="147"/>
      <c r="G1064" s="147"/>
      <c r="H1064" s="147"/>
      <c r="I1064" s="147"/>
      <c r="J1064" s="147"/>
      <c r="K1064" s="147"/>
      <c r="L1064" s="147"/>
      <c r="M1064" s="147"/>
    </row>
    <row r="1065">
      <c r="A1065" s="147"/>
      <c r="B1065" s="147"/>
      <c r="C1065" s="147"/>
      <c r="D1065" s="147"/>
      <c r="E1065" s="147"/>
      <c r="F1065" s="147"/>
      <c r="G1065" s="147"/>
      <c r="H1065" s="147"/>
      <c r="I1065" s="147"/>
      <c r="J1065" s="147"/>
      <c r="K1065" s="147"/>
      <c r="L1065" s="147"/>
      <c r="M1065" s="147"/>
    </row>
    <row r="1066">
      <c r="A1066" s="147"/>
      <c r="B1066" s="147"/>
      <c r="C1066" s="147"/>
      <c r="D1066" s="147"/>
      <c r="E1066" s="147"/>
      <c r="F1066" s="147"/>
      <c r="G1066" s="147"/>
      <c r="H1066" s="147"/>
      <c r="I1066" s="147"/>
      <c r="J1066" s="147"/>
      <c r="K1066" s="147"/>
      <c r="L1066" s="147"/>
      <c r="M1066" s="147"/>
    </row>
    <row r="1067">
      <c r="A1067" s="147"/>
      <c r="B1067" s="147"/>
      <c r="C1067" s="147"/>
      <c r="D1067" s="147"/>
      <c r="E1067" s="147"/>
      <c r="F1067" s="147"/>
      <c r="G1067" s="147"/>
      <c r="H1067" s="147"/>
      <c r="I1067" s="147"/>
      <c r="J1067" s="147"/>
      <c r="K1067" s="147"/>
      <c r="L1067" s="147"/>
      <c r="M1067" s="147"/>
    </row>
    <row r="1068">
      <c r="A1068" s="147"/>
      <c r="B1068" s="147"/>
      <c r="C1068" s="147"/>
      <c r="D1068" s="147"/>
      <c r="E1068" s="147"/>
      <c r="F1068" s="147"/>
      <c r="G1068" s="147"/>
      <c r="H1068" s="147"/>
      <c r="I1068" s="147"/>
      <c r="J1068" s="147"/>
      <c r="K1068" s="147"/>
      <c r="L1068" s="147"/>
      <c r="M1068" s="147"/>
    </row>
    <row r="1069">
      <c r="A1069" s="147"/>
      <c r="B1069" s="147"/>
      <c r="C1069" s="147"/>
      <c r="D1069" s="147"/>
      <c r="E1069" s="147"/>
      <c r="F1069" s="147"/>
      <c r="G1069" s="147"/>
      <c r="H1069" s="147"/>
      <c r="I1069" s="147"/>
      <c r="J1069" s="147"/>
      <c r="K1069" s="147"/>
      <c r="L1069" s="147"/>
      <c r="M1069" s="147"/>
    </row>
    <row r="1070">
      <c r="A1070" s="147"/>
      <c r="B1070" s="147"/>
      <c r="C1070" s="147"/>
      <c r="D1070" s="147"/>
      <c r="E1070" s="147"/>
      <c r="F1070" s="147"/>
      <c r="G1070" s="147"/>
      <c r="H1070" s="147"/>
      <c r="I1070" s="147"/>
      <c r="J1070" s="147"/>
      <c r="K1070" s="147"/>
      <c r="L1070" s="147"/>
      <c r="M1070" s="147"/>
    </row>
    <row r="1071">
      <c r="A1071" s="147"/>
      <c r="B1071" s="147"/>
      <c r="C1071" s="147"/>
      <c r="D1071" s="147"/>
      <c r="E1071" s="147"/>
      <c r="F1071" s="147"/>
      <c r="G1071" s="147"/>
      <c r="H1071" s="147"/>
      <c r="I1071" s="147"/>
      <c r="J1071" s="147"/>
      <c r="K1071" s="147"/>
      <c r="L1071" s="147"/>
      <c r="M1071" s="147"/>
    </row>
    <row r="1072">
      <c r="A1072" s="147"/>
      <c r="B1072" s="147"/>
      <c r="C1072" s="147"/>
      <c r="D1072" s="147"/>
      <c r="E1072" s="147"/>
      <c r="F1072" s="147"/>
      <c r="G1072" s="147"/>
      <c r="H1072" s="147"/>
      <c r="I1072" s="147"/>
      <c r="J1072" s="147"/>
      <c r="K1072" s="147"/>
      <c r="L1072" s="147"/>
      <c r="M1072" s="147"/>
    </row>
    <row r="1073">
      <c r="A1073" s="147"/>
      <c r="B1073" s="147"/>
      <c r="C1073" s="147"/>
      <c r="D1073" s="147"/>
      <c r="E1073" s="147"/>
      <c r="F1073" s="147"/>
      <c r="G1073" s="147"/>
      <c r="H1073" s="147"/>
      <c r="I1073" s="147"/>
      <c r="J1073" s="147"/>
      <c r="K1073" s="147"/>
      <c r="L1073" s="147"/>
      <c r="M1073" s="147"/>
    </row>
    <row r="1074">
      <c r="A1074" s="147"/>
      <c r="B1074" s="147"/>
      <c r="C1074" s="147"/>
      <c r="D1074" s="147"/>
      <c r="E1074" s="147"/>
      <c r="F1074" s="147"/>
      <c r="G1074" s="147"/>
      <c r="H1074" s="147"/>
      <c r="I1074" s="147"/>
      <c r="J1074" s="147"/>
      <c r="K1074" s="147"/>
      <c r="L1074" s="147"/>
      <c r="M1074" s="147"/>
    </row>
    <row r="1075">
      <c r="A1075" s="147"/>
      <c r="B1075" s="147"/>
      <c r="C1075" s="147"/>
      <c r="D1075" s="147"/>
      <c r="E1075" s="147"/>
      <c r="F1075" s="147"/>
      <c r="G1075" s="147"/>
      <c r="H1075" s="147"/>
      <c r="I1075" s="147"/>
      <c r="J1075" s="147"/>
      <c r="K1075" s="147"/>
      <c r="L1075" s="147"/>
      <c r="M1075" s="147"/>
    </row>
    <row r="1076">
      <c r="A1076" s="147"/>
      <c r="B1076" s="147"/>
      <c r="C1076" s="147"/>
      <c r="D1076" s="147"/>
      <c r="E1076" s="147"/>
      <c r="F1076" s="147"/>
      <c r="G1076" s="147"/>
      <c r="H1076" s="147"/>
      <c r="I1076" s="147"/>
      <c r="J1076" s="147"/>
      <c r="K1076" s="147"/>
      <c r="L1076" s="147"/>
      <c r="M1076" s="147"/>
    </row>
    <row r="1077">
      <c r="A1077" s="147"/>
      <c r="B1077" s="147"/>
      <c r="C1077" s="147"/>
      <c r="D1077" s="147"/>
      <c r="E1077" s="147"/>
      <c r="F1077" s="147"/>
      <c r="G1077" s="147"/>
      <c r="H1077" s="147"/>
      <c r="I1077" s="147"/>
      <c r="J1077" s="147"/>
      <c r="K1077" s="147"/>
      <c r="L1077" s="147"/>
      <c r="M1077" s="147"/>
    </row>
    <row r="1078">
      <c r="A1078" s="147"/>
      <c r="B1078" s="147"/>
      <c r="C1078" s="147"/>
      <c r="D1078" s="147"/>
      <c r="E1078" s="147"/>
      <c r="F1078" s="147"/>
      <c r="G1078" s="147"/>
      <c r="H1078" s="147"/>
      <c r="I1078" s="147"/>
      <c r="J1078" s="147"/>
      <c r="K1078" s="147"/>
      <c r="L1078" s="147"/>
      <c r="M1078" s="147"/>
    </row>
    <row r="1079">
      <c r="A1079" s="147"/>
      <c r="B1079" s="147"/>
      <c r="C1079" s="147"/>
      <c r="D1079" s="147"/>
      <c r="E1079" s="147"/>
      <c r="F1079" s="147"/>
      <c r="G1079" s="147"/>
      <c r="H1079" s="147"/>
      <c r="I1079" s="147"/>
      <c r="J1079" s="147"/>
      <c r="K1079" s="147"/>
      <c r="L1079" s="147"/>
      <c r="M1079" s="147"/>
    </row>
    <row r="1080">
      <c r="A1080" s="147"/>
      <c r="B1080" s="147"/>
      <c r="C1080" s="147"/>
      <c r="D1080" s="147"/>
      <c r="E1080" s="147"/>
      <c r="F1080" s="147"/>
      <c r="G1080" s="147"/>
      <c r="H1080" s="147"/>
      <c r="I1080" s="147"/>
      <c r="J1080" s="147"/>
      <c r="K1080" s="147"/>
      <c r="L1080" s="147"/>
      <c r="M1080" s="147"/>
    </row>
    <row r="1081">
      <c r="A1081" s="147"/>
      <c r="B1081" s="147"/>
      <c r="C1081" s="147"/>
      <c r="D1081" s="147"/>
      <c r="E1081" s="147"/>
      <c r="F1081" s="147"/>
      <c r="G1081" s="147"/>
      <c r="H1081" s="147"/>
      <c r="I1081" s="147"/>
      <c r="J1081" s="147"/>
      <c r="K1081" s="147"/>
      <c r="L1081" s="147"/>
      <c r="M1081" s="147"/>
    </row>
    <row r="1082">
      <c r="A1082" s="147"/>
      <c r="B1082" s="147"/>
      <c r="C1082" s="147"/>
      <c r="D1082" s="147"/>
      <c r="E1082" s="147"/>
      <c r="F1082" s="147"/>
      <c r="G1082" s="147"/>
      <c r="H1082" s="147"/>
      <c r="I1082" s="147"/>
      <c r="J1082" s="147"/>
      <c r="K1082" s="147"/>
      <c r="L1082" s="147"/>
      <c r="M1082" s="147"/>
    </row>
    <row r="1083">
      <c r="A1083" s="147"/>
      <c r="B1083" s="147"/>
      <c r="C1083" s="147"/>
      <c r="D1083" s="147"/>
      <c r="E1083" s="147"/>
      <c r="F1083" s="147"/>
      <c r="G1083" s="147"/>
      <c r="H1083" s="147"/>
      <c r="I1083" s="147"/>
      <c r="J1083" s="147"/>
      <c r="K1083" s="147"/>
      <c r="L1083" s="147"/>
      <c r="M1083" s="147"/>
    </row>
    <row r="1084">
      <c r="A1084" s="147"/>
      <c r="B1084" s="147"/>
      <c r="C1084" s="147"/>
      <c r="D1084" s="147"/>
      <c r="E1084" s="147"/>
      <c r="F1084" s="147"/>
      <c r="G1084" s="147"/>
      <c r="H1084" s="147"/>
      <c r="I1084" s="147"/>
      <c r="J1084" s="147"/>
      <c r="K1084" s="147"/>
      <c r="L1084" s="147"/>
      <c r="M1084" s="147"/>
    </row>
    <row r="1085">
      <c r="A1085" s="147"/>
      <c r="B1085" s="147"/>
      <c r="C1085" s="147"/>
      <c r="D1085" s="147"/>
      <c r="E1085" s="147"/>
      <c r="F1085" s="147"/>
      <c r="G1085" s="147"/>
      <c r="H1085" s="147"/>
      <c r="I1085" s="147"/>
      <c r="J1085" s="147"/>
      <c r="K1085" s="147"/>
      <c r="L1085" s="147"/>
      <c r="M1085" s="147"/>
    </row>
    <row r="1086">
      <c r="A1086" s="147"/>
      <c r="B1086" s="147"/>
      <c r="C1086" s="147"/>
      <c r="D1086" s="147"/>
      <c r="E1086" s="147"/>
      <c r="F1086" s="147"/>
      <c r="G1086" s="147"/>
      <c r="H1086" s="147"/>
      <c r="I1086" s="147"/>
      <c r="J1086" s="147"/>
      <c r="K1086" s="147"/>
      <c r="L1086" s="147"/>
      <c r="M1086" s="147"/>
    </row>
    <row r="1087">
      <c r="A1087" s="147"/>
      <c r="B1087" s="147"/>
      <c r="C1087" s="147"/>
      <c r="D1087" s="147"/>
      <c r="E1087" s="147"/>
      <c r="F1087" s="147"/>
      <c r="G1087" s="147"/>
      <c r="H1087" s="147"/>
      <c r="I1087" s="147"/>
      <c r="J1087" s="147"/>
      <c r="K1087" s="147"/>
      <c r="L1087" s="147"/>
      <c r="M1087" s="147"/>
    </row>
    <row r="1088">
      <c r="A1088" s="147"/>
      <c r="B1088" s="147"/>
      <c r="C1088" s="147"/>
      <c r="D1088" s="147"/>
      <c r="E1088" s="147"/>
      <c r="F1088" s="147"/>
      <c r="G1088" s="147"/>
      <c r="H1088" s="147"/>
      <c r="I1088" s="147"/>
      <c r="J1088" s="147"/>
      <c r="K1088" s="147"/>
      <c r="L1088" s="147"/>
      <c r="M1088" s="147"/>
    </row>
    <row r="1089">
      <c r="A1089" s="147"/>
      <c r="B1089" s="147"/>
      <c r="C1089" s="147"/>
      <c r="D1089" s="147"/>
      <c r="E1089" s="147"/>
      <c r="F1089" s="147"/>
      <c r="G1089" s="147"/>
      <c r="H1089" s="147"/>
      <c r="I1089" s="147"/>
      <c r="J1089" s="147"/>
      <c r="K1089" s="147"/>
      <c r="L1089" s="147"/>
      <c r="M1089" s="147"/>
    </row>
    <row r="1090">
      <c r="A1090" s="147"/>
      <c r="B1090" s="147"/>
      <c r="C1090" s="147"/>
      <c r="D1090" s="147"/>
      <c r="E1090" s="147"/>
      <c r="F1090" s="147"/>
      <c r="G1090" s="147"/>
      <c r="H1090" s="147"/>
      <c r="I1090" s="147"/>
      <c r="J1090" s="147"/>
      <c r="K1090" s="147"/>
      <c r="L1090" s="147"/>
      <c r="M1090" s="147"/>
    </row>
    <row r="1091">
      <c r="A1091" s="147"/>
      <c r="B1091" s="147"/>
      <c r="C1091" s="147"/>
      <c r="D1091" s="147"/>
      <c r="E1091" s="147"/>
      <c r="F1091" s="147"/>
      <c r="G1091" s="147"/>
      <c r="H1091" s="147"/>
      <c r="I1091" s="147"/>
      <c r="J1091" s="147"/>
      <c r="K1091" s="147"/>
      <c r="L1091" s="147"/>
      <c r="M1091" s="147"/>
    </row>
    <row r="1092">
      <c r="A1092" s="147"/>
      <c r="B1092" s="147"/>
      <c r="C1092" s="147"/>
      <c r="D1092" s="147"/>
      <c r="E1092" s="147"/>
      <c r="F1092" s="147"/>
      <c r="G1092" s="147"/>
      <c r="H1092" s="147"/>
      <c r="I1092" s="147"/>
      <c r="J1092" s="147"/>
      <c r="K1092" s="147"/>
      <c r="L1092" s="147"/>
      <c r="M1092" s="147"/>
    </row>
    <row r="1093">
      <c r="A1093" s="147"/>
      <c r="B1093" s="147"/>
      <c r="C1093" s="147"/>
      <c r="D1093" s="147"/>
      <c r="E1093" s="147"/>
      <c r="F1093" s="147"/>
      <c r="G1093" s="147"/>
      <c r="H1093" s="147"/>
      <c r="I1093" s="147"/>
      <c r="J1093" s="147"/>
      <c r="K1093" s="147"/>
      <c r="L1093" s="147"/>
      <c r="M1093" s="147"/>
    </row>
    <row r="1094">
      <c r="A1094" s="147"/>
      <c r="B1094" s="147"/>
      <c r="C1094" s="147"/>
      <c r="D1094" s="147"/>
      <c r="E1094" s="147"/>
      <c r="F1094" s="147"/>
      <c r="G1094" s="147"/>
      <c r="H1094" s="147"/>
      <c r="I1094" s="147"/>
      <c r="J1094" s="147"/>
      <c r="K1094" s="147"/>
      <c r="L1094" s="147"/>
      <c r="M1094" s="147"/>
    </row>
    <row r="1095">
      <c r="A1095" s="147"/>
      <c r="B1095" s="147"/>
      <c r="C1095" s="147"/>
      <c r="D1095" s="147"/>
      <c r="E1095" s="147"/>
      <c r="F1095" s="147"/>
      <c r="G1095" s="147"/>
      <c r="H1095" s="147"/>
      <c r="I1095" s="147"/>
      <c r="J1095" s="147"/>
      <c r="K1095" s="147"/>
      <c r="L1095" s="147"/>
      <c r="M1095" s="147"/>
    </row>
    <row r="1096">
      <c r="A1096" s="147"/>
      <c r="B1096" s="147"/>
      <c r="C1096" s="147"/>
      <c r="D1096" s="147"/>
      <c r="E1096" s="147"/>
      <c r="F1096" s="147"/>
      <c r="G1096" s="147"/>
      <c r="H1096" s="147"/>
      <c r="I1096" s="147"/>
      <c r="J1096" s="147"/>
      <c r="K1096" s="147"/>
      <c r="L1096" s="147"/>
      <c r="M1096" s="147"/>
    </row>
    <row r="1097">
      <c r="A1097" s="147"/>
      <c r="B1097" s="147"/>
      <c r="C1097" s="147"/>
      <c r="D1097" s="147"/>
      <c r="E1097" s="147"/>
      <c r="F1097" s="147"/>
      <c r="G1097" s="147"/>
      <c r="H1097" s="147"/>
      <c r="I1097" s="147"/>
      <c r="J1097" s="147"/>
      <c r="K1097" s="147"/>
      <c r="L1097" s="147"/>
      <c r="M1097" s="147"/>
    </row>
    <row r="1098">
      <c r="A1098" s="147"/>
      <c r="B1098" s="147"/>
      <c r="C1098" s="147"/>
      <c r="D1098" s="147"/>
      <c r="E1098" s="147"/>
      <c r="F1098" s="147"/>
      <c r="G1098" s="147"/>
      <c r="H1098" s="147"/>
      <c r="I1098" s="147"/>
      <c r="J1098" s="147"/>
      <c r="K1098" s="147"/>
      <c r="L1098" s="147"/>
      <c r="M1098" s="147"/>
    </row>
    <row r="1099">
      <c r="A1099" s="147"/>
      <c r="B1099" s="147"/>
      <c r="C1099" s="147"/>
      <c r="D1099" s="147"/>
      <c r="E1099" s="147"/>
      <c r="F1099" s="147"/>
      <c r="G1099" s="147"/>
      <c r="H1099" s="147"/>
      <c r="I1099" s="147"/>
      <c r="J1099" s="147"/>
      <c r="K1099" s="147"/>
      <c r="L1099" s="147"/>
      <c r="M1099" s="147"/>
    </row>
    <row r="1100">
      <c r="A1100" s="147"/>
      <c r="B1100" s="147"/>
      <c r="C1100" s="147"/>
      <c r="D1100" s="147"/>
      <c r="E1100" s="147"/>
      <c r="F1100" s="147"/>
      <c r="G1100" s="147"/>
      <c r="H1100" s="147"/>
      <c r="I1100" s="147"/>
      <c r="J1100" s="147"/>
      <c r="K1100" s="147"/>
      <c r="L1100" s="147"/>
      <c r="M1100" s="147"/>
    </row>
    <row r="1101">
      <c r="A1101" s="147"/>
      <c r="B1101" s="147"/>
      <c r="C1101" s="147"/>
      <c r="D1101" s="147"/>
      <c r="E1101" s="147"/>
      <c r="F1101" s="147"/>
      <c r="G1101" s="147"/>
      <c r="H1101" s="147"/>
      <c r="I1101" s="147"/>
      <c r="J1101" s="147"/>
      <c r="K1101" s="147"/>
      <c r="L1101" s="147"/>
      <c r="M1101" s="147"/>
    </row>
    <row r="1102">
      <c r="A1102" s="147"/>
      <c r="B1102" s="147"/>
      <c r="C1102" s="147"/>
      <c r="D1102" s="147"/>
      <c r="E1102" s="147"/>
      <c r="F1102" s="147"/>
      <c r="G1102" s="147"/>
      <c r="H1102" s="147"/>
      <c r="I1102" s="147"/>
      <c r="J1102" s="147"/>
      <c r="K1102" s="147"/>
      <c r="L1102" s="147"/>
      <c r="M1102" s="147"/>
    </row>
    <row r="1103">
      <c r="A1103" s="147"/>
      <c r="B1103" s="147"/>
      <c r="C1103" s="147"/>
      <c r="D1103" s="147"/>
      <c r="E1103" s="147"/>
      <c r="F1103" s="147"/>
      <c r="G1103" s="147"/>
      <c r="H1103" s="147"/>
      <c r="I1103" s="147"/>
      <c r="J1103" s="147"/>
      <c r="K1103" s="147"/>
      <c r="L1103" s="147"/>
      <c r="M1103" s="147"/>
    </row>
    <row r="1104">
      <c r="A1104" s="147"/>
      <c r="B1104" s="147"/>
      <c r="C1104" s="147"/>
      <c r="D1104" s="147"/>
      <c r="E1104" s="147"/>
      <c r="F1104" s="147"/>
      <c r="G1104" s="147"/>
      <c r="H1104" s="147"/>
      <c r="I1104" s="147"/>
      <c r="J1104" s="147"/>
      <c r="K1104" s="147"/>
      <c r="L1104" s="147"/>
      <c r="M1104" s="147"/>
    </row>
    <row r="1105">
      <c r="A1105" s="147"/>
      <c r="B1105" s="147"/>
      <c r="C1105" s="147"/>
      <c r="D1105" s="147"/>
      <c r="E1105" s="147"/>
      <c r="F1105" s="147"/>
      <c r="G1105" s="147"/>
      <c r="H1105" s="147"/>
      <c r="I1105" s="147"/>
      <c r="J1105" s="147"/>
      <c r="K1105" s="147"/>
      <c r="L1105" s="147"/>
      <c r="M1105" s="147"/>
    </row>
    <row r="1106">
      <c r="A1106" s="147"/>
      <c r="B1106" s="147"/>
      <c r="C1106" s="147"/>
      <c r="D1106" s="147"/>
      <c r="E1106" s="147"/>
      <c r="F1106" s="147"/>
      <c r="G1106" s="147"/>
      <c r="H1106" s="147"/>
      <c r="I1106" s="147"/>
      <c r="J1106" s="147"/>
      <c r="K1106" s="147"/>
      <c r="L1106" s="147"/>
      <c r="M1106" s="147"/>
    </row>
    <row r="1107">
      <c r="A1107" s="147"/>
      <c r="B1107" s="147"/>
      <c r="C1107" s="147"/>
      <c r="D1107" s="147"/>
      <c r="E1107" s="147"/>
      <c r="F1107" s="147"/>
      <c r="G1107" s="147"/>
      <c r="H1107" s="147"/>
      <c r="I1107" s="147"/>
      <c r="J1107" s="147"/>
      <c r="K1107" s="147"/>
      <c r="L1107" s="147"/>
      <c r="M1107" s="147"/>
    </row>
    <row r="1108">
      <c r="A1108" s="147"/>
      <c r="B1108" s="147"/>
      <c r="C1108" s="147"/>
      <c r="D1108" s="147"/>
      <c r="E1108" s="147"/>
      <c r="F1108" s="147"/>
      <c r="G1108" s="147"/>
      <c r="H1108" s="147"/>
      <c r="I1108" s="147"/>
      <c r="J1108" s="147"/>
      <c r="K1108" s="147"/>
      <c r="L1108" s="147"/>
      <c r="M1108" s="147"/>
    </row>
    <row r="1109">
      <c r="A1109" s="147"/>
      <c r="B1109" s="147"/>
      <c r="C1109" s="147"/>
      <c r="D1109" s="147"/>
      <c r="E1109" s="147"/>
      <c r="F1109" s="147"/>
      <c r="G1109" s="147"/>
      <c r="H1109" s="147"/>
      <c r="I1109" s="147"/>
      <c r="J1109" s="147"/>
      <c r="K1109" s="147"/>
      <c r="L1109" s="147"/>
      <c r="M1109" s="147"/>
    </row>
    <row r="1110">
      <c r="A1110" s="147"/>
      <c r="B1110" s="147"/>
      <c r="C1110" s="147"/>
      <c r="D1110" s="147"/>
      <c r="E1110" s="147"/>
      <c r="F1110" s="147"/>
      <c r="G1110" s="147"/>
      <c r="H1110" s="147"/>
      <c r="I1110" s="147"/>
      <c r="J1110" s="147"/>
      <c r="K1110" s="147"/>
      <c r="L1110" s="147"/>
      <c r="M1110" s="147"/>
    </row>
    <row r="1111">
      <c r="A1111" s="147"/>
      <c r="B1111" s="147"/>
      <c r="C1111" s="147"/>
      <c r="D1111" s="147"/>
      <c r="E1111" s="147"/>
      <c r="F1111" s="147"/>
      <c r="G1111" s="147"/>
      <c r="H1111" s="147"/>
      <c r="I1111" s="147"/>
      <c r="J1111" s="147"/>
      <c r="K1111" s="147"/>
      <c r="L1111" s="147"/>
      <c r="M1111" s="147"/>
    </row>
    <row r="1112">
      <c r="A1112" s="147"/>
      <c r="B1112" s="147"/>
      <c r="C1112" s="147"/>
      <c r="D1112" s="147"/>
      <c r="E1112" s="147"/>
      <c r="F1112" s="147"/>
      <c r="G1112" s="147"/>
      <c r="H1112" s="147"/>
      <c r="I1112" s="147"/>
      <c r="J1112" s="147"/>
      <c r="K1112" s="147"/>
      <c r="L1112" s="147"/>
      <c r="M1112" s="147"/>
    </row>
    <row r="1113">
      <c r="A1113" s="147"/>
      <c r="B1113" s="147"/>
      <c r="C1113" s="147"/>
      <c r="D1113" s="147"/>
      <c r="E1113" s="147"/>
      <c r="F1113" s="147"/>
      <c r="G1113" s="147"/>
      <c r="H1113" s="147"/>
      <c r="I1113" s="147"/>
      <c r="J1113" s="147"/>
      <c r="K1113" s="147"/>
      <c r="L1113" s="147"/>
      <c r="M1113" s="147"/>
    </row>
    <row r="1114">
      <c r="A1114" s="147"/>
      <c r="B1114" s="147"/>
      <c r="C1114" s="147"/>
      <c r="D1114" s="147"/>
      <c r="E1114" s="147"/>
      <c r="F1114" s="147"/>
      <c r="G1114" s="147"/>
      <c r="H1114" s="147"/>
      <c r="I1114" s="147"/>
      <c r="J1114" s="147"/>
      <c r="K1114" s="147"/>
      <c r="L1114" s="147"/>
      <c r="M1114" s="147"/>
    </row>
    <row r="1115">
      <c r="A1115" s="147"/>
      <c r="B1115" s="147"/>
      <c r="C1115" s="147"/>
      <c r="D1115" s="147"/>
      <c r="E1115" s="147"/>
      <c r="F1115" s="147"/>
      <c r="G1115" s="147"/>
      <c r="H1115" s="147"/>
      <c r="I1115" s="147"/>
      <c r="J1115" s="147"/>
      <c r="K1115" s="147"/>
      <c r="L1115" s="147"/>
      <c r="M1115" s="147"/>
    </row>
    <row r="1116">
      <c r="A1116" s="147"/>
      <c r="B1116" s="147"/>
      <c r="C1116" s="147"/>
      <c r="D1116" s="147"/>
      <c r="E1116" s="147"/>
      <c r="F1116" s="147"/>
      <c r="G1116" s="147"/>
      <c r="H1116" s="147"/>
      <c r="I1116" s="147"/>
      <c r="J1116" s="147"/>
      <c r="K1116" s="147"/>
      <c r="L1116" s="147"/>
      <c r="M1116" s="147"/>
    </row>
    <row r="1117">
      <c r="A1117" s="147"/>
      <c r="B1117" s="147"/>
      <c r="C1117" s="147"/>
      <c r="D1117" s="147"/>
      <c r="E1117" s="147"/>
      <c r="F1117" s="147"/>
      <c r="G1117" s="147"/>
      <c r="H1117" s="147"/>
      <c r="I1117" s="147"/>
      <c r="J1117" s="147"/>
      <c r="K1117" s="147"/>
      <c r="L1117" s="147"/>
      <c r="M1117" s="147"/>
    </row>
    <row r="1118">
      <c r="A1118" s="147"/>
      <c r="B1118" s="147"/>
      <c r="C1118" s="147"/>
      <c r="D1118" s="147"/>
      <c r="E1118" s="147"/>
      <c r="F1118" s="147"/>
      <c r="G1118" s="147"/>
      <c r="H1118" s="147"/>
      <c r="I1118" s="147"/>
      <c r="J1118" s="147"/>
      <c r="K1118" s="147"/>
      <c r="L1118" s="147"/>
      <c r="M1118" s="147"/>
    </row>
    <row r="1119">
      <c r="A1119" s="147"/>
      <c r="B1119" s="147"/>
      <c r="C1119" s="147"/>
      <c r="D1119" s="147"/>
      <c r="E1119" s="147"/>
      <c r="F1119" s="147"/>
      <c r="G1119" s="147"/>
      <c r="H1119" s="147"/>
      <c r="I1119" s="147"/>
      <c r="J1119" s="147"/>
      <c r="K1119" s="147"/>
      <c r="L1119" s="147"/>
      <c r="M1119" s="147"/>
    </row>
    <row r="1120">
      <c r="A1120" s="147"/>
      <c r="B1120" s="147"/>
      <c r="C1120" s="147"/>
      <c r="D1120" s="147"/>
      <c r="E1120" s="147"/>
      <c r="F1120" s="147"/>
      <c r="G1120" s="147"/>
      <c r="H1120" s="147"/>
      <c r="I1120" s="147"/>
      <c r="J1120" s="147"/>
      <c r="K1120" s="147"/>
      <c r="L1120" s="147"/>
      <c r="M1120" s="147"/>
    </row>
    <row r="1121">
      <c r="A1121" s="147"/>
      <c r="B1121" s="147"/>
      <c r="C1121" s="147"/>
      <c r="D1121" s="147"/>
      <c r="E1121" s="147"/>
      <c r="F1121" s="147"/>
      <c r="G1121" s="147"/>
      <c r="H1121" s="147"/>
      <c r="I1121" s="147"/>
      <c r="J1121" s="147"/>
      <c r="K1121" s="147"/>
      <c r="L1121" s="147"/>
      <c r="M1121" s="147"/>
    </row>
    <row r="1122">
      <c r="A1122" s="147"/>
      <c r="B1122" s="147"/>
      <c r="C1122" s="147"/>
      <c r="D1122" s="147"/>
      <c r="E1122" s="147"/>
      <c r="F1122" s="147"/>
      <c r="G1122" s="147"/>
      <c r="H1122" s="147"/>
      <c r="I1122" s="147"/>
      <c r="J1122" s="147"/>
      <c r="K1122" s="147"/>
      <c r="L1122" s="147"/>
      <c r="M1122" s="147"/>
    </row>
    <row r="1123">
      <c r="A1123" s="147"/>
      <c r="B1123" s="147"/>
      <c r="C1123" s="147"/>
      <c r="D1123" s="147"/>
      <c r="E1123" s="147"/>
      <c r="F1123" s="147"/>
      <c r="G1123" s="147"/>
      <c r="H1123" s="147"/>
      <c r="I1123" s="147"/>
      <c r="J1123" s="147"/>
      <c r="K1123" s="147"/>
      <c r="L1123" s="147"/>
      <c r="M1123" s="147"/>
    </row>
    <row r="1124">
      <c r="A1124" s="147"/>
      <c r="B1124" s="147"/>
      <c r="C1124" s="147"/>
      <c r="D1124" s="147"/>
      <c r="E1124" s="147"/>
      <c r="F1124" s="147"/>
      <c r="G1124" s="147"/>
      <c r="H1124" s="147"/>
      <c r="I1124" s="147"/>
      <c r="J1124" s="147"/>
      <c r="K1124" s="147"/>
      <c r="L1124" s="147"/>
      <c r="M1124" s="147"/>
    </row>
    <row r="1125">
      <c r="A1125" s="147"/>
      <c r="B1125" s="147"/>
      <c r="C1125" s="147"/>
      <c r="D1125" s="147"/>
      <c r="E1125" s="147"/>
      <c r="F1125" s="147"/>
      <c r="G1125" s="147"/>
      <c r="H1125" s="147"/>
      <c r="I1125" s="147"/>
      <c r="J1125" s="147"/>
      <c r="K1125" s="147"/>
      <c r="L1125" s="147"/>
      <c r="M1125" s="147"/>
    </row>
    <row r="1126">
      <c r="A1126" s="147"/>
      <c r="B1126" s="147"/>
      <c r="C1126" s="147"/>
      <c r="D1126" s="147"/>
      <c r="E1126" s="147"/>
      <c r="F1126" s="147"/>
      <c r="G1126" s="147"/>
      <c r="H1126" s="147"/>
      <c r="I1126" s="147"/>
      <c r="J1126" s="147"/>
      <c r="K1126" s="147"/>
      <c r="L1126" s="147"/>
      <c r="M1126" s="147"/>
    </row>
    <row r="1127">
      <c r="A1127" s="147"/>
      <c r="B1127" s="147"/>
      <c r="C1127" s="147"/>
      <c r="D1127" s="147"/>
      <c r="E1127" s="147"/>
      <c r="F1127" s="147"/>
      <c r="G1127" s="147"/>
      <c r="H1127" s="147"/>
      <c r="I1127" s="147"/>
      <c r="J1127" s="147"/>
      <c r="K1127" s="147"/>
      <c r="L1127" s="147"/>
      <c r="M1127" s="147"/>
    </row>
    <row r="1128">
      <c r="A1128" s="147"/>
      <c r="B1128" s="147"/>
      <c r="C1128" s="147"/>
      <c r="D1128" s="147"/>
      <c r="E1128" s="147"/>
      <c r="F1128" s="147"/>
      <c r="G1128" s="147"/>
      <c r="H1128" s="147"/>
      <c r="I1128" s="147"/>
      <c r="J1128" s="147"/>
      <c r="K1128" s="147"/>
      <c r="L1128" s="147"/>
      <c r="M1128" s="147"/>
    </row>
    <row r="1129">
      <c r="A1129" s="147"/>
      <c r="B1129" s="147"/>
      <c r="C1129" s="147"/>
      <c r="D1129" s="147"/>
      <c r="E1129" s="147"/>
      <c r="F1129" s="147"/>
      <c r="G1129" s="147"/>
      <c r="H1129" s="147"/>
      <c r="I1129" s="147"/>
      <c r="J1129" s="147"/>
      <c r="K1129" s="147"/>
      <c r="L1129" s="147"/>
      <c r="M1129" s="147"/>
    </row>
    <row r="1130">
      <c r="A1130" s="147"/>
      <c r="B1130" s="147"/>
      <c r="C1130" s="147"/>
      <c r="D1130" s="147"/>
      <c r="E1130" s="147"/>
      <c r="F1130" s="147"/>
      <c r="G1130" s="147"/>
      <c r="H1130" s="147"/>
      <c r="I1130" s="147"/>
      <c r="J1130" s="147"/>
      <c r="K1130" s="147"/>
      <c r="L1130" s="147"/>
      <c r="M1130" s="147"/>
    </row>
    <row r="1131">
      <c r="A1131" s="147"/>
      <c r="B1131" s="147"/>
      <c r="C1131" s="147"/>
      <c r="D1131" s="147"/>
      <c r="E1131" s="147"/>
      <c r="F1131" s="147"/>
      <c r="G1131" s="147"/>
      <c r="H1131" s="147"/>
      <c r="I1131" s="147"/>
      <c r="J1131" s="147"/>
      <c r="K1131" s="147"/>
      <c r="L1131" s="147"/>
      <c r="M1131" s="147"/>
    </row>
    <row r="1132">
      <c r="A1132" s="147"/>
      <c r="B1132" s="147"/>
      <c r="C1132" s="147"/>
      <c r="D1132" s="147"/>
      <c r="E1132" s="147"/>
      <c r="F1132" s="147"/>
      <c r="G1132" s="147"/>
      <c r="H1132" s="147"/>
      <c r="I1132" s="147"/>
      <c r="J1132" s="147"/>
      <c r="K1132" s="147"/>
      <c r="L1132" s="147"/>
      <c r="M1132" s="147"/>
    </row>
    <row r="1133">
      <c r="A1133" s="147"/>
      <c r="B1133" s="147"/>
      <c r="C1133" s="147"/>
      <c r="D1133" s="147"/>
      <c r="E1133" s="147"/>
      <c r="F1133" s="147"/>
      <c r="G1133" s="147"/>
      <c r="H1133" s="147"/>
      <c r="I1133" s="147"/>
      <c r="J1133" s="147"/>
      <c r="K1133" s="147"/>
      <c r="L1133" s="147"/>
      <c r="M1133" s="147"/>
    </row>
    <row r="1134">
      <c r="A1134" s="147"/>
      <c r="B1134" s="147"/>
      <c r="C1134" s="147"/>
      <c r="D1134" s="147"/>
      <c r="E1134" s="147"/>
      <c r="F1134" s="147"/>
      <c r="G1134" s="147"/>
      <c r="H1134" s="147"/>
      <c r="I1134" s="147"/>
      <c r="J1134" s="147"/>
      <c r="K1134" s="147"/>
      <c r="L1134" s="147"/>
      <c r="M1134" s="147"/>
    </row>
    <row r="1135">
      <c r="A1135" s="147"/>
      <c r="B1135" s="147"/>
      <c r="C1135" s="147"/>
      <c r="D1135" s="147"/>
      <c r="E1135" s="147"/>
      <c r="F1135" s="147"/>
      <c r="G1135" s="147"/>
      <c r="H1135" s="147"/>
      <c r="I1135" s="147"/>
      <c r="J1135" s="147"/>
      <c r="K1135" s="147"/>
      <c r="L1135" s="147"/>
      <c r="M1135" s="147"/>
    </row>
    <row r="1136">
      <c r="A1136" s="147"/>
      <c r="B1136" s="147"/>
      <c r="C1136" s="147"/>
      <c r="D1136" s="147"/>
      <c r="E1136" s="147"/>
      <c r="F1136" s="147"/>
      <c r="G1136" s="147"/>
      <c r="H1136" s="147"/>
      <c r="I1136" s="147"/>
      <c r="J1136" s="147"/>
      <c r="K1136" s="147"/>
      <c r="L1136" s="147"/>
      <c r="M1136" s="147"/>
    </row>
    <row r="1137">
      <c r="A1137" s="147"/>
      <c r="B1137" s="147"/>
      <c r="C1137" s="147"/>
      <c r="D1137" s="147"/>
      <c r="E1137" s="147"/>
      <c r="F1137" s="147"/>
      <c r="G1137" s="147"/>
      <c r="H1137" s="147"/>
      <c r="I1137" s="147"/>
      <c r="J1137" s="147"/>
      <c r="K1137" s="147"/>
      <c r="L1137" s="147"/>
      <c r="M1137" s="147"/>
    </row>
    <row r="1138">
      <c r="A1138" s="147"/>
      <c r="B1138" s="147"/>
      <c r="C1138" s="147"/>
      <c r="D1138" s="147"/>
      <c r="E1138" s="147"/>
      <c r="F1138" s="147"/>
      <c r="G1138" s="147"/>
      <c r="H1138" s="147"/>
      <c r="I1138" s="147"/>
      <c r="J1138" s="147"/>
      <c r="K1138" s="147"/>
      <c r="L1138" s="147"/>
      <c r="M1138" s="147"/>
    </row>
    <row r="1139">
      <c r="A1139" s="147"/>
      <c r="B1139" s="147"/>
      <c r="C1139" s="147"/>
      <c r="D1139" s="147"/>
      <c r="E1139" s="147"/>
      <c r="F1139" s="147"/>
      <c r="G1139" s="147"/>
      <c r="H1139" s="147"/>
      <c r="I1139" s="147"/>
      <c r="J1139" s="147"/>
      <c r="K1139" s="147"/>
      <c r="L1139" s="147"/>
      <c r="M1139" s="147"/>
    </row>
    <row r="1140">
      <c r="A1140" s="147"/>
      <c r="B1140" s="147"/>
      <c r="C1140" s="147"/>
      <c r="D1140" s="147"/>
      <c r="E1140" s="147"/>
      <c r="F1140" s="147"/>
      <c r="G1140" s="147"/>
      <c r="H1140" s="147"/>
      <c r="I1140" s="147"/>
      <c r="J1140" s="147"/>
      <c r="K1140" s="147"/>
      <c r="L1140" s="147"/>
      <c r="M1140" s="147"/>
    </row>
    <row r="1141">
      <c r="A1141" s="147"/>
      <c r="B1141" s="147"/>
      <c r="C1141" s="147"/>
      <c r="D1141" s="147"/>
      <c r="E1141" s="147"/>
      <c r="F1141" s="147"/>
      <c r="G1141" s="147"/>
      <c r="H1141" s="147"/>
      <c r="I1141" s="147"/>
      <c r="J1141" s="147"/>
      <c r="K1141" s="147"/>
      <c r="L1141" s="147"/>
      <c r="M1141" s="147"/>
    </row>
    <row r="1142">
      <c r="A1142" s="147"/>
      <c r="B1142" s="147"/>
      <c r="C1142" s="147"/>
      <c r="D1142" s="147"/>
      <c r="E1142" s="147"/>
      <c r="F1142" s="147"/>
      <c r="G1142" s="147"/>
      <c r="H1142" s="147"/>
      <c r="I1142" s="147"/>
      <c r="J1142" s="147"/>
      <c r="K1142" s="147"/>
      <c r="L1142" s="147"/>
      <c r="M1142" s="147"/>
    </row>
    <row r="1143">
      <c r="A1143" s="147"/>
      <c r="B1143" s="147"/>
      <c r="C1143" s="147"/>
      <c r="D1143" s="147"/>
      <c r="E1143" s="147"/>
      <c r="F1143" s="147"/>
      <c r="G1143" s="147"/>
      <c r="H1143" s="147"/>
      <c r="I1143" s="147"/>
      <c r="J1143" s="147"/>
      <c r="K1143" s="147"/>
      <c r="L1143" s="147"/>
      <c r="M1143" s="147"/>
    </row>
    <row r="1144">
      <c r="A1144" s="147"/>
      <c r="B1144" s="147"/>
      <c r="C1144" s="147"/>
      <c r="D1144" s="147"/>
      <c r="E1144" s="147"/>
      <c r="F1144" s="147"/>
      <c r="G1144" s="147"/>
      <c r="H1144" s="147"/>
      <c r="I1144" s="147"/>
      <c r="J1144" s="147"/>
      <c r="K1144" s="147"/>
      <c r="L1144" s="147"/>
      <c r="M1144" s="147"/>
    </row>
    <row r="1145">
      <c r="A1145" s="147"/>
      <c r="B1145" s="147"/>
      <c r="C1145" s="147"/>
      <c r="D1145" s="147"/>
      <c r="E1145" s="147"/>
      <c r="F1145" s="147"/>
      <c r="G1145" s="147"/>
      <c r="H1145" s="147"/>
      <c r="I1145" s="147"/>
      <c r="J1145" s="147"/>
      <c r="K1145" s="147"/>
      <c r="L1145" s="147"/>
      <c r="M1145" s="147"/>
    </row>
    <row r="1146">
      <c r="A1146" s="147"/>
      <c r="B1146" s="147"/>
      <c r="C1146" s="147"/>
      <c r="D1146" s="147"/>
      <c r="E1146" s="147"/>
      <c r="F1146" s="147"/>
      <c r="G1146" s="147"/>
      <c r="H1146" s="147"/>
      <c r="I1146" s="147"/>
      <c r="J1146" s="147"/>
      <c r="K1146" s="147"/>
      <c r="L1146" s="147"/>
      <c r="M1146" s="147"/>
    </row>
    <row r="1147">
      <c r="A1147" s="147"/>
      <c r="B1147" s="147"/>
      <c r="C1147" s="147"/>
      <c r="D1147" s="147"/>
      <c r="E1147" s="147"/>
      <c r="F1147" s="147"/>
      <c r="G1147" s="147"/>
      <c r="H1147" s="147"/>
      <c r="I1147" s="147"/>
      <c r="J1147" s="147"/>
      <c r="K1147" s="147"/>
      <c r="L1147" s="147"/>
      <c r="M1147" s="147"/>
    </row>
    <row r="1148">
      <c r="A1148" s="147"/>
      <c r="B1148" s="147"/>
      <c r="C1148" s="147"/>
      <c r="D1148" s="147"/>
      <c r="E1148" s="147"/>
      <c r="F1148" s="147"/>
      <c r="G1148" s="147"/>
      <c r="H1148" s="147"/>
      <c r="I1148" s="147"/>
      <c r="J1148" s="147"/>
      <c r="K1148" s="147"/>
      <c r="L1148" s="147"/>
      <c r="M1148" s="147"/>
    </row>
    <row r="1149">
      <c r="A1149" s="147"/>
      <c r="B1149" s="147"/>
      <c r="C1149" s="147"/>
      <c r="D1149" s="147"/>
      <c r="E1149" s="147"/>
      <c r="F1149" s="147"/>
      <c r="G1149" s="147"/>
      <c r="H1149" s="147"/>
      <c r="I1149" s="147"/>
      <c r="J1149" s="147"/>
      <c r="K1149" s="147"/>
      <c r="L1149" s="147"/>
      <c r="M1149" s="147"/>
    </row>
    <row r="1150">
      <c r="A1150" s="147"/>
      <c r="B1150" s="147"/>
      <c r="C1150" s="147"/>
      <c r="D1150" s="147"/>
      <c r="E1150" s="147"/>
      <c r="F1150" s="147"/>
      <c r="G1150" s="147"/>
      <c r="H1150" s="147"/>
      <c r="I1150" s="147"/>
      <c r="J1150" s="147"/>
      <c r="K1150" s="147"/>
      <c r="L1150" s="147"/>
      <c r="M1150" s="147"/>
    </row>
    <row r="1151">
      <c r="A1151" s="147"/>
      <c r="B1151" s="147"/>
      <c r="C1151" s="147"/>
      <c r="D1151" s="147"/>
      <c r="E1151" s="147"/>
      <c r="F1151" s="147"/>
      <c r="G1151" s="147"/>
      <c r="H1151" s="147"/>
      <c r="I1151" s="147"/>
      <c r="J1151" s="147"/>
      <c r="K1151" s="147"/>
      <c r="L1151" s="147"/>
      <c r="M1151" s="147"/>
    </row>
    <row r="1152">
      <c r="A1152" s="147"/>
      <c r="B1152" s="147"/>
      <c r="C1152" s="147"/>
      <c r="D1152" s="147"/>
      <c r="E1152" s="147"/>
      <c r="F1152" s="147"/>
      <c r="G1152" s="147"/>
      <c r="H1152" s="147"/>
      <c r="I1152" s="147"/>
      <c r="J1152" s="147"/>
      <c r="K1152" s="147"/>
      <c r="L1152" s="147"/>
      <c r="M1152" s="147"/>
    </row>
    <row r="1153">
      <c r="A1153" s="147"/>
      <c r="B1153" s="147"/>
      <c r="C1153" s="147"/>
      <c r="D1153" s="147"/>
      <c r="E1153" s="147"/>
      <c r="F1153" s="147"/>
      <c r="G1153" s="147"/>
      <c r="H1153" s="147"/>
      <c r="I1153" s="147"/>
      <c r="J1153" s="147"/>
      <c r="K1153" s="147"/>
      <c r="L1153" s="147"/>
      <c r="M1153" s="147"/>
    </row>
    <row r="1154">
      <c r="A1154" s="147"/>
      <c r="B1154" s="147"/>
      <c r="C1154" s="147"/>
      <c r="D1154" s="147"/>
      <c r="E1154" s="147"/>
      <c r="F1154" s="147"/>
      <c r="G1154" s="147"/>
      <c r="H1154" s="147"/>
      <c r="I1154" s="147"/>
      <c r="J1154" s="147"/>
      <c r="K1154" s="147"/>
      <c r="L1154" s="147"/>
      <c r="M1154" s="147"/>
    </row>
    <row r="1155">
      <c r="A1155" s="147"/>
      <c r="B1155" s="147"/>
      <c r="C1155" s="147"/>
      <c r="D1155" s="147"/>
      <c r="E1155" s="147"/>
      <c r="F1155" s="147"/>
      <c r="G1155" s="147"/>
      <c r="H1155" s="147"/>
      <c r="I1155" s="147"/>
      <c r="J1155" s="147"/>
      <c r="K1155" s="147"/>
      <c r="L1155" s="147"/>
      <c r="M1155" s="147"/>
    </row>
    <row r="1156">
      <c r="A1156" s="147"/>
      <c r="B1156" s="147"/>
      <c r="C1156" s="147"/>
      <c r="D1156" s="147"/>
      <c r="E1156" s="147"/>
      <c r="F1156" s="147"/>
      <c r="G1156" s="147"/>
      <c r="H1156" s="147"/>
      <c r="I1156" s="147"/>
      <c r="J1156" s="147"/>
      <c r="K1156" s="147"/>
      <c r="L1156" s="147"/>
      <c r="M1156" s="147"/>
    </row>
    <row r="1157">
      <c r="A1157" s="147"/>
      <c r="B1157" s="147"/>
      <c r="C1157" s="147"/>
      <c r="D1157" s="147"/>
      <c r="E1157" s="147"/>
      <c r="F1157" s="147"/>
      <c r="G1157" s="147"/>
      <c r="H1157" s="147"/>
      <c r="I1157" s="147"/>
      <c r="J1157" s="147"/>
      <c r="K1157" s="147"/>
      <c r="L1157" s="147"/>
      <c r="M1157" s="147"/>
    </row>
    <row r="1158">
      <c r="A1158" s="147"/>
      <c r="B1158" s="147"/>
      <c r="C1158" s="147"/>
      <c r="D1158" s="147"/>
      <c r="E1158" s="147"/>
      <c r="F1158" s="147"/>
      <c r="G1158" s="147"/>
      <c r="H1158" s="147"/>
      <c r="I1158" s="147"/>
      <c r="J1158" s="147"/>
      <c r="K1158" s="147"/>
      <c r="L1158" s="147"/>
      <c r="M1158" s="147"/>
    </row>
    <row r="1159">
      <c r="A1159" s="147"/>
      <c r="B1159" s="147"/>
      <c r="C1159" s="147"/>
      <c r="D1159" s="147"/>
      <c r="E1159" s="147"/>
      <c r="F1159" s="147"/>
      <c r="G1159" s="147"/>
      <c r="H1159" s="147"/>
      <c r="I1159" s="147"/>
      <c r="J1159" s="147"/>
      <c r="K1159" s="147"/>
      <c r="L1159" s="147"/>
      <c r="M1159" s="147"/>
    </row>
    <row r="1160">
      <c r="A1160" s="147"/>
      <c r="B1160" s="147"/>
      <c r="C1160" s="147"/>
      <c r="D1160" s="147"/>
      <c r="E1160" s="147"/>
      <c r="F1160" s="147"/>
      <c r="G1160" s="147"/>
      <c r="H1160" s="147"/>
      <c r="I1160" s="147"/>
      <c r="J1160" s="147"/>
      <c r="K1160" s="147"/>
      <c r="L1160" s="147"/>
      <c r="M1160" s="147"/>
    </row>
    <row r="1161">
      <c r="A1161" s="147"/>
      <c r="B1161" s="147"/>
      <c r="C1161" s="147"/>
      <c r="D1161" s="147"/>
      <c r="E1161" s="147"/>
      <c r="F1161" s="147"/>
      <c r="G1161" s="147"/>
      <c r="H1161" s="147"/>
      <c r="I1161" s="147"/>
      <c r="J1161" s="147"/>
      <c r="K1161" s="147"/>
      <c r="L1161" s="147"/>
      <c r="M1161" s="147"/>
    </row>
    <row r="1162">
      <c r="A1162" s="147"/>
      <c r="B1162" s="147"/>
      <c r="C1162" s="147"/>
      <c r="D1162" s="147"/>
      <c r="E1162" s="147"/>
      <c r="F1162" s="147"/>
      <c r="G1162" s="147"/>
      <c r="H1162" s="147"/>
      <c r="I1162" s="147"/>
      <c r="J1162" s="147"/>
      <c r="K1162" s="147"/>
      <c r="L1162" s="147"/>
      <c r="M1162" s="147"/>
    </row>
    <row r="1163">
      <c r="A1163" s="147"/>
      <c r="B1163" s="147"/>
      <c r="C1163" s="147"/>
      <c r="D1163" s="147"/>
      <c r="E1163" s="147"/>
      <c r="F1163" s="147"/>
      <c r="G1163" s="147"/>
      <c r="H1163" s="147"/>
      <c r="I1163" s="147"/>
      <c r="J1163" s="147"/>
      <c r="K1163" s="147"/>
      <c r="L1163" s="147"/>
      <c r="M1163" s="147"/>
    </row>
    <row r="1164">
      <c r="A1164" s="147"/>
      <c r="B1164" s="147"/>
      <c r="C1164" s="147"/>
      <c r="D1164" s="147"/>
      <c r="E1164" s="147"/>
      <c r="F1164" s="147"/>
      <c r="G1164" s="147"/>
      <c r="H1164" s="147"/>
      <c r="I1164" s="147"/>
      <c r="J1164" s="147"/>
      <c r="K1164" s="147"/>
      <c r="L1164" s="147"/>
      <c r="M1164" s="147"/>
    </row>
    <row r="1165">
      <c r="A1165" s="147"/>
      <c r="B1165" s="147"/>
      <c r="C1165" s="147"/>
      <c r="D1165" s="147"/>
      <c r="E1165" s="147"/>
      <c r="F1165" s="147"/>
      <c r="G1165" s="147"/>
      <c r="H1165" s="147"/>
      <c r="I1165" s="147"/>
      <c r="J1165" s="147"/>
      <c r="K1165" s="147"/>
      <c r="L1165" s="147"/>
      <c r="M1165" s="147"/>
    </row>
    <row r="1166">
      <c r="A1166" s="147"/>
      <c r="B1166" s="147"/>
      <c r="C1166" s="147"/>
      <c r="D1166" s="147"/>
      <c r="E1166" s="147"/>
      <c r="F1166" s="147"/>
      <c r="G1166" s="147"/>
      <c r="H1166" s="147"/>
      <c r="I1166" s="147"/>
      <c r="J1166" s="147"/>
      <c r="K1166" s="147"/>
      <c r="L1166" s="147"/>
      <c r="M1166" s="147"/>
    </row>
    <row r="1167">
      <c r="A1167" s="147"/>
      <c r="B1167" s="147"/>
      <c r="C1167" s="147"/>
      <c r="D1167" s="147"/>
      <c r="E1167" s="147"/>
      <c r="F1167" s="147"/>
      <c r="G1167" s="147"/>
      <c r="H1167" s="147"/>
      <c r="I1167" s="147"/>
      <c r="J1167" s="147"/>
      <c r="K1167" s="147"/>
      <c r="L1167" s="147"/>
      <c r="M1167" s="147"/>
    </row>
    <row r="1168">
      <c r="A1168" s="147"/>
      <c r="B1168" s="147"/>
      <c r="C1168" s="147"/>
      <c r="D1168" s="147"/>
      <c r="E1168" s="147"/>
      <c r="F1168" s="147"/>
      <c r="G1168" s="147"/>
      <c r="H1168" s="147"/>
      <c r="I1168" s="147"/>
      <c r="J1168" s="147"/>
      <c r="K1168" s="147"/>
      <c r="L1168" s="147"/>
      <c r="M1168" s="147"/>
    </row>
    <row r="1169">
      <c r="A1169" s="147"/>
      <c r="B1169" s="147"/>
      <c r="C1169" s="147"/>
      <c r="D1169" s="147"/>
      <c r="E1169" s="147"/>
      <c r="F1169" s="147"/>
      <c r="G1169" s="147"/>
      <c r="H1169" s="147"/>
      <c r="I1169" s="147"/>
      <c r="J1169" s="147"/>
      <c r="K1169" s="147"/>
      <c r="L1169" s="147"/>
      <c r="M1169" s="147"/>
    </row>
    <row r="1170">
      <c r="A1170" s="147"/>
      <c r="B1170" s="147"/>
      <c r="C1170" s="147"/>
      <c r="D1170" s="147"/>
      <c r="E1170" s="147"/>
      <c r="F1170" s="147"/>
      <c r="G1170" s="147"/>
      <c r="H1170" s="147"/>
      <c r="I1170" s="147"/>
      <c r="J1170" s="147"/>
      <c r="K1170" s="147"/>
      <c r="L1170" s="147"/>
      <c r="M1170" s="147"/>
    </row>
    <row r="1171">
      <c r="A1171" s="147"/>
      <c r="B1171" s="147"/>
      <c r="C1171" s="147"/>
      <c r="D1171" s="147"/>
      <c r="E1171" s="147"/>
      <c r="F1171" s="147"/>
      <c r="G1171" s="147"/>
      <c r="H1171" s="147"/>
      <c r="I1171" s="147"/>
      <c r="J1171" s="147"/>
      <c r="K1171" s="147"/>
      <c r="L1171" s="147"/>
      <c r="M1171" s="147"/>
    </row>
    <row r="1172">
      <c r="A1172" s="147"/>
      <c r="B1172" s="147"/>
      <c r="C1172" s="147"/>
      <c r="D1172" s="147"/>
      <c r="E1172" s="147"/>
      <c r="F1172" s="147"/>
      <c r="G1172" s="147"/>
      <c r="H1172" s="147"/>
      <c r="I1172" s="147"/>
      <c r="J1172" s="147"/>
      <c r="K1172" s="147"/>
      <c r="L1172" s="147"/>
      <c r="M1172" s="147"/>
    </row>
    <row r="1173">
      <c r="A1173" s="147"/>
      <c r="B1173" s="147"/>
      <c r="C1173" s="147"/>
      <c r="D1173" s="147"/>
      <c r="E1173" s="147"/>
      <c r="F1173" s="147"/>
      <c r="G1173" s="147"/>
      <c r="H1173" s="147"/>
      <c r="I1173" s="147"/>
      <c r="J1173" s="147"/>
      <c r="K1173" s="147"/>
      <c r="L1173" s="147"/>
      <c r="M1173" s="147"/>
    </row>
    <row r="1174">
      <c r="A1174" s="147"/>
      <c r="B1174" s="147"/>
      <c r="C1174" s="147"/>
      <c r="D1174" s="147"/>
      <c r="E1174" s="147"/>
      <c r="F1174" s="147"/>
      <c r="G1174" s="147"/>
      <c r="H1174" s="147"/>
      <c r="I1174" s="147"/>
      <c r="J1174" s="147"/>
      <c r="K1174" s="147"/>
      <c r="L1174" s="147"/>
      <c r="M1174" s="147"/>
    </row>
    <row r="1175">
      <c r="A1175" s="147"/>
      <c r="B1175" s="147"/>
      <c r="C1175" s="147"/>
      <c r="D1175" s="147"/>
      <c r="E1175" s="147"/>
      <c r="F1175" s="147"/>
      <c r="G1175" s="147"/>
      <c r="H1175" s="147"/>
      <c r="I1175" s="147"/>
      <c r="J1175" s="147"/>
      <c r="K1175" s="147"/>
      <c r="L1175" s="147"/>
      <c r="M1175" s="147"/>
    </row>
    <row r="1176">
      <c r="A1176" s="147"/>
      <c r="B1176" s="147"/>
      <c r="C1176" s="147"/>
      <c r="D1176" s="147"/>
      <c r="E1176" s="147"/>
      <c r="F1176" s="147"/>
      <c r="G1176" s="147"/>
      <c r="H1176" s="147"/>
      <c r="I1176" s="147"/>
      <c r="J1176" s="147"/>
      <c r="K1176" s="147"/>
      <c r="L1176" s="147"/>
      <c r="M1176" s="147"/>
    </row>
    <row r="1177">
      <c r="A1177" s="147"/>
      <c r="B1177" s="147"/>
      <c r="C1177" s="147"/>
      <c r="D1177" s="147"/>
      <c r="E1177" s="147"/>
      <c r="F1177" s="147"/>
      <c r="G1177" s="147"/>
      <c r="H1177" s="147"/>
      <c r="I1177" s="147"/>
      <c r="J1177" s="147"/>
      <c r="K1177" s="147"/>
      <c r="L1177" s="147"/>
      <c r="M1177" s="147"/>
    </row>
    <row r="1178">
      <c r="A1178" s="147"/>
      <c r="B1178" s="147"/>
      <c r="C1178" s="147"/>
      <c r="D1178" s="147"/>
      <c r="E1178" s="147"/>
      <c r="F1178" s="147"/>
      <c r="G1178" s="147"/>
      <c r="H1178" s="147"/>
      <c r="I1178" s="147"/>
      <c r="J1178" s="147"/>
      <c r="K1178" s="147"/>
      <c r="L1178" s="147"/>
      <c r="M1178" s="147"/>
    </row>
    <row r="1179">
      <c r="A1179" s="147"/>
      <c r="B1179" s="147"/>
      <c r="C1179" s="147"/>
      <c r="D1179" s="147"/>
      <c r="E1179" s="147"/>
      <c r="F1179" s="147"/>
      <c r="G1179" s="147"/>
      <c r="H1179" s="147"/>
      <c r="I1179" s="147"/>
      <c r="J1179" s="147"/>
      <c r="K1179" s="147"/>
      <c r="L1179" s="147"/>
      <c r="M1179" s="147"/>
    </row>
    <row r="1180">
      <c r="A1180" s="147"/>
      <c r="B1180" s="147"/>
      <c r="C1180" s="147"/>
      <c r="D1180" s="147"/>
      <c r="E1180" s="147"/>
      <c r="F1180" s="147"/>
      <c r="G1180" s="147"/>
      <c r="H1180" s="147"/>
      <c r="I1180" s="147"/>
      <c r="J1180" s="147"/>
      <c r="K1180" s="147"/>
      <c r="L1180" s="147"/>
      <c r="M1180" s="147"/>
    </row>
    <row r="1181">
      <c r="A1181" s="147"/>
      <c r="B1181" s="147"/>
      <c r="C1181" s="147"/>
      <c r="D1181" s="147"/>
      <c r="E1181" s="147"/>
      <c r="F1181" s="147"/>
      <c r="G1181" s="147"/>
      <c r="H1181" s="147"/>
      <c r="I1181" s="147"/>
      <c r="J1181" s="147"/>
      <c r="K1181" s="147"/>
      <c r="L1181" s="147"/>
      <c r="M1181" s="147"/>
    </row>
    <row r="1182">
      <c r="A1182" s="147"/>
      <c r="B1182" s="147"/>
      <c r="C1182" s="147"/>
      <c r="D1182" s="147"/>
      <c r="E1182" s="147"/>
      <c r="F1182" s="147"/>
      <c r="G1182" s="147"/>
      <c r="H1182" s="147"/>
      <c r="I1182" s="147"/>
      <c r="J1182" s="147"/>
      <c r="K1182" s="147"/>
      <c r="L1182" s="147"/>
      <c r="M1182" s="147"/>
    </row>
    <row r="1183">
      <c r="A1183" s="147"/>
      <c r="B1183" s="147"/>
      <c r="C1183" s="147"/>
      <c r="D1183" s="147"/>
      <c r="E1183" s="147"/>
      <c r="F1183" s="147"/>
      <c r="G1183" s="147"/>
      <c r="H1183" s="147"/>
      <c r="I1183" s="147"/>
      <c r="J1183" s="147"/>
      <c r="K1183" s="147"/>
      <c r="L1183" s="147"/>
      <c r="M1183" s="147"/>
    </row>
    <row r="1184">
      <c r="A1184" s="147"/>
      <c r="B1184" s="147"/>
      <c r="C1184" s="147"/>
      <c r="D1184" s="147"/>
      <c r="E1184" s="147"/>
      <c r="F1184" s="147"/>
      <c r="G1184" s="147"/>
      <c r="H1184" s="147"/>
      <c r="I1184" s="147"/>
      <c r="J1184" s="147"/>
      <c r="K1184" s="147"/>
      <c r="L1184" s="147"/>
      <c r="M1184" s="147"/>
    </row>
    <row r="1185">
      <c r="A1185" s="147"/>
      <c r="B1185" s="147"/>
      <c r="C1185" s="147"/>
      <c r="D1185" s="147"/>
      <c r="E1185" s="147"/>
      <c r="F1185" s="147"/>
      <c r="G1185" s="147"/>
      <c r="H1185" s="147"/>
      <c r="I1185" s="147"/>
      <c r="J1185" s="147"/>
      <c r="K1185" s="147"/>
      <c r="L1185" s="147"/>
      <c r="M1185" s="147"/>
    </row>
    <row r="1186">
      <c r="A1186" s="147"/>
      <c r="B1186" s="147"/>
      <c r="C1186" s="147"/>
      <c r="D1186" s="147"/>
      <c r="E1186" s="147"/>
      <c r="F1186" s="147"/>
      <c r="G1186" s="147"/>
      <c r="H1186" s="147"/>
      <c r="I1186" s="147"/>
      <c r="J1186" s="147"/>
      <c r="K1186" s="147"/>
      <c r="L1186" s="147"/>
      <c r="M1186" s="147"/>
    </row>
    <row r="1187">
      <c r="A1187" s="147"/>
      <c r="B1187" s="147"/>
      <c r="C1187" s="147"/>
      <c r="D1187" s="147"/>
      <c r="E1187" s="147"/>
      <c r="F1187" s="147"/>
      <c r="G1187" s="147"/>
      <c r="H1187" s="147"/>
      <c r="I1187" s="147"/>
      <c r="J1187" s="147"/>
      <c r="K1187" s="147"/>
      <c r="L1187" s="147"/>
      <c r="M1187" s="147"/>
    </row>
    <row r="1188">
      <c r="A1188" s="147"/>
      <c r="B1188" s="147"/>
      <c r="C1188" s="147"/>
      <c r="D1188" s="147"/>
      <c r="E1188" s="147"/>
      <c r="F1188" s="147"/>
      <c r="G1188" s="147"/>
      <c r="H1188" s="147"/>
      <c r="I1188" s="147"/>
      <c r="J1188" s="147"/>
      <c r="K1188" s="147"/>
      <c r="L1188" s="147"/>
      <c r="M1188" s="147"/>
    </row>
    <row r="1189">
      <c r="A1189" s="147"/>
      <c r="B1189" s="147"/>
      <c r="C1189" s="147"/>
      <c r="D1189" s="147"/>
      <c r="E1189" s="147"/>
      <c r="F1189" s="147"/>
      <c r="G1189" s="147"/>
      <c r="H1189" s="147"/>
      <c r="I1189" s="147"/>
      <c r="J1189" s="147"/>
      <c r="K1189" s="147"/>
      <c r="L1189" s="147"/>
      <c r="M1189" s="147"/>
    </row>
    <row r="1190">
      <c r="A1190" s="147"/>
      <c r="B1190" s="147"/>
      <c r="C1190" s="147"/>
      <c r="D1190" s="147"/>
      <c r="E1190" s="147"/>
      <c r="F1190" s="147"/>
      <c r="G1190" s="147"/>
      <c r="H1190" s="147"/>
      <c r="I1190" s="147"/>
      <c r="J1190" s="147"/>
      <c r="K1190" s="147"/>
      <c r="L1190" s="147"/>
      <c r="M1190" s="147"/>
    </row>
    <row r="1191">
      <c r="A1191" s="147"/>
      <c r="B1191" s="147"/>
      <c r="C1191" s="147"/>
      <c r="D1191" s="147"/>
      <c r="E1191" s="147"/>
      <c r="F1191" s="147"/>
      <c r="G1191" s="147"/>
      <c r="H1191" s="147"/>
      <c r="I1191" s="147"/>
      <c r="J1191" s="147"/>
      <c r="K1191" s="147"/>
      <c r="L1191" s="147"/>
      <c r="M1191" s="147"/>
    </row>
    <row r="1192">
      <c r="A1192" s="147"/>
      <c r="B1192" s="147"/>
      <c r="C1192" s="147"/>
      <c r="D1192" s="147"/>
      <c r="E1192" s="147"/>
      <c r="F1192" s="147"/>
      <c r="G1192" s="147"/>
      <c r="H1192" s="147"/>
      <c r="I1192" s="147"/>
      <c r="J1192" s="147"/>
      <c r="K1192" s="147"/>
      <c r="L1192" s="147"/>
      <c r="M1192" s="147"/>
    </row>
    <row r="1193">
      <c r="A1193" s="147"/>
      <c r="B1193" s="147"/>
      <c r="C1193" s="147"/>
      <c r="D1193" s="147"/>
      <c r="E1193" s="147"/>
      <c r="F1193" s="147"/>
      <c r="G1193" s="147"/>
      <c r="H1193" s="147"/>
      <c r="I1193" s="147"/>
      <c r="J1193" s="147"/>
      <c r="K1193" s="147"/>
      <c r="L1193" s="147"/>
      <c r="M1193" s="147"/>
    </row>
    <row r="1194">
      <c r="A1194" s="147"/>
      <c r="B1194" s="147"/>
      <c r="C1194" s="147"/>
      <c r="D1194" s="147"/>
      <c r="E1194" s="147"/>
      <c r="F1194" s="147"/>
      <c r="G1194" s="147"/>
      <c r="H1194" s="147"/>
      <c r="I1194" s="147"/>
      <c r="J1194" s="147"/>
      <c r="K1194" s="147"/>
      <c r="L1194" s="147"/>
      <c r="M1194" s="147"/>
    </row>
    <row r="1195">
      <c r="A1195" s="147"/>
      <c r="B1195" s="147"/>
      <c r="C1195" s="147"/>
      <c r="D1195" s="147"/>
      <c r="E1195" s="147"/>
      <c r="F1195" s="147"/>
      <c r="G1195" s="147"/>
      <c r="H1195" s="147"/>
      <c r="I1195" s="147"/>
      <c r="J1195" s="147"/>
      <c r="K1195" s="147"/>
      <c r="L1195" s="147"/>
      <c r="M1195" s="147"/>
    </row>
    <row r="1196">
      <c r="A1196" s="147"/>
      <c r="B1196" s="147"/>
      <c r="C1196" s="147"/>
      <c r="D1196" s="147"/>
      <c r="E1196" s="147"/>
      <c r="F1196" s="147"/>
      <c r="G1196" s="147"/>
      <c r="H1196" s="147"/>
      <c r="I1196" s="147"/>
      <c r="J1196" s="147"/>
      <c r="K1196" s="147"/>
      <c r="L1196" s="147"/>
      <c r="M1196" s="147"/>
    </row>
    <row r="1197">
      <c r="A1197" s="147"/>
      <c r="B1197" s="147"/>
      <c r="C1197" s="147"/>
      <c r="D1197" s="147"/>
      <c r="E1197" s="147"/>
      <c r="F1197" s="147"/>
      <c r="G1197" s="147"/>
      <c r="H1197" s="147"/>
      <c r="I1197" s="147"/>
      <c r="J1197" s="147"/>
      <c r="K1197" s="147"/>
      <c r="L1197" s="147"/>
      <c r="M1197" s="147"/>
    </row>
    <row r="1198">
      <c r="A1198" s="147"/>
      <c r="B1198" s="147"/>
      <c r="C1198" s="147"/>
      <c r="D1198" s="147"/>
      <c r="E1198" s="147"/>
      <c r="F1198" s="147"/>
      <c r="G1198" s="147"/>
      <c r="H1198" s="147"/>
      <c r="I1198" s="147"/>
      <c r="J1198" s="147"/>
      <c r="K1198" s="147"/>
      <c r="L1198" s="147"/>
      <c r="M1198" s="147"/>
    </row>
    <row r="1199">
      <c r="A1199" s="147"/>
      <c r="B1199" s="147"/>
      <c r="C1199" s="147"/>
      <c r="D1199" s="147"/>
      <c r="E1199" s="147"/>
      <c r="F1199" s="147"/>
      <c r="G1199" s="147"/>
      <c r="H1199" s="147"/>
      <c r="I1199" s="147"/>
      <c r="J1199" s="147"/>
      <c r="K1199" s="147"/>
      <c r="L1199" s="147"/>
      <c r="M1199" s="147"/>
    </row>
    <row r="1200">
      <c r="A1200" s="147"/>
      <c r="B1200" s="147"/>
      <c r="C1200" s="147"/>
      <c r="D1200" s="147"/>
      <c r="E1200" s="147"/>
      <c r="F1200" s="147"/>
      <c r="G1200" s="147"/>
      <c r="H1200" s="147"/>
      <c r="I1200" s="147"/>
      <c r="J1200" s="147"/>
      <c r="K1200" s="147"/>
      <c r="L1200" s="147"/>
      <c r="M1200" s="147"/>
    </row>
    <row r="1201">
      <c r="A1201" s="147"/>
      <c r="B1201" s="147"/>
      <c r="C1201" s="147"/>
      <c r="D1201" s="147"/>
      <c r="E1201" s="147"/>
      <c r="F1201" s="147"/>
      <c r="G1201" s="147"/>
      <c r="H1201" s="147"/>
      <c r="I1201" s="147"/>
      <c r="J1201" s="147"/>
      <c r="K1201" s="147"/>
      <c r="L1201" s="147"/>
      <c r="M1201" s="147"/>
    </row>
    <row r="1202">
      <c r="A1202" s="147"/>
      <c r="B1202" s="147"/>
      <c r="C1202" s="147"/>
      <c r="D1202" s="147"/>
      <c r="E1202" s="147"/>
      <c r="F1202" s="147"/>
      <c r="G1202" s="147"/>
      <c r="H1202" s="147"/>
      <c r="I1202" s="147"/>
      <c r="J1202" s="147"/>
      <c r="K1202" s="147"/>
      <c r="L1202" s="147"/>
      <c r="M1202" s="147"/>
    </row>
    <row r="1203">
      <c r="A1203" s="147"/>
      <c r="B1203" s="147"/>
      <c r="C1203" s="147"/>
      <c r="D1203" s="147"/>
      <c r="E1203" s="147"/>
      <c r="F1203" s="147"/>
      <c r="G1203" s="147"/>
      <c r="H1203" s="147"/>
      <c r="I1203" s="147"/>
      <c r="J1203" s="147"/>
      <c r="K1203" s="147"/>
      <c r="L1203" s="147"/>
      <c r="M1203" s="147"/>
    </row>
    <row r="1204">
      <c r="A1204" s="147"/>
      <c r="B1204" s="147"/>
      <c r="C1204" s="147"/>
      <c r="D1204" s="147"/>
      <c r="E1204" s="147"/>
      <c r="F1204" s="147"/>
      <c r="G1204" s="147"/>
      <c r="H1204" s="147"/>
      <c r="I1204" s="147"/>
      <c r="J1204" s="147"/>
      <c r="K1204" s="147"/>
      <c r="L1204" s="147"/>
      <c r="M1204" s="147"/>
    </row>
    <row r="1205">
      <c r="A1205" s="147"/>
      <c r="B1205" s="147"/>
      <c r="C1205" s="147"/>
      <c r="D1205" s="147"/>
      <c r="E1205" s="147"/>
      <c r="F1205" s="147"/>
      <c r="G1205" s="147"/>
      <c r="H1205" s="147"/>
      <c r="I1205" s="147"/>
      <c r="J1205" s="147"/>
      <c r="K1205" s="147"/>
      <c r="L1205" s="147"/>
      <c r="M1205" s="147"/>
    </row>
    <row r="1206">
      <c r="A1206" s="147"/>
      <c r="B1206" s="147"/>
      <c r="C1206" s="147"/>
      <c r="D1206" s="147"/>
      <c r="E1206" s="147"/>
      <c r="F1206" s="147"/>
      <c r="G1206" s="147"/>
      <c r="H1206" s="147"/>
      <c r="I1206" s="147"/>
      <c r="J1206" s="147"/>
      <c r="K1206" s="147"/>
      <c r="L1206" s="147"/>
      <c r="M1206" s="147"/>
    </row>
    <row r="1207">
      <c r="A1207" s="147"/>
      <c r="B1207" s="147"/>
      <c r="C1207" s="147"/>
      <c r="D1207" s="147"/>
      <c r="E1207" s="147"/>
      <c r="F1207" s="147"/>
      <c r="G1207" s="147"/>
      <c r="H1207" s="147"/>
      <c r="I1207" s="147"/>
      <c r="J1207" s="147"/>
      <c r="K1207" s="147"/>
      <c r="L1207" s="147"/>
      <c r="M1207" s="147"/>
    </row>
    <row r="1208">
      <c r="A1208" s="147"/>
      <c r="B1208" s="147"/>
      <c r="C1208" s="147"/>
      <c r="D1208" s="147"/>
      <c r="E1208" s="147"/>
      <c r="F1208" s="147"/>
      <c r="G1208" s="147"/>
      <c r="H1208" s="147"/>
      <c r="I1208" s="147"/>
      <c r="J1208" s="147"/>
      <c r="K1208" s="147"/>
      <c r="L1208" s="147"/>
      <c r="M1208" s="147"/>
    </row>
    <row r="1209">
      <c r="A1209" s="147"/>
      <c r="B1209" s="147"/>
      <c r="C1209" s="147"/>
      <c r="D1209" s="147"/>
      <c r="E1209" s="147"/>
      <c r="F1209" s="147"/>
      <c r="G1209" s="147"/>
      <c r="H1209" s="147"/>
      <c r="I1209" s="147"/>
      <c r="J1209" s="147"/>
      <c r="K1209" s="147"/>
      <c r="L1209" s="147"/>
      <c r="M1209" s="147"/>
    </row>
    <row r="1210">
      <c r="A1210" s="147"/>
      <c r="B1210" s="147"/>
      <c r="C1210" s="147"/>
      <c r="D1210" s="147"/>
      <c r="E1210" s="147"/>
      <c r="F1210" s="147"/>
      <c r="G1210" s="147"/>
      <c r="H1210" s="147"/>
      <c r="I1210" s="147"/>
      <c r="J1210" s="147"/>
      <c r="K1210" s="147"/>
      <c r="L1210" s="147"/>
      <c r="M1210" s="147"/>
    </row>
    <row r="1211">
      <c r="A1211" s="147"/>
      <c r="B1211" s="147"/>
      <c r="C1211" s="147"/>
      <c r="D1211" s="147"/>
      <c r="E1211" s="147"/>
      <c r="F1211" s="147"/>
      <c r="G1211" s="147"/>
      <c r="H1211" s="147"/>
      <c r="I1211" s="147"/>
      <c r="J1211" s="147"/>
      <c r="K1211" s="147"/>
      <c r="L1211" s="147"/>
      <c r="M1211" s="147"/>
    </row>
    <row r="1212">
      <c r="A1212" s="147"/>
      <c r="B1212" s="147"/>
      <c r="C1212" s="147"/>
      <c r="D1212" s="147"/>
      <c r="E1212" s="147"/>
      <c r="F1212" s="147"/>
      <c r="G1212" s="147"/>
      <c r="H1212" s="147"/>
      <c r="I1212" s="147"/>
      <c r="J1212" s="147"/>
      <c r="K1212" s="147"/>
      <c r="L1212" s="147"/>
      <c r="M1212" s="147"/>
    </row>
    <row r="1213">
      <c r="A1213" s="147"/>
      <c r="B1213" s="147"/>
      <c r="C1213" s="147"/>
      <c r="D1213" s="147"/>
      <c r="E1213" s="147"/>
      <c r="F1213" s="147"/>
      <c r="G1213" s="147"/>
      <c r="H1213" s="147"/>
      <c r="I1213" s="147"/>
      <c r="J1213" s="147"/>
      <c r="K1213" s="147"/>
      <c r="L1213" s="147"/>
      <c r="M1213" s="147"/>
    </row>
    <row r="1214">
      <c r="A1214" s="147"/>
      <c r="B1214" s="147"/>
      <c r="C1214" s="147"/>
      <c r="D1214" s="147"/>
      <c r="E1214" s="147"/>
      <c r="F1214" s="147"/>
      <c r="G1214" s="147"/>
      <c r="H1214" s="147"/>
      <c r="I1214" s="147"/>
      <c r="J1214" s="147"/>
      <c r="K1214" s="147"/>
      <c r="L1214" s="147"/>
      <c r="M1214" s="147"/>
    </row>
    <row r="1215">
      <c r="A1215" s="147"/>
      <c r="B1215" s="147"/>
      <c r="C1215" s="147"/>
      <c r="D1215" s="147"/>
      <c r="E1215" s="147"/>
      <c r="F1215" s="147"/>
      <c r="G1215" s="147"/>
      <c r="H1215" s="147"/>
      <c r="I1215" s="147"/>
      <c r="J1215" s="147"/>
      <c r="K1215" s="147"/>
      <c r="L1215" s="147"/>
      <c r="M1215" s="147"/>
    </row>
    <row r="1216">
      <c r="A1216" s="147"/>
      <c r="B1216" s="147"/>
      <c r="C1216" s="147"/>
      <c r="D1216" s="147"/>
      <c r="E1216" s="147"/>
      <c r="F1216" s="147"/>
      <c r="G1216" s="147"/>
      <c r="H1216" s="147"/>
      <c r="I1216" s="147"/>
      <c r="J1216" s="147"/>
      <c r="K1216" s="147"/>
      <c r="L1216" s="147"/>
      <c r="M1216" s="147"/>
    </row>
    <row r="1217">
      <c r="A1217" s="147"/>
      <c r="B1217" s="147"/>
      <c r="C1217" s="147"/>
      <c r="D1217" s="147"/>
      <c r="E1217" s="147"/>
      <c r="F1217" s="147"/>
      <c r="G1217" s="147"/>
      <c r="H1217" s="147"/>
      <c r="I1217" s="147"/>
      <c r="J1217" s="147"/>
      <c r="K1217" s="147"/>
      <c r="L1217" s="147"/>
      <c r="M1217" s="147"/>
    </row>
    <row r="1218">
      <c r="A1218" s="147"/>
      <c r="B1218" s="147"/>
      <c r="C1218" s="147"/>
      <c r="D1218" s="147"/>
      <c r="E1218" s="147"/>
      <c r="F1218" s="147"/>
      <c r="G1218" s="147"/>
      <c r="H1218" s="147"/>
      <c r="I1218" s="147"/>
      <c r="J1218" s="147"/>
      <c r="K1218" s="147"/>
      <c r="L1218" s="147"/>
      <c r="M1218" s="147"/>
    </row>
    <row r="1219">
      <c r="A1219" s="147"/>
      <c r="B1219" s="147"/>
      <c r="C1219" s="147"/>
      <c r="D1219" s="147"/>
      <c r="E1219" s="147"/>
      <c r="F1219" s="147"/>
      <c r="G1219" s="147"/>
      <c r="H1219" s="147"/>
      <c r="I1219" s="147"/>
      <c r="J1219" s="147"/>
      <c r="K1219" s="147"/>
      <c r="L1219" s="147"/>
      <c r="M1219" s="147"/>
    </row>
    <row r="1220">
      <c r="A1220" s="147"/>
      <c r="B1220" s="147"/>
      <c r="C1220" s="147"/>
      <c r="D1220" s="147"/>
      <c r="E1220" s="147"/>
      <c r="F1220" s="147"/>
      <c r="G1220" s="147"/>
      <c r="H1220" s="147"/>
      <c r="I1220" s="147"/>
      <c r="J1220" s="147"/>
      <c r="K1220" s="147"/>
      <c r="L1220" s="147"/>
      <c r="M1220" s="147"/>
    </row>
    <row r="1221">
      <c r="A1221" s="147"/>
      <c r="B1221" s="147"/>
      <c r="C1221" s="147"/>
      <c r="D1221" s="147"/>
      <c r="E1221" s="147"/>
      <c r="F1221" s="147"/>
      <c r="G1221" s="147"/>
      <c r="H1221" s="147"/>
      <c r="I1221" s="147"/>
      <c r="J1221" s="147"/>
      <c r="K1221" s="147"/>
      <c r="L1221" s="147"/>
      <c r="M1221" s="147"/>
    </row>
    <row r="1222">
      <c r="A1222" s="147"/>
      <c r="B1222" s="147"/>
      <c r="C1222" s="147"/>
      <c r="D1222" s="147"/>
      <c r="E1222" s="147"/>
      <c r="F1222" s="147"/>
      <c r="G1222" s="147"/>
      <c r="H1222" s="147"/>
      <c r="I1222" s="147"/>
      <c r="J1222" s="147"/>
      <c r="K1222" s="147"/>
      <c r="L1222" s="147"/>
      <c r="M1222" s="147"/>
    </row>
    <row r="1223">
      <c r="A1223" s="147"/>
      <c r="B1223" s="147"/>
      <c r="C1223" s="147"/>
      <c r="D1223" s="147"/>
      <c r="E1223" s="147"/>
      <c r="F1223" s="147"/>
      <c r="G1223" s="147"/>
      <c r="H1223" s="147"/>
      <c r="I1223" s="147"/>
      <c r="J1223" s="147"/>
      <c r="K1223" s="147"/>
      <c r="L1223" s="147"/>
      <c r="M1223" s="147"/>
    </row>
    <row r="1224">
      <c r="A1224" s="147"/>
      <c r="B1224" s="147"/>
      <c r="C1224" s="147"/>
      <c r="D1224" s="147"/>
      <c r="E1224" s="147"/>
      <c r="F1224" s="147"/>
      <c r="G1224" s="147"/>
      <c r="H1224" s="147"/>
      <c r="I1224" s="147"/>
      <c r="J1224" s="147"/>
      <c r="K1224" s="147"/>
      <c r="L1224" s="147"/>
      <c r="M1224" s="147"/>
    </row>
    <row r="1225">
      <c r="A1225" s="147"/>
      <c r="B1225" s="147"/>
      <c r="C1225" s="147"/>
      <c r="D1225" s="147"/>
      <c r="E1225" s="147"/>
      <c r="F1225" s="147"/>
      <c r="G1225" s="147"/>
      <c r="H1225" s="147"/>
      <c r="I1225" s="147"/>
      <c r="J1225" s="147"/>
      <c r="K1225" s="147"/>
      <c r="L1225" s="147"/>
      <c r="M1225" s="147"/>
    </row>
    <row r="1226">
      <c r="A1226" s="147"/>
      <c r="B1226" s="147"/>
      <c r="C1226" s="147"/>
      <c r="D1226" s="147"/>
      <c r="E1226" s="147"/>
      <c r="F1226" s="147"/>
      <c r="G1226" s="147"/>
      <c r="H1226" s="147"/>
      <c r="I1226" s="147"/>
      <c r="J1226" s="147"/>
      <c r="K1226" s="147"/>
      <c r="L1226" s="147"/>
      <c r="M1226" s="147"/>
    </row>
    <row r="1227">
      <c r="A1227" s="147"/>
      <c r="B1227" s="147"/>
      <c r="C1227" s="147"/>
      <c r="D1227" s="147"/>
      <c r="E1227" s="147"/>
      <c r="F1227" s="147"/>
      <c r="G1227" s="147"/>
      <c r="H1227" s="147"/>
      <c r="I1227" s="147"/>
      <c r="J1227" s="147"/>
      <c r="K1227" s="147"/>
      <c r="L1227" s="147"/>
      <c r="M1227" s="147"/>
    </row>
    <row r="1228">
      <c r="A1228" s="147"/>
      <c r="B1228" s="147"/>
      <c r="C1228" s="147"/>
      <c r="D1228" s="147"/>
      <c r="E1228" s="147"/>
      <c r="F1228" s="147"/>
      <c r="G1228" s="147"/>
      <c r="H1228" s="147"/>
      <c r="I1228" s="147"/>
      <c r="J1228" s="147"/>
      <c r="K1228" s="147"/>
      <c r="L1228" s="147"/>
      <c r="M1228" s="147"/>
    </row>
    <row r="1229">
      <c r="A1229" s="147"/>
      <c r="B1229" s="147"/>
      <c r="C1229" s="147"/>
      <c r="D1229" s="147"/>
      <c r="E1229" s="147"/>
      <c r="F1229" s="147"/>
      <c r="G1229" s="147"/>
      <c r="H1229" s="147"/>
      <c r="I1229" s="147"/>
      <c r="J1229" s="147"/>
      <c r="K1229" s="147"/>
      <c r="L1229" s="147"/>
      <c r="M1229" s="147"/>
    </row>
    <row r="1230">
      <c r="A1230" s="147"/>
      <c r="B1230" s="147"/>
      <c r="C1230" s="147"/>
      <c r="D1230" s="147"/>
      <c r="E1230" s="147"/>
      <c r="F1230" s="147"/>
      <c r="G1230" s="147"/>
      <c r="H1230" s="147"/>
      <c r="I1230" s="147"/>
      <c r="J1230" s="147"/>
      <c r="K1230" s="147"/>
      <c r="L1230" s="147"/>
      <c r="M1230" s="147"/>
    </row>
    <row r="1231">
      <c r="A1231" s="147"/>
      <c r="B1231" s="147"/>
      <c r="C1231" s="147"/>
      <c r="D1231" s="147"/>
      <c r="E1231" s="147"/>
      <c r="F1231" s="147"/>
      <c r="G1231" s="147"/>
      <c r="H1231" s="147"/>
      <c r="I1231" s="147"/>
      <c r="J1231" s="147"/>
      <c r="K1231" s="147"/>
      <c r="L1231" s="147"/>
      <c r="M1231" s="147"/>
    </row>
    <row r="1232">
      <c r="A1232" s="147"/>
      <c r="B1232" s="147"/>
      <c r="C1232" s="147"/>
      <c r="D1232" s="147"/>
      <c r="E1232" s="147"/>
      <c r="F1232" s="147"/>
      <c r="G1232" s="147"/>
      <c r="H1232" s="147"/>
      <c r="I1232" s="147"/>
      <c r="J1232" s="147"/>
      <c r="K1232" s="147"/>
      <c r="L1232" s="147"/>
      <c r="M1232" s="147"/>
    </row>
    <row r="1233">
      <c r="A1233" s="147"/>
      <c r="B1233" s="147"/>
      <c r="C1233" s="147"/>
      <c r="D1233" s="147"/>
      <c r="E1233" s="147"/>
      <c r="F1233" s="147"/>
      <c r="G1233" s="147"/>
      <c r="H1233" s="147"/>
      <c r="I1233" s="147"/>
      <c r="J1233" s="147"/>
      <c r="K1233" s="147"/>
      <c r="L1233" s="147"/>
      <c r="M1233" s="147"/>
    </row>
    <row r="1234">
      <c r="A1234" s="147"/>
      <c r="B1234" s="147"/>
      <c r="C1234" s="147"/>
      <c r="D1234" s="147"/>
      <c r="E1234" s="147"/>
      <c r="F1234" s="147"/>
      <c r="G1234" s="147"/>
      <c r="H1234" s="147"/>
      <c r="I1234" s="147"/>
      <c r="J1234" s="147"/>
      <c r="K1234" s="147"/>
      <c r="L1234" s="147"/>
      <c r="M1234" s="147"/>
    </row>
    <row r="1235">
      <c r="A1235" s="147"/>
      <c r="B1235" s="147"/>
      <c r="C1235" s="147"/>
      <c r="D1235" s="147"/>
      <c r="E1235" s="147"/>
      <c r="F1235" s="147"/>
      <c r="G1235" s="147"/>
      <c r="H1235" s="147"/>
      <c r="I1235" s="147"/>
      <c r="J1235" s="147"/>
      <c r="K1235" s="147"/>
      <c r="L1235" s="147"/>
      <c r="M1235" s="147"/>
    </row>
    <row r="1236">
      <c r="A1236" s="147"/>
      <c r="B1236" s="147"/>
      <c r="C1236" s="147"/>
      <c r="D1236" s="147"/>
      <c r="E1236" s="147"/>
      <c r="F1236" s="147"/>
      <c r="G1236" s="147"/>
      <c r="H1236" s="147"/>
      <c r="I1236" s="147"/>
      <c r="J1236" s="147"/>
      <c r="K1236" s="147"/>
      <c r="L1236" s="147"/>
      <c r="M1236" s="147"/>
    </row>
    <row r="1237">
      <c r="A1237" s="147"/>
      <c r="B1237" s="147"/>
      <c r="C1237" s="147"/>
      <c r="D1237" s="147"/>
      <c r="E1237" s="147"/>
      <c r="F1237" s="147"/>
      <c r="G1237" s="147"/>
      <c r="H1237" s="147"/>
      <c r="I1237" s="147"/>
      <c r="J1237" s="147"/>
      <c r="K1237" s="147"/>
      <c r="L1237" s="147"/>
      <c r="M1237" s="147"/>
    </row>
    <row r="1238">
      <c r="A1238" s="147"/>
      <c r="B1238" s="147"/>
      <c r="C1238" s="147"/>
      <c r="D1238" s="147"/>
      <c r="E1238" s="147"/>
      <c r="F1238" s="147"/>
      <c r="G1238" s="147"/>
      <c r="H1238" s="147"/>
      <c r="I1238" s="147"/>
      <c r="J1238" s="147"/>
      <c r="K1238" s="147"/>
      <c r="L1238" s="147"/>
      <c r="M1238" s="147"/>
    </row>
    <row r="1239">
      <c r="A1239" s="147"/>
      <c r="B1239" s="147"/>
      <c r="C1239" s="147"/>
      <c r="D1239" s="147"/>
      <c r="E1239" s="147"/>
      <c r="F1239" s="147"/>
      <c r="G1239" s="147"/>
      <c r="H1239" s="147"/>
      <c r="I1239" s="147"/>
      <c r="J1239" s="147"/>
      <c r="K1239" s="147"/>
      <c r="L1239" s="147"/>
      <c r="M1239" s="147"/>
    </row>
    <row r="1240">
      <c r="A1240" s="147"/>
      <c r="B1240" s="147"/>
      <c r="C1240" s="147"/>
      <c r="D1240" s="147"/>
      <c r="E1240" s="147"/>
      <c r="F1240" s="147"/>
      <c r="G1240" s="147"/>
      <c r="H1240" s="147"/>
      <c r="I1240" s="147"/>
      <c r="J1240" s="147"/>
      <c r="K1240" s="147"/>
      <c r="L1240" s="147"/>
      <c r="M1240" s="147"/>
    </row>
    <row r="1241">
      <c r="A1241" s="147"/>
      <c r="B1241" s="147"/>
      <c r="C1241" s="147"/>
      <c r="D1241" s="147"/>
      <c r="E1241" s="147"/>
      <c r="F1241" s="147"/>
      <c r="G1241" s="147"/>
      <c r="H1241" s="147"/>
      <c r="I1241" s="147"/>
      <c r="J1241" s="147"/>
      <c r="K1241" s="147"/>
      <c r="L1241" s="147"/>
      <c r="M1241" s="147"/>
    </row>
    <row r="1242">
      <c r="A1242" s="147"/>
      <c r="B1242" s="147"/>
      <c r="C1242" s="147"/>
      <c r="D1242" s="147"/>
      <c r="E1242" s="147"/>
      <c r="F1242" s="147"/>
      <c r="G1242" s="147"/>
      <c r="H1242" s="147"/>
      <c r="I1242" s="147"/>
      <c r="J1242" s="147"/>
      <c r="K1242" s="147"/>
      <c r="L1242" s="147"/>
      <c r="M1242" s="147"/>
    </row>
    <row r="1243">
      <c r="A1243" s="147"/>
      <c r="B1243" s="147"/>
      <c r="C1243" s="147"/>
      <c r="D1243" s="147"/>
      <c r="E1243" s="147"/>
      <c r="F1243" s="147"/>
      <c r="G1243" s="147"/>
      <c r="H1243" s="147"/>
      <c r="I1243" s="147"/>
      <c r="J1243" s="147"/>
      <c r="K1243" s="147"/>
      <c r="L1243" s="147"/>
      <c r="M1243" s="147"/>
    </row>
    <row r="1244">
      <c r="A1244" s="147"/>
      <c r="B1244" s="147"/>
      <c r="C1244" s="147"/>
      <c r="D1244" s="147"/>
      <c r="E1244" s="147"/>
      <c r="F1244" s="147"/>
      <c r="G1244" s="147"/>
      <c r="H1244" s="147"/>
      <c r="I1244" s="147"/>
      <c r="J1244" s="147"/>
      <c r="K1244" s="147"/>
      <c r="L1244" s="147"/>
      <c r="M1244" s="147"/>
    </row>
    <row r="1245">
      <c r="A1245" s="147"/>
      <c r="B1245" s="147"/>
      <c r="C1245" s="147"/>
      <c r="D1245" s="147"/>
      <c r="E1245" s="147"/>
      <c r="F1245" s="147"/>
      <c r="G1245" s="147"/>
      <c r="H1245" s="147"/>
      <c r="I1245" s="147"/>
      <c r="J1245" s="147"/>
      <c r="K1245" s="147"/>
      <c r="L1245" s="147"/>
      <c r="M1245" s="147"/>
    </row>
    <row r="1246">
      <c r="A1246" s="147"/>
      <c r="B1246" s="147"/>
      <c r="C1246" s="147"/>
      <c r="D1246" s="147"/>
      <c r="E1246" s="147"/>
      <c r="F1246" s="147"/>
      <c r="G1246" s="147"/>
      <c r="H1246" s="147"/>
      <c r="I1246" s="147"/>
      <c r="J1246" s="147"/>
      <c r="K1246" s="147"/>
      <c r="L1246" s="147"/>
      <c r="M1246" s="147"/>
    </row>
    <row r="1247">
      <c r="A1247" s="147"/>
      <c r="B1247" s="147"/>
      <c r="C1247" s="147"/>
      <c r="D1247" s="147"/>
      <c r="E1247" s="147"/>
      <c r="F1247" s="147"/>
      <c r="G1247" s="147"/>
      <c r="H1247" s="147"/>
      <c r="I1247" s="147"/>
      <c r="J1247" s="147"/>
      <c r="K1247" s="147"/>
      <c r="L1247" s="147"/>
      <c r="M1247" s="147"/>
    </row>
    <row r="1248">
      <c r="A1248" s="147"/>
      <c r="B1248" s="147"/>
      <c r="C1248" s="147"/>
      <c r="D1248" s="147"/>
      <c r="E1248" s="147"/>
      <c r="F1248" s="147"/>
      <c r="G1248" s="147"/>
      <c r="H1248" s="147"/>
      <c r="I1248" s="147"/>
      <c r="J1248" s="147"/>
      <c r="K1248" s="147"/>
      <c r="L1248" s="147"/>
      <c r="M1248" s="147"/>
    </row>
    <row r="1249">
      <c r="A1249" s="147"/>
      <c r="B1249" s="147"/>
      <c r="C1249" s="147"/>
      <c r="D1249" s="147"/>
      <c r="E1249" s="147"/>
      <c r="F1249" s="147"/>
      <c r="G1249" s="147"/>
      <c r="H1249" s="147"/>
      <c r="I1249" s="147"/>
      <c r="J1249" s="147"/>
      <c r="K1249" s="147"/>
      <c r="L1249" s="147"/>
      <c r="M1249" s="147"/>
    </row>
    <row r="1250">
      <c r="A1250" s="147"/>
      <c r="B1250" s="147"/>
      <c r="C1250" s="147"/>
      <c r="D1250" s="147"/>
      <c r="E1250" s="147"/>
      <c r="F1250" s="147"/>
      <c r="G1250" s="147"/>
      <c r="H1250" s="147"/>
      <c r="I1250" s="147"/>
      <c r="J1250" s="147"/>
      <c r="K1250" s="147"/>
      <c r="L1250" s="147"/>
      <c r="M1250" s="147"/>
    </row>
    <row r="1251">
      <c r="A1251" s="147"/>
      <c r="B1251" s="147"/>
      <c r="C1251" s="147"/>
      <c r="D1251" s="147"/>
      <c r="E1251" s="147"/>
      <c r="F1251" s="147"/>
      <c r="G1251" s="147"/>
      <c r="H1251" s="147"/>
      <c r="I1251" s="147"/>
      <c r="J1251" s="147"/>
      <c r="K1251" s="147"/>
      <c r="L1251" s="147"/>
      <c r="M1251" s="147"/>
    </row>
    <row r="1252">
      <c r="A1252" s="147"/>
      <c r="B1252" s="147"/>
      <c r="C1252" s="147"/>
      <c r="D1252" s="147"/>
      <c r="E1252" s="147"/>
      <c r="F1252" s="147"/>
      <c r="G1252" s="147"/>
      <c r="H1252" s="147"/>
      <c r="I1252" s="147"/>
      <c r="J1252" s="147"/>
      <c r="K1252" s="147"/>
      <c r="L1252" s="147"/>
      <c r="M1252" s="147"/>
    </row>
    <row r="1253">
      <c r="A1253" s="147"/>
      <c r="B1253" s="147"/>
      <c r="C1253" s="147"/>
      <c r="D1253" s="147"/>
      <c r="E1253" s="147"/>
      <c r="F1253" s="147"/>
      <c r="G1253" s="147"/>
      <c r="H1253" s="147"/>
      <c r="I1253" s="147"/>
      <c r="J1253" s="147"/>
      <c r="K1253" s="147"/>
      <c r="L1253" s="147"/>
      <c r="M1253" s="147"/>
    </row>
    <row r="1254">
      <c r="A1254" s="147"/>
      <c r="B1254" s="147"/>
      <c r="C1254" s="147"/>
      <c r="D1254" s="147"/>
      <c r="E1254" s="147"/>
      <c r="F1254" s="147"/>
      <c r="G1254" s="147"/>
      <c r="H1254" s="147"/>
      <c r="I1254" s="147"/>
      <c r="J1254" s="147"/>
      <c r="K1254" s="147"/>
      <c r="L1254" s="147"/>
      <c r="M1254" s="147"/>
    </row>
    <row r="1255">
      <c r="A1255" s="147"/>
      <c r="B1255" s="147"/>
      <c r="C1255" s="147"/>
      <c r="D1255" s="147"/>
      <c r="E1255" s="147"/>
      <c r="F1255" s="147"/>
      <c r="G1255" s="147"/>
      <c r="H1255" s="147"/>
      <c r="I1255" s="147"/>
      <c r="J1255" s="147"/>
      <c r="K1255" s="147"/>
      <c r="L1255" s="147"/>
      <c r="M1255" s="147"/>
    </row>
    <row r="1256">
      <c r="A1256" s="147"/>
      <c r="B1256" s="147"/>
      <c r="C1256" s="147"/>
      <c r="D1256" s="147"/>
      <c r="E1256" s="147"/>
      <c r="F1256" s="147"/>
      <c r="G1256" s="147"/>
      <c r="H1256" s="147"/>
      <c r="I1256" s="147"/>
      <c r="J1256" s="147"/>
      <c r="K1256" s="147"/>
      <c r="L1256" s="147"/>
      <c r="M1256" s="147"/>
    </row>
    <row r="1257">
      <c r="A1257" s="147"/>
      <c r="B1257" s="147"/>
      <c r="C1257" s="147"/>
      <c r="D1257" s="147"/>
      <c r="E1257" s="147"/>
      <c r="F1257" s="147"/>
      <c r="G1257" s="147"/>
      <c r="H1257" s="147"/>
      <c r="I1257" s="147"/>
      <c r="J1257" s="147"/>
      <c r="K1257" s="147"/>
      <c r="L1257" s="147"/>
      <c r="M1257" s="147"/>
    </row>
    <row r="1258">
      <c r="A1258" s="147"/>
      <c r="B1258" s="147"/>
      <c r="C1258" s="147"/>
      <c r="D1258" s="147"/>
      <c r="E1258" s="147"/>
      <c r="F1258" s="147"/>
      <c r="G1258" s="147"/>
      <c r="H1258" s="147"/>
      <c r="I1258" s="147"/>
      <c r="J1258" s="147"/>
      <c r="K1258" s="147"/>
      <c r="L1258" s="147"/>
      <c r="M1258" s="147"/>
    </row>
    <row r="1259">
      <c r="A1259" s="147"/>
      <c r="B1259" s="147"/>
      <c r="C1259" s="147"/>
      <c r="D1259" s="147"/>
      <c r="E1259" s="147"/>
      <c r="F1259" s="147"/>
      <c r="G1259" s="147"/>
      <c r="H1259" s="147"/>
      <c r="I1259" s="147"/>
      <c r="J1259" s="147"/>
      <c r="K1259" s="147"/>
      <c r="L1259" s="147"/>
      <c r="M1259" s="147"/>
    </row>
    <row r="1260">
      <c r="A1260" s="147"/>
      <c r="B1260" s="147"/>
      <c r="C1260" s="147"/>
      <c r="D1260" s="147"/>
      <c r="E1260" s="147"/>
      <c r="F1260" s="147"/>
      <c r="G1260" s="147"/>
      <c r="H1260" s="147"/>
      <c r="I1260" s="147"/>
      <c r="J1260" s="147"/>
      <c r="K1260" s="147"/>
      <c r="L1260" s="147"/>
      <c r="M1260" s="147"/>
    </row>
    <row r="1261">
      <c r="A1261" s="147"/>
      <c r="B1261" s="147"/>
      <c r="C1261" s="147"/>
      <c r="D1261" s="147"/>
      <c r="E1261" s="147"/>
      <c r="F1261" s="147"/>
      <c r="G1261" s="147"/>
      <c r="H1261" s="147"/>
      <c r="I1261" s="147"/>
      <c r="J1261" s="147"/>
      <c r="K1261" s="147"/>
      <c r="L1261" s="147"/>
      <c r="M1261" s="147"/>
    </row>
    <row r="1262">
      <c r="A1262" s="147"/>
      <c r="B1262" s="147"/>
      <c r="C1262" s="147"/>
      <c r="D1262" s="147"/>
      <c r="E1262" s="147"/>
      <c r="F1262" s="147"/>
      <c r="G1262" s="147"/>
      <c r="H1262" s="147"/>
      <c r="I1262" s="147"/>
      <c r="J1262" s="147"/>
      <c r="K1262" s="147"/>
      <c r="L1262" s="147"/>
      <c r="M1262" s="147"/>
    </row>
    <row r="1263">
      <c r="A1263" s="147"/>
      <c r="B1263" s="147"/>
      <c r="C1263" s="147"/>
      <c r="D1263" s="147"/>
      <c r="E1263" s="147"/>
      <c r="F1263" s="147"/>
      <c r="G1263" s="147"/>
      <c r="H1263" s="147"/>
      <c r="I1263" s="147"/>
      <c r="J1263" s="147"/>
      <c r="K1263" s="147"/>
      <c r="L1263" s="147"/>
      <c r="M1263" s="147"/>
    </row>
    <row r="1264">
      <c r="A1264" s="147"/>
      <c r="B1264" s="147"/>
      <c r="C1264" s="147"/>
      <c r="D1264" s="147"/>
      <c r="E1264" s="147"/>
      <c r="F1264" s="147"/>
      <c r="G1264" s="147"/>
      <c r="H1264" s="147"/>
      <c r="I1264" s="147"/>
      <c r="J1264" s="147"/>
      <c r="K1264" s="147"/>
      <c r="L1264" s="147"/>
      <c r="M1264" s="147"/>
    </row>
    <row r="1265">
      <c r="A1265" s="147"/>
      <c r="B1265" s="147"/>
      <c r="C1265" s="147"/>
      <c r="D1265" s="147"/>
      <c r="E1265" s="147"/>
      <c r="F1265" s="147"/>
      <c r="G1265" s="147"/>
      <c r="H1265" s="147"/>
      <c r="I1265" s="147"/>
      <c r="J1265" s="147"/>
      <c r="K1265" s="147"/>
      <c r="L1265" s="147"/>
      <c r="M1265" s="147"/>
    </row>
    <row r="1266">
      <c r="A1266" s="147"/>
      <c r="B1266" s="147"/>
      <c r="C1266" s="147"/>
      <c r="D1266" s="147"/>
      <c r="E1266" s="147"/>
      <c r="F1266" s="147"/>
      <c r="G1266" s="147"/>
      <c r="H1266" s="147"/>
      <c r="I1266" s="147"/>
      <c r="J1266" s="147"/>
      <c r="K1266" s="147"/>
      <c r="L1266" s="147"/>
      <c r="M1266" s="147"/>
    </row>
    <row r="1267">
      <c r="A1267" s="147"/>
      <c r="B1267" s="147"/>
      <c r="C1267" s="147"/>
      <c r="D1267" s="147"/>
      <c r="E1267" s="147"/>
      <c r="F1267" s="147"/>
      <c r="G1267" s="147"/>
      <c r="H1267" s="147"/>
      <c r="I1267" s="147"/>
      <c r="J1267" s="147"/>
      <c r="K1267" s="147"/>
      <c r="L1267" s="147"/>
      <c r="M1267" s="147"/>
    </row>
    <row r="1268">
      <c r="A1268" s="147"/>
      <c r="B1268" s="147"/>
      <c r="C1268" s="147"/>
      <c r="D1268" s="147"/>
      <c r="E1268" s="147"/>
      <c r="F1268" s="147"/>
      <c r="G1268" s="147"/>
      <c r="H1268" s="147"/>
      <c r="I1268" s="147"/>
      <c r="J1268" s="147"/>
      <c r="K1268" s="147"/>
      <c r="L1268" s="147"/>
      <c r="M1268" s="147"/>
    </row>
    <row r="1269">
      <c r="A1269" s="147"/>
      <c r="B1269" s="147"/>
      <c r="C1269" s="147"/>
      <c r="D1269" s="147"/>
      <c r="E1269" s="147"/>
      <c r="F1269" s="147"/>
      <c r="G1269" s="147"/>
      <c r="H1269" s="147"/>
      <c r="I1269" s="147"/>
      <c r="J1269" s="147"/>
      <c r="K1269" s="147"/>
      <c r="L1269" s="147"/>
      <c r="M1269" s="147"/>
    </row>
    <row r="1270">
      <c r="A1270" s="147"/>
      <c r="B1270" s="147"/>
      <c r="C1270" s="147"/>
      <c r="D1270" s="147"/>
      <c r="E1270" s="147"/>
      <c r="F1270" s="147"/>
      <c r="G1270" s="147"/>
      <c r="H1270" s="147"/>
      <c r="I1270" s="147"/>
      <c r="J1270" s="147"/>
      <c r="K1270" s="147"/>
      <c r="L1270" s="147"/>
      <c r="M1270" s="147"/>
    </row>
    <row r="1271">
      <c r="A1271" s="147"/>
      <c r="B1271" s="147"/>
      <c r="C1271" s="147"/>
      <c r="D1271" s="147"/>
      <c r="E1271" s="147"/>
      <c r="F1271" s="147"/>
      <c r="G1271" s="147"/>
      <c r="H1271" s="147"/>
      <c r="I1271" s="147"/>
      <c r="J1271" s="147"/>
      <c r="K1271" s="147"/>
      <c r="L1271" s="147"/>
      <c r="M1271" s="147"/>
    </row>
    <row r="1272">
      <c r="A1272" s="147"/>
      <c r="B1272" s="147"/>
      <c r="C1272" s="147"/>
      <c r="D1272" s="147"/>
      <c r="E1272" s="147"/>
      <c r="F1272" s="147"/>
      <c r="G1272" s="147"/>
      <c r="H1272" s="147"/>
      <c r="I1272" s="147"/>
      <c r="J1272" s="147"/>
      <c r="K1272" s="147"/>
      <c r="L1272" s="147"/>
      <c r="M1272" s="147"/>
    </row>
    <row r="1273">
      <c r="A1273" s="147"/>
      <c r="B1273" s="147"/>
      <c r="C1273" s="147"/>
      <c r="D1273" s="147"/>
      <c r="E1273" s="147"/>
      <c r="F1273" s="147"/>
      <c r="G1273" s="147"/>
      <c r="H1273" s="147"/>
      <c r="I1273" s="147"/>
      <c r="J1273" s="147"/>
      <c r="K1273" s="147"/>
      <c r="L1273" s="147"/>
      <c r="M1273" s="147"/>
    </row>
    <row r="1274">
      <c r="A1274" s="147"/>
      <c r="B1274" s="147"/>
      <c r="C1274" s="147"/>
      <c r="D1274" s="147"/>
      <c r="E1274" s="147"/>
      <c r="F1274" s="147"/>
      <c r="G1274" s="147"/>
      <c r="H1274" s="147"/>
      <c r="I1274" s="147"/>
      <c r="J1274" s="147"/>
      <c r="K1274" s="147"/>
      <c r="L1274" s="147"/>
      <c r="M1274" s="147"/>
    </row>
    <row r="1275">
      <c r="A1275" s="147"/>
      <c r="B1275" s="147"/>
      <c r="C1275" s="147"/>
      <c r="D1275" s="147"/>
      <c r="E1275" s="147"/>
      <c r="F1275" s="147"/>
      <c r="G1275" s="147"/>
      <c r="H1275" s="147"/>
      <c r="I1275" s="147"/>
      <c r="J1275" s="147"/>
      <c r="K1275" s="147"/>
      <c r="L1275" s="147"/>
      <c r="M1275" s="147"/>
    </row>
    <row r="1276">
      <c r="A1276" s="147"/>
      <c r="B1276" s="147"/>
      <c r="C1276" s="147"/>
      <c r="D1276" s="147"/>
      <c r="E1276" s="147"/>
      <c r="F1276" s="147"/>
      <c r="G1276" s="147"/>
      <c r="H1276" s="147"/>
      <c r="I1276" s="147"/>
      <c r="J1276" s="147"/>
      <c r="K1276" s="147"/>
      <c r="L1276" s="147"/>
      <c r="M1276" s="147"/>
    </row>
    <row r="1277">
      <c r="A1277" s="147"/>
      <c r="B1277" s="147"/>
      <c r="C1277" s="147"/>
      <c r="D1277" s="147"/>
      <c r="E1277" s="147"/>
      <c r="F1277" s="147"/>
      <c r="G1277" s="147"/>
      <c r="H1277" s="147"/>
      <c r="I1277" s="147"/>
      <c r="J1277" s="147"/>
      <c r="K1277" s="147"/>
      <c r="L1277" s="147"/>
      <c r="M1277" s="147"/>
    </row>
    <row r="1278">
      <c r="A1278" s="147"/>
      <c r="B1278" s="147"/>
      <c r="C1278" s="147"/>
      <c r="D1278" s="147"/>
      <c r="E1278" s="147"/>
      <c r="F1278" s="147"/>
      <c r="G1278" s="147"/>
      <c r="H1278" s="147"/>
      <c r="I1278" s="147"/>
      <c r="J1278" s="147"/>
      <c r="K1278" s="147"/>
      <c r="L1278" s="147"/>
      <c r="M1278" s="147"/>
    </row>
    <row r="1279">
      <c r="A1279" s="147"/>
      <c r="B1279" s="147"/>
      <c r="C1279" s="147"/>
      <c r="D1279" s="147"/>
      <c r="E1279" s="147"/>
      <c r="F1279" s="147"/>
      <c r="G1279" s="147"/>
      <c r="H1279" s="147"/>
      <c r="I1279" s="147"/>
      <c r="J1279" s="147"/>
      <c r="K1279" s="147"/>
      <c r="L1279" s="147"/>
      <c r="M1279" s="147"/>
    </row>
    <row r="1280">
      <c r="A1280" s="147"/>
      <c r="B1280" s="147"/>
      <c r="C1280" s="147"/>
      <c r="D1280" s="147"/>
      <c r="E1280" s="147"/>
      <c r="F1280" s="147"/>
      <c r="G1280" s="147"/>
      <c r="H1280" s="147"/>
      <c r="I1280" s="147"/>
      <c r="J1280" s="147"/>
      <c r="K1280" s="147"/>
      <c r="L1280" s="147"/>
      <c r="M1280" s="147"/>
    </row>
    <row r="1281">
      <c r="A1281" s="147"/>
      <c r="B1281" s="147"/>
      <c r="C1281" s="147"/>
      <c r="D1281" s="147"/>
      <c r="E1281" s="147"/>
      <c r="F1281" s="147"/>
      <c r="G1281" s="147"/>
      <c r="H1281" s="147"/>
      <c r="I1281" s="147"/>
      <c r="J1281" s="147"/>
      <c r="K1281" s="147"/>
      <c r="L1281" s="147"/>
      <c r="M1281" s="147"/>
    </row>
    <row r="1282">
      <c r="A1282" s="147"/>
      <c r="B1282" s="147"/>
      <c r="C1282" s="147"/>
      <c r="D1282" s="147"/>
      <c r="E1282" s="147"/>
      <c r="F1282" s="147"/>
      <c r="G1282" s="147"/>
      <c r="H1282" s="147"/>
      <c r="I1282" s="147"/>
      <c r="J1282" s="147"/>
      <c r="K1282" s="147"/>
      <c r="L1282" s="147"/>
      <c r="M1282" s="147"/>
    </row>
    <row r="1283">
      <c r="A1283" s="147"/>
      <c r="B1283" s="147"/>
      <c r="C1283" s="147"/>
      <c r="D1283" s="147"/>
      <c r="E1283" s="147"/>
      <c r="F1283" s="147"/>
      <c r="G1283" s="147"/>
      <c r="H1283" s="147"/>
      <c r="I1283" s="147"/>
      <c r="J1283" s="147"/>
      <c r="K1283" s="147"/>
      <c r="L1283" s="147"/>
      <c r="M1283" s="147"/>
    </row>
    <row r="1284">
      <c r="A1284" s="147"/>
      <c r="B1284" s="147"/>
      <c r="C1284" s="147"/>
      <c r="D1284" s="147"/>
      <c r="E1284" s="147"/>
      <c r="F1284" s="147"/>
      <c r="G1284" s="147"/>
      <c r="H1284" s="147"/>
      <c r="I1284" s="147"/>
      <c r="J1284" s="147"/>
      <c r="K1284" s="147"/>
      <c r="L1284" s="147"/>
      <c r="M1284" s="147"/>
    </row>
    <row r="1285">
      <c r="A1285" s="147"/>
      <c r="B1285" s="147"/>
      <c r="C1285" s="147"/>
      <c r="D1285" s="147"/>
      <c r="E1285" s="147"/>
      <c r="F1285" s="147"/>
      <c r="G1285" s="147"/>
      <c r="H1285" s="147"/>
      <c r="I1285" s="147"/>
      <c r="J1285" s="147"/>
      <c r="K1285" s="147"/>
      <c r="L1285" s="147"/>
      <c r="M1285" s="147"/>
    </row>
    <row r="1286">
      <c r="A1286" s="147"/>
      <c r="B1286" s="147"/>
      <c r="C1286" s="147"/>
      <c r="D1286" s="147"/>
      <c r="E1286" s="147"/>
      <c r="F1286" s="147"/>
      <c r="G1286" s="147"/>
      <c r="H1286" s="147"/>
      <c r="I1286" s="147"/>
      <c r="J1286" s="147"/>
      <c r="K1286" s="147"/>
      <c r="L1286" s="147"/>
      <c r="M1286" s="147"/>
    </row>
    <row r="1287">
      <c r="A1287" s="147"/>
      <c r="B1287" s="147"/>
      <c r="C1287" s="147"/>
      <c r="D1287" s="147"/>
      <c r="E1287" s="147"/>
      <c r="F1287" s="147"/>
      <c r="G1287" s="147"/>
      <c r="H1287" s="147"/>
      <c r="I1287" s="147"/>
      <c r="J1287" s="147"/>
      <c r="K1287" s="147"/>
      <c r="L1287" s="147"/>
      <c r="M1287" s="147"/>
    </row>
    <row r="1288">
      <c r="A1288" s="147"/>
      <c r="B1288" s="147"/>
      <c r="C1288" s="147"/>
      <c r="D1288" s="147"/>
      <c r="E1288" s="147"/>
      <c r="F1288" s="147"/>
      <c r="G1288" s="147"/>
      <c r="H1288" s="147"/>
      <c r="I1288" s="147"/>
      <c r="J1288" s="147"/>
      <c r="K1288" s="147"/>
      <c r="L1288" s="147"/>
      <c r="M1288" s="147"/>
    </row>
    <row r="1289">
      <c r="A1289" s="147"/>
      <c r="B1289" s="147"/>
      <c r="C1289" s="147"/>
      <c r="D1289" s="147"/>
      <c r="E1289" s="147"/>
      <c r="F1289" s="147"/>
      <c r="G1289" s="147"/>
      <c r="H1289" s="147"/>
      <c r="I1289" s="147"/>
      <c r="J1289" s="147"/>
      <c r="K1289" s="147"/>
      <c r="L1289" s="147"/>
      <c r="M1289" s="147"/>
    </row>
    <row r="1290">
      <c r="A1290" s="147"/>
      <c r="B1290" s="147"/>
      <c r="C1290" s="147"/>
      <c r="D1290" s="147"/>
      <c r="E1290" s="147"/>
      <c r="F1290" s="147"/>
      <c r="G1290" s="147"/>
      <c r="H1290" s="147"/>
      <c r="I1290" s="147"/>
      <c r="J1290" s="147"/>
      <c r="K1290" s="147"/>
      <c r="L1290" s="147"/>
      <c r="M1290" s="147"/>
    </row>
    <row r="1291">
      <c r="A1291" s="147"/>
      <c r="B1291" s="147"/>
      <c r="C1291" s="147"/>
      <c r="D1291" s="147"/>
      <c r="E1291" s="147"/>
      <c r="F1291" s="147"/>
      <c r="G1291" s="147"/>
      <c r="H1291" s="147"/>
      <c r="I1291" s="147"/>
      <c r="J1291" s="147"/>
      <c r="K1291" s="147"/>
      <c r="L1291" s="147"/>
      <c r="M1291" s="147"/>
    </row>
    <row r="1292">
      <c r="A1292" s="147"/>
      <c r="B1292" s="147"/>
      <c r="C1292" s="147"/>
      <c r="D1292" s="147"/>
      <c r="E1292" s="147"/>
      <c r="F1292" s="147"/>
      <c r="G1292" s="147"/>
      <c r="H1292" s="147"/>
      <c r="I1292" s="147"/>
      <c r="J1292" s="147"/>
      <c r="K1292" s="147"/>
      <c r="L1292" s="147"/>
      <c r="M1292" s="147"/>
    </row>
    <row r="1293">
      <c r="A1293" s="147"/>
      <c r="B1293" s="147"/>
      <c r="C1293" s="147"/>
      <c r="D1293" s="147"/>
      <c r="E1293" s="147"/>
      <c r="F1293" s="147"/>
      <c r="G1293" s="147"/>
      <c r="H1293" s="147"/>
      <c r="I1293" s="147"/>
      <c r="J1293" s="147"/>
      <c r="K1293" s="147"/>
      <c r="L1293" s="147"/>
      <c r="M1293" s="147"/>
    </row>
    <row r="1294">
      <c r="A1294" s="147"/>
      <c r="B1294" s="147"/>
      <c r="C1294" s="147"/>
      <c r="D1294" s="147"/>
      <c r="E1294" s="147"/>
      <c r="F1294" s="147"/>
      <c r="G1294" s="147"/>
      <c r="H1294" s="147"/>
      <c r="I1294" s="147"/>
      <c r="J1294" s="147"/>
      <c r="K1294" s="147"/>
      <c r="L1294" s="147"/>
      <c r="M1294" s="147"/>
    </row>
    <row r="1295">
      <c r="A1295" s="147"/>
      <c r="B1295" s="147"/>
      <c r="C1295" s="147"/>
      <c r="D1295" s="147"/>
      <c r="E1295" s="147"/>
      <c r="F1295" s="147"/>
      <c r="G1295" s="147"/>
      <c r="H1295" s="147"/>
      <c r="I1295" s="147"/>
      <c r="J1295" s="147"/>
      <c r="K1295" s="147"/>
      <c r="L1295" s="147"/>
      <c r="M1295" s="147"/>
    </row>
    <row r="1296">
      <c r="A1296" s="147"/>
      <c r="B1296" s="147"/>
      <c r="C1296" s="147"/>
      <c r="D1296" s="147"/>
      <c r="E1296" s="147"/>
      <c r="F1296" s="147"/>
      <c r="G1296" s="147"/>
      <c r="H1296" s="147"/>
      <c r="I1296" s="147"/>
      <c r="J1296" s="147"/>
      <c r="K1296" s="147"/>
      <c r="L1296" s="147"/>
      <c r="M1296" s="147"/>
    </row>
    <row r="1297">
      <c r="A1297" s="147"/>
      <c r="B1297" s="147"/>
      <c r="C1297" s="147"/>
      <c r="D1297" s="147"/>
      <c r="E1297" s="147"/>
      <c r="F1297" s="147"/>
      <c r="G1297" s="147"/>
      <c r="H1297" s="147"/>
      <c r="I1297" s="147"/>
      <c r="J1297" s="147"/>
      <c r="K1297" s="147"/>
      <c r="L1297" s="147"/>
      <c r="M1297" s="147"/>
    </row>
    <row r="1298">
      <c r="A1298" s="147"/>
      <c r="B1298" s="147"/>
      <c r="C1298" s="147"/>
      <c r="D1298" s="147"/>
      <c r="E1298" s="147"/>
      <c r="F1298" s="147"/>
      <c r="G1298" s="147"/>
      <c r="H1298" s="147"/>
      <c r="I1298" s="147"/>
      <c r="J1298" s="147"/>
      <c r="K1298" s="147"/>
      <c r="L1298" s="147"/>
      <c r="M1298" s="147"/>
    </row>
    <row r="1299">
      <c r="A1299" s="147"/>
      <c r="B1299" s="147"/>
      <c r="C1299" s="147"/>
      <c r="D1299" s="147"/>
      <c r="E1299" s="147"/>
      <c r="F1299" s="147"/>
      <c r="G1299" s="147"/>
      <c r="H1299" s="147"/>
      <c r="I1299" s="147"/>
      <c r="J1299" s="147"/>
      <c r="K1299" s="147"/>
      <c r="L1299" s="147"/>
      <c r="M1299" s="147"/>
    </row>
    <row r="1300">
      <c r="A1300" s="147"/>
      <c r="B1300" s="147"/>
      <c r="C1300" s="147"/>
      <c r="D1300" s="147"/>
      <c r="E1300" s="147"/>
      <c r="F1300" s="147"/>
      <c r="G1300" s="147"/>
      <c r="H1300" s="147"/>
      <c r="I1300" s="147"/>
      <c r="J1300" s="147"/>
      <c r="K1300" s="147"/>
      <c r="L1300" s="147"/>
      <c r="M1300" s="147"/>
    </row>
    <row r="1301">
      <c r="A1301" s="147"/>
      <c r="B1301" s="147"/>
      <c r="C1301" s="147"/>
      <c r="D1301" s="147"/>
      <c r="E1301" s="147"/>
      <c r="F1301" s="147"/>
      <c r="G1301" s="147"/>
      <c r="H1301" s="147"/>
      <c r="I1301" s="147"/>
      <c r="J1301" s="147"/>
      <c r="K1301" s="147"/>
      <c r="L1301" s="147"/>
      <c r="M1301" s="147"/>
    </row>
    <row r="1302">
      <c r="A1302" s="147"/>
      <c r="B1302" s="147"/>
      <c r="C1302" s="147"/>
      <c r="D1302" s="147"/>
      <c r="E1302" s="147"/>
      <c r="F1302" s="147"/>
      <c r="G1302" s="147"/>
      <c r="H1302" s="147"/>
      <c r="I1302" s="147"/>
      <c r="J1302" s="147"/>
      <c r="K1302" s="147"/>
      <c r="L1302" s="147"/>
      <c r="M1302" s="147"/>
    </row>
    <row r="1303">
      <c r="A1303" s="147"/>
      <c r="B1303" s="147"/>
      <c r="C1303" s="147"/>
      <c r="D1303" s="147"/>
      <c r="E1303" s="147"/>
      <c r="F1303" s="147"/>
      <c r="G1303" s="147"/>
      <c r="H1303" s="147"/>
      <c r="I1303" s="147"/>
      <c r="J1303" s="147"/>
      <c r="K1303" s="147"/>
      <c r="L1303" s="147"/>
      <c r="M1303" s="147"/>
    </row>
    <row r="1304">
      <c r="A1304" s="147"/>
      <c r="B1304" s="147"/>
      <c r="C1304" s="147"/>
      <c r="D1304" s="147"/>
      <c r="E1304" s="147"/>
      <c r="F1304" s="147"/>
      <c r="G1304" s="147"/>
      <c r="H1304" s="147"/>
      <c r="I1304" s="147"/>
      <c r="J1304" s="147"/>
      <c r="K1304" s="147"/>
      <c r="L1304" s="147"/>
      <c r="M1304" s="147"/>
    </row>
    <row r="1305">
      <c r="A1305" s="147"/>
      <c r="B1305" s="147"/>
      <c r="C1305" s="147"/>
      <c r="D1305" s="147"/>
      <c r="E1305" s="147"/>
      <c r="F1305" s="147"/>
      <c r="G1305" s="147"/>
      <c r="H1305" s="147"/>
      <c r="I1305" s="147"/>
      <c r="J1305" s="147"/>
      <c r="K1305" s="147"/>
      <c r="L1305" s="147"/>
      <c r="M1305" s="147"/>
    </row>
    <row r="1306">
      <c r="A1306" s="147"/>
      <c r="B1306" s="147"/>
      <c r="C1306" s="147"/>
      <c r="D1306" s="147"/>
      <c r="E1306" s="147"/>
      <c r="F1306" s="147"/>
      <c r="G1306" s="147"/>
      <c r="H1306" s="147"/>
      <c r="I1306" s="147"/>
      <c r="J1306" s="147"/>
      <c r="K1306" s="147"/>
      <c r="L1306" s="147"/>
      <c r="M1306" s="147"/>
    </row>
    <row r="1307">
      <c r="A1307" s="147"/>
      <c r="B1307" s="147"/>
      <c r="C1307" s="147"/>
      <c r="D1307" s="147"/>
      <c r="E1307" s="147"/>
      <c r="F1307" s="147"/>
      <c r="G1307" s="147"/>
      <c r="H1307" s="147"/>
      <c r="I1307" s="147"/>
      <c r="J1307" s="147"/>
      <c r="K1307" s="147"/>
      <c r="L1307" s="147"/>
      <c r="M1307" s="147"/>
    </row>
    <row r="1308">
      <c r="A1308" s="147"/>
      <c r="B1308" s="147"/>
      <c r="C1308" s="147"/>
      <c r="D1308" s="147"/>
      <c r="E1308" s="147"/>
      <c r="F1308" s="147"/>
      <c r="G1308" s="147"/>
      <c r="H1308" s="147"/>
      <c r="I1308" s="147"/>
      <c r="J1308" s="147"/>
      <c r="K1308" s="147"/>
      <c r="L1308" s="147"/>
      <c r="M1308" s="147"/>
    </row>
    <row r="1309">
      <c r="A1309" s="147"/>
      <c r="B1309" s="147"/>
      <c r="C1309" s="147"/>
      <c r="D1309" s="147"/>
      <c r="E1309" s="147"/>
      <c r="F1309" s="147"/>
      <c r="G1309" s="147"/>
      <c r="H1309" s="147"/>
      <c r="I1309" s="147"/>
      <c r="J1309" s="147"/>
      <c r="K1309" s="147"/>
      <c r="L1309" s="147"/>
      <c r="M1309" s="147"/>
    </row>
    <row r="1310">
      <c r="A1310" s="147"/>
      <c r="B1310" s="147"/>
      <c r="C1310" s="147"/>
      <c r="D1310" s="147"/>
      <c r="E1310" s="147"/>
      <c r="F1310" s="147"/>
      <c r="G1310" s="147"/>
      <c r="H1310" s="147"/>
      <c r="I1310" s="147"/>
      <c r="J1310" s="147"/>
      <c r="K1310" s="147"/>
      <c r="L1310" s="147"/>
      <c r="M1310" s="147"/>
    </row>
    <row r="1311">
      <c r="A1311" s="147"/>
      <c r="B1311" s="147"/>
      <c r="C1311" s="147"/>
      <c r="D1311" s="147"/>
      <c r="E1311" s="147"/>
      <c r="F1311" s="147"/>
      <c r="G1311" s="147"/>
      <c r="H1311" s="147"/>
      <c r="I1311" s="147"/>
      <c r="J1311" s="147"/>
      <c r="K1311" s="147"/>
      <c r="L1311" s="147"/>
      <c r="M1311" s="147"/>
    </row>
    <row r="1312">
      <c r="A1312" s="147"/>
      <c r="B1312" s="147"/>
      <c r="C1312" s="147"/>
      <c r="D1312" s="147"/>
      <c r="E1312" s="147"/>
      <c r="F1312" s="147"/>
      <c r="G1312" s="147"/>
      <c r="H1312" s="147"/>
      <c r="I1312" s="147"/>
      <c r="J1312" s="147"/>
      <c r="K1312" s="147"/>
      <c r="L1312" s="147"/>
      <c r="M1312" s="147"/>
    </row>
    <row r="1313">
      <c r="A1313" s="147"/>
      <c r="B1313" s="147"/>
      <c r="C1313" s="147"/>
      <c r="D1313" s="147"/>
      <c r="E1313" s="147"/>
      <c r="F1313" s="147"/>
      <c r="G1313" s="147"/>
      <c r="H1313" s="147"/>
      <c r="I1313" s="147"/>
      <c r="J1313" s="147"/>
      <c r="K1313" s="147"/>
      <c r="L1313" s="147"/>
      <c r="M1313" s="147"/>
    </row>
    <row r="1314">
      <c r="A1314" s="147"/>
      <c r="B1314" s="147"/>
      <c r="C1314" s="147"/>
      <c r="D1314" s="147"/>
      <c r="E1314" s="147"/>
      <c r="F1314" s="147"/>
      <c r="G1314" s="147"/>
      <c r="H1314" s="147"/>
      <c r="I1314" s="147"/>
      <c r="J1314" s="147"/>
      <c r="K1314" s="147"/>
      <c r="L1314" s="147"/>
      <c r="M1314" s="147"/>
    </row>
    <row r="1315">
      <c r="A1315" s="147"/>
      <c r="B1315" s="147"/>
      <c r="C1315" s="147"/>
      <c r="D1315" s="147"/>
      <c r="E1315" s="147"/>
      <c r="F1315" s="147"/>
      <c r="G1315" s="147"/>
      <c r="H1315" s="147"/>
      <c r="I1315" s="147"/>
      <c r="J1315" s="147"/>
      <c r="K1315" s="147"/>
      <c r="L1315" s="147"/>
      <c r="M1315" s="147"/>
    </row>
    <row r="1316">
      <c r="A1316" s="147"/>
      <c r="B1316" s="147"/>
      <c r="C1316" s="147"/>
      <c r="D1316" s="147"/>
      <c r="E1316" s="147"/>
      <c r="F1316" s="147"/>
      <c r="G1316" s="147"/>
      <c r="H1316" s="147"/>
      <c r="I1316" s="147"/>
      <c r="J1316" s="147"/>
      <c r="K1316" s="147"/>
      <c r="L1316" s="147"/>
      <c r="M1316" s="147"/>
    </row>
    <row r="1317">
      <c r="A1317" s="147"/>
      <c r="B1317" s="147"/>
      <c r="C1317" s="147"/>
      <c r="D1317" s="147"/>
      <c r="E1317" s="147"/>
      <c r="F1317" s="147"/>
      <c r="G1317" s="147"/>
      <c r="H1317" s="147"/>
      <c r="I1317" s="147"/>
      <c r="J1317" s="147"/>
      <c r="K1317" s="147"/>
      <c r="L1317" s="147"/>
      <c r="M1317" s="147"/>
    </row>
    <row r="1318">
      <c r="A1318" s="147"/>
      <c r="B1318" s="147"/>
      <c r="C1318" s="147"/>
      <c r="D1318" s="147"/>
      <c r="E1318" s="147"/>
      <c r="F1318" s="147"/>
      <c r="G1318" s="147"/>
      <c r="H1318" s="147"/>
      <c r="I1318" s="147"/>
      <c r="J1318" s="147"/>
      <c r="K1318" s="147"/>
      <c r="L1318" s="147"/>
      <c r="M1318" s="147"/>
    </row>
    <row r="1319">
      <c r="A1319" s="147"/>
      <c r="B1319" s="147"/>
      <c r="C1319" s="147"/>
      <c r="D1319" s="147"/>
      <c r="E1319" s="147"/>
      <c r="F1319" s="147"/>
      <c r="G1319" s="147"/>
      <c r="H1319" s="147"/>
      <c r="I1319" s="147"/>
      <c r="J1319" s="147"/>
      <c r="K1319" s="147"/>
      <c r="L1319" s="147"/>
      <c r="M1319" s="147"/>
    </row>
    <row r="1320">
      <c r="A1320" s="147"/>
      <c r="B1320" s="147"/>
      <c r="C1320" s="147"/>
      <c r="D1320" s="147"/>
      <c r="E1320" s="147"/>
      <c r="F1320" s="147"/>
      <c r="G1320" s="147"/>
      <c r="H1320" s="147"/>
      <c r="I1320" s="147"/>
      <c r="J1320" s="147"/>
      <c r="K1320" s="147"/>
      <c r="L1320" s="147"/>
      <c r="M1320" s="147"/>
    </row>
    <row r="1321">
      <c r="A1321" s="147"/>
      <c r="B1321" s="147"/>
      <c r="C1321" s="147"/>
      <c r="D1321" s="147"/>
      <c r="E1321" s="147"/>
      <c r="F1321" s="147"/>
      <c r="G1321" s="147"/>
      <c r="H1321" s="147"/>
      <c r="I1321" s="147"/>
      <c r="J1321" s="147"/>
      <c r="K1321" s="147"/>
      <c r="L1321" s="147"/>
      <c r="M1321" s="147"/>
    </row>
    <row r="1322">
      <c r="A1322" s="147"/>
      <c r="B1322" s="147"/>
      <c r="C1322" s="147"/>
      <c r="D1322" s="147"/>
      <c r="E1322" s="147"/>
      <c r="F1322" s="147"/>
      <c r="G1322" s="147"/>
      <c r="H1322" s="147"/>
      <c r="I1322" s="147"/>
      <c r="J1322" s="147"/>
      <c r="K1322" s="147"/>
      <c r="L1322" s="147"/>
      <c r="M1322" s="147"/>
    </row>
    <row r="1323">
      <c r="A1323" s="147"/>
      <c r="B1323" s="147"/>
      <c r="C1323" s="147"/>
      <c r="D1323" s="147"/>
      <c r="E1323" s="147"/>
      <c r="F1323" s="147"/>
      <c r="G1323" s="147"/>
      <c r="H1323" s="147"/>
      <c r="I1323" s="147"/>
      <c r="J1323" s="147"/>
      <c r="K1323" s="147"/>
      <c r="L1323" s="147"/>
      <c r="M1323" s="147"/>
    </row>
    <row r="1324">
      <c r="A1324" s="147"/>
      <c r="B1324" s="147"/>
      <c r="C1324" s="147"/>
      <c r="D1324" s="147"/>
      <c r="E1324" s="147"/>
      <c r="F1324" s="147"/>
      <c r="G1324" s="147"/>
      <c r="H1324" s="147"/>
      <c r="I1324" s="147"/>
      <c r="J1324" s="147"/>
      <c r="K1324" s="147"/>
      <c r="L1324" s="147"/>
      <c r="M1324" s="147"/>
    </row>
    <row r="1325">
      <c r="A1325" s="147"/>
      <c r="B1325" s="147"/>
      <c r="C1325" s="147"/>
      <c r="D1325" s="147"/>
      <c r="E1325" s="147"/>
      <c r="F1325" s="147"/>
      <c r="G1325" s="147"/>
      <c r="H1325" s="147"/>
      <c r="I1325" s="147"/>
      <c r="J1325" s="147"/>
      <c r="K1325" s="147"/>
      <c r="L1325" s="147"/>
      <c r="M1325" s="147"/>
    </row>
    <row r="1326">
      <c r="A1326" s="147"/>
      <c r="B1326" s="147"/>
      <c r="C1326" s="147"/>
      <c r="D1326" s="147"/>
      <c r="E1326" s="147"/>
      <c r="F1326" s="147"/>
      <c r="G1326" s="147"/>
      <c r="H1326" s="147"/>
      <c r="I1326" s="147"/>
      <c r="J1326" s="147"/>
      <c r="K1326" s="147"/>
      <c r="L1326" s="147"/>
      <c r="M1326" s="147"/>
    </row>
    <row r="1327">
      <c r="A1327" s="147"/>
      <c r="B1327" s="147"/>
      <c r="C1327" s="147"/>
      <c r="D1327" s="147"/>
      <c r="E1327" s="147"/>
      <c r="F1327" s="147"/>
      <c r="G1327" s="147"/>
      <c r="H1327" s="147"/>
      <c r="I1327" s="147"/>
      <c r="J1327" s="147"/>
      <c r="K1327" s="147"/>
      <c r="L1327" s="147"/>
      <c r="M1327" s="147"/>
    </row>
    <row r="1328">
      <c r="A1328" s="147"/>
      <c r="B1328" s="147"/>
      <c r="C1328" s="147"/>
      <c r="D1328" s="147"/>
      <c r="E1328" s="147"/>
      <c r="F1328" s="147"/>
      <c r="G1328" s="147"/>
      <c r="H1328" s="147"/>
      <c r="I1328" s="147"/>
      <c r="J1328" s="147"/>
      <c r="K1328" s="147"/>
      <c r="L1328" s="147"/>
      <c r="M1328" s="147"/>
    </row>
    <row r="1329">
      <c r="A1329" s="147"/>
      <c r="B1329" s="147"/>
      <c r="C1329" s="147"/>
      <c r="D1329" s="147"/>
      <c r="E1329" s="147"/>
      <c r="F1329" s="147"/>
      <c r="G1329" s="147"/>
      <c r="H1329" s="147"/>
      <c r="I1329" s="147"/>
      <c r="J1329" s="147"/>
      <c r="K1329" s="147"/>
      <c r="L1329" s="147"/>
      <c r="M1329" s="147"/>
    </row>
    <row r="1330">
      <c r="A1330" s="147"/>
      <c r="B1330" s="147"/>
      <c r="C1330" s="147"/>
      <c r="D1330" s="147"/>
      <c r="E1330" s="147"/>
      <c r="F1330" s="147"/>
      <c r="G1330" s="147"/>
      <c r="H1330" s="147"/>
      <c r="I1330" s="147"/>
      <c r="J1330" s="147"/>
      <c r="K1330" s="147"/>
      <c r="L1330" s="147"/>
      <c r="M1330" s="147"/>
    </row>
    <row r="1331">
      <c r="A1331" s="147"/>
      <c r="B1331" s="147"/>
      <c r="C1331" s="147"/>
      <c r="D1331" s="147"/>
      <c r="E1331" s="147"/>
      <c r="F1331" s="147"/>
      <c r="G1331" s="147"/>
      <c r="H1331" s="147"/>
      <c r="I1331" s="147"/>
      <c r="J1331" s="147"/>
      <c r="K1331" s="147"/>
      <c r="L1331" s="147"/>
      <c r="M1331" s="147"/>
    </row>
    <row r="1332">
      <c r="A1332" s="147"/>
      <c r="B1332" s="147"/>
      <c r="C1332" s="147"/>
      <c r="D1332" s="147"/>
      <c r="E1332" s="147"/>
      <c r="F1332" s="147"/>
      <c r="G1332" s="147"/>
      <c r="H1332" s="147"/>
      <c r="I1332" s="147"/>
      <c r="J1332" s="147"/>
      <c r="K1332" s="147"/>
      <c r="L1332" s="147"/>
      <c r="M1332" s="147"/>
    </row>
    <row r="1333">
      <c r="A1333" s="147"/>
      <c r="B1333" s="147"/>
      <c r="C1333" s="147"/>
      <c r="D1333" s="147"/>
      <c r="E1333" s="147"/>
      <c r="F1333" s="147"/>
      <c r="G1333" s="147"/>
      <c r="H1333" s="147"/>
      <c r="I1333" s="147"/>
      <c r="J1333" s="147"/>
      <c r="K1333" s="147"/>
      <c r="L1333" s="147"/>
      <c r="M1333" s="147"/>
    </row>
    <row r="1334">
      <c r="A1334" s="147"/>
      <c r="B1334" s="147"/>
      <c r="C1334" s="147"/>
      <c r="D1334" s="147"/>
      <c r="E1334" s="147"/>
      <c r="F1334" s="147"/>
      <c r="G1334" s="147"/>
      <c r="H1334" s="147"/>
      <c r="I1334" s="147"/>
      <c r="J1334" s="147"/>
      <c r="K1334" s="147"/>
      <c r="L1334" s="147"/>
      <c r="M1334" s="147"/>
    </row>
    <row r="1335">
      <c r="A1335" s="147"/>
      <c r="B1335" s="147"/>
      <c r="C1335" s="147"/>
      <c r="D1335" s="147"/>
      <c r="E1335" s="147"/>
      <c r="F1335" s="147"/>
      <c r="G1335" s="147"/>
      <c r="H1335" s="147"/>
      <c r="I1335" s="147"/>
      <c r="J1335" s="147"/>
      <c r="K1335" s="147"/>
      <c r="L1335" s="147"/>
      <c r="M1335" s="147"/>
    </row>
    <row r="1336">
      <c r="A1336" s="147"/>
      <c r="B1336" s="147"/>
      <c r="C1336" s="147"/>
      <c r="D1336" s="147"/>
      <c r="E1336" s="147"/>
      <c r="F1336" s="147"/>
      <c r="G1336" s="147"/>
      <c r="H1336" s="147"/>
      <c r="I1336" s="147"/>
      <c r="J1336" s="147"/>
      <c r="K1336" s="147"/>
      <c r="L1336" s="147"/>
      <c r="M1336" s="147"/>
    </row>
    <row r="1337">
      <c r="A1337" s="147"/>
      <c r="B1337" s="147"/>
      <c r="C1337" s="147"/>
      <c r="D1337" s="147"/>
      <c r="E1337" s="147"/>
      <c r="F1337" s="147"/>
      <c r="G1337" s="147"/>
      <c r="H1337" s="147"/>
      <c r="I1337" s="147"/>
      <c r="J1337" s="147"/>
      <c r="K1337" s="147"/>
      <c r="L1337" s="147"/>
      <c r="M1337" s="147"/>
    </row>
    <row r="1338">
      <c r="A1338" s="147"/>
      <c r="B1338" s="147"/>
      <c r="C1338" s="147"/>
      <c r="D1338" s="147"/>
      <c r="E1338" s="147"/>
      <c r="F1338" s="147"/>
      <c r="G1338" s="147"/>
      <c r="H1338" s="147"/>
      <c r="I1338" s="147"/>
      <c r="J1338" s="147"/>
      <c r="K1338" s="147"/>
      <c r="L1338" s="147"/>
      <c r="M1338" s="147"/>
    </row>
    <row r="1339">
      <c r="A1339" s="147"/>
      <c r="B1339" s="147"/>
      <c r="C1339" s="147"/>
      <c r="D1339" s="147"/>
      <c r="E1339" s="147"/>
      <c r="F1339" s="147"/>
      <c r="G1339" s="147"/>
      <c r="H1339" s="147"/>
      <c r="I1339" s="147"/>
      <c r="J1339" s="147"/>
      <c r="K1339" s="147"/>
      <c r="L1339" s="147"/>
      <c r="M1339" s="147"/>
    </row>
    <row r="1340">
      <c r="A1340" s="147"/>
      <c r="B1340" s="147"/>
      <c r="C1340" s="147"/>
      <c r="D1340" s="147"/>
      <c r="E1340" s="147"/>
      <c r="F1340" s="147"/>
      <c r="G1340" s="147"/>
      <c r="H1340" s="147"/>
      <c r="I1340" s="147"/>
      <c r="J1340" s="147"/>
      <c r="K1340" s="147"/>
      <c r="L1340" s="147"/>
      <c r="M1340" s="147"/>
    </row>
    <row r="1341">
      <c r="A1341" s="147"/>
      <c r="B1341" s="147"/>
      <c r="C1341" s="147"/>
      <c r="D1341" s="147"/>
      <c r="E1341" s="147"/>
      <c r="F1341" s="147"/>
      <c r="G1341" s="147"/>
      <c r="H1341" s="147"/>
      <c r="I1341" s="147"/>
      <c r="J1341" s="147"/>
      <c r="K1341" s="147"/>
      <c r="L1341" s="147"/>
      <c r="M1341" s="147"/>
    </row>
    <row r="1342">
      <c r="A1342" s="147"/>
      <c r="B1342" s="147"/>
      <c r="C1342" s="147"/>
      <c r="D1342" s="147"/>
      <c r="E1342" s="147"/>
      <c r="F1342" s="147"/>
      <c r="G1342" s="147"/>
      <c r="H1342" s="147"/>
      <c r="I1342" s="147"/>
      <c r="J1342" s="147"/>
      <c r="K1342" s="147"/>
      <c r="L1342" s="147"/>
      <c r="M1342" s="147"/>
    </row>
    <row r="1343">
      <c r="A1343" s="147"/>
      <c r="B1343" s="147"/>
      <c r="C1343" s="147"/>
      <c r="D1343" s="147"/>
      <c r="E1343" s="147"/>
      <c r="F1343" s="147"/>
      <c r="G1343" s="147"/>
      <c r="H1343" s="147"/>
      <c r="I1343" s="147"/>
      <c r="J1343" s="147"/>
      <c r="K1343" s="147"/>
      <c r="L1343" s="147"/>
      <c r="M1343" s="147"/>
    </row>
    <row r="1344">
      <c r="A1344" s="147"/>
      <c r="B1344" s="147"/>
      <c r="C1344" s="147"/>
      <c r="D1344" s="147"/>
      <c r="E1344" s="147"/>
      <c r="F1344" s="147"/>
      <c r="G1344" s="147"/>
      <c r="H1344" s="147"/>
      <c r="I1344" s="147"/>
      <c r="J1344" s="147"/>
      <c r="K1344" s="147"/>
      <c r="L1344" s="147"/>
      <c r="M1344" s="147"/>
    </row>
    <row r="1345">
      <c r="A1345" s="147"/>
      <c r="B1345" s="147"/>
      <c r="C1345" s="147"/>
      <c r="D1345" s="147"/>
      <c r="E1345" s="147"/>
      <c r="F1345" s="147"/>
      <c r="G1345" s="147"/>
      <c r="H1345" s="147"/>
      <c r="I1345" s="147"/>
      <c r="J1345" s="147"/>
      <c r="K1345" s="147"/>
      <c r="L1345" s="147"/>
      <c r="M1345" s="147"/>
    </row>
    <row r="1346">
      <c r="A1346" s="147"/>
      <c r="B1346" s="147"/>
      <c r="C1346" s="147"/>
      <c r="D1346" s="147"/>
      <c r="E1346" s="147"/>
      <c r="F1346" s="147"/>
      <c r="G1346" s="147"/>
      <c r="H1346" s="147"/>
      <c r="I1346" s="147"/>
      <c r="J1346" s="147"/>
      <c r="K1346" s="147"/>
      <c r="L1346" s="147"/>
      <c r="M1346" s="147"/>
    </row>
    <row r="1347">
      <c r="A1347" s="147"/>
      <c r="B1347" s="147"/>
      <c r="C1347" s="147"/>
      <c r="D1347" s="147"/>
      <c r="E1347" s="147"/>
      <c r="F1347" s="147"/>
      <c r="G1347" s="147"/>
      <c r="H1347" s="147"/>
      <c r="I1347" s="147"/>
      <c r="J1347" s="147"/>
      <c r="K1347" s="147"/>
      <c r="L1347" s="147"/>
      <c r="M1347" s="147"/>
    </row>
    <row r="1348">
      <c r="A1348" s="147"/>
      <c r="B1348" s="147"/>
      <c r="C1348" s="147"/>
      <c r="D1348" s="147"/>
      <c r="E1348" s="147"/>
      <c r="F1348" s="147"/>
      <c r="G1348" s="147"/>
      <c r="H1348" s="147"/>
      <c r="I1348" s="147"/>
      <c r="J1348" s="147"/>
      <c r="K1348" s="147"/>
      <c r="L1348" s="147"/>
      <c r="M1348" s="147"/>
    </row>
    <row r="1349">
      <c r="A1349" s="147"/>
      <c r="B1349" s="147"/>
      <c r="C1349" s="147"/>
      <c r="D1349" s="147"/>
      <c r="E1349" s="147"/>
      <c r="F1349" s="147"/>
      <c r="G1349" s="147"/>
      <c r="H1349" s="147"/>
      <c r="I1349" s="147"/>
      <c r="J1349" s="147"/>
      <c r="K1349" s="147"/>
      <c r="L1349" s="147"/>
      <c r="M1349" s="147"/>
    </row>
    <row r="1350">
      <c r="A1350" s="147"/>
      <c r="B1350" s="147"/>
      <c r="C1350" s="147"/>
      <c r="D1350" s="147"/>
      <c r="E1350" s="147"/>
      <c r="F1350" s="147"/>
      <c r="G1350" s="147"/>
      <c r="H1350" s="147"/>
      <c r="I1350" s="147"/>
      <c r="J1350" s="147"/>
      <c r="K1350" s="147"/>
      <c r="L1350" s="147"/>
      <c r="M1350" s="147"/>
    </row>
    <row r="1351">
      <c r="A1351" s="147"/>
      <c r="B1351" s="147"/>
      <c r="C1351" s="147"/>
      <c r="D1351" s="147"/>
      <c r="E1351" s="147"/>
      <c r="F1351" s="147"/>
      <c r="G1351" s="147"/>
      <c r="H1351" s="147"/>
      <c r="I1351" s="147"/>
      <c r="J1351" s="147"/>
      <c r="K1351" s="147"/>
      <c r="L1351" s="147"/>
      <c r="M1351" s="147"/>
    </row>
    <row r="1352">
      <c r="A1352" s="147"/>
      <c r="B1352" s="147"/>
      <c r="C1352" s="147"/>
      <c r="D1352" s="147"/>
      <c r="E1352" s="147"/>
      <c r="F1352" s="147"/>
      <c r="G1352" s="147"/>
      <c r="H1352" s="147"/>
      <c r="I1352" s="147"/>
      <c r="J1352" s="147"/>
      <c r="K1352" s="147"/>
      <c r="L1352" s="147"/>
      <c r="M1352" s="147"/>
    </row>
    <row r="1353">
      <c r="A1353" s="147"/>
      <c r="B1353" s="147"/>
      <c r="C1353" s="147"/>
      <c r="D1353" s="147"/>
      <c r="E1353" s="147"/>
      <c r="F1353" s="147"/>
      <c r="G1353" s="147"/>
      <c r="H1353" s="147"/>
      <c r="I1353" s="147"/>
      <c r="J1353" s="147"/>
      <c r="K1353" s="147"/>
      <c r="L1353" s="147"/>
      <c r="M1353" s="147"/>
    </row>
    <row r="1354">
      <c r="A1354" s="147"/>
      <c r="B1354" s="147"/>
      <c r="C1354" s="147"/>
      <c r="D1354" s="147"/>
      <c r="E1354" s="147"/>
      <c r="F1354" s="147"/>
      <c r="G1354" s="147"/>
      <c r="H1354" s="147"/>
      <c r="I1354" s="147"/>
      <c r="J1354" s="147"/>
      <c r="K1354" s="147"/>
      <c r="L1354" s="147"/>
      <c r="M1354" s="147"/>
    </row>
    <row r="1355">
      <c r="A1355" s="147"/>
      <c r="B1355" s="147"/>
      <c r="C1355" s="147"/>
      <c r="D1355" s="147"/>
      <c r="E1355" s="147"/>
      <c r="F1355" s="147"/>
      <c r="G1355" s="147"/>
      <c r="H1355" s="147"/>
      <c r="I1355" s="147"/>
      <c r="J1355" s="147"/>
      <c r="K1355" s="147"/>
      <c r="L1355" s="147"/>
      <c r="M1355" s="147"/>
    </row>
    <row r="1356">
      <c r="A1356" s="147"/>
      <c r="B1356" s="147"/>
      <c r="C1356" s="147"/>
      <c r="D1356" s="147"/>
      <c r="E1356" s="147"/>
      <c r="F1356" s="147"/>
      <c r="G1356" s="147"/>
      <c r="H1356" s="147"/>
      <c r="I1356" s="147"/>
      <c r="J1356" s="147"/>
      <c r="K1356" s="147"/>
      <c r="L1356" s="147"/>
      <c r="M1356" s="147"/>
    </row>
    <row r="1357">
      <c r="A1357" s="147"/>
      <c r="B1357" s="147"/>
      <c r="C1357" s="147"/>
      <c r="D1357" s="147"/>
      <c r="E1357" s="147"/>
      <c r="F1357" s="147"/>
      <c r="G1357" s="147"/>
      <c r="H1357" s="147"/>
      <c r="I1357" s="147"/>
      <c r="J1357" s="147"/>
      <c r="K1357" s="147"/>
      <c r="L1357" s="147"/>
      <c r="M1357" s="147"/>
    </row>
    <row r="1358">
      <c r="A1358" s="147"/>
      <c r="B1358" s="147"/>
      <c r="C1358" s="147"/>
      <c r="D1358" s="147"/>
      <c r="E1358" s="147"/>
      <c r="F1358" s="147"/>
      <c r="G1358" s="147"/>
      <c r="H1358" s="147"/>
      <c r="I1358" s="147"/>
      <c r="J1358" s="147"/>
      <c r="K1358" s="147"/>
      <c r="L1358" s="147"/>
      <c r="M1358" s="147"/>
    </row>
    <row r="1359">
      <c r="A1359" s="147"/>
      <c r="B1359" s="147"/>
      <c r="C1359" s="147"/>
      <c r="D1359" s="147"/>
      <c r="E1359" s="147"/>
      <c r="F1359" s="147"/>
      <c r="G1359" s="147"/>
      <c r="H1359" s="147"/>
      <c r="I1359" s="147"/>
      <c r="J1359" s="147"/>
      <c r="K1359" s="147"/>
      <c r="L1359" s="147"/>
      <c r="M1359" s="147"/>
    </row>
    <row r="1360">
      <c r="A1360" s="147"/>
      <c r="B1360" s="147"/>
      <c r="C1360" s="147"/>
      <c r="D1360" s="147"/>
      <c r="E1360" s="147"/>
      <c r="F1360" s="147"/>
      <c r="G1360" s="147"/>
      <c r="H1360" s="147"/>
      <c r="I1360" s="147"/>
      <c r="J1360" s="147"/>
      <c r="K1360" s="147"/>
      <c r="L1360" s="147"/>
      <c r="M1360" s="147"/>
    </row>
    <row r="1361">
      <c r="A1361" s="147"/>
      <c r="B1361" s="147"/>
      <c r="C1361" s="147"/>
      <c r="D1361" s="147"/>
      <c r="E1361" s="147"/>
      <c r="F1361" s="147"/>
      <c r="G1361" s="147"/>
      <c r="H1361" s="147"/>
      <c r="I1361" s="147"/>
      <c r="J1361" s="147"/>
      <c r="K1361" s="147"/>
      <c r="L1361" s="147"/>
      <c r="M1361" s="147"/>
    </row>
    <row r="1362">
      <c r="A1362" s="147"/>
      <c r="B1362" s="147"/>
      <c r="C1362" s="147"/>
      <c r="D1362" s="147"/>
      <c r="E1362" s="147"/>
      <c r="F1362" s="147"/>
      <c r="G1362" s="147"/>
      <c r="H1362" s="147"/>
      <c r="I1362" s="147"/>
      <c r="J1362" s="147"/>
      <c r="K1362" s="147"/>
      <c r="L1362" s="147"/>
      <c r="M1362" s="147"/>
    </row>
    <row r="1363">
      <c r="A1363" s="147"/>
      <c r="B1363" s="147"/>
      <c r="C1363" s="147"/>
      <c r="D1363" s="147"/>
      <c r="E1363" s="147"/>
      <c r="F1363" s="147"/>
      <c r="G1363" s="147"/>
      <c r="H1363" s="147"/>
      <c r="I1363" s="147"/>
      <c r="J1363" s="147"/>
      <c r="K1363" s="147"/>
      <c r="L1363" s="147"/>
      <c r="M1363" s="147"/>
    </row>
    <row r="1364">
      <c r="A1364" s="147"/>
      <c r="B1364" s="147"/>
      <c r="C1364" s="147"/>
      <c r="D1364" s="147"/>
      <c r="E1364" s="147"/>
      <c r="F1364" s="147"/>
      <c r="G1364" s="147"/>
      <c r="H1364" s="147"/>
      <c r="I1364" s="147"/>
      <c r="J1364" s="147"/>
      <c r="K1364" s="147"/>
      <c r="L1364" s="147"/>
      <c r="M1364" s="147"/>
    </row>
    <row r="1365">
      <c r="A1365" s="147"/>
      <c r="B1365" s="147"/>
      <c r="C1365" s="147"/>
      <c r="D1365" s="147"/>
      <c r="E1365" s="147"/>
      <c r="F1365" s="147"/>
      <c r="G1365" s="147"/>
      <c r="H1365" s="147"/>
      <c r="I1365" s="147"/>
      <c r="J1365" s="147"/>
      <c r="K1365" s="147"/>
      <c r="L1365" s="147"/>
      <c r="M1365" s="147"/>
    </row>
    <row r="1366">
      <c r="A1366" s="147"/>
      <c r="B1366" s="147"/>
      <c r="C1366" s="147"/>
      <c r="D1366" s="147"/>
      <c r="E1366" s="147"/>
      <c r="F1366" s="147"/>
      <c r="G1366" s="147"/>
      <c r="H1366" s="147"/>
      <c r="I1366" s="147"/>
      <c r="J1366" s="147"/>
      <c r="K1366" s="147"/>
      <c r="L1366" s="147"/>
      <c r="M1366" s="147"/>
    </row>
    <row r="1367">
      <c r="A1367" s="147"/>
      <c r="B1367" s="147"/>
      <c r="C1367" s="147"/>
      <c r="D1367" s="147"/>
      <c r="E1367" s="147"/>
      <c r="F1367" s="147"/>
      <c r="G1367" s="147"/>
      <c r="H1367" s="147"/>
      <c r="I1367" s="147"/>
      <c r="J1367" s="147"/>
      <c r="K1367" s="147"/>
      <c r="L1367" s="147"/>
      <c r="M1367" s="147"/>
    </row>
    <row r="1368">
      <c r="A1368" s="147"/>
      <c r="B1368" s="147"/>
      <c r="C1368" s="147"/>
      <c r="D1368" s="147"/>
      <c r="E1368" s="147"/>
      <c r="F1368" s="147"/>
      <c r="G1368" s="147"/>
      <c r="H1368" s="147"/>
      <c r="I1368" s="147"/>
      <c r="J1368" s="147"/>
      <c r="K1368" s="147"/>
      <c r="L1368" s="147"/>
      <c r="M1368" s="147"/>
    </row>
    <row r="1369">
      <c r="A1369" s="147"/>
      <c r="B1369" s="147"/>
      <c r="C1369" s="147"/>
      <c r="D1369" s="147"/>
      <c r="E1369" s="147"/>
      <c r="F1369" s="147"/>
      <c r="G1369" s="147"/>
      <c r="H1369" s="147"/>
      <c r="I1369" s="147"/>
      <c r="J1369" s="147"/>
      <c r="K1369" s="147"/>
      <c r="L1369" s="147"/>
      <c r="M1369" s="147"/>
    </row>
    <row r="1370">
      <c r="A1370" s="147"/>
      <c r="B1370" s="147"/>
      <c r="C1370" s="147"/>
      <c r="D1370" s="147"/>
      <c r="E1370" s="147"/>
      <c r="F1370" s="147"/>
      <c r="G1370" s="147"/>
      <c r="H1370" s="147"/>
      <c r="I1370" s="147"/>
      <c r="J1370" s="147"/>
      <c r="K1370" s="147"/>
      <c r="L1370" s="147"/>
      <c r="M1370" s="147"/>
    </row>
    <row r="1371">
      <c r="A1371" s="147"/>
      <c r="B1371" s="147"/>
      <c r="C1371" s="147"/>
      <c r="D1371" s="147"/>
      <c r="E1371" s="147"/>
      <c r="F1371" s="147"/>
      <c r="G1371" s="147"/>
      <c r="H1371" s="147"/>
      <c r="I1371" s="147"/>
      <c r="J1371" s="147"/>
      <c r="K1371" s="147"/>
      <c r="L1371" s="147"/>
      <c r="M1371" s="147"/>
    </row>
    <row r="1372">
      <c r="A1372" s="147"/>
      <c r="B1372" s="147"/>
      <c r="C1372" s="147"/>
      <c r="D1372" s="147"/>
      <c r="E1372" s="147"/>
      <c r="F1372" s="147"/>
      <c r="G1372" s="147"/>
      <c r="H1372" s="147"/>
      <c r="I1372" s="147"/>
      <c r="J1372" s="147"/>
      <c r="K1372" s="147"/>
      <c r="L1372" s="147"/>
      <c r="M1372" s="147"/>
    </row>
    <row r="1373">
      <c r="A1373" s="147"/>
      <c r="B1373" s="147"/>
      <c r="C1373" s="147"/>
      <c r="D1373" s="147"/>
      <c r="E1373" s="147"/>
      <c r="F1373" s="147"/>
      <c r="G1373" s="147"/>
      <c r="H1373" s="147"/>
      <c r="I1373" s="147"/>
      <c r="J1373" s="147"/>
      <c r="K1373" s="147"/>
      <c r="L1373" s="147"/>
      <c r="M1373" s="147"/>
    </row>
    <row r="1374">
      <c r="A1374" s="147"/>
      <c r="B1374" s="147"/>
      <c r="C1374" s="147"/>
      <c r="D1374" s="147"/>
      <c r="E1374" s="147"/>
      <c r="F1374" s="147"/>
      <c r="G1374" s="147"/>
      <c r="H1374" s="147"/>
      <c r="I1374" s="147"/>
      <c r="J1374" s="147"/>
      <c r="K1374" s="147"/>
      <c r="L1374" s="147"/>
      <c r="M1374" s="147"/>
    </row>
    <row r="1375">
      <c r="A1375" s="147"/>
      <c r="B1375" s="147"/>
      <c r="C1375" s="147"/>
      <c r="D1375" s="147"/>
      <c r="E1375" s="147"/>
      <c r="F1375" s="147"/>
      <c r="G1375" s="147"/>
      <c r="H1375" s="147"/>
      <c r="I1375" s="147"/>
      <c r="J1375" s="147"/>
      <c r="K1375" s="147"/>
      <c r="L1375" s="147"/>
      <c r="M1375" s="147"/>
    </row>
    <row r="1376">
      <c r="A1376" s="147"/>
      <c r="B1376" s="147"/>
      <c r="C1376" s="147"/>
      <c r="D1376" s="147"/>
      <c r="E1376" s="147"/>
      <c r="F1376" s="147"/>
      <c r="G1376" s="147"/>
      <c r="H1376" s="147"/>
      <c r="I1376" s="147"/>
      <c r="J1376" s="147"/>
      <c r="K1376" s="147"/>
      <c r="L1376" s="147"/>
      <c r="M1376" s="147"/>
    </row>
    <row r="1377">
      <c r="A1377" s="147"/>
      <c r="B1377" s="147"/>
      <c r="C1377" s="147"/>
      <c r="D1377" s="147"/>
      <c r="E1377" s="147"/>
      <c r="F1377" s="147"/>
      <c r="G1377" s="147"/>
      <c r="H1377" s="147"/>
      <c r="I1377" s="147"/>
      <c r="J1377" s="147"/>
      <c r="K1377" s="147"/>
      <c r="L1377" s="147"/>
      <c r="M1377" s="147"/>
    </row>
    <row r="1378">
      <c r="A1378" s="147"/>
      <c r="B1378" s="147"/>
      <c r="C1378" s="147"/>
      <c r="D1378" s="147"/>
      <c r="E1378" s="147"/>
      <c r="F1378" s="147"/>
      <c r="G1378" s="147"/>
      <c r="H1378" s="147"/>
      <c r="I1378" s="147"/>
      <c r="J1378" s="147"/>
      <c r="K1378" s="147"/>
      <c r="L1378" s="147"/>
      <c r="M1378" s="147"/>
    </row>
    <row r="1379">
      <c r="A1379" s="147"/>
      <c r="B1379" s="147"/>
      <c r="C1379" s="147"/>
      <c r="D1379" s="147"/>
      <c r="E1379" s="147"/>
      <c r="F1379" s="147"/>
      <c r="G1379" s="147"/>
      <c r="H1379" s="147"/>
      <c r="I1379" s="147"/>
      <c r="J1379" s="147"/>
      <c r="K1379" s="147"/>
      <c r="L1379" s="147"/>
      <c r="M1379" s="147"/>
    </row>
    <row r="1380">
      <c r="A1380" s="147"/>
      <c r="B1380" s="147"/>
      <c r="C1380" s="147"/>
      <c r="D1380" s="147"/>
      <c r="E1380" s="147"/>
      <c r="F1380" s="147"/>
      <c r="G1380" s="147"/>
      <c r="H1380" s="147"/>
      <c r="I1380" s="147"/>
      <c r="J1380" s="147"/>
      <c r="K1380" s="147"/>
      <c r="L1380" s="147"/>
      <c r="M1380" s="147"/>
    </row>
    <row r="1381">
      <c r="A1381" s="147"/>
      <c r="B1381" s="147"/>
      <c r="C1381" s="147"/>
      <c r="D1381" s="147"/>
      <c r="E1381" s="147"/>
      <c r="F1381" s="147"/>
      <c r="G1381" s="147"/>
      <c r="H1381" s="147"/>
      <c r="I1381" s="147"/>
      <c r="J1381" s="147"/>
      <c r="K1381" s="147"/>
      <c r="L1381" s="147"/>
      <c r="M1381" s="147"/>
    </row>
    <row r="1382">
      <c r="A1382" s="147"/>
      <c r="B1382" s="147"/>
      <c r="C1382" s="147"/>
      <c r="D1382" s="147"/>
      <c r="E1382" s="147"/>
      <c r="F1382" s="147"/>
      <c r="G1382" s="147"/>
      <c r="H1382" s="147"/>
      <c r="I1382" s="147"/>
      <c r="J1382" s="147"/>
      <c r="K1382" s="147"/>
      <c r="L1382" s="147"/>
      <c r="M1382" s="147"/>
    </row>
    <row r="1383">
      <c r="A1383" s="147"/>
      <c r="B1383" s="147"/>
      <c r="C1383" s="147"/>
      <c r="D1383" s="147"/>
      <c r="E1383" s="147"/>
      <c r="F1383" s="147"/>
      <c r="G1383" s="147"/>
      <c r="H1383" s="147"/>
      <c r="I1383" s="147"/>
      <c r="J1383" s="147"/>
      <c r="K1383" s="147"/>
      <c r="L1383" s="147"/>
      <c r="M1383" s="147"/>
    </row>
    <row r="1384">
      <c r="A1384" s="147"/>
      <c r="B1384" s="147"/>
      <c r="C1384" s="147"/>
      <c r="D1384" s="147"/>
      <c r="E1384" s="147"/>
      <c r="F1384" s="147"/>
      <c r="G1384" s="147"/>
      <c r="H1384" s="147"/>
      <c r="I1384" s="147"/>
      <c r="J1384" s="147"/>
      <c r="K1384" s="147"/>
      <c r="L1384" s="147"/>
      <c r="M1384" s="147"/>
    </row>
    <row r="1385">
      <c r="A1385" s="147"/>
      <c r="B1385" s="147"/>
      <c r="C1385" s="147"/>
      <c r="D1385" s="147"/>
      <c r="E1385" s="147"/>
      <c r="F1385" s="147"/>
      <c r="G1385" s="147"/>
      <c r="H1385" s="147"/>
      <c r="I1385" s="147"/>
      <c r="J1385" s="147"/>
      <c r="K1385" s="147"/>
      <c r="L1385" s="147"/>
      <c r="M1385" s="147"/>
    </row>
    <row r="1386">
      <c r="A1386" s="147"/>
      <c r="B1386" s="147"/>
      <c r="C1386" s="147"/>
      <c r="D1386" s="147"/>
      <c r="E1386" s="147"/>
      <c r="F1386" s="147"/>
      <c r="G1386" s="147"/>
      <c r="H1386" s="147"/>
      <c r="I1386" s="147"/>
      <c r="J1386" s="147"/>
      <c r="K1386" s="147"/>
      <c r="L1386" s="147"/>
      <c r="M1386" s="147"/>
    </row>
    <row r="1387">
      <c r="A1387" s="147"/>
      <c r="B1387" s="147"/>
      <c r="C1387" s="147"/>
      <c r="D1387" s="147"/>
      <c r="E1387" s="147"/>
      <c r="F1387" s="147"/>
      <c r="G1387" s="147"/>
      <c r="H1387" s="147"/>
      <c r="I1387" s="147"/>
      <c r="J1387" s="147"/>
      <c r="K1387" s="147"/>
      <c r="L1387" s="147"/>
      <c r="M1387" s="147"/>
    </row>
    <row r="1388">
      <c r="A1388" s="147"/>
      <c r="B1388" s="147"/>
      <c r="C1388" s="147"/>
      <c r="D1388" s="147"/>
      <c r="E1388" s="147"/>
      <c r="F1388" s="147"/>
      <c r="G1388" s="147"/>
      <c r="H1388" s="147"/>
      <c r="I1388" s="147"/>
      <c r="J1388" s="147"/>
      <c r="K1388" s="147"/>
      <c r="L1388" s="147"/>
      <c r="M1388" s="147"/>
    </row>
    <row r="1389">
      <c r="A1389" s="147"/>
      <c r="B1389" s="147"/>
      <c r="C1389" s="147"/>
      <c r="D1389" s="147"/>
      <c r="E1389" s="147"/>
      <c r="F1389" s="147"/>
      <c r="G1389" s="147"/>
      <c r="H1389" s="147"/>
      <c r="I1389" s="147"/>
      <c r="J1389" s="147"/>
      <c r="K1389" s="147"/>
      <c r="L1389" s="147"/>
      <c r="M1389" s="147"/>
    </row>
    <row r="1390">
      <c r="A1390" s="147"/>
      <c r="B1390" s="147"/>
      <c r="C1390" s="147"/>
      <c r="D1390" s="147"/>
      <c r="E1390" s="147"/>
      <c r="F1390" s="147"/>
      <c r="G1390" s="147"/>
      <c r="H1390" s="147"/>
      <c r="I1390" s="147"/>
      <c r="J1390" s="147"/>
      <c r="K1390" s="147"/>
      <c r="L1390" s="147"/>
      <c r="M1390" s="147"/>
    </row>
    <row r="1391">
      <c r="A1391" s="147"/>
      <c r="B1391" s="147"/>
      <c r="C1391" s="147"/>
      <c r="D1391" s="147"/>
      <c r="E1391" s="147"/>
      <c r="F1391" s="147"/>
      <c r="G1391" s="147"/>
      <c r="H1391" s="147"/>
      <c r="I1391" s="147"/>
      <c r="J1391" s="147"/>
      <c r="K1391" s="147"/>
      <c r="L1391" s="147"/>
      <c r="M1391" s="147"/>
    </row>
    <row r="1392">
      <c r="A1392" s="147"/>
      <c r="B1392" s="147"/>
      <c r="C1392" s="147"/>
      <c r="D1392" s="147"/>
      <c r="E1392" s="147"/>
      <c r="F1392" s="147"/>
      <c r="G1392" s="147"/>
      <c r="H1392" s="147"/>
      <c r="I1392" s="147"/>
      <c r="J1392" s="147"/>
      <c r="K1392" s="147"/>
      <c r="L1392" s="147"/>
      <c r="M1392" s="147"/>
    </row>
    <row r="1393">
      <c r="A1393" s="147"/>
      <c r="B1393" s="147"/>
      <c r="C1393" s="147"/>
      <c r="D1393" s="147"/>
      <c r="E1393" s="147"/>
      <c r="F1393" s="147"/>
      <c r="G1393" s="147"/>
      <c r="H1393" s="147"/>
      <c r="I1393" s="147"/>
      <c r="J1393" s="147"/>
      <c r="K1393" s="147"/>
      <c r="L1393" s="147"/>
      <c r="M1393" s="147"/>
    </row>
    <row r="1394">
      <c r="A1394" s="147"/>
      <c r="B1394" s="147"/>
      <c r="C1394" s="147"/>
      <c r="D1394" s="147"/>
      <c r="E1394" s="147"/>
      <c r="F1394" s="147"/>
      <c r="G1394" s="147"/>
      <c r="H1394" s="147"/>
      <c r="I1394" s="147"/>
      <c r="J1394" s="147"/>
      <c r="K1394" s="147"/>
      <c r="L1394" s="147"/>
      <c r="M1394" s="147"/>
    </row>
    <row r="1395">
      <c r="A1395" s="147"/>
      <c r="B1395" s="147"/>
      <c r="C1395" s="147"/>
      <c r="D1395" s="147"/>
      <c r="E1395" s="147"/>
      <c r="F1395" s="147"/>
      <c r="G1395" s="147"/>
      <c r="H1395" s="147"/>
      <c r="I1395" s="147"/>
      <c r="J1395" s="147"/>
      <c r="K1395" s="147"/>
      <c r="L1395" s="147"/>
      <c r="M1395" s="147"/>
    </row>
    <row r="1396">
      <c r="A1396" s="147"/>
      <c r="B1396" s="147"/>
      <c r="C1396" s="147"/>
      <c r="D1396" s="147"/>
      <c r="E1396" s="147"/>
      <c r="F1396" s="147"/>
      <c r="G1396" s="147"/>
      <c r="H1396" s="147"/>
      <c r="I1396" s="147"/>
      <c r="J1396" s="147"/>
      <c r="K1396" s="147"/>
      <c r="L1396" s="147"/>
      <c r="M1396" s="147"/>
    </row>
    <row r="1397">
      <c r="A1397" s="147"/>
      <c r="B1397" s="147"/>
      <c r="C1397" s="147"/>
      <c r="D1397" s="147"/>
      <c r="E1397" s="147"/>
      <c r="F1397" s="147"/>
      <c r="G1397" s="147"/>
      <c r="H1397" s="147"/>
      <c r="I1397" s="147"/>
      <c r="J1397" s="147"/>
      <c r="K1397" s="147"/>
      <c r="L1397" s="147"/>
      <c r="M1397" s="147"/>
    </row>
    <row r="1398">
      <c r="A1398" s="147"/>
      <c r="B1398" s="147"/>
      <c r="C1398" s="147"/>
      <c r="D1398" s="147"/>
      <c r="E1398" s="147"/>
      <c r="F1398" s="147"/>
      <c r="G1398" s="147"/>
      <c r="H1398" s="147"/>
      <c r="I1398" s="147"/>
      <c r="J1398" s="147"/>
      <c r="K1398" s="147"/>
      <c r="L1398" s="147"/>
      <c r="M1398" s="147"/>
    </row>
    <row r="1399">
      <c r="A1399" s="147"/>
      <c r="B1399" s="147"/>
      <c r="C1399" s="147"/>
      <c r="D1399" s="147"/>
      <c r="E1399" s="147"/>
      <c r="F1399" s="147"/>
      <c r="G1399" s="147"/>
      <c r="H1399" s="147"/>
      <c r="I1399" s="147"/>
      <c r="J1399" s="147"/>
      <c r="K1399" s="147"/>
      <c r="L1399" s="147"/>
      <c r="M1399" s="147"/>
    </row>
    <row r="1400">
      <c r="A1400" s="147"/>
      <c r="B1400" s="147"/>
      <c r="C1400" s="147"/>
      <c r="D1400" s="147"/>
      <c r="E1400" s="147"/>
      <c r="F1400" s="147"/>
      <c r="G1400" s="147"/>
      <c r="H1400" s="147"/>
      <c r="I1400" s="147"/>
      <c r="J1400" s="147"/>
      <c r="K1400" s="147"/>
      <c r="L1400" s="147"/>
      <c r="M1400" s="147"/>
    </row>
    <row r="1401">
      <c r="A1401" s="147"/>
      <c r="B1401" s="147"/>
      <c r="C1401" s="147"/>
      <c r="D1401" s="147"/>
      <c r="E1401" s="147"/>
      <c r="F1401" s="147"/>
      <c r="G1401" s="147"/>
      <c r="H1401" s="147"/>
      <c r="I1401" s="147"/>
      <c r="J1401" s="147"/>
      <c r="K1401" s="147"/>
      <c r="L1401" s="147"/>
      <c r="M1401" s="147"/>
    </row>
    <row r="1402">
      <c r="A1402" s="147"/>
      <c r="B1402" s="147"/>
      <c r="C1402" s="147"/>
      <c r="D1402" s="147"/>
      <c r="E1402" s="147"/>
      <c r="F1402" s="147"/>
      <c r="G1402" s="147"/>
      <c r="H1402" s="147"/>
      <c r="I1402" s="147"/>
      <c r="J1402" s="147"/>
      <c r="K1402" s="147"/>
      <c r="L1402" s="147"/>
      <c r="M1402" s="147"/>
    </row>
    <row r="1403">
      <c r="A1403" s="147"/>
      <c r="B1403" s="147"/>
      <c r="C1403" s="147"/>
      <c r="D1403" s="147"/>
      <c r="E1403" s="147"/>
      <c r="F1403" s="147"/>
      <c r="G1403" s="147"/>
      <c r="H1403" s="147"/>
      <c r="I1403" s="147"/>
      <c r="J1403" s="147"/>
      <c r="K1403" s="147"/>
      <c r="L1403" s="147"/>
      <c r="M1403" s="147"/>
    </row>
    <row r="1404">
      <c r="A1404" s="147"/>
      <c r="B1404" s="147"/>
      <c r="C1404" s="147"/>
      <c r="D1404" s="147"/>
      <c r="E1404" s="147"/>
      <c r="F1404" s="147"/>
      <c r="G1404" s="147"/>
      <c r="H1404" s="147"/>
      <c r="I1404" s="147"/>
      <c r="J1404" s="147"/>
      <c r="K1404" s="147"/>
      <c r="L1404" s="147"/>
      <c r="M1404" s="147"/>
    </row>
    <row r="1405">
      <c r="A1405" s="147"/>
      <c r="B1405" s="147"/>
      <c r="C1405" s="147"/>
      <c r="D1405" s="147"/>
      <c r="E1405" s="147"/>
      <c r="F1405" s="147"/>
      <c r="G1405" s="147"/>
      <c r="H1405" s="147"/>
      <c r="I1405" s="147"/>
      <c r="J1405" s="147"/>
      <c r="K1405" s="147"/>
      <c r="L1405" s="147"/>
      <c r="M1405" s="147"/>
    </row>
    <row r="1406">
      <c r="A1406" s="147"/>
      <c r="B1406" s="147"/>
      <c r="C1406" s="147"/>
      <c r="D1406" s="147"/>
      <c r="E1406" s="147"/>
      <c r="F1406" s="147"/>
      <c r="G1406" s="147"/>
      <c r="H1406" s="147"/>
      <c r="I1406" s="147"/>
      <c r="J1406" s="147"/>
      <c r="K1406" s="147"/>
      <c r="L1406" s="147"/>
      <c r="M1406" s="147"/>
    </row>
    <row r="1407">
      <c r="A1407" s="147"/>
      <c r="B1407" s="147"/>
      <c r="C1407" s="147"/>
      <c r="D1407" s="147"/>
      <c r="E1407" s="147"/>
      <c r="F1407" s="147"/>
      <c r="G1407" s="147"/>
      <c r="H1407" s="147"/>
      <c r="I1407" s="147"/>
      <c r="J1407" s="147"/>
      <c r="K1407" s="147"/>
      <c r="L1407" s="147"/>
      <c r="M1407" s="147"/>
    </row>
    <row r="1408">
      <c r="A1408" s="147"/>
      <c r="B1408" s="147"/>
      <c r="C1408" s="147"/>
      <c r="D1408" s="147"/>
      <c r="E1408" s="147"/>
      <c r="F1408" s="147"/>
      <c r="G1408" s="147"/>
      <c r="H1408" s="147"/>
      <c r="I1408" s="147"/>
      <c r="J1408" s="147"/>
      <c r="K1408" s="147"/>
      <c r="L1408" s="147"/>
      <c r="M1408" s="147"/>
    </row>
    <row r="1409">
      <c r="A1409" s="147"/>
      <c r="B1409" s="147"/>
      <c r="C1409" s="147"/>
      <c r="D1409" s="147"/>
      <c r="E1409" s="147"/>
      <c r="F1409" s="147"/>
      <c r="G1409" s="147"/>
      <c r="H1409" s="147"/>
      <c r="I1409" s="147"/>
      <c r="J1409" s="147"/>
      <c r="K1409" s="147"/>
      <c r="L1409" s="147"/>
      <c r="M1409" s="147"/>
    </row>
    <row r="1410">
      <c r="A1410" s="147"/>
      <c r="B1410" s="147"/>
      <c r="C1410" s="147"/>
      <c r="D1410" s="147"/>
      <c r="E1410" s="147"/>
      <c r="F1410" s="147"/>
      <c r="G1410" s="147"/>
      <c r="H1410" s="147"/>
      <c r="I1410" s="147"/>
      <c r="J1410" s="147"/>
      <c r="K1410" s="147"/>
      <c r="L1410" s="147"/>
      <c r="M1410" s="147"/>
    </row>
    <row r="1411">
      <c r="A1411" s="147"/>
      <c r="B1411" s="147"/>
      <c r="C1411" s="147"/>
      <c r="D1411" s="147"/>
      <c r="E1411" s="147"/>
      <c r="F1411" s="147"/>
      <c r="G1411" s="147"/>
      <c r="H1411" s="147"/>
      <c r="I1411" s="147"/>
      <c r="J1411" s="147"/>
      <c r="K1411" s="147"/>
      <c r="L1411" s="147"/>
      <c r="M1411" s="147"/>
    </row>
    <row r="1412">
      <c r="A1412" s="147"/>
      <c r="B1412" s="147"/>
      <c r="C1412" s="147"/>
      <c r="D1412" s="147"/>
      <c r="E1412" s="147"/>
      <c r="F1412" s="147"/>
      <c r="G1412" s="147"/>
      <c r="H1412" s="147"/>
      <c r="I1412" s="147"/>
      <c r="J1412" s="147"/>
      <c r="K1412" s="147"/>
      <c r="L1412" s="147"/>
      <c r="M1412" s="147"/>
    </row>
    <row r="1413">
      <c r="A1413" s="147"/>
      <c r="B1413" s="147"/>
      <c r="C1413" s="147"/>
      <c r="D1413" s="147"/>
      <c r="E1413" s="147"/>
      <c r="F1413" s="147"/>
      <c r="G1413" s="147"/>
      <c r="H1413" s="147"/>
      <c r="I1413" s="147"/>
      <c r="J1413" s="147"/>
      <c r="K1413" s="147"/>
      <c r="L1413" s="147"/>
      <c r="M1413" s="147"/>
    </row>
    <row r="1414">
      <c r="A1414" s="147"/>
      <c r="B1414" s="147"/>
      <c r="C1414" s="147"/>
      <c r="D1414" s="147"/>
      <c r="E1414" s="147"/>
      <c r="F1414" s="147"/>
      <c r="G1414" s="147"/>
      <c r="H1414" s="147"/>
      <c r="I1414" s="147"/>
      <c r="J1414" s="147"/>
      <c r="K1414" s="147"/>
      <c r="L1414" s="147"/>
      <c r="M1414" s="147"/>
    </row>
    <row r="1415">
      <c r="A1415" s="147"/>
      <c r="B1415" s="147"/>
      <c r="C1415" s="147"/>
      <c r="D1415" s="147"/>
      <c r="E1415" s="147"/>
      <c r="F1415" s="147"/>
      <c r="G1415" s="147"/>
      <c r="H1415" s="147"/>
      <c r="I1415" s="147"/>
      <c r="J1415" s="147"/>
      <c r="K1415" s="147"/>
      <c r="L1415" s="147"/>
      <c r="M1415" s="147"/>
    </row>
    <row r="1416">
      <c r="A1416" s="147"/>
      <c r="B1416" s="147"/>
      <c r="C1416" s="147"/>
      <c r="D1416" s="147"/>
      <c r="E1416" s="147"/>
      <c r="F1416" s="147"/>
      <c r="G1416" s="147"/>
      <c r="H1416" s="147"/>
      <c r="I1416" s="147"/>
      <c r="J1416" s="147"/>
      <c r="K1416" s="147"/>
      <c r="L1416" s="147"/>
      <c r="M1416" s="147"/>
    </row>
    <row r="1417">
      <c r="A1417" s="147"/>
      <c r="B1417" s="147"/>
      <c r="C1417" s="147"/>
      <c r="D1417" s="147"/>
      <c r="E1417" s="147"/>
      <c r="F1417" s="147"/>
      <c r="G1417" s="147"/>
      <c r="H1417" s="147"/>
      <c r="I1417" s="147"/>
      <c r="J1417" s="147"/>
      <c r="K1417" s="147"/>
      <c r="L1417" s="147"/>
      <c r="M1417" s="147"/>
    </row>
    <row r="1418">
      <c r="A1418" s="147"/>
      <c r="B1418" s="147"/>
      <c r="C1418" s="147"/>
      <c r="D1418" s="147"/>
      <c r="E1418" s="147"/>
      <c r="F1418" s="147"/>
      <c r="G1418" s="147"/>
      <c r="H1418" s="147"/>
      <c r="I1418" s="147"/>
      <c r="J1418" s="147"/>
      <c r="K1418" s="147"/>
      <c r="L1418" s="147"/>
      <c r="M1418" s="147"/>
    </row>
    <row r="1419">
      <c r="A1419" s="147"/>
      <c r="B1419" s="147"/>
      <c r="C1419" s="147"/>
      <c r="D1419" s="147"/>
      <c r="E1419" s="147"/>
      <c r="F1419" s="147"/>
      <c r="G1419" s="147"/>
      <c r="H1419" s="147"/>
      <c r="I1419" s="147"/>
      <c r="J1419" s="147"/>
      <c r="K1419" s="147"/>
      <c r="L1419" s="147"/>
      <c r="M1419" s="147"/>
    </row>
    <row r="1420">
      <c r="A1420" s="147"/>
      <c r="B1420" s="147"/>
      <c r="C1420" s="147"/>
      <c r="D1420" s="147"/>
      <c r="E1420" s="147"/>
      <c r="F1420" s="147"/>
      <c r="G1420" s="147"/>
      <c r="H1420" s="147"/>
      <c r="I1420" s="147"/>
      <c r="J1420" s="147"/>
      <c r="K1420" s="147"/>
      <c r="L1420" s="147"/>
      <c r="M1420" s="147"/>
    </row>
    <row r="1421">
      <c r="A1421" s="147"/>
      <c r="B1421" s="147"/>
      <c r="C1421" s="147"/>
      <c r="D1421" s="147"/>
      <c r="E1421" s="147"/>
      <c r="F1421" s="147"/>
      <c r="G1421" s="147"/>
      <c r="H1421" s="147"/>
      <c r="I1421" s="147"/>
      <c r="J1421" s="147"/>
      <c r="K1421" s="147"/>
      <c r="L1421" s="147"/>
      <c r="M1421" s="147"/>
    </row>
    <row r="1422">
      <c r="A1422" s="147"/>
      <c r="B1422" s="147"/>
      <c r="C1422" s="147"/>
      <c r="D1422" s="147"/>
      <c r="E1422" s="147"/>
      <c r="F1422" s="147"/>
      <c r="G1422" s="147"/>
      <c r="H1422" s="147"/>
      <c r="I1422" s="147"/>
      <c r="J1422" s="147"/>
      <c r="K1422" s="147"/>
      <c r="L1422" s="147"/>
      <c r="M1422" s="147"/>
    </row>
    <row r="1423">
      <c r="A1423" s="147"/>
      <c r="B1423" s="147"/>
      <c r="C1423" s="147"/>
      <c r="D1423" s="147"/>
      <c r="E1423" s="147"/>
      <c r="F1423" s="147"/>
      <c r="G1423" s="147"/>
      <c r="H1423" s="147"/>
      <c r="I1423" s="147"/>
      <c r="J1423" s="147"/>
      <c r="K1423" s="147"/>
      <c r="L1423" s="147"/>
      <c r="M1423" s="147"/>
    </row>
    <row r="1424">
      <c r="A1424" s="147"/>
      <c r="B1424" s="147"/>
      <c r="C1424" s="147"/>
      <c r="D1424" s="147"/>
      <c r="E1424" s="147"/>
      <c r="F1424" s="147"/>
      <c r="G1424" s="147"/>
      <c r="H1424" s="147"/>
      <c r="I1424" s="147"/>
      <c r="J1424" s="147"/>
      <c r="K1424" s="147"/>
      <c r="L1424" s="147"/>
      <c r="M1424" s="147"/>
    </row>
    <row r="1425">
      <c r="A1425" s="147"/>
      <c r="B1425" s="147"/>
      <c r="C1425" s="147"/>
      <c r="D1425" s="147"/>
      <c r="E1425" s="147"/>
      <c r="F1425" s="147"/>
      <c r="G1425" s="147"/>
      <c r="H1425" s="147"/>
      <c r="I1425" s="147"/>
      <c r="J1425" s="147"/>
      <c r="K1425" s="147"/>
      <c r="L1425" s="147"/>
      <c r="M1425" s="147"/>
    </row>
    <row r="1426">
      <c r="A1426" s="147"/>
      <c r="B1426" s="147"/>
      <c r="C1426" s="147"/>
      <c r="D1426" s="147"/>
      <c r="E1426" s="147"/>
      <c r="F1426" s="147"/>
      <c r="G1426" s="147"/>
      <c r="H1426" s="147"/>
      <c r="I1426" s="147"/>
      <c r="J1426" s="147"/>
      <c r="K1426" s="147"/>
      <c r="L1426" s="147"/>
      <c r="M1426" s="147"/>
    </row>
    <row r="1427">
      <c r="A1427" s="147"/>
      <c r="B1427" s="147"/>
      <c r="C1427" s="147"/>
      <c r="D1427" s="147"/>
      <c r="E1427" s="147"/>
      <c r="F1427" s="147"/>
      <c r="G1427" s="147"/>
      <c r="H1427" s="147"/>
      <c r="I1427" s="147"/>
      <c r="J1427" s="147"/>
      <c r="K1427" s="147"/>
      <c r="L1427" s="147"/>
      <c r="M1427" s="147"/>
    </row>
    <row r="1428">
      <c r="A1428" s="147"/>
      <c r="B1428" s="147"/>
      <c r="C1428" s="147"/>
      <c r="D1428" s="147"/>
      <c r="E1428" s="147"/>
      <c r="F1428" s="147"/>
      <c r="G1428" s="147"/>
      <c r="H1428" s="147"/>
      <c r="I1428" s="147"/>
      <c r="J1428" s="147"/>
      <c r="K1428" s="147"/>
      <c r="L1428" s="147"/>
      <c r="M1428" s="147"/>
    </row>
    <row r="1429">
      <c r="A1429" s="147"/>
      <c r="B1429" s="147"/>
      <c r="C1429" s="147"/>
      <c r="D1429" s="147"/>
      <c r="E1429" s="147"/>
      <c r="F1429" s="147"/>
      <c r="G1429" s="147"/>
      <c r="H1429" s="147"/>
      <c r="I1429" s="147"/>
      <c r="J1429" s="147"/>
      <c r="K1429" s="147"/>
      <c r="L1429" s="147"/>
      <c r="M1429" s="147"/>
    </row>
    <row r="1430">
      <c r="A1430" s="147"/>
      <c r="B1430" s="147"/>
      <c r="C1430" s="147"/>
      <c r="D1430" s="147"/>
      <c r="E1430" s="147"/>
      <c r="F1430" s="147"/>
      <c r="G1430" s="147"/>
      <c r="H1430" s="147"/>
      <c r="I1430" s="147"/>
      <c r="J1430" s="147"/>
      <c r="K1430" s="147"/>
      <c r="L1430" s="147"/>
      <c r="M1430" s="147"/>
    </row>
    <row r="1431">
      <c r="A1431" s="147"/>
      <c r="B1431" s="147"/>
      <c r="C1431" s="147"/>
      <c r="D1431" s="147"/>
      <c r="E1431" s="147"/>
      <c r="F1431" s="147"/>
      <c r="G1431" s="147"/>
      <c r="H1431" s="147"/>
      <c r="I1431" s="147"/>
      <c r="J1431" s="147"/>
      <c r="K1431" s="147"/>
      <c r="L1431" s="147"/>
      <c r="M1431" s="147"/>
    </row>
    <row r="1432">
      <c r="A1432" s="147"/>
      <c r="B1432" s="147"/>
      <c r="C1432" s="147"/>
      <c r="D1432" s="147"/>
      <c r="E1432" s="147"/>
      <c r="F1432" s="147"/>
      <c r="G1432" s="147"/>
      <c r="H1432" s="147"/>
      <c r="I1432" s="147"/>
      <c r="J1432" s="147"/>
      <c r="K1432" s="147"/>
      <c r="L1432" s="147"/>
      <c r="M1432" s="147"/>
    </row>
    <row r="1433">
      <c r="A1433" s="147"/>
      <c r="B1433" s="147"/>
      <c r="C1433" s="147"/>
      <c r="D1433" s="147"/>
      <c r="E1433" s="147"/>
      <c r="F1433" s="147"/>
      <c r="G1433" s="147"/>
      <c r="H1433" s="147"/>
      <c r="I1433" s="147"/>
      <c r="J1433" s="147"/>
      <c r="K1433" s="147"/>
      <c r="L1433" s="147"/>
      <c r="M1433" s="147"/>
    </row>
    <row r="1434">
      <c r="A1434" s="147"/>
      <c r="B1434" s="147"/>
      <c r="C1434" s="147"/>
      <c r="D1434" s="147"/>
      <c r="E1434" s="147"/>
      <c r="F1434" s="147"/>
      <c r="G1434" s="147"/>
      <c r="H1434" s="147"/>
      <c r="I1434" s="147"/>
      <c r="J1434" s="147"/>
      <c r="K1434" s="147"/>
      <c r="L1434" s="147"/>
      <c r="M1434" s="147"/>
    </row>
    <row r="1435">
      <c r="A1435" s="147"/>
      <c r="B1435" s="147"/>
      <c r="C1435" s="147"/>
      <c r="D1435" s="147"/>
      <c r="E1435" s="147"/>
      <c r="F1435" s="147"/>
      <c r="G1435" s="147"/>
      <c r="H1435" s="147"/>
      <c r="I1435" s="147"/>
      <c r="J1435" s="147"/>
      <c r="K1435" s="147"/>
      <c r="L1435" s="147"/>
      <c r="M1435" s="147"/>
    </row>
    <row r="1436">
      <c r="A1436" s="147"/>
      <c r="B1436" s="147"/>
      <c r="C1436" s="147"/>
      <c r="D1436" s="147"/>
      <c r="E1436" s="147"/>
      <c r="F1436" s="147"/>
      <c r="G1436" s="147"/>
      <c r="H1436" s="147"/>
      <c r="I1436" s="147"/>
      <c r="J1436" s="147"/>
      <c r="K1436" s="147"/>
      <c r="L1436" s="147"/>
      <c r="M1436" s="147"/>
    </row>
    <row r="1437">
      <c r="A1437" s="147"/>
      <c r="B1437" s="147"/>
      <c r="C1437" s="147"/>
      <c r="D1437" s="147"/>
      <c r="E1437" s="147"/>
      <c r="F1437" s="147"/>
      <c r="G1437" s="147"/>
      <c r="H1437" s="147"/>
      <c r="I1437" s="147"/>
      <c r="J1437" s="147"/>
      <c r="K1437" s="147"/>
      <c r="L1437" s="147"/>
      <c r="M1437" s="147"/>
    </row>
    <row r="1438">
      <c r="A1438" s="147"/>
      <c r="B1438" s="147"/>
      <c r="C1438" s="147"/>
      <c r="D1438" s="147"/>
      <c r="E1438" s="147"/>
      <c r="F1438" s="147"/>
      <c r="G1438" s="147"/>
      <c r="H1438" s="147"/>
      <c r="I1438" s="147"/>
      <c r="J1438" s="147"/>
      <c r="K1438" s="147"/>
      <c r="L1438" s="147"/>
      <c r="M1438" s="147"/>
    </row>
    <row r="1439">
      <c r="A1439" s="147"/>
      <c r="B1439" s="147"/>
      <c r="C1439" s="147"/>
      <c r="D1439" s="147"/>
      <c r="E1439" s="147"/>
      <c r="F1439" s="147"/>
      <c r="G1439" s="147"/>
      <c r="H1439" s="147"/>
      <c r="I1439" s="147"/>
      <c r="J1439" s="147"/>
      <c r="K1439" s="147"/>
      <c r="L1439" s="147"/>
      <c r="M1439" s="147"/>
    </row>
    <row r="1440">
      <c r="A1440" s="147"/>
      <c r="B1440" s="147"/>
      <c r="C1440" s="147"/>
      <c r="D1440" s="147"/>
      <c r="E1440" s="147"/>
      <c r="F1440" s="147"/>
      <c r="G1440" s="147"/>
      <c r="H1440" s="147"/>
      <c r="I1440" s="147"/>
      <c r="J1440" s="147"/>
      <c r="K1440" s="147"/>
      <c r="L1440" s="147"/>
      <c r="M1440" s="147"/>
    </row>
    <row r="1441">
      <c r="A1441" s="147"/>
      <c r="B1441" s="147"/>
      <c r="C1441" s="147"/>
      <c r="D1441" s="147"/>
      <c r="E1441" s="147"/>
      <c r="F1441" s="147"/>
      <c r="G1441" s="147"/>
      <c r="H1441" s="147"/>
      <c r="I1441" s="147"/>
      <c r="J1441" s="147"/>
      <c r="K1441" s="147"/>
      <c r="L1441" s="147"/>
      <c r="M1441" s="147"/>
    </row>
    <row r="1442">
      <c r="A1442" s="147"/>
      <c r="B1442" s="147"/>
      <c r="C1442" s="147"/>
      <c r="D1442" s="147"/>
      <c r="E1442" s="147"/>
      <c r="F1442" s="147"/>
      <c r="G1442" s="147"/>
      <c r="H1442" s="147"/>
      <c r="I1442" s="147"/>
      <c r="J1442" s="147"/>
      <c r="K1442" s="147"/>
      <c r="L1442" s="147"/>
      <c r="M1442" s="147"/>
    </row>
    <row r="1443">
      <c r="A1443" s="147"/>
      <c r="B1443" s="147"/>
      <c r="C1443" s="147"/>
      <c r="D1443" s="147"/>
      <c r="E1443" s="147"/>
      <c r="F1443" s="147"/>
      <c r="G1443" s="147"/>
      <c r="H1443" s="147"/>
      <c r="I1443" s="147"/>
      <c r="J1443" s="147"/>
      <c r="K1443" s="147"/>
      <c r="L1443" s="147"/>
      <c r="M1443" s="147"/>
    </row>
    <row r="1444">
      <c r="A1444" s="147"/>
      <c r="B1444" s="147"/>
      <c r="C1444" s="147"/>
      <c r="D1444" s="147"/>
      <c r="E1444" s="147"/>
      <c r="F1444" s="147"/>
      <c r="G1444" s="147"/>
      <c r="H1444" s="147"/>
      <c r="I1444" s="147"/>
      <c r="J1444" s="147"/>
      <c r="K1444" s="147"/>
      <c r="L1444" s="147"/>
      <c r="M1444" s="147"/>
    </row>
    <row r="1445">
      <c r="A1445" s="147"/>
      <c r="B1445" s="147"/>
      <c r="C1445" s="147"/>
      <c r="D1445" s="147"/>
      <c r="E1445" s="147"/>
      <c r="F1445" s="147"/>
      <c r="G1445" s="147"/>
      <c r="H1445" s="147"/>
      <c r="I1445" s="147"/>
      <c r="J1445" s="147"/>
      <c r="K1445" s="147"/>
      <c r="L1445" s="147"/>
      <c r="M1445" s="147"/>
    </row>
    <row r="1446">
      <c r="A1446" s="147"/>
      <c r="B1446" s="147"/>
      <c r="C1446" s="147"/>
      <c r="D1446" s="147"/>
      <c r="E1446" s="147"/>
      <c r="F1446" s="147"/>
      <c r="G1446" s="147"/>
      <c r="H1446" s="147"/>
      <c r="I1446" s="147"/>
      <c r="J1446" s="147"/>
      <c r="K1446" s="147"/>
      <c r="L1446" s="147"/>
      <c r="M1446" s="147"/>
    </row>
    <row r="1447">
      <c r="A1447" s="147"/>
      <c r="B1447" s="147"/>
      <c r="C1447" s="147"/>
      <c r="D1447" s="147"/>
      <c r="E1447" s="147"/>
      <c r="F1447" s="147"/>
      <c r="G1447" s="147"/>
      <c r="H1447" s="147"/>
      <c r="I1447" s="147"/>
      <c r="J1447" s="147"/>
      <c r="K1447" s="147"/>
      <c r="L1447" s="147"/>
      <c r="M1447" s="147"/>
    </row>
    <row r="1448">
      <c r="A1448" s="147"/>
      <c r="B1448" s="147"/>
      <c r="C1448" s="147"/>
      <c r="D1448" s="147"/>
      <c r="E1448" s="147"/>
      <c r="F1448" s="147"/>
      <c r="G1448" s="147"/>
      <c r="H1448" s="147"/>
      <c r="I1448" s="147"/>
      <c r="J1448" s="147"/>
      <c r="K1448" s="147"/>
      <c r="L1448" s="147"/>
      <c r="M1448" s="147"/>
    </row>
    <row r="1449">
      <c r="A1449" s="147"/>
      <c r="B1449" s="147"/>
      <c r="C1449" s="147"/>
      <c r="D1449" s="147"/>
      <c r="E1449" s="147"/>
      <c r="F1449" s="147"/>
      <c r="G1449" s="147"/>
      <c r="H1449" s="147"/>
      <c r="I1449" s="147"/>
      <c r="J1449" s="147"/>
      <c r="K1449" s="147"/>
      <c r="L1449" s="147"/>
      <c r="M1449" s="147"/>
    </row>
    <row r="1450">
      <c r="A1450" s="147"/>
      <c r="B1450" s="147"/>
      <c r="C1450" s="147"/>
      <c r="D1450" s="147"/>
      <c r="E1450" s="147"/>
      <c r="F1450" s="147"/>
      <c r="G1450" s="147"/>
      <c r="H1450" s="147"/>
      <c r="I1450" s="147"/>
      <c r="J1450" s="147"/>
      <c r="K1450" s="147"/>
      <c r="L1450" s="147"/>
      <c r="M1450" s="147"/>
    </row>
    <row r="1451">
      <c r="A1451" s="147"/>
      <c r="B1451" s="147"/>
      <c r="C1451" s="147"/>
      <c r="D1451" s="147"/>
      <c r="E1451" s="147"/>
      <c r="F1451" s="147"/>
      <c r="G1451" s="147"/>
      <c r="H1451" s="147"/>
      <c r="I1451" s="147"/>
      <c r="J1451" s="147"/>
      <c r="K1451" s="147"/>
      <c r="L1451" s="147"/>
      <c r="M1451" s="147"/>
    </row>
    <row r="1452">
      <c r="A1452" s="147"/>
      <c r="B1452" s="147"/>
      <c r="C1452" s="147"/>
      <c r="D1452" s="147"/>
      <c r="E1452" s="147"/>
      <c r="F1452" s="147"/>
      <c r="G1452" s="147"/>
      <c r="H1452" s="147"/>
      <c r="I1452" s="147"/>
      <c r="J1452" s="147"/>
      <c r="K1452" s="147"/>
      <c r="L1452" s="147"/>
      <c r="M1452" s="147"/>
    </row>
    <row r="1453">
      <c r="A1453" s="147"/>
      <c r="B1453" s="147"/>
      <c r="C1453" s="147"/>
      <c r="D1453" s="147"/>
      <c r="E1453" s="147"/>
      <c r="F1453" s="147"/>
      <c r="G1453" s="147"/>
      <c r="H1453" s="147"/>
      <c r="I1453" s="147"/>
      <c r="J1453" s="147"/>
      <c r="K1453" s="147"/>
      <c r="L1453" s="147"/>
      <c r="M1453" s="147"/>
    </row>
    <row r="1454">
      <c r="A1454" s="147"/>
      <c r="B1454" s="147"/>
      <c r="C1454" s="147"/>
      <c r="D1454" s="147"/>
      <c r="E1454" s="147"/>
      <c r="F1454" s="147"/>
      <c r="G1454" s="147"/>
      <c r="H1454" s="147"/>
      <c r="I1454" s="147"/>
      <c r="J1454" s="147"/>
      <c r="K1454" s="147"/>
      <c r="L1454" s="147"/>
      <c r="M1454" s="147"/>
    </row>
    <row r="1455">
      <c r="A1455" s="147"/>
      <c r="B1455" s="147"/>
      <c r="C1455" s="147"/>
      <c r="D1455" s="147"/>
      <c r="E1455" s="147"/>
      <c r="F1455" s="147"/>
      <c r="G1455" s="147"/>
      <c r="H1455" s="147"/>
      <c r="I1455" s="147"/>
      <c r="J1455" s="147"/>
      <c r="K1455" s="147"/>
      <c r="L1455" s="147"/>
      <c r="M1455" s="147"/>
    </row>
    <row r="1456">
      <c r="A1456" s="147"/>
      <c r="B1456" s="147"/>
      <c r="C1456" s="147"/>
      <c r="D1456" s="147"/>
      <c r="E1456" s="147"/>
      <c r="F1456" s="147"/>
      <c r="G1456" s="147"/>
      <c r="H1456" s="147"/>
      <c r="I1456" s="147"/>
      <c r="J1456" s="147"/>
      <c r="K1456" s="147"/>
      <c r="L1456" s="147"/>
      <c r="M1456" s="147"/>
    </row>
    <row r="1457">
      <c r="A1457" s="147"/>
      <c r="B1457" s="147"/>
      <c r="C1457" s="147"/>
      <c r="D1457" s="147"/>
      <c r="E1457" s="147"/>
      <c r="F1457" s="147"/>
      <c r="G1457" s="147"/>
      <c r="H1457" s="147"/>
      <c r="I1457" s="147"/>
      <c r="J1457" s="147"/>
      <c r="K1457" s="147"/>
      <c r="L1457" s="147"/>
      <c r="M1457" s="147"/>
    </row>
    <row r="1458">
      <c r="A1458" s="147"/>
      <c r="B1458" s="147"/>
      <c r="C1458" s="147"/>
      <c r="D1458" s="147"/>
      <c r="E1458" s="147"/>
      <c r="F1458" s="147"/>
      <c r="G1458" s="147"/>
      <c r="H1458" s="147"/>
      <c r="I1458" s="147"/>
      <c r="J1458" s="147"/>
      <c r="K1458" s="147"/>
      <c r="L1458" s="147"/>
      <c r="M1458" s="147"/>
    </row>
    <row r="1459">
      <c r="A1459" s="147"/>
      <c r="B1459" s="147"/>
      <c r="C1459" s="147"/>
      <c r="D1459" s="147"/>
      <c r="E1459" s="147"/>
      <c r="F1459" s="147"/>
      <c r="G1459" s="147"/>
      <c r="H1459" s="147"/>
      <c r="I1459" s="147"/>
      <c r="J1459" s="147"/>
      <c r="K1459" s="147"/>
      <c r="L1459" s="147"/>
      <c r="M1459" s="147"/>
    </row>
    <row r="1460">
      <c r="A1460" s="147"/>
      <c r="B1460" s="147"/>
      <c r="C1460" s="147"/>
      <c r="D1460" s="147"/>
      <c r="E1460" s="147"/>
      <c r="F1460" s="147"/>
      <c r="G1460" s="147"/>
      <c r="H1460" s="147"/>
      <c r="I1460" s="147"/>
      <c r="J1460" s="147"/>
      <c r="K1460" s="147"/>
      <c r="L1460" s="147"/>
      <c r="M1460" s="147"/>
    </row>
    <row r="1461">
      <c r="A1461" s="147"/>
      <c r="B1461" s="147"/>
      <c r="C1461" s="147"/>
      <c r="D1461" s="147"/>
      <c r="E1461" s="147"/>
      <c r="F1461" s="147"/>
      <c r="G1461" s="147"/>
      <c r="H1461" s="147"/>
      <c r="I1461" s="147"/>
      <c r="J1461" s="147"/>
      <c r="K1461" s="147"/>
      <c r="L1461" s="147"/>
      <c r="M1461" s="147"/>
    </row>
    <row r="1462">
      <c r="A1462" s="147"/>
      <c r="B1462" s="147"/>
      <c r="C1462" s="147"/>
      <c r="D1462" s="147"/>
      <c r="E1462" s="147"/>
      <c r="F1462" s="147"/>
      <c r="G1462" s="147"/>
      <c r="H1462" s="147"/>
      <c r="I1462" s="147"/>
      <c r="J1462" s="147"/>
      <c r="K1462" s="147"/>
      <c r="L1462" s="147"/>
      <c r="M1462" s="147"/>
    </row>
    <row r="1463">
      <c r="A1463" s="147"/>
      <c r="B1463" s="147"/>
      <c r="C1463" s="147"/>
      <c r="D1463" s="147"/>
      <c r="E1463" s="147"/>
      <c r="F1463" s="147"/>
      <c r="G1463" s="147"/>
      <c r="H1463" s="147"/>
      <c r="I1463" s="147"/>
      <c r="J1463" s="147"/>
      <c r="K1463" s="147"/>
      <c r="L1463" s="147"/>
      <c r="M1463" s="147"/>
    </row>
    <row r="1464">
      <c r="A1464" s="147"/>
      <c r="B1464" s="147"/>
      <c r="C1464" s="147"/>
      <c r="D1464" s="147"/>
      <c r="E1464" s="147"/>
      <c r="F1464" s="147"/>
      <c r="G1464" s="147"/>
      <c r="H1464" s="147"/>
      <c r="I1464" s="147"/>
      <c r="J1464" s="147"/>
      <c r="K1464" s="147"/>
      <c r="L1464" s="147"/>
      <c r="M1464" s="147"/>
    </row>
    <row r="1465">
      <c r="A1465" s="147"/>
      <c r="B1465" s="147"/>
      <c r="C1465" s="147"/>
      <c r="D1465" s="147"/>
      <c r="E1465" s="147"/>
      <c r="F1465" s="147"/>
      <c r="G1465" s="147"/>
      <c r="H1465" s="147"/>
      <c r="I1465" s="147"/>
      <c r="J1465" s="147"/>
      <c r="K1465" s="147"/>
      <c r="L1465" s="147"/>
      <c r="M1465" s="147"/>
    </row>
    <row r="1466">
      <c r="A1466" s="147"/>
      <c r="B1466" s="147"/>
      <c r="C1466" s="147"/>
      <c r="D1466" s="147"/>
      <c r="E1466" s="147"/>
      <c r="F1466" s="147"/>
      <c r="G1466" s="147"/>
      <c r="H1466" s="147"/>
      <c r="I1466" s="147"/>
      <c r="J1466" s="147"/>
      <c r="K1466" s="147"/>
      <c r="L1466" s="147"/>
      <c r="M1466" s="147"/>
    </row>
    <row r="1467">
      <c r="A1467" s="147"/>
      <c r="B1467" s="147"/>
      <c r="C1467" s="147"/>
      <c r="D1467" s="147"/>
      <c r="E1467" s="147"/>
      <c r="F1467" s="147"/>
      <c r="G1467" s="147"/>
      <c r="H1467" s="147"/>
      <c r="I1467" s="147"/>
      <c r="J1467" s="147"/>
      <c r="K1467" s="147"/>
      <c r="L1467" s="147"/>
      <c r="M1467" s="147"/>
    </row>
    <row r="1468">
      <c r="A1468" s="147"/>
      <c r="B1468" s="147"/>
      <c r="C1468" s="147"/>
      <c r="D1468" s="147"/>
      <c r="E1468" s="147"/>
      <c r="F1468" s="147"/>
      <c r="G1468" s="147"/>
      <c r="H1468" s="147"/>
      <c r="I1468" s="147"/>
      <c r="J1468" s="147"/>
      <c r="K1468" s="147"/>
      <c r="L1468" s="147"/>
      <c r="M1468" s="147"/>
    </row>
    <row r="1469">
      <c r="A1469" s="147"/>
      <c r="B1469" s="147"/>
      <c r="C1469" s="147"/>
      <c r="D1469" s="147"/>
      <c r="E1469" s="147"/>
      <c r="F1469" s="147"/>
      <c r="G1469" s="147"/>
      <c r="H1469" s="147"/>
      <c r="I1469" s="147"/>
      <c r="J1469" s="147"/>
      <c r="K1469" s="147"/>
      <c r="L1469" s="147"/>
      <c r="M1469" s="147"/>
    </row>
    <row r="1470">
      <c r="A1470" s="147"/>
      <c r="B1470" s="147"/>
      <c r="C1470" s="147"/>
      <c r="D1470" s="147"/>
      <c r="E1470" s="147"/>
      <c r="F1470" s="147"/>
      <c r="G1470" s="147"/>
      <c r="H1470" s="147"/>
      <c r="I1470" s="147"/>
      <c r="J1470" s="147"/>
      <c r="K1470" s="147"/>
      <c r="L1470" s="147"/>
      <c r="M1470" s="147"/>
    </row>
    <row r="1471">
      <c r="A1471" s="147"/>
      <c r="B1471" s="147"/>
      <c r="C1471" s="147"/>
      <c r="D1471" s="147"/>
      <c r="E1471" s="147"/>
      <c r="F1471" s="147"/>
      <c r="G1471" s="147"/>
      <c r="H1471" s="147"/>
      <c r="I1471" s="147"/>
      <c r="J1471" s="147"/>
      <c r="K1471" s="147"/>
      <c r="L1471" s="147"/>
      <c r="M1471" s="147"/>
    </row>
    <row r="1472">
      <c r="A1472" s="147"/>
      <c r="B1472" s="147"/>
      <c r="C1472" s="147"/>
      <c r="D1472" s="147"/>
      <c r="E1472" s="147"/>
      <c r="F1472" s="147"/>
      <c r="G1472" s="147"/>
      <c r="H1472" s="147"/>
      <c r="I1472" s="147"/>
      <c r="J1472" s="147"/>
      <c r="K1472" s="147"/>
      <c r="L1472" s="147"/>
      <c r="M1472" s="147"/>
    </row>
    <row r="1473">
      <c r="A1473" s="147"/>
      <c r="B1473" s="147"/>
      <c r="C1473" s="147"/>
      <c r="D1473" s="147"/>
      <c r="E1473" s="147"/>
      <c r="F1473" s="147"/>
      <c r="G1473" s="147"/>
      <c r="H1473" s="147"/>
      <c r="I1473" s="147"/>
      <c r="J1473" s="147"/>
      <c r="K1473" s="147"/>
      <c r="L1473" s="147"/>
      <c r="M1473" s="147"/>
    </row>
    <row r="1474">
      <c r="A1474" s="147"/>
      <c r="B1474" s="147"/>
      <c r="C1474" s="147"/>
      <c r="D1474" s="147"/>
      <c r="E1474" s="147"/>
      <c r="F1474" s="147"/>
      <c r="G1474" s="147"/>
      <c r="H1474" s="147"/>
      <c r="I1474" s="147"/>
      <c r="J1474" s="147"/>
      <c r="K1474" s="147"/>
      <c r="L1474" s="147"/>
      <c r="M1474" s="147"/>
    </row>
    <row r="1475">
      <c r="A1475" s="147"/>
      <c r="B1475" s="147"/>
      <c r="C1475" s="147"/>
      <c r="D1475" s="147"/>
      <c r="E1475" s="147"/>
      <c r="F1475" s="147"/>
      <c r="G1475" s="147"/>
      <c r="H1475" s="147"/>
      <c r="I1475" s="147"/>
      <c r="J1475" s="147"/>
      <c r="K1475" s="147"/>
      <c r="L1475" s="147"/>
      <c r="M1475" s="147"/>
    </row>
    <row r="1476">
      <c r="A1476" s="147"/>
      <c r="B1476" s="147"/>
      <c r="C1476" s="147"/>
      <c r="D1476" s="147"/>
      <c r="E1476" s="147"/>
      <c r="F1476" s="147"/>
      <c r="G1476" s="147"/>
      <c r="H1476" s="147"/>
      <c r="I1476" s="147"/>
      <c r="J1476" s="147"/>
      <c r="K1476" s="147"/>
      <c r="L1476" s="147"/>
      <c r="M1476" s="147"/>
    </row>
    <row r="1477">
      <c r="A1477" s="147"/>
      <c r="B1477" s="147"/>
      <c r="C1477" s="147"/>
      <c r="D1477" s="147"/>
      <c r="E1477" s="147"/>
      <c r="F1477" s="147"/>
      <c r="G1477" s="147"/>
      <c r="H1477" s="147"/>
      <c r="I1477" s="147"/>
      <c r="J1477" s="147"/>
      <c r="K1477" s="147"/>
      <c r="L1477" s="147"/>
      <c r="M1477" s="147"/>
    </row>
    <row r="1478">
      <c r="A1478" s="147"/>
      <c r="B1478" s="147"/>
      <c r="C1478" s="147"/>
      <c r="D1478" s="147"/>
      <c r="E1478" s="147"/>
      <c r="F1478" s="147"/>
      <c r="G1478" s="147"/>
      <c r="H1478" s="147"/>
      <c r="I1478" s="147"/>
      <c r="J1478" s="147"/>
      <c r="K1478" s="147"/>
      <c r="L1478" s="147"/>
      <c r="M1478" s="147"/>
    </row>
    <row r="1479">
      <c r="A1479" s="147"/>
      <c r="B1479" s="147"/>
      <c r="C1479" s="147"/>
      <c r="D1479" s="147"/>
      <c r="E1479" s="147"/>
      <c r="F1479" s="147"/>
      <c r="G1479" s="147"/>
      <c r="H1479" s="147"/>
      <c r="I1479" s="147"/>
      <c r="J1479" s="147"/>
      <c r="K1479" s="147"/>
      <c r="L1479" s="147"/>
      <c r="M1479" s="147"/>
    </row>
    <row r="1480">
      <c r="A1480" s="147"/>
      <c r="B1480" s="147"/>
      <c r="C1480" s="147"/>
      <c r="D1480" s="147"/>
      <c r="E1480" s="147"/>
      <c r="F1480" s="147"/>
      <c r="G1480" s="147"/>
      <c r="H1480" s="147"/>
      <c r="I1480" s="147"/>
      <c r="J1480" s="147"/>
      <c r="K1480" s="147"/>
      <c r="L1480" s="147"/>
      <c r="M1480" s="147"/>
    </row>
    <row r="1481">
      <c r="A1481" s="147"/>
      <c r="B1481" s="147"/>
      <c r="C1481" s="147"/>
      <c r="D1481" s="147"/>
      <c r="E1481" s="147"/>
      <c r="F1481" s="147"/>
      <c r="G1481" s="147"/>
      <c r="H1481" s="147"/>
      <c r="I1481" s="147"/>
      <c r="J1481" s="147"/>
      <c r="K1481" s="147"/>
      <c r="L1481" s="147"/>
      <c r="M1481" s="147"/>
    </row>
    <row r="1482">
      <c r="A1482" s="147"/>
      <c r="B1482" s="147"/>
      <c r="C1482" s="147"/>
      <c r="D1482" s="147"/>
      <c r="E1482" s="147"/>
      <c r="F1482" s="147"/>
      <c r="G1482" s="147"/>
      <c r="H1482" s="147"/>
      <c r="I1482" s="147"/>
      <c r="J1482" s="147"/>
      <c r="K1482" s="147"/>
      <c r="L1482" s="147"/>
      <c r="M1482" s="147"/>
    </row>
    <row r="1483">
      <c r="A1483" s="147"/>
      <c r="B1483" s="147"/>
      <c r="C1483" s="147"/>
      <c r="D1483" s="147"/>
      <c r="E1483" s="147"/>
      <c r="F1483" s="147"/>
      <c r="G1483" s="147"/>
      <c r="H1483" s="147"/>
      <c r="I1483" s="147"/>
      <c r="J1483" s="147"/>
      <c r="K1483" s="147"/>
      <c r="L1483" s="147"/>
      <c r="M1483" s="147"/>
    </row>
    <row r="1484">
      <c r="A1484" s="147"/>
      <c r="B1484" s="147"/>
      <c r="C1484" s="147"/>
      <c r="D1484" s="147"/>
      <c r="E1484" s="147"/>
      <c r="F1484" s="147"/>
      <c r="G1484" s="147"/>
      <c r="H1484" s="147"/>
      <c r="I1484" s="147"/>
      <c r="J1484" s="147"/>
      <c r="K1484" s="147"/>
      <c r="L1484" s="147"/>
      <c r="M1484" s="147"/>
    </row>
    <row r="1485">
      <c r="A1485" s="147"/>
      <c r="B1485" s="147"/>
      <c r="C1485" s="147"/>
      <c r="D1485" s="147"/>
      <c r="E1485" s="147"/>
      <c r="F1485" s="147"/>
      <c r="G1485" s="147"/>
      <c r="H1485" s="147"/>
      <c r="I1485" s="147"/>
      <c r="J1485" s="147"/>
      <c r="K1485" s="147"/>
      <c r="L1485" s="147"/>
      <c r="M1485" s="147"/>
    </row>
    <row r="1486">
      <c r="A1486" s="147"/>
      <c r="B1486" s="147"/>
      <c r="C1486" s="147"/>
      <c r="D1486" s="147"/>
      <c r="E1486" s="147"/>
      <c r="F1486" s="147"/>
      <c r="G1486" s="147"/>
      <c r="H1486" s="147"/>
      <c r="I1486" s="147"/>
      <c r="J1486" s="147"/>
      <c r="K1486" s="147"/>
      <c r="L1486" s="147"/>
      <c r="M1486" s="147"/>
    </row>
    <row r="1487">
      <c r="A1487" s="147"/>
      <c r="B1487" s="147"/>
      <c r="C1487" s="147"/>
      <c r="D1487" s="147"/>
      <c r="E1487" s="147"/>
      <c r="F1487" s="147"/>
      <c r="G1487" s="147"/>
      <c r="H1487" s="147"/>
      <c r="I1487" s="147"/>
      <c r="J1487" s="147"/>
      <c r="K1487" s="147"/>
      <c r="L1487" s="147"/>
      <c r="M1487" s="147"/>
    </row>
    <row r="1488">
      <c r="A1488" s="147"/>
      <c r="B1488" s="147"/>
      <c r="C1488" s="147"/>
      <c r="D1488" s="147"/>
      <c r="E1488" s="147"/>
      <c r="F1488" s="147"/>
      <c r="G1488" s="147"/>
      <c r="H1488" s="147"/>
      <c r="I1488" s="147"/>
      <c r="J1488" s="147"/>
      <c r="K1488" s="147"/>
      <c r="L1488" s="147"/>
      <c r="M1488" s="147"/>
    </row>
    <row r="1489">
      <c r="A1489" s="147"/>
      <c r="B1489" s="147"/>
      <c r="C1489" s="147"/>
      <c r="D1489" s="147"/>
      <c r="E1489" s="147"/>
      <c r="F1489" s="147"/>
      <c r="G1489" s="147"/>
      <c r="H1489" s="147"/>
      <c r="I1489" s="147"/>
      <c r="J1489" s="147"/>
      <c r="K1489" s="147"/>
      <c r="L1489" s="147"/>
      <c r="M1489" s="147"/>
    </row>
    <row r="1490">
      <c r="A1490" s="147"/>
      <c r="B1490" s="147"/>
      <c r="C1490" s="147"/>
      <c r="D1490" s="147"/>
      <c r="E1490" s="147"/>
      <c r="F1490" s="147"/>
      <c r="G1490" s="147"/>
      <c r="H1490" s="147"/>
      <c r="I1490" s="147"/>
      <c r="J1490" s="147"/>
      <c r="K1490" s="147"/>
      <c r="L1490" s="147"/>
      <c r="M1490" s="147"/>
    </row>
    <row r="1491">
      <c r="A1491" s="147"/>
      <c r="B1491" s="147"/>
      <c r="C1491" s="147"/>
      <c r="D1491" s="147"/>
      <c r="E1491" s="147"/>
      <c r="F1491" s="147"/>
      <c r="G1491" s="147"/>
      <c r="H1491" s="147"/>
      <c r="I1491" s="147"/>
      <c r="J1491" s="147"/>
      <c r="K1491" s="147"/>
      <c r="L1491" s="147"/>
      <c r="M1491" s="147"/>
    </row>
    <row r="1492">
      <c r="A1492" s="147"/>
      <c r="B1492" s="147"/>
      <c r="C1492" s="147"/>
      <c r="D1492" s="147"/>
      <c r="E1492" s="147"/>
      <c r="F1492" s="147"/>
      <c r="G1492" s="147"/>
      <c r="H1492" s="147"/>
      <c r="I1492" s="147"/>
      <c r="J1492" s="147"/>
      <c r="K1492" s="147"/>
      <c r="L1492" s="147"/>
      <c r="M1492" s="147"/>
    </row>
    <row r="1493">
      <c r="A1493" s="147"/>
      <c r="B1493" s="147"/>
      <c r="C1493" s="147"/>
      <c r="D1493" s="147"/>
      <c r="E1493" s="147"/>
      <c r="F1493" s="147"/>
      <c r="G1493" s="147"/>
      <c r="H1493" s="147"/>
      <c r="I1493" s="147"/>
      <c r="J1493" s="147"/>
      <c r="K1493" s="147"/>
      <c r="L1493" s="147"/>
      <c r="M1493" s="147"/>
    </row>
    <row r="1494">
      <c r="A1494" s="147"/>
      <c r="B1494" s="147"/>
      <c r="C1494" s="147"/>
      <c r="D1494" s="147"/>
      <c r="E1494" s="147"/>
      <c r="F1494" s="147"/>
      <c r="G1494" s="147"/>
      <c r="H1494" s="147"/>
      <c r="I1494" s="147"/>
      <c r="J1494" s="147"/>
      <c r="K1494" s="147"/>
      <c r="L1494" s="147"/>
      <c r="M1494" s="147"/>
    </row>
    <row r="1495">
      <c r="A1495" s="147"/>
      <c r="B1495" s="147"/>
      <c r="C1495" s="147"/>
      <c r="D1495" s="147"/>
      <c r="E1495" s="147"/>
      <c r="F1495" s="147"/>
      <c r="G1495" s="147"/>
      <c r="H1495" s="147"/>
      <c r="I1495" s="147"/>
      <c r="J1495" s="147"/>
      <c r="K1495" s="147"/>
      <c r="L1495" s="147"/>
      <c r="M1495" s="147"/>
    </row>
    <row r="1496">
      <c r="A1496" s="147"/>
      <c r="B1496" s="147"/>
      <c r="C1496" s="147"/>
      <c r="D1496" s="147"/>
      <c r="E1496" s="147"/>
      <c r="F1496" s="147"/>
      <c r="G1496" s="147"/>
      <c r="H1496" s="147"/>
      <c r="I1496" s="147"/>
      <c r="J1496" s="147"/>
      <c r="K1496" s="147"/>
      <c r="L1496" s="147"/>
      <c r="M1496" s="147"/>
    </row>
    <row r="1497">
      <c r="A1497" s="147"/>
      <c r="B1497" s="147"/>
      <c r="C1497" s="147"/>
      <c r="D1497" s="147"/>
      <c r="E1497" s="147"/>
      <c r="F1497" s="147"/>
      <c r="G1497" s="147"/>
      <c r="H1497" s="147"/>
      <c r="I1497" s="147"/>
      <c r="J1497" s="147"/>
      <c r="K1497" s="147"/>
      <c r="L1497" s="147"/>
      <c r="M1497" s="147"/>
    </row>
    <row r="1498">
      <c r="A1498" s="147"/>
      <c r="B1498" s="147"/>
      <c r="C1498" s="147"/>
      <c r="D1498" s="147"/>
      <c r="E1498" s="147"/>
      <c r="F1498" s="147"/>
      <c r="G1498" s="147"/>
      <c r="H1498" s="147"/>
      <c r="I1498" s="147"/>
      <c r="J1498" s="147"/>
      <c r="K1498" s="147"/>
      <c r="L1498" s="147"/>
      <c r="M1498" s="147"/>
    </row>
    <row r="1499">
      <c r="A1499" s="147"/>
      <c r="B1499" s="147"/>
      <c r="C1499" s="147"/>
      <c r="D1499" s="147"/>
      <c r="E1499" s="147"/>
      <c r="F1499" s="147"/>
      <c r="G1499" s="147"/>
      <c r="H1499" s="147"/>
      <c r="I1499" s="147"/>
      <c r="J1499" s="147"/>
      <c r="K1499" s="147"/>
      <c r="L1499" s="147"/>
      <c r="M1499" s="147"/>
    </row>
    <row r="1500">
      <c r="A1500" s="147"/>
      <c r="B1500" s="147"/>
      <c r="C1500" s="147"/>
      <c r="D1500" s="147"/>
      <c r="E1500" s="147"/>
      <c r="F1500" s="147"/>
      <c r="G1500" s="147"/>
      <c r="H1500" s="147"/>
      <c r="I1500" s="147"/>
      <c r="J1500" s="147"/>
      <c r="K1500" s="147"/>
      <c r="L1500" s="147"/>
      <c r="M1500" s="147"/>
    </row>
    <row r="1501">
      <c r="A1501" s="147"/>
      <c r="B1501" s="147"/>
      <c r="C1501" s="147"/>
      <c r="D1501" s="147"/>
      <c r="E1501" s="147"/>
      <c r="F1501" s="147"/>
      <c r="G1501" s="147"/>
      <c r="H1501" s="147"/>
      <c r="I1501" s="147"/>
      <c r="J1501" s="147"/>
      <c r="K1501" s="147"/>
      <c r="L1501" s="147"/>
      <c r="M1501" s="147"/>
    </row>
    <row r="1502">
      <c r="A1502" s="147"/>
      <c r="B1502" s="147"/>
      <c r="C1502" s="147"/>
      <c r="D1502" s="147"/>
      <c r="E1502" s="147"/>
      <c r="F1502" s="147"/>
      <c r="G1502" s="147"/>
      <c r="H1502" s="147"/>
      <c r="I1502" s="147"/>
      <c r="J1502" s="147"/>
      <c r="K1502" s="147"/>
      <c r="L1502" s="147"/>
      <c r="M1502" s="147"/>
    </row>
    <row r="1503">
      <c r="A1503" s="147"/>
      <c r="B1503" s="147"/>
      <c r="C1503" s="147"/>
      <c r="D1503" s="147"/>
      <c r="E1503" s="147"/>
      <c r="F1503" s="147"/>
      <c r="G1503" s="147"/>
      <c r="H1503" s="147"/>
      <c r="I1503" s="147"/>
      <c r="J1503" s="147"/>
      <c r="K1503" s="147"/>
      <c r="L1503" s="147"/>
      <c r="M1503" s="147"/>
    </row>
    <row r="1504">
      <c r="A1504" s="147"/>
      <c r="B1504" s="147"/>
      <c r="C1504" s="147"/>
      <c r="D1504" s="147"/>
      <c r="E1504" s="147"/>
      <c r="F1504" s="147"/>
      <c r="G1504" s="147"/>
      <c r="H1504" s="147"/>
      <c r="I1504" s="147"/>
      <c r="J1504" s="147"/>
      <c r="K1504" s="147"/>
      <c r="L1504" s="147"/>
      <c r="M1504" s="147"/>
    </row>
    <row r="1505">
      <c r="A1505" s="147"/>
      <c r="B1505" s="147"/>
      <c r="C1505" s="147"/>
      <c r="D1505" s="147"/>
      <c r="E1505" s="147"/>
      <c r="F1505" s="147"/>
      <c r="G1505" s="147"/>
      <c r="H1505" s="147"/>
      <c r="I1505" s="147"/>
      <c r="J1505" s="147"/>
      <c r="K1505" s="147"/>
      <c r="L1505" s="147"/>
      <c r="M1505" s="147"/>
    </row>
    <row r="1506">
      <c r="A1506" s="147"/>
      <c r="B1506" s="147"/>
      <c r="C1506" s="147"/>
      <c r="D1506" s="147"/>
      <c r="E1506" s="147"/>
      <c r="F1506" s="147"/>
      <c r="G1506" s="147"/>
      <c r="H1506" s="147"/>
      <c r="I1506" s="147"/>
      <c r="J1506" s="147"/>
      <c r="K1506" s="147"/>
      <c r="L1506" s="147"/>
      <c r="M1506" s="147"/>
    </row>
    <row r="1507">
      <c r="A1507" s="147"/>
      <c r="B1507" s="147"/>
      <c r="C1507" s="147"/>
      <c r="D1507" s="147"/>
      <c r="E1507" s="147"/>
      <c r="F1507" s="147"/>
      <c r="G1507" s="147"/>
      <c r="H1507" s="147"/>
      <c r="I1507" s="147"/>
      <c r="J1507" s="147"/>
      <c r="K1507" s="147"/>
      <c r="L1507" s="147"/>
      <c r="M1507" s="147"/>
    </row>
    <row r="1508">
      <c r="A1508" s="147"/>
      <c r="B1508" s="147"/>
      <c r="C1508" s="147"/>
      <c r="D1508" s="147"/>
      <c r="E1508" s="147"/>
      <c r="F1508" s="147"/>
      <c r="G1508" s="147"/>
      <c r="H1508" s="147"/>
      <c r="I1508" s="147"/>
      <c r="J1508" s="147"/>
      <c r="K1508" s="147"/>
      <c r="L1508" s="147"/>
      <c r="M1508" s="147"/>
    </row>
    <row r="1509">
      <c r="A1509" s="147"/>
      <c r="B1509" s="147"/>
      <c r="C1509" s="147"/>
      <c r="D1509" s="147"/>
      <c r="E1509" s="147"/>
      <c r="F1509" s="147"/>
      <c r="G1509" s="147"/>
      <c r="H1509" s="147"/>
      <c r="I1509" s="147"/>
      <c r="J1509" s="147"/>
      <c r="K1509" s="147"/>
      <c r="L1509" s="147"/>
      <c r="M1509" s="147"/>
    </row>
    <row r="1510">
      <c r="A1510" s="147"/>
      <c r="B1510" s="147"/>
      <c r="C1510" s="147"/>
      <c r="D1510" s="147"/>
      <c r="E1510" s="147"/>
      <c r="F1510" s="147"/>
      <c r="G1510" s="147"/>
      <c r="H1510" s="147"/>
      <c r="I1510" s="147"/>
      <c r="J1510" s="147"/>
      <c r="K1510" s="147"/>
      <c r="L1510" s="147"/>
      <c r="M1510" s="147"/>
    </row>
    <row r="1511">
      <c r="A1511" s="147"/>
      <c r="B1511" s="147"/>
      <c r="C1511" s="147"/>
      <c r="D1511" s="147"/>
      <c r="E1511" s="147"/>
      <c r="F1511" s="147"/>
      <c r="G1511" s="147"/>
      <c r="H1511" s="147"/>
      <c r="I1511" s="147"/>
      <c r="J1511" s="147"/>
      <c r="K1511" s="147"/>
      <c r="L1511" s="147"/>
      <c r="M1511" s="147"/>
    </row>
    <row r="1512">
      <c r="A1512" s="147"/>
      <c r="B1512" s="147"/>
      <c r="C1512" s="147"/>
      <c r="D1512" s="147"/>
      <c r="E1512" s="147"/>
      <c r="F1512" s="147"/>
      <c r="G1512" s="147"/>
      <c r="H1512" s="147"/>
      <c r="I1512" s="147"/>
      <c r="J1512" s="147"/>
      <c r="K1512" s="147"/>
      <c r="L1512" s="147"/>
      <c r="M1512" s="147"/>
    </row>
    <row r="1513">
      <c r="A1513" s="147"/>
      <c r="B1513" s="147"/>
      <c r="C1513" s="147"/>
      <c r="D1513" s="147"/>
      <c r="E1513" s="147"/>
      <c r="F1513" s="147"/>
      <c r="G1513" s="147"/>
      <c r="H1513" s="147"/>
      <c r="I1513" s="147"/>
      <c r="J1513" s="147"/>
      <c r="K1513" s="147"/>
      <c r="L1513" s="147"/>
      <c r="M1513" s="147"/>
    </row>
    <row r="1514">
      <c r="A1514" s="147"/>
      <c r="B1514" s="147"/>
      <c r="C1514" s="147"/>
      <c r="D1514" s="147"/>
      <c r="E1514" s="147"/>
      <c r="F1514" s="147"/>
      <c r="G1514" s="147"/>
      <c r="H1514" s="147"/>
      <c r="I1514" s="147"/>
      <c r="J1514" s="147"/>
      <c r="K1514" s="147"/>
      <c r="L1514" s="147"/>
      <c r="M1514" s="147"/>
    </row>
    <row r="1515">
      <c r="A1515" s="147"/>
      <c r="B1515" s="147"/>
      <c r="C1515" s="147"/>
      <c r="D1515" s="147"/>
      <c r="E1515" s="147"/>
      <c r="F1515" s="147"/>
      <c r="G1515" s="147"/>
      <c r="H1515" s="147"/>
      <c r="I1515" s="147"/>
      <c r="J1515" s="147"/>
      <c r="K1515" s="147"/>
      <c r="L1515" s="147"/>
      <c r="M1515" s="147"/>
    </row>
    <row r="1516">
      <c r="A1516" s="147"/>
      <c r="B1516" s="147"/>
      <c r="C1516" s="147"/>
      <c r="D1516" s="147"/>
      <c r="E1516" s="147"/>
      <c r="F1516" s="147"/>
      <c r="G1516" s="147"/>
      <c r="H1516" s="147"/>
      <c r="I1516" s="147"/>
      <c r="J1516" s="147"/>
      <c r="K1516" s="147"/>
      <c r="L1516" s="147"/>
      <c r="M1516" s="147"/>
    </row>
    <row r="1517">
      <c r="A1517" s="147"/>
      <c r="B1517" s="147"/>
      <c r="C1517" s="147"/>
      <c r="D1517" s="147"/>
      <c r="E1517" s="147"/>
      <c r="F1517" s="147"/>
      <c r="G1517" s="147"/>
      <c r="H1517" s="147"/>
      <c r="I1517" s="147"/>
      <c r="J1517" s="147"/>
      <c r="K1517" s="147"/>
      <c r="L1517" s="147"/>
      <c r="M1517" s="147"/>
    </row>
    <row r="1518">
      <c r="A1518" s="147"/>
      <c r="B1518" s="147"/>
      <c r="C1518" s="147"/>
      <c r="D1518" s="147"/>
      <c r="E1518" s="147"/>
      <c r="F1518" s="147"/>
      <c r="G1518" s="147"/>
      <c r="H1518" s="147"/>
      <c r="I1518" s="147"/>
      <c r="J1518" s="147"/>
      <c r="K1518" s="147"/>
      <c r="L1518" s="147"/>
      <c r="M1518" s="147"/>
    </row>
    <row r="1519">
      <c r="A1519" s="147"/>
      <c r="B1519" s="147"/>
      <c r="C1519" s="147"/>
      <c r="D1519" s="147"/>
      <c r="E1519" s="147"/>
      <c r="F1519" s="147"/>
      <c r="G1519" s="147"/>
      <c r="H1519" s="147"/>
      <c r="I1519" s="147"/>
      <c r="J1519" s="147"/>
      <c r="K1519" s="147"/>
      <c r="L1519" s="147"/>
      <c r="M1519" s="147"/>
    </row>
    <row r="1520">
      <c r="A1520" s="147"/>
      <c r="B1520" s="147"/>
      <c r="C1520" s="147"/>
      <c r="D1520" s="147"/>
      <c r="E1520" s="147"/>
      <c r="F1520" s="147"/>
      <c r="G1520" s="147"/>
      <c r="H1520" s="147"/>
      <c r="I1520" s="147"/>
      <c r="J1520" s="147"/>
      <c r="K1520" s="147"/>
      <c r="L1520" s="147"/>
      <c r="M1520" s="147"/>
    </row>
    <row r="1521">
      <c r="A1521" s="147"/>
      <c r="B1521" s="147"/>
      <c r="C1521" s="147"/>
      <c r="D1521" s="147"/>
      <c r="E1521" s="147"/>
      <c r="F1521" s="147"/>
      <c r="G1521" s="147"/>
      <c r="H1521" s="147"/>
      <c r="I1521" s="147"/>
      <c r="J1521" s="147"/>
      <c r="K1521" s="147"/>
      <c r="L1521" s="147"/>
      <c r="M1521" s="147"/>
    </row>
    <row r="1522">
      <c r="A1522" s="147"/>
      <c r="B1522" s="147"/>
      <c r="C1522" s="147"/>
      <c r="D1522" s="147"/>
      <c r="E1522" s="147"/>
      <c r="F1522" s="147"/>
      <c r="G1522" s="147"/>
      <c r="H1522" s="147"/>
      <c r="I1522" s="147"/>
      <c r="J1522" s="147"/>
      <c r="K1522" s="147"/>
      <c r="L1522" s="147"/>
      <c r="M1522" s="147"/>
    </row>
    <row r="1523">
      <c r="A1523" s="147"/>
      <c r="B1523" s="147"/>
      <c r="C1523" s="147"/>
      <c r="D1523" s="147"/>
      <c r="E1523" s="147"/>
      <c r="F1523" s="147"/>
      <c r="G1523" s="147"/>
      <c r="H1523" s="147"/>
      <c r="I1523" s="147"/>
      <c r="J1523" s="147"/>
      <c r="K1523" s="147"/>
      <c r="L1523" s="147"/>
      <c r="M1523" s="147"/>
    </row>
    <row r="1524">
      <c r="A1524" s="147"/>
      <c r="B1524" s="147"/>
      <c r="C1524" s="147"/>
      <c r="D1524" s="147"/>
      <c r="E1524" s="147"/>
      <c r="F1524" s="147"/>
      <c r="G1524" s="147"/>
      <c r="H1524" s="147"/>
      <c r="I1524" s="147"/>
      <c r="J1524" s="147"/>
      <c r="K1524" s="147"/>
      <c r="L1524" s="147"/>
      <c r="M1524" s="147"/>
    </row>
    <row r="1525">
      <c r="A1525" s="147"/>
      <c r="B1525" s="147"/>
      <c r="C1525" s="147"/>
      <c r="D1525" s="147"/>
      <c r="E1525" s="147"/>
      <c r="F1525" s="147"/>
      <c r="G1525" s="147"/>
      <c r="H1525" s="147"/>
      <c r="I1525" s="147"/>
      <c r="J1525" s="147"/>
      <c r="K1525" s="147"/>
      <c r="L1525" s="147"/>
      <c r="M1525" s="147"/>
    </row>
    <row r="1526">
      <c r="A1526" s="147"/>
      <c r="B1526" s="147"/>
      <c r="C1526" s="147"/>
      <c r="D1526" s="147"/>
      <c r="E1526" s="147"/>
      <c r="F1526" s="147"/>
      <c r="G1526" s="147"/>
      <c r="H1526" s="147"/>
      <c r="I1526" s="147"/>
      <c r="J1526" s="147"/>
      <c r="K1526" s="147"/>
      <c r="L1526" s="147"/>
      <c r="M1526" s="147"/>
    </row>
    <row r="1527">
      <c r="A1527" s="147"/>
      <c r="B1527" s="147"/>
      <c r="C1527" s="147"/>
      <c r="D1527" s="147"/>
      <c r="E1527" s="147"/>
      <c r="F1527" s="147"/>
      <c r="G1527" s="147"/>
      <c r="H1527" s="147"/>
      <c r="I1527" s="147"/>
      <c r="J1527" s="147"/>
      <c r="K1527" s="147"/>
      <c r="L1527" s="147"/>
      <c r="M1527" s="147"/>
    </row>
    <row r="1528">
      <c r="A1528" s="147"/>
      <c r="B1528" s="147"/>
      <c r="C1528" s="147"/>
      <c r="D1528" s="147"/>
      <c r="E1528" s="147"/>
      <c r="F1528" s="147"/>
      <c r="G1528" s="147"/>
      <c r="H1528" s="147"/>
      <c r="I1528" s="147"/>
      <c r="J1528" s="147"/>
      <c r="K1528" s="147"/>
      <c r="L1528" s="147"/>
      <c r="M1528" s="147"/>
    </row>
    <row r="1529">
      <c r="A1529" s="147"/>
      <c r="B1529" s="147"/>
      <c r="C1529" s="147"/>
      <c r="D1529" s="147"/>
      <c r="E1529" s="147"/>
      <c r="F1529" s="147"/>
      <c r="G1529" s="147"/>
      <c r="H1529" s="147"/>
      <c r="I1529" s="147"/>
      <c r="J1529" s="147"/>
      <c r="K1529" s="147"/>
      <c r="L1529" s="147"/>
      <c r="M1529" s="147"/>
    </row>
    <row r="1530">
      <c r="A1530" s="147"/>
      <c r="B1530" s="147"/>
      <c r="C1530" s="147"/>
      <c r="D1530" s="147"/>
      <c r="E1530" s="147"/>
      <c r="F1530" s="147"/>
      <c r="G1530" s="147"/>
      <c r="H1530" s="147"/>
      <c r="I1530" s="147"/>
      <c r="J1530" s="147"/>
      <c r="K1530" s="147"/>
      <c r="L1530" s="147"/>
      <c r="M1530" s="147"/>
    </row>
    <row r="1531">
      <c r="A1531" s="147"/>
      <c r="B1531" s="147"/>
      <c r="C1531" s="147"/>
      <c r="D1531" s="147"/>
      <c r="E1531" s="147"/>
      <c r="F1531" s="147"/>
      <c r="G1531" s="147"/>
      <c r="H1531" s="147"/>
      <c r="I1531" s="147"/>
      <c r="J1531" s="147"/>
      <c r="K1531" s="147"/>
      <c r="L1531" s="147"/>
      <c r="M1531" s="147"/>
    </row>
    <row r="1532">
      <c r="A1532" s="147"/>
      <c r="B1532" s="147"/>
      <c r="C1532" s="147"/>
      <c r="D1532" s="147"/>
      <c r="E1532" s="147"/>
      <c r="F1532" s="147"/>
      <c r="G1532" s="147"/>
      <c r="H1532" s="147"/>
      <c r="I1532" s="147"/>
      <c r="J1532" s="147"/>
      <c r="K1532" s="147"/>
      <c r="L1532" s="147"/>
      <c r="M1532" s="147"/>
    </row>
    <row r="1533">
      <c r="A1533" s="147"/>
      <c r="B1533" s="147"/>
      <c r="C1533" s="147"/>
      <c r="D1533" s="147"/>
      <c r="E1533" s="147"/>
      <c r="F1533" s="147"/>
      <c r="G1533" s="147"/>
      <c r="H1533" s="147"/>
      <c r="I1533" s="147"/>
      <c r="J1533" s="147"/>
      <c r="K1533" s="147"/>
      <c r="L1533" s="147"/>
      <c r="M1533" s="147"/>
    </row>
    <row r="1534">
      <c r="A1534" s="147"/>
      <c r="B1534" s="147"/>
      <c r="C1534" s="147"/>
      <c r="D1534" s="147"/>
      <c r="E1534" s="147"/>
      <c r="F1534" s="147"/>
      <c r="G1534" s="147"/>
      <c r="H1534" s="147"/>
      <c r="I1534" s="147"/>
      <c r="J1534" s="147"/>
      <c r="K1534" s="147"/>
      <c r="L1534" s="147"/>
      <c r="M1534" s="147"/>
    </row>
    <row r="1535">
      <c r="A1535" s="147"/>
      <c r="B1535" s="147"/>
      <c r="C1535" s="147"/>
      <c r="D1535" s="147"/>
      <c r="E1535" s="147"/>
      <c r="F1535" s="147"/>
      <c r="G1535" s="147"/>
      <c r="H1535" s="147"/>
      <c r="I1535" s="147"/>
      <c r="J1535" s="147"/>
      <c r="K1535" s="147"/>
      <c r="L1535" s="147"/>
      <c r="M1535" s="147"/>
    </row>
    <row r="1536">
      <c r="A1536" s="147"/>
      <c r="B1536" s="147"/>
      <c r="C1536" s="147"/>
      <c r="D1536" s="147"/>
      <c r="E1536" s="147"/>
      <c r="F1536" s="147"/>
      <c r="G1536" s="147"/>
      <c r="H1536" s="147"/>
      <c r="I1536" s="147"/>
      <c r="J1536" s="147"/>
      <c r="K1536" s="147"/>
      <c r="L1536" s="147"/>
      <c r="M1536" s="147"/>
    </row>
    <row r="1537">
      <c r="A1537" s="147"/>
      <c r="B1537" s="147"/>
      <c r="C1537" s="147"/>
      <c r="D1537" s="147"/>
      <c r="E1537" s="147"/>
      <c r="F1537" s="147"/>
      <c r="G1537" s="147"/>
      <c r="H1537" s="147"/>
      <c r="I1537" s="147"/>
      <c r="J1537" s="147"/>
      <c r="K1537" s="147"/>
      <c r="L1537" s="147"/>
      <c r="M1537" s="147"/>
    </row>
    <row r="1538">
      <c r="A1538" s="147"/>
      <c r="B1538" s="147"/>
      <c r="C1538" s="147"/>
      <c r="D1538" s="147"/>
      <c r="E1538" s="147"/>
      <c r="F1538" s="147"/>
      <c r="G1538" s="147"/>
      <c r="H1538" s="147"/>
      <c r="I1538" s="147"/>
      <c r="J1538" s="147"/>
      <c r="K1538" s="147"/>
      <c r="L1538" s="147"/>
      <c r="M1538" s="147"/>
    </row>
    <row r="1539">
      <c r="A1539" s="147"/>
      <c r="B1539" s="147"/>
      <c r="C1539" s="147"/>
      <c r="D1539" s="147"/>
      <c r="E1539" s="147"/>
      <c r="F1539" s="147"/>
      <c r="G1539" s="147"/>
      <c r="H1539" s="147"/>
      <c r="I1539" s="147"/>
      <c r="J1539" s="147"/>
      <c r="K1539" s="147"/>
      <c r="L1539" s="147"/>
      <c r="M1539" s="147"/>
    </row>
    <row r="1540">
      <c r="A1540" s="147"/>
      <c r="B1540" s="147"/>
      <c r="C1540" s="147"/>
      <c r="D1540" s="147"/>
      <c r="E1540" s="147"/>
      <c r="F1540" s="147"/>
      <c r="G1540" s="147"/>
      <c r="H1540" s="147"/>
      <c r="I1540" s="147"/>
      <c r="J1540" s="147"/>
      <c r="K1540" s="147"/>
      <c r="L1540" s="147"/>
      <c r="M1540" s="147"/>
    </row>
    <row r="1541">
      <c r="A1541" s="147"/>
      <c r="B1541" s="147"/>
      <c r="C1541" s="147"/>
      <c r="D1541" s="147"/>
      <c r="E1541" s="147"/>
      <c r="F1541" s="147"/>
      <c r="G1541" s="147"/>
      <c r="H1541" s="147"/>
      <c r="I1541" s="147"/>
      <c r="J1541" s="147"/>
      <c r="K1541" s="147"/>
      <c r="L1541" s="147"/>
      <c r="M1541" s="147"/>
    </row>
    <row r="1542">
      <c r="A1542" s="147"/>
      <c r="B1542" s="147"/>
      <c r="C1542" s="147"/>
      <c r="D1542" s="147"/>
      <c r="E1542" s="147"/>
      <c r="F1542" s="147"/>
      <c r="G1542" s="147"/>
      <c r="H1542" s="147"/>
      <c r="I1542" s="147"/>
      <c r="J1542" s="147"/>
      <c r="K1542" s="147"/>
      <c r="L1542" s="147"/>
      <c r="M1542" s="147"/>
    </row>
    <row r="1543">
      <c r="A1543" s="147"/>
      <c r="B1543" s="147"/>
      <c r="C1543" s="147"/>
      <c r="D1543" s="147"/>
      <c r="E1543" s="147"/>
      <c r="F1543" s="147"/>
      <c r="G1543" s="147"/>
      <c r="H1543" s="147"/>
      <c r="I1543" s="147"/>
      <c r="J1543" s="147"/>
      <c r="K1543" s="147"/>
      <c r="L1543" s="147"/>
      <c r="M1543" s="147"/>
    </row>
    <row r="1544">
      <c r="A1544" s="147"/>
      <c r="B1544" s="147"/>
      <c r="C1544" s="147"/>
      <c r="D1544" s="147"/>
      <c r="E1544" s="147"/>
      <c r="F1544" s="147"/>
      <c r="G1544" s="147"/>
      <c r="H1544" s="147"/>
      <c r="I1544" s="147"/>
      <c r="J1544" s="147"/>
      <c r="K1544" s="147"/>
      <c r="L1544" s="147"/>
      <c r="M1544" s="147"/>
    </row>
    <row r="1545">
      <c r="A1545" s="147"/>
      <c r="B1545" s="147"/>
      <c r="C1545" s="147"/>
      <c r="D1545" s="147"/>
      <c r="E1545" s="147"/>
      <c r="F1545" s="147"/>
      <c r="G1545" s="147"/>
      <c r="H1545" s="147"/>
      <c r="I1545" s="147"/>
      <c r="J1545" s="147"/>
      <c r="K1545" s="147"/>
      <c r="L1545" s="147"/>
      <c r="M1545" s="147"/>
    </row>
    <row r="1546">
      <c r="A1546" s="147"/>
      <c r="B1546" s="147"/>
      <c r="C1546" s="147"/>
      <c r="D1546" s="147"/>
      <c r="E1546" s="147"/>
      <c r="F1546" s="147"/>
      <c r="G1546" s="147"/>
      <c r="H1546" s="147"/>
      <c r="I1546" s="147"/>
      <c r="J1546" s="147"/>
      <c r="K1546" s="147"/>
      <c r="L1546" s="147"/>
      <c r="M1546" s="147"/>
    </row>
    <row r="1547">
      <c r="A1547" s="147"/>
      <c r="B1547" s="147"/>
      <c r="C1547" s="147"/>
      <c r="D1547" s="147"/>
      <c r="E1547" s="147"/>
      <c r="F1547" s="147"/>
      <c r="G1547" s="147"/>
      <c r="H1547" s="147"/>
      <c r="I1547" s="147"/>
      <c r="J1547" s="147"/>
      <c r="K1547" s="147"/>
      <c r="L1547" s="147"/>
      <c r="M1547" s="147"/>
    </row>
    <row r="1548">
      <c r="A1548" s="147"/>
      <c r="B1548" s="147"/>
      <c r="C1548" s="147"/>
      <c r="D1548" s="147"/>
      <c r="E1548" s="147"/>
      <c r="F1548" s="147"/>
      <c r="G1548" s="147"/>
      <c r="H1548" s="147"/>
      <c r="I1548" s="147"/>
      <c r="J1548" s="147"/>
      <c r="K1548" s="147"/>
      <c r="L1548" s="147"/>
      <c r="M1548" s="147"/>
    </row>
    <row r="1549">
      <c r="A1549" s="147"/>
      <c r="B1549" s="147"/>
      <c r="C1549" s="147"/>
      <c r="D1549" s="147"/>
      <c r="E1549" s="147"/>
      <c r="F1549" s="147"/>
      <c r="G1549" s="147"/>
      <c r="H1549" s="147"/>
      <c r="I1549" s="147"/>
      <c r="J1549" s="147"/>
      <c r="K1549" s="147"/>
      <c r="L1549" s="147"/>
      <c r="M1549" s="147"/>
    </row>
    <row r="1550">
      <c r="A1550" s="147"/>
      <c r="B1550" s="147"/>
      <c r="C1550" s="147"/>
      <c r="D1550" s="147"/>
      <c r="E1550" s="147"/>
      <c r="F1550" s="147"/>
      <c r="G1550" s="147"/>
      <c r="H1550" s="147"/>
      <c r="I1550" s="147"/>
      <c r="J1550" s="147"/>
      <c r="K1550" s="147"/>
      <c r="L1550" s="147"/>
      <c r="M1550" s="147"/>
    </row>
    <row r="1551">
      <c r="A1551" s="147"/>
      <c r="B1551" s="147"/>
      <c r="C1551" s="147"/>
      <c r="D1551" s="147"/>
      <c r="E1551" s="147"/>
      <c r="F1551" s="147"/>
      <c r="G1551" s="147"/>
      <c r="H1551" s="147"/>
      <c r="I1551" s="147"/>
      <c r="J1551" s="147"/>
      <c r="K1551" s="147"/>
      <c r="L1551" s="147"/>
      <c r="M1551" s="147"/>
    </row>
    <row r="1552">
      <c r="A1552" s="147"/>
      <c r="B1552" s="147"/>
      <c r="C1552" s="147"/>
      <c r="D1552" s="147"/>
      <c r="E1552" s="147"/>
      <c r="F1552" s="147"/>
      <c r="G1552" s="147"/>
      <c r="H1552" s="147"/>
      <c r="I1552" s="147"/>
      <c r="J1552" s="147"/>
      <c r="K1552" s="147"/>
      <c r="L1552" s="147"/>
      <c r="M1552" s="147"/>
    </row>
    <row r="1553">
      <c r="A1553" s="147"/>
      <c r="B1553" s="147"/>
      <c r="C1553" s="147"/>
      <c r="D1553" s="147"/>
      <c r="E1553" s="147"/>
      <c r="F1553" s="147"/>
      <c r="G1553" s="147"/>
      <c r="H1553" s="147"/>
      <c r="I1553" s="147"/>
      <c r="J1553" s="147"/>
      <c r="K1553" s="147"/>
      <c r="L1553" s="147"/>
      <c r="M1553" s="147"/>
    </row>
    <row r="1554">
      <c r="A1554" s="147"/>
      <c r="B1554" s="147"/>
      <c r="C1554" s="147"/>
      <c r="D1554" s="147"/>
      <c r="E1554" s="147"/>
      <c r="F1554" s="147"/>
      <c r="G1554" s="147"/>
      <c r="H1554" s="147"/>
      <c r="I1554" s="147"/>
      <c r="J1554" s="147"/>
      <c r="K1554" s="147"/>
      <c r="L1554" s="147"/>
      <c r="M1554" s="147"/>
    </row>
    <row r="1555">
      <c r="A1555" s="147"/>
      <c r="B1555" s="147"/>
      <c r="C1555" s="147"/>
      <c r="D1555" s="147"/>
      <c r="E1555" s="147"/>
      <c r="F1555" s="147"/>
      <c r="G1555" s="147"/>
      <c r="H1555" s="147"/>
      <c r="I1555" s="147"/>
      <c r="J1555" s="147"/>
      <c r="K1555" s="147"/>
      <c r="L1555" s="147"/>
      <c r="M1555" s="147"/>
    </row>
    <row r="1556">
      <c r="A1556" s="147"/>
      <c r="B1556" s="147"/>
      <c r="C1556" s="147"/>
      <c r="D1556" s="147"/>
      <c r="E1556" s="147"/>
      <c r="F1556" s="147"/>
      <c r="G1556" s="147"/>
      <c r="H1556" s="147"/>
      <c r="I1556" s="147"/>
      <c r="J1556" s="147"/>
      <c r="K1556" s="147"/>
      <c r="L1556" s="147"/>
      <c r="M1556" s="147"/>
    </row>
    <row r="1557">
      <c r="A1557" s="147"/>
      <c r="B1557" s="147"/>
      <c r="C1557" s="147"/>
      <c r="D1557" s="147"/>
      <c r="E1557" s="147"/>
      <c r="F1557" s="147"/>
      <c r="G1557" s="147"/>
      <c r="H1557" s="147"/>
      <c r="I1557" s="147"/>
      <c r="J1557" s="147"/>
      <c r="K1557" s="147"/>
      <c r="L1557" s="147"/>
      <c r="M1557" s="147"/>
    </row>
    <row r="1558">
      <c r="A1558" s="147"/>
      <c r="B1558" s="147"/>
      <c r="C1558" s="147"/>
      <c r="D1558" s="147"/>
      <c r="E1558" s="147"/>
      <c r="F1558" s="147"/>
      <c r="G1558" s="147"/>
      <c r="H1558" s="147"/>
      <c r="I1558" s="147"/>
      <c r="J1558" s="147"/>
      <c r="K1558" s="147"/>
      <c r="L1558" s="147"/>
      <c r="M1558" s="147"/>
    </row>
    <row r="1559">
      <c r="A1559" s="147"/>
      <c r="B1559" s="147"/>
      <c r="C1559" s="147"/>
      <c r="D1559" s="147"/>
      <c r="E1559" s="147"/>
      <c r="F1559" s="147"/>
      <c r="G1559" s="147"/>
      <c r="H1559" s="147"/>
      <c r="I1559" s="147"/>
      <c r="J1559" s="147"/>
      <c r="K1559" s="147"/>
      <c r="L1559" s="147"/>
      <c r="M1559" s="147"/>
    </row>
    <row r="1560">
      <c r="A1560" s="147"/>
      <c r="B1560" s="147"/>
      <c r="C1560" s="147"/>
      <c r="D1560" s="147"/>
      <c r="E1560" s="147"/>
      <c r="F1560" s="147"/>
      <c r="G1560" s="147"/>
      <c r="H1560" s="147"/>
      <c r="I1560" s="147"/>
      <c r="J1560" s="147"/>
      <c r="K1560" s="147"/>
      <c r="L1560" s="147"/>
      <c r="M1560" s="147"/>
    </row>
    <row r="1561">
      <c r="A1561" s="147"/>
      <c r="B1561" s="147"/>
      <c r="C1561" s="147"/>
      <c r="D1561" s="147"/>
      <c r="E1561" s="147"/>
      <c r="F1561" s="147"/>
      <c r="G1561" s="147"/>
      <c r="H1561" s="147"/>
      <c r="I1561" s="147"/>
      <c r="J1561" s="147"/>
      <c r="K1561" s="147"/>
      <c r="L1561" s="147"/>
      <c r="M1561" s="147"/>
    </row>
    <row r="1562">
      <c r="A1562" s="147"/>
      <c r="B1562" s="147"/>
      <c r="C1562" s="147"/>
      <c r="D1562" s="147"/>
      <c r="E1562" s="147"/>
      <c r="F1562" s="147"/>
      <c r="G1562" s="147"/>
      <c r="H1562" s="147"/>
      <c r="I1562" s="147"/>
      <c r="J1562" s="147"/>
      <c r="K1562" s="147"/>
      <c r="L1562" s="147"/>
      <c r="M1562" s="147"/>
    </row>
    <row r="1563">
      <c r="A1563" s="147"/>
      <c r="B1563" s="147"/>
      <c r="C1563" s="147"/>
      <c r="D1563" s="147"/>
      <c r="E1563" s="147"/>
      <c r="F1563" s="147"/>
      <c r="G1563" s="147"/>
      <c r="H1563" s="147"/>
      <c r="I1563" s="147"/>
      <c r="J1563" s="147"/>
      <c r="K1563" s="147"/>
      <c r="L1563" s="147"/>
      <c r="M1563" s="147"/>
    </row>
    <row r="1564">
      <c r="A1564" s="147"/>
      <c r="B1564" s="147"/>
      <c r="C1564" s="147"/>
      <c r="D1564" s="147"/>
      <c r="E1564" s="147"/>
      <c r="F1564" s="147"/>
      <c r="G1564" s="147"/>
      <c r="H1564" s="147"/>
      <c r="I1564" s="147"/>
      <c r="J1564" s="147"/>
      <c r="K1564" s="147"/>
      <c r="L1564" s="147"/>
      <c r="M1564" s="147"/>
    </row>
    <row r="1565">
      <c r="A1565" s="147"/>
      <c r="B1565" s="147"/>
      <c r="C1565" s="147"/>
      <c r="D1565" s="147"/>
      <c r="E1565" s="147"/>
      <c r="F1565" s="147"/>
      <c r="G1565" s="147"/>
      <c r="H1565" s="147"/>
      <c r="I1565" s="147"/>
      <c r="J1565" s="147"/>
      <c r="K1565" s="147"/>
      <c r="L1565" s="147"/>
      <c r="M1565" s="147"/>
    </row>
    <row r="1566">
      <c r="A1566" s="147"/>
      <c r="B1566" s="147"/>
      <c r="C1566" s="147"/>
      <c r="D1566" s="147"/>
      <c r="E1566" s="147"/>
      <c r="F1566" s="147"/>
      <c r="G1566" s="147"/>
      <c r="H1566" s="147"/>
      <c r="I1566" s="147"/>
      <c r="J1566" s="147"/>
      <c r="K1566" s="147"/>
      <c r="L1566" s="147"/>
      <c r="M1566" s="147"/>
    </row>
    <row r="1567">
      <c r="A1567" s="147"/>
      <c r="B1567" s="147"/>
      <c r="C1567" s="147"/>
      <c r="D1567" s="147"/>
      <c r="E1567" s="147"/>
      <c r="F1567" s="147"/>
      <c r="G1567" s="147"/>
      <c r="H1567" s="147"/>
      <c r="I1567" s="147"/>
      <c r="J1567" s="147"/>
      <c r="K1567" s="147"/>
      <c r="L1567" s="147"/>
      <c r="M1567" s="147"/>
    </row>
    <row r="1568">
      <c r="A1568" s="147"/>
      <c r="B1568" s="147"/>
      <c r="C1568" s="147"/>
      <c r="D1568" s="147"/>
      <c r="E1568" s="147"/>
      <c r="F1568" s="147"/>
      <c r="G1568" s="147"/>
      <c r="H1568" s="147"/>
      <c r="I1568" s="147"/>
      <c r="J1568" s="147"/>
      <c r="K1568" s="147"/>
      <c r="L1568" s="147"/>
      <c r="M1568" s="147"/>
    </row>
    <row r="1569">
      <c r="A1569" s="147"/>
      <c r="B1569" s="147"/>
      <c r="C1569" s="147"/>
      <c r="D1569" s="147"/>
      <c r="E1569" s="147"/>
      <c r="F1569" s="147"/>
      <c r="G1569" s="147"/>
      <c r="H1569" s="147"/>
      <c r="I1569" s="147"/>
      <c r="J1569" s="147"/>
      <c r="K1569" s="147"/>
      <c r="L1569" s="147"/>
      <c r="M1569" s="147"/>
    </row>
    <row r="1570">
      <c r="A1570" s="147"/>
      <c r="B1570" s="147"/>
      <c r="C1570" s="147"/>
      <c r="D1570" s="147"/>
      <c r="E1570" s="147"/>
      <c r="F1570" s="147"/>
      <c r="G1570" s="147"/>
      <c r="H1570" s="147"/>
      <c r="I1570" s="147"/>
      <c r="J1570" s="147"/>
      <c r="K1570" s="147"/>
      <c r="L1570" s="147"/>
      <c r="M1570" s="147"/>
    </row>
    <row r="1571">
      <c r="A1571" s="147"/>
      <c r="B1571" s="147"/>
      <c r="C1571" s="147"/>
      <c r="D1571" s="147"/>
      <c r="E1571" s="147"/>
      <c r="F1571" s="147"/>
      <c r="G1571" s="147"/>
      <c r="H1571" s="147"/>
      <c r="I1571" s="147"/>
      <c r="J1571" s="147"/>
      <c r="K1571" s="147"/>
      <c r="L1571" s="147"/>
      <c r="M1571" s="147"/>
    </row>
    <row r="1572">
      <c r="A1572" s="147"/>
      <c r="B1572" s="147"/>
      <c r="C1572" s="147"/>
      <c r="D1572" s="147"/>
      <c r="E1572" s="147"/>
      <c r="F1572" s="147"/>
      <c r="G1572" s="147"/>
      <c r="H1572" s="147"/>
      <c r="I1572" s="147"/>
      <c r="J1572" s="147"/>
      <c r="K1572" s="147"/>
      <c r="L1572" s="147"/>
      <c r="M1572" s="147"/>
    </row>
    <row r="1573">
      <c r="A1573" s="147"/>
      <c r="B1573" s="147"/>
      <c r="C1573" s="147"/>
      <c r="D1573" s="147"/>
      <c r="E1573" s="147"/>
      <c r="F1573" s="147"/>
      <c r="G1573" s="147"/>
      <c r="H1573" s="147"/>
      <c r="I1573" s="147"/>
      <c r="J1573" s="147"/>
      <c r="K1573" s="147"/>
      <c r="L1573" s="147"/>
      <c r="M1573" s="147"/>
    </row>
    <row r="1574">
      <c r="A1574" s="147"/>
      <c r="B1574" s="147"/>
      <c r="C1574" s="147"/>
      <c r="D1574" s="147"/>
      <c r="E1574" s="147"/>
      <c r="F1574" s="147"/>
      <c r="G1574" s="147"/>
      <c r="H1574" s="147"/>
      <c r="I1574" s="147"/>
      <c r="J1574" s="147"/>
      <c r="K1574" s="147"/>
      <c r="L1574" s="147"/>
      <c r="M1574" s="147"/>
    </row>
    <row r="1575">
      <c r="A1575" s="147"/>
      <c r="B1575" s="147"/>
      <c r="C1575" s="147"/>
      <c r="D1575" s="147"/>
      <c r="E1575" s="147"/>
      <c r="F1575" s="147"/>
      <c r="G1575" s="147"/>
      <c r="H1575" s="147"/>
      <c r="I1575" s="147"/>
      <c r="J1575" s="147"/>
      <c r="K1575" s="147"/>
      <c r="L1575" s="147"/>
      <c r="M1575" s="147"/>
    </row>
    <row r="1576">
      <c r="A1576" s="147"/>
      <c r="B1576" s="147"/>
      <c r="C1576" s="147"/>
      <c r="D1576" s="147"/>
      <c r="E1576" s="147"/>
      <c r="F1576" s="147"/>
      <c r="G1576" s="147"/>
      <c r="H1576" s="147"/>
      <c r="I1576" s="147"/>
      <c r="J1576" s="147"/>
      <c r="K1576" s="147"/>
      <c r="L1576" s="147"/>
      <c r="M1576" s="147"/>
    </row>
    <row r="1577">
      <c r="A1577" s="147"/>
      <c r="B1577" s="147"/>
      <c r="C1577" s="147"/>
      <c r="D1577" s="147"/>
      <c r="E1577" s="147"/>
      <c r="F1577" s="147"/>
      <c r="G1577" s="147"/>
      <c r="H1577" s="147"/>
      <c r="I1577" s="147"/>
      <c r="J1577" s="147"/>
      <c r="K1577" s="147"/>
      <c r="L1577" s="147"/>
      <c r="M1577" s="147"/>
    </row>
    <row r="1578">
      <c r="A1578" s="147"/>
      <c r="B1578" s="147"/>
      <c r="C1578" s="147"/>
      <c r="D1578" s="147"/>
      <c r="E1578" s="147"/>
      <c r="F1578" s="147"/>
      <c r="G1578" s="147"/>
      <c r="H1578" s="147"/>
      <c r="I1578" s="147"/>
      <c r="J1578" s="147"/>
      <c r="K1578" s="147"/>
      <c r="L1578" s="147"/>
      <c r="M1578" s="147"/>
    </row>
    <row r="1579">
      <c r="A1579" s="147"/>
      <c r="B1579" s="147"/>
      <c r="C1579" s="147"/>
      <c r="D1579" s="147"/>
      <c r="E1579" s="147"/>
      <c r="F1579" s="147"/>
      <c r="G1579" s="147"/>
      <c r="H1579" s="147"/>
      <c r="I1579" s="147"/>
      <c r="J1579" s="147"/>
      <c r="K1579" s="147"/>
      <c r="L1579" s="147"/>
      <c r="M1579" s="147"/>
    </row>
    <row r="1580">
      <c r="A1580" s="147"/>
      <c r="B1580" s="147"/>
      <c r="C1580" s="147"/>
      <c r="D1580" s="147"/>
      <c r="E1580" s="147"/>
      <c r="F1580" s="147"/>
      <c r="G1580" s="147"/>
      <c r="H1580" s="147"/>
      <c r="I1580" s="147"/>
      <c r="J1580" s="147"/>
      <c r="K1580" s="147"/>
      <c r="L1580" s="147"/>
      <c r="M1580" s="147"/>
    </row>
    <row r="1581">
      <c r="A1581" s="147"/>
      <c r="B1581" s="147"/>
      <c r="C1581" s="147"/>
      <c r="D1581" s="147"/>
      <c r="E1581" s="147"/>
      <c r="F1581" s="147"/>
      <c r="G1581" s="147"/>
      <c r="H1581" s="147"/>
      <c r="I1581" s="147"/>
      <c r="J1581" s="147"/>
      <c r="K1581" s="147"/>
      <c r="L1581" s="147"/>
      <c r="M1581" s="147"/>
    </row>
    <row r="1582">
      <c r="A1582" s="147"/>
      <c r="B1582" s="147"/>
      <c r="C1582" s="147"/>
      <c r="D1582" s="147"/>
      <c r="E1582" s="147"/>
      <c r="F1582" s="147"/>
      <c r="G1582" s="147"/>
      <c r="H1582" s="147"/>
      <c r="I1582" s="147"/>
      <c r="J1582" s="147"/>
      <c r="K1582" s="147"/>
      <c r="L1582" s="147"/>
      <c r="M1582" s="147"/>
    </row>
    <row r="1583">
      <c r="A1583" s="147"/>
      <c r="B1583" s="147"/>
      <c r="C1583" s="147"/>
      <c r="D1583" s="147"/>
      <c r="E1583" s="147"/>
      <c r="F1583" s="147"/>
      <c r="G1583" s="147"/>
      <c r="H1583" s="147"/>
      <c r="I1583" s="147"/>
      <c r="J1583" s="147"/>
      <c r="K1583" s="147"/>
      <c r="L1583" s="147"/>
      <c r="M1583" s="147"/>
    </row>
    <row r="1584">
      <c r="A1584" s="147"/>
      <c r="B1584" s="147"/>
      <c r="C1584" s="147"/>
      <c r="D1584" s="147"/>
      <c r="E1584" s="147"/>
      <c r="F1584" s="147"/>
      <c r="G1584" s="147"/>
      <c r="H1584" s="147"/>
      <c r="I1584" s="147"/>
      <c r="J1584" s="147"/>
      <c r="K1584" s="147"/>
      <c r="L1584" s="147"/>
      <c r="M1584" s="147"/>
    </row>
    <row r="1585">
      <c r="A1585" s="147"/>
      <c r="B1585" s="147"/>
      <c r="C1585" s="147"/>
      <c r="D1585" s="147"/>
      <c r="E1585" s="147"/>
      <c r="F1585" s="147"/>
      <c r="G1585" s="147"/>
      <c r="H1585" s="147"/>
      <c r="I1585" s="147"/>
      <c r="J1585" s="147"/>
      <c r="K1585" s="147"/>
      <c r="L1585" s="147"/>
      <c r="M1585" s="147"/>
    </row>
    <row r="1586">
      <c r="A1586" s="147"/>
      <c r="B1586" s="147"/>
      <c r="C1586" s="147"/>
      <c r="D1586" s="147"/>
      <c r="E1586" s="147"/>
      <c r="F1586" s="147"/>
      <c r="G1586" s="147"/>
      <c r="H1586" s="147"/>
      <c r="I1586" s="147"/>
      <c r="J1586" s="147"/>
      <c r="K1586" s="147"/>
      <c r="L1586" s="147"/>
      <c r="M1586" s="147"/>
    </row>
    <row r="1587">
      <c r="A1587" s="147"/>
      <c r="B1587" s="147"/>
      <c r="C1587" s="147"/>
      <c r="D1587" s="147"/>
      <c r="E1587" s="147"/>
      <c r="F1587" s="147"/>
      <c r="G1587" s="147"/>
      <c r="H1587" s="147"/>
      <c r="I1587" s="147"/>
      <c r="J1587" s="147"/>
      <c r="K1587" s="147"/>
      <c r="L1587" s="147"/>
      <c r="M1587" s="147"/>
    </row>
    <row r="1588">
      <c r="A1588" s="147"/>
      <c r="B1588" s="147"/>
      <c r="C1588" s="147"/>
      <c r="D1588" s="147"/>
      <c r="E1588" s="147"/>
      <c r="F1588" s="147"/>
      <c r="G1588" s="147"/>
      <c r="H1588" s="147"/>
      <c r="I1588" s="147"/>
      <c r="J1588" s="147"/>
      <c r="K1588" s="147"/>
      <c r="L1588" s="147"/>
      <c r="M1588" s="147"/>
    </row>
    <row r="1589">
      <c r="A1589" s="147"/>
      <c r="B1589" s="147"/>
      <c r="C1589" s="147"/>
      <c r="D1589" s="147"/>
      <c r="E1589" s="147"/>
      <c r="F1589" s="147"/>
      <c r="G1589" s="147"/>
      <c r="H1589" s="147"/>
      <c r="I1589" s="147"/>
      <c r="J1589" s="147"/>
      <c r="K1589" s="147"/>
      <c r="L1589" s="147"/>
      <c r="M1589" s="147"/>
    </row>
    <row r="1590">
      <c r="A1590" s="147"/>
      <c r="B1590" s="147"/>
      <c r="C1590" s="147"/>
      <c r="D1590" s="147"/>
      <c r="E1590" s="147"/>
      <c r="F1590" s="147"/>
      <c r="G1590" s="147"/>
      <c r="H1590" s="147"/>
      <c r="I1590" s="147"/>
      <c r="J1590" s="147"/>
      <c r="K1590" s="147"/>
      <c r="L1590" s="147"/>
      <c r="M1590" s="147"/>
    </row>
    <row r="1591">
      <c r="A1591" s="147"/>
      <c r="B1591" s="147"/>
      <c r="C1591" s="147"/>
      <c r="D1591" s="147"/>
      <c r="E1591" s="147"/>
      <c r="F1591" s="147"/>
      <c r="G1591" s="147"/>
      <c r="H1591" s="147"/>
      <c r="I1591" s="147"/>
      <c r="J1591" s="147"/>
      <c r="K1591" s="147"/>
      <c r="L1591" s="147"/>
      <c r="M1591" s="147"/>
    </row>
    <row r="1592">
      <c r="A1592" s="147"/>
      <c r="B1592" s="147"/>
      <c r="C1592" s="147"/>
      <c r="D1592" s="147"/>
      <c r="E1592" s="147"/>
      <c r="F1592" s="147"/>
      <c r="G1592" s="147"/>
      <c r="H1592" s="147"/>
      <c r="I1592" s="147"/>
      <c r="J1592" s="147"/>
      <c r="K1592" s="147"/>
      <c r="L1592" s="147"/>
      <c r="M1592" s="147"/>
    </row>
    <row r="1593">
      <c r="A1593" s="147"/>
      <c r="B1593" s="147"/>
      <c r="C1593" s="147"/>
      <c r="D1593" s="147"/>
      <c r="E1593" s="147"/>
      <c r="F1593" s="147"/>
      <c r="G1593" s="147"/>
      <c r="H1593" s="147"/>
      <c r="I1593" s="147"/>
      <c r="J1593" s="147"/>
      <c r="K1593" s="147"/>
      <c r="L1593" s="147"/>
      <c r="M1593" s="147"/>
    </row>
    <row r="1594">
      <c r="A1594" s="147"/>
      <c r="B1594" s="147"/>
      <c r="C1594" s="147"/>
      <c r="D1594" s="147"/>
      <c r="E1594" s="147"/>
      <c r="F1594" s="147"/>
      <c r="G1594" s="147"/>
      <c r="H1594" s="147"/>
      <c r="I1594" s="147"/>
      <c r="J1594" s="147"/>
      <c r="K1594" s="147"/>
      <c r="L1594" s="147"/>
      <c r="M1594" s="147"/>
    </row>
    <row r="1595">
      <c r="A1595" s="147"/>
      <c r="B1595" s="147"/>
      <c r="C1595" s="147"/>
      <c r="D1595" s="147"/>
      <c r="E1595" s="147"/>
      <c r="F1595" s="147"/>
      <c r="G1595" s="147"/>
      <c r="H1595" s="147"/>
      <c r="I1595" s="147"/>
      <c r="J1595" s="147"/>
      <c r="K1595" s="147"/>
      <c r="L1595" s="147"/>
      <c r="M1595" s="147"/>
    </row>
    <row r="1596">
      <c r="A1596" s="147"/>
      <c r="B1596" s="147"/>
      <c r="C1596" s="147"/>
      <c r="D1596" s="147"/>
      <c r="E1596" s="147"/>
      <c r="F1596" s="147"/>
      <c r="G1596" s="147"/>
      <c r="H1596" s="147"/>
      <c r="I1596" s="147"/>
      <c r="J1596" s="147"/>
      <c r="K1596" s="147"/>
      <c r="L1596" s="147"/>
      <c r="M1596" s="147"/>
    </row>
    <row r="1597">
      <c r="A1597" s="147"/>
      <c r="B1597" s="147"/>
      <c r="C1597" s="147"/>
      <c r="D1597" s="147"/>
      <c r="E1597" s="147"/>
      <c r="F1597" s="147"/>
      <c r="G1597" s="147"/>
      <c r="H1597" s="147"/>
      <c r="I1597" s="147"/>
      <c r="J1597" s="147"/>
      <c r="K1597" s="147"/>
      <c r="L1597" s="147"/>
      <c r="M1597" s="147"/>
    </row>
    <row r="1598">
      <c r="A1598" s="147"/>
      <c r="B1598" s="147"/>
      <c r="C1598" s="147"/>
      <c r="D1598" s="147"/>
      <c r="E1598" s="147"/>
      <c r="F1598" s="147"/>
      <c r="G1598" s="147"/>
      <c r="H1598" s="147"/>
      <c r="I1598" s="147"/>
      <c r="J1598" s="147"/>
      <c r="K1598" s="147"/>
      <c r="L1598" s="147"/>
      <c r="M1598" s="147"/>
    </row>
    <row r="1599">
      <c r="A1599" s="147"/>
      <c r="B1599" s="147"/>
      <c r="C1599" s="147"/>
      <c r="D1599" s="147"/>
      <c r="E1599" s="147"/>
      <c r="F1599" s="147"/>
      <c r="G1599" s="147"/>
      <c r="H1599" s="147"/>
      <c r="I1599" s="147"/>
      <c r="J1599" s="147"/>
      <c r="K1599" s="147"/>
      <c r="L1599" s="147"/>
      <c r="M1599" s="147"/>
    </row>
    <row r="1600">
      <c r="A1600" s="147"/>
      <c r="B1600" s="147"/>
      <c r="C1600" s="147"/>
      <c r="D1600" s="147"/>
      <c r="E1600" s="147"/>
      <c r="F1600" s="147"/>
      <c r="G1600" s="147"/>
      <c r="H1600" s="147"/>
      <c r="I1600" s="147"/>
      <c r="J1600" s="147"/>
      <c r="K1600" s="147"/>
      <c r="L1600" s="147"/>
      <c r="M1600" s="147"/>
    </row>
    <row r="1601">
      <c r="A1601" s="147"/>
      <c r="B1601" s="147"/>
      <c r="C1601" s="147"/>
      <c r="D1601" s="147"/>
      <c r="E1601" s="147"/>
      <c r="F1601" s="147"/>
      <c r="G1601" s="147"/>
      <c r="H1601" s="147"/>
      <c r="I1601" s="147"/>
      <c r="J1601" s="147"/>
      <c r="K1601" s="147"/>
      <c r="L1601" s="147"/>
      <c r="M1601" s="147"/>
    </row>
    <row r="1602">
      <c r="A1602" s="147"/>
      <c r="B1602" s="147"/>
      <c r="C1602" s="147"/>
      <c r="D1602" s="147"/>
      <c r="E1602" s="147"/>
      <c r="F1602" s="147"/>
      <c r="G1602" s="147"/>
      <c r="H1602" s="147"/>
      <c r="I1602" s="147"/>
      <c r="J1602" s="147"/>
      <c r="K1602" s="147"/>
      <c r="L1602" s="147"/>
      <c r="M1602" s="147"/>
    </row>
    <row r="1603">
      <c r="A1603" s="147"/>
      <c r="B1603" s="147"/>
      <c r="C1603" s="147"/>
      <c r="D1603" s="147"/>
      <c r="E1603" s="147"/>
      <c r="F1603" s="147"/>
      <c r="G1603" s="147"/>
      <c r="H1603" s="147"/>
      <c r="I1603" s="147"/>
      <c r="J1603" s="147"/>
      <c r="K1603" s="147"/>
      <c r="L1603" s="147"/>
      <c r="M1603" s="147"/>
    </row>
    <row r="1604">
      <c r="A1604" s="147"/>
      <c r="B1604" s="147"/>
      <c r="C1604" s="147"/>
      <c r="D1604" s="147"/>
      <c r="E1604" s="147"/>
      <c r="F1604" s="147"/>
      <c r="G1604" s="147"/>
      <c r="H1604" s="147"/>
      <c r="I1604" s="147"/>
      <c r="J1604" s="147"/>
      <c r="K1604" s="147"/>
      <c r="L1604" s="147"/>
      <c r="M1604" s="147"/>
    </row>
    <row r="1605">
      <c r="A1605" s="147"/>
      <c r="B1605" s="147"/>
      <c r="C1605" s="147"/>
      <c r="D1605" s="147"/>
      <c r="E1605" s="147"/>
      <c r="F1605" s="147"/>
      <c r="G1605" s="147"/>
      <c r="H1605" s="147"/>
      <c r="I1605" s="147"/>
      <c r="J1605" s="147"/>
      <c r="K1605" s="147"/>
      <c r="L1605" s="147"/>
      <c r="M1605" s="147"/>
    </row>
    <row r="1606">
      <c r="A1606" s="147"/>
      <c r="B1606" s="147"/>
      <c r="C1606" s="147"/>
      <c r="D1606" s="147"/>
      <c r="E1606" s="147"/>
      <c r="F1606" s="147"/>
      <c r="G1606" s="147"/>
      <c r="H1606" s="147"/>
      <c r="I1606" s="147"/>
      <c r="J1606" s="147"/>
      <c r="K1606" s="147"/>
      <c r="L1606" s="147"/>
      <c r="M1606" s="147"/>
    </row>
    <row r="1607">
      <c r="A1607" s="147"/>
      <c r="B1607" s="147"/>
      <c r="C1607" s="147"/>
      <c r="D1607" s="147"/>
      <c r="E1607" s="147"/>
      <c r="F1607" s="147"/>
      <c r="G1607" s="147"/>
      <c r="H1607" s="147"/>
      <c r="I1607" s="147"/>
      <c r="J1607" s="147"/>
      <c r="K1607" s="147"/>
      <c r="L1607" s="147"/>
      <c r="M1607" s="147"/>
    </row>
    <row r="1608">
      <c r="A1608" s="147"/>
      <c r="B1608" s="147"/>
      <c r="C1608" s="147"/>
      <c r="D1608" s="147"/>
      <c r="E1608" s="147"/>
      <c r="F1608" s="147"/>
      <c r="G1608" s="147"/>
      <c r="H1608" s="147"/>
      <c r="I1608" s="147"/>
      <c r="J1608" s="147"/>
      <c r="K1608" s="147"/>
      <c r="L1608" s="147"/>
      <c r="M1608" s="147"/>
    </row>
    <row r="1609">
      <c r="A1609" s="147"/>
      <c r="B1609" s="147"/>
      <c r="C1609" s="147"/>
      <c r="D1609" s="147"/>
      <c r="E1609" s="147"/>
      <c r="F1609" s="147"/>
      <c r="G1609" s="147"/>
      <c r="H1609" s="147"/>
      <c r="I1609" s="147"/>
      <c r="J1609" s="147"/>
      <c r="K1609" s="147"/>
      <c r="L1609" s="147"/>
      <c r="M1609" s="147"/>
    </row>
    <row r="1610">
      <c r="A1610" s="147"/>
      <c r="B1610" s="147"/>
      <c r="C1610" s="147"/>
      <c r="D1610" s="147"/>
      <c r="E1610" s="147"/>
      <c r="F1610" s="147"/>
      <c r="G1610" s="147"/>
      <c r="H1610" s="147"/>
      <c r="I1610" s="147"/>
      <c r="J1610" s="147"/>
      <c r="K1610" s="147"/>
      <c r="L1610" s="147"/>
      <c r="M1610" s="147"/>
    </row>
    <row r="1611">
      <c r="A1611" s="147"/>
      <c r="B1611" s="147"/>
      <c r="C1611" s="147"/>
      <c r="D1611" s="147"/>
      <c r="E1611" s="147"/>
      <c r="F1611" s="147"/>
      <c r="G1611" s="147"/>
      <c r="H1611" s="147"/>
      <c r="I1611" s="147"/>
      <c r="J1611" s="147"/>
      <c r="K1611" s="147"/>
      <c r="L1611" s="147"/>
      <c r="M1611" s="147"/>
    </row>
    <row r="1612">
      <c r="A1612" s="147"/>
      <c r="B1612" s="147"/>
      <c r="C1612" s="147"/>
      <c r="D1612" s="147"/>
      <c r="E1612" s="147"/>
      <c r="F1612" s="147"/>
      <c r="G1612" s="147"/>
      <c r="H1612" s="147"/>
      <c r="I1612" s="147"/>
      <c r="J1612" s="147"/>
      <c r="K1612" s="147"/>
      <c r="L1612" s="147"/>
      <c r="M1612" s="147"/>
    </row>
    <row r="1613">
      <c r="A1613" s="147"/>
      <c r="B1613" s="147"/>
      <c r="C1613" s="147"/>
      <c r="D1613" s="147"/>
      <c r="E1613" s="147"/>
      <c r="F1613" s="147"/>
      <c r="G1613" s="147"/>
      <c r="H1613" s="147"/>
      <c r="I1613" s="147"/>
      <c r="J1613" s="147"/>
      <c r="K1613" s="147"/>
      <c r="L1613" s="147"/>
      <c r="M1613" s="147"/>
    </row>
    <row r="1614">
      <c r="A1614" s="147"/>
      <c r="B1614" s="147"/>
      <c r="C1614" s="147"/>
      <c r="D1614" s="147"/>
      <c r="E1614" s="147"/>
      <c r="F1614" s="147"/>
      <c r="G1614" s="147"/>
      <c r="H1614" s="147"/>
      <c r="I1614" s="147"/>
      <c r="J1614" s="147"/>
      <c r="K1614" s="147"/>
      <c r="L1614" s="147"/>
      <c r="M1614" s="147"/>
    </row>
    <row r="1615">
      <c r="A1615" s="147"/>
      <c r="B1615" s="147"/>
      <c r="C1615" s="147"/>
      <c r="D1615" s="147"/>
      <c r="E1615" s="147"/>
      <c r="F1615" s="147"/>
      <c r="G1615" s="147"/>
      <c r="H1615" s="147"/>
      <c r="I1615" s="147"/>
      <c r="J1615" s="147"/>
      <c r="K1615" s="147"/>
      <c r="L1615" s="147"/>
      <c r="M1615" s="147"/>
    </row>
    <row r="1616">
      <c r="A1616" s="147"/>
      <c r="B1616" s="147"/>
      <c r="C1616" s="147"/>
      <c r="D1616" s="147"/>
      <c r="E1616" s="147"/>
      <c r="F1616" s="147"/>
      <c r="G1616" s="147"/>
      <c r="H1616" s="147"/>
      <c r="I1616" s="147"/>
      <c r="J1616" s="147"/>
      <c r="K1616" s="147"/>
      <c r="L1616" s="147"/>
      <c r="M1616" s="147"/>
    </row>
    <row r="1617">
      <c r="A1617" s="147"/>
      <c r="B1617" s="147"/>
      <c r="C1617" s="147"/>
      <c r="D1617" s="147"/>
      <c r="E1617" s="147"/>
      <c r="F1617" s="147"/>
      <c r="G1617" s="147"/>
      <c r="H1617" s="147"/>
      <c r="I1617" s="147"/>
      <c r="J1617" s="147"/>
      <c r="K1617" s="147"/>
      <c r="L1617" s="147"/>
      <c r="M1617" s="147"/>
    </row>
    <row r="1618">
      <c r="A1618" s="147"/>
      <c r="B1618" s="147"/>
      <c r="C1618" s="147"/>
      <c r="D1618" s="147"/>
      <c r="E1618" s="147"/>
      <c r="F1618" s="147"/>
      <c r="G1618" s="147"/>
      <c r="H1618" s="147"/>
      <c r="I1618" s="147"/>
      <c r="J1618" s="147"/>
      <c r="K1618" s="147"/>
      <c r="L1618" s="147"/>
      <c r="M1618" s="147"/>
    </row>
    <row r="1619">
      <c r="A1619" s="147"/>
      <c r="B1619" s="147"/>
      <c r="C1619" s="147"/>
      <c r="D1619" s="147"/>
      <c r="E1619" s="147"/>
      <c r="F1619" s="147"/>
      <c r="G1619" s="147"/>
      <c r="H1619" s="147"/>
      <c r="I1619" s="147"/>
      <c r="J1619" s="147"/>
      <c r="K1619" s="147"/>
      <c r="L1619" s="147"/>
      <c r="M1619" s="147"/>
    </row>
    <row r="1620">
      <c r="A1620" s="147"/>
      <c r="B1620" s="147"/>
      <c r="C1620" s="147"/>
      <c r="D1620" s="147"/>
      <c r="E1620" s="147"/>
      <c r="F1620" s="147"/>
      <c r="G1620" s="147"/>
      <c r="H1620" s="147"/>
      <c r="I1620" s="147"/>
      <c r="J1620" s="147"/>
      <c r="K1620" s="147"/>
      <c r="L1620" s="147"/>
      <c r="M1620" s="147"/>
    </row>
    <row r="1621">
      <c r="A1621" s="147"/>
      <c r="B1621" s="147"/>
      <c r="C1621" s="147"/>
      <c r="D1621" s="147"/>
      <c r="E1621" s="147"/>
      <c r="F1621" s="147"/>
      <c r="G1621" s="147"/>
      <c r="H1621" s="147"/>
      <c r="I1621" s="147"/>
      <c r="J1621" s="147"/>
      <c r="K1621" s="147"/>
      <c r="L1621" s="147"/>
      <c r="M1621" s="147"/>
    </row>
    <row r="1622">
      <c r="A1622" s="147"/>
      <c r="B1622" s="147"/>
      <c r="C1622" s="147"/>
      <c r="D1622" s="147"/>
      <c r="E1622" s="147"/>
      <c r="F1622" s="147"/>
      <c r="G1622" s="147"/>
      <c r="H1622" s="147"/>
      <c r="I1622" s="147"/>
      <c r="J1622" s="147"/>
      <c r="K1622" s="147"/>
      <c r="L1622" s="147"/>
      <c r="M1622" s="147"/>
    </row>
    <row r="1623">
      <c r="A1623" s="147"/>
      <c r="B1623" s="147"/>
      <c r="C1623" s="147"/>
      <c r="D1623" s="147"/>
      <c r="E1623" s="147"/>
      <c r="F1623" s="147"/>
      <c r="G1623" s="147"/>
      <c r="H1623" s="147"/>
      <c r="I1623" s="147"/>
      <c r="J1623" s="147"/>
      <c r="K1623" s="147"/>
      <c r="L1623" s="147"/>
      <c r="M1623" s="147"/>
    </row>
    <row r="1624">
      <c r="A1624" s="147"/>
      <c r="B1624" s="147"/>
      <c r="C1624" s="147"/>
      <c r="D1624" s="147"/>
      <c r="E1624" s="147"/>
      <c r="F1624" s="147"/>
      <c r="G1624" s="147"/>
      <c r="H1624" s="147"/>
      <c r="I1624" s="147"/>
      <c r="J1624" s="147"/>
      <c r="K1624" s="147"/>
      <c r="L1624" s="147"/>
      <c r="M1624" s="147"/>
    </row>
    <row r="1625">
      <c r="A1625" s="147"/>
      <c r="B1625" s="147"/>
      <c r="C1625" s="147"/>
      <c r="D1625" s="147"/>
      <c r="E1625" s="147"/>
      <c r="F1625" s="147"/>
      <c r="G1625" s="147"/>
      <c r="H1625" s="147"/>
      <c r="I1625" s="147"/>
      <c r="J1625" s="147"/>
      <c r="K1625" s="147"/>
      <c r="L1625" s="147"/>
      <c r="M1625" s="147"/>
    </row>
    <row r="1626">
      <c r="A1626" s="147"/>
      <c r="B1626" s="147"/>
      <c r="C1626" s="147"/>
      <c r="D1626" s="147"/>
      <c r="E1626" s="147"/>
      <c r="F1626" s="147"/>
      <c r="G1626" s="147"/>
      <c r="H1626" s="147"/>
      <c r="I1626" s="147"/>
      <c r="J1626" s="147"/>
      <c r="K1626" s="147"/>
      <c r="L1626" s="147"/>
      <c r="M1626" s="147"/>
    </row>
    <row r="1627">
      <c r="A1627" s="147"/>
      <c r="B1627" s="147"/>
      <c r="C1627" s="147"/>
      <c r="D1627" s="147"/>
      <c r="E1627" s="147"/>
      <c r="F1627" s="147"/>
      <c r="G1627" s="147"/>
      <c r="H1627" s="147"/>
      <c r="I1627" s="147"/>
      <c r="J1627" s="147"/>
      <c r="K1627" s="147"/>
      <c r="L1627" s="147"/>
      <c r="M1627" s="147"/>
    </row>
    <row r="1628">
      <c r="A1628" s="147"/>
      <c r="B1628" s="147"/>
      <c r="C1628" s="147"/>
      <c r="D1628" s="147"/>
      <c r="E1628" s="147"/>
      <c r="F1628" s="147"/>
      <c r="G1628" s="147"/>
      <c r="H1628" s="147"/>
      <c r="I1628" s="147"/>
      <c r="J1628" s="147"/>
      <c r="K1628" s="147"/>
      <c r="L1628" s="147"/>
      <c r="M1628" s="147"/>
    </row>
    <row r="1629">
      <c r="A1629" s="147"/>
      <c r="B1629" s="147"/>
      <c r="C1629" s="147"/>
      <c r="D1629" s="147"/>
      <c r="E1629" s="147"/>
      <c r="F1629" s="147"/>
      <c r="G1629" s="147"/>
      <c r="H1629" s="147"/>
      <c r="I1629" s="147"/>
      <c r="J1629" s="147"/>
      <c r="K1629" s="147"/>
      <c r="L1629" s="147"/>
      <c r="M1629" s="147"/>
    </row>
    <row r="1630">
      <c r="A1630" s="147"/>
      <c r="B1630" s="147"/>
      <c r="C1630" s="147"/>
      <c r="D1630" s="147"/>
      <c r="E1630" s="147"/>
      <c r="F1630" s="147"/>
      <c r="G1630" s="147"/>
      <c r="H1630" s="147"/>
      <c r="I1630" s="147"/>
      <c r="J1630" s="147"/>
      <c r="K1630" s="147"/>
      <c r="L1630" s="147"/>
      <c r="M1630" s="147"/>
    </row>
    <row r="1631">
      <c r="A1631" s="147"/>
      <c r="B1631" s="147"/>
      <c r="C1631" s="147"/>
      <c r="D1631" s="147"/>
      <c r="E1631" s="147"/>
      <c r="F1631" s="147"/>
      <c r="G1631" s="147"/>
      <c r="H1631" s="147"/>
      <c r="I1631" s="147"/>
      <c r="J1631" s="147"/>
      <c r="K1631" s="147"/>
      <c r="L1631" s="147"/>
      <c r="M1631" s="147"/>
    </row>
    <row r="1632">
      <c r="A1632" s="147"/>
      <c r="B1632" s="147"/>
      <c r="C1632" s="147"/>
      <c r="D1632" s="147"/>
      <c r="E1632" s="147"/>
      <c r="F1632" s="147"/>
      <c r="G1632" s="147"/>
      <c r="H1632" s="147"/>
      <c r="I1632" s="147"/>
      <c r="J1632" s="147"/>
      <c r="K1632" s="147"/>
      <c r="L1632" s="147"/>
      <c r="M1632" s="147"/>
    </row>
    <row r="1633">
      <c r="A1633" s="147"/>
      <c r="B1633" s="147"/>
      <c r="C1633" s="147"/>
      <c r="D1633" s="147"/>
      <c r="E1633" s="147"/>
      <c r="F1633" s="147"/>
      <c r="G1633" s="147"/>
      <c r="H1633" s="147"/>
      <c r="I1633" s="147"/>
      <c r="J1633" s="147"/>
      <c r="K1633" s="147"/>
      <c r="L1633" s="147"/>
      <c r="M1633" s="147"/>
    </row>
    <row r="1634">
      <c r="A1634" s="147"/>
      <c r="B1634" s="147"/>
      <c r="C1634" s="147"/>
      <c r="D1634" s="147"/>
      <c r="E1634" s="147"/>
      <c r="F1634" s="147"/>
      <c r="G1634" s="147"/>
      <c r="H1634" s="147"/>
      <c r="I1634" s="147"/>
      <c r="J1634" s="147"/>
      <c r="K1634" s="147"/>
      <c r="L1634" s="147"/>
      <c r="M1634" s="147"/>
    </row>
    <row r="1635">
      <c r="A1635" s="147"/>
      <c r="B1635" s="147"/>
      <c r="C1635" s="147"/>
      <c r="D1635" s="147"/>
      <c r="E1635" s="147"/>
      <c r="F1635" s="147"/>
      <c r="G1635" s="147"/>
      <c r="H1635" s="147"/>
      <c r="I1635" s="147"/>
      <c r="J1635" s="147"/>
      <c r="K1635" s="147"/>
      <c r="L1635" s="147"/>
      <c r="M1635" s="147"/>
    </row>
    <row r="1636">
      <c r="A1636" s="147"/>
      <c r="B1636" s="147"/>
      <c r="C1636" s="147"/>
      <c r="D1636" s="147"/>
      <c r="E1636" s="147"/>
      <c r="F1636" s="147"/>
      <c r="G1636" s="147"/>
      <c r="H1636" s="147"/>
      <c r="I1636" s="147"/>
      <c r="J1636" s="147"/>
      <c r="K1636" s="147"/>
      <c r="L1636" s="147"/>
      <c r="M1636" s="147"/>
    </row>
    <row r="1637">
      <c r="A1637" s="147"/>
      <c r="B1637" s="147"/>
      <c r="C1637" s="147"/>
      <c r="D1637" s="147"/>
      <c r="E1637" s="147"/>
      <c r="F1637" s="147"/>
      <c r="G1637" s="147"/>
      <c r="H1637" s="147"/>
      <c r="I1637" s="147"/>
      <c r="J1637" s="147"/>
      <c r="K1637" s="147"/>
      <c r="L1637" s="147"/>
      <c r="M1637" s="147"/>
    </row>
    <row r="1638">
      <c r="A1638" s="147"/>
      <c r="B1638" s="147"/>
      <c r="C1638" s="147"/>
      <c r="D1638" s="147"/>
      <c r="E1638" s="147"/>
      <c r="F1638" s="147"/>
      <c r="G1638" s="147"/>
      <c r="H1638" s="147"/>
      <c r="I1638" s="147"/>
      <c r="J1638" s="147"/>
      <c r="K1638" s="147"/>
      <c r="L1638" s="147"/>
      <c r="M1638" s="147"/>
    </row>
    <row r="1639">
      <c r="A1639" s="147"/>
      <c r="B1639" s="147"/>
      <c r="C1639" s="147"/>
      <c r="D1639" s="147"/>
      <c r="E1639" s="147"/>
      <c r="F1639" s="147"/>
      <c r="G1639" s="147"/>
      <c r="H1639" s="147"/>
      <c r="I1639" s="147"/>
      <c r="J1639" s="147"/>
      <c r="K1639" s="147"/>
      <c r="L1639" s="147"/>
      <c r="M1639" s="147"/>
    </row>
    <row r="1640">
      <c r="A1640" s="147"/>
      <c r="B1640" s="147"/>
      <c r="C1640" s="147"/>
      <c r="D1640" s="147"/>
      <c r="E1640" s="147"/>
      <c r="F1640" s="147"/>
      <c r="G1640" s="147"/>
      <c r="H1640" s="147"/>
      <c r="I1640" s="147"/>
      <c r="J1640" s="147"/>
      <c r="K1640" s="147"/>
      <c r="L1640" s="147"/>
      <c r="M1640" s="147"/>
    </row>
    <row r="1641">
      <c r="A1641" s="147"/>
      <c r="B1641" s="147"/>
      <c r="C1641" s="147"/>
      <c r="D1641" s="147"/>
      <c r="E1641" s="147"/>
      <c r="F1641" s="147"/>
      <c r="G1641" s="147"/>
      <c r="H1641" s="147"/>
      <c r="I1641" s="147"/>
      <c r="J1641" s="147"/>
      <c r="K1641" s="147"/>
      <c r="L1641" s="147"/>
      <c r="M1641" s="147"/>
    </row>
    <row r="1642">
      <c r="A1642" s="147"/>
      <c r="B1642" s="147"/>
      <c r="C1642" s="147"/>
      <c r="D1642" s="147"/>
      <c r="E1642" s="147"/>
      <c r="F1642" s="147"/>
      <c r="G1642" s="147"/>
      <c r="H1642" s="147"/>
      <c r="I1642" s="147"/>
      <c r="J1642" s="147"/>
      <c r="K1642" s="147"/>
      <c r="L1642" s="147"/>
      <c r="M1642" s="147"/>
    </row>
    <row r="1643">
      <c r="A1643" s="147"/>
      <c r="B1643" s="147"/>
      <c r="C1643" s="147"/>
      <c r="D1643" s="147"/>
      <c r="E1643" s="147"/>
      <c r="F1643" s="147"/>
      <c r="G1643" s="147"/>
      <c r="H1643" s="147"/>
      <c r="I1643" s="147"/>
      <c r="J1643" s="147"/>
      <c r="K1643" s="147"/>
      <c r="L1643" s="147"/>
      <c r="M1643" s="147"/>
    </row>
    <row r="1644">
      <c r="A1644" s="147"/>
      <c r="B1644" s="147"/>
      <c r="C1644" s="147"/>
      <c r="D1644" s="147"/>
      <c r="E1644" s="147"/>
      <c r="F1644" s="147"/>
      <c r="G1644" s="147"/>
      <c r="H1644" s="147"/>
      <c r="I1644" s="147"/>
      <c r="J1644" s="147"/>
      <c r="K1644" s="147"/>
      <c r="L1644" s="147"/>
      <c r="M1644" s="147"/>
    </row>
    <row r="1645">
      <c r="A1645" s="147"/>
      <c r="B1645" s="147"/>
      <c r="C1645" s="147"/>
      <c r="D1645" s="147"/>
      <c r="E1645" s="147"/>
      <c r="F1645" s="147"/>
      <c r="G1645" s="147"/>
      <c r="H1645" s="147"/>
      <c r="I1645" s="147"/>
      <c r="J1645" s="147"/>
      <c r="K1645" s="147"/>
      <c r="L1645" s="147"/>
      <c r="M1645" s="147"/>
    </row>
    <row r="1646">
      <c r="A1646" s="147"/>
      <c r="B1646" s="147"/>
      <c r="C1646" s="147"/>
      <c r="D1646" s="147"/>
      <c r="E1646" s="147"/>
      <c r="F1646" s="147"/>
      <c r="G1646" s="147"/>
      <c r="H1646" s="147"/>
      <c r="I1646" s="147"/>
      <c r="J1646" s="147"/>
      <c r="K1646" s="147"/>
      <c r="L1646" s="147"/>
      <c r="M1646" s="147"/>
    </row>
    <row r="1647">
      <c r="A1647" s="147"/>
      <c r="B1647" s="147"/>
      <c r="C1647" s="147"/>
      <c r="D1647" s="147"/>
      <c r="E1647" s="147"/>
      <c r="F1647" s="147"/>
      <c r="G1647" s="147"/>
      <c r="H1647" s="147"/>
      <c r="I1647" s="147"/>
      <c r="J1647" s="147"/>
      <c r="K1647" s="147"/>
      <c r="L1647" s="147"/>
      <c r="M1647" s="147"/>
    </row>
    <row r="1648">
      <c r="A1648" s="147"/>
      <c r="B1648" s="147"/>
      <c r="C1648" s="147"/>
      <c r="D1648" s="147"/>
      <c r="E1648" s="147"/>
      <c r="F1648" s="147"/>
      <c r="G1648" s="147"/>
      <c r="H1648" s="147"/>
      <c r="I1648" s="147"/>
      <c r="J1648" s="147"/>
      <c r="K1648" s="147"/>
      <c r="L1648" s="147"/>
      <c r="M1648" s="147"/>
    </row>
    <row r="1649">
      <c r="A1649" s="147"/>
      <c r="B1649" s="147"/>
      <c r="C1649" s="147"/>
      <c r="D1649" s="147"/>
      <c r="E1649" s="147"/>
      <c r="F1649" s="147"/>
      <c r="G1649" s="147"/>
      <c r="H1649" s="147"/>
      <c r="I1649" s="147"/>
      <c r="J1649" s="147"/>
      <c r="K1649" s="147"/>
      <c r="L1649" s="147"/>
      <c r="M1649" s="147"/>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96.88"/>
    <col customWidth="1" min="3" max="3" width="81.5"/>
    <col customWidth="1" min="4" max="4" width="74.25"/>
  </cols>
  <sheetData>
    <row r="1">
      <c r="A1" s="304" t="s">
        <v>4037</v>
      </c>
      <c r="B1" s="304" t="s">
        <v>3176</v>
      </c>
      <c r="C1" s="304" t="s">
        <v>2927</v>
      </c>
      <c r="D1" s="304" t="s">
        <v>2927</v>
      </c>
      <c r="E1" s="147"/>
      <c r="F1" s="147"/>
      <c r="G1" s="147"/>
      <c r="H1" s="147"/>
      <c r="I1" s="147"/>
      <c r="J1" s="147"/>
      <c r="K1" s="147"/>
    </row>
    <row r="2">
      <c r="A2" s="240" t="s">
        <v>2328</v>
      </c>
      <c r="B2" s="240" t="s">
        <v>2329</v>
      </c>
      <c r="C2" s="240" t="s">
        <v>4097</v>
      </c>
      <c r="D2" s="147" t="str">
        <f>IFERROR(__xludf.DUMMYFUNCTION("SUBSTITUTE(REGEXREPLACE(REGEXREPLACE(C2, "":[^;]+"", """"), "";([^;]+)$"", "" and $1""), "";"", "", "")"),"Wenxuan Wang, Zirui Liu, Haoxuan Kou, Xuefeng Liu and Jiaxing Shen")</f>
        <v>Wenxuan Wang, Zirui Liu, Haoxuan Kou, Xuefeng Liu and Jiaxing Shen</v>
      </c>
      <c r="E2" s="147"/>
      <c r="F2" s="147"/>
      <c r="G2" s="147"/>
      <c r="H2" s="147"/>
      <c r="I2" s="147"/>
      <c r="J2" s="147"/>
      <c r="K2" s="147"/>
    </row>
    <row r="3">
      <c r="A3" s="240" t="s">
        <v>2302</v>
      </c>
      <c r="B3" s="240" t="s">
        <v>2303</v>
      </c>
      <c r="C3" s="240" t="s">
        <v>4098</v>
      </c>
      <c r="D3" s="147" t="str">
        <f>IFERROR(__xludf.DUMMYFUNCTION("SUBSTITUTE(REGEXREPLACE(REGEXREPLACE(C3, "":[^;]+"", """"), "";([^;]+)$"", "" and $1""), "";"", "", "")"),"Yuanyi You, Yunke Zhang and Yong Li")</f>
        <v>Yuanyi You, Yunke Zhang and Yong Li</v>
      </c>
      <c r="E3" s="147"/>
      <c r="F3" s="147"/>
      <c r="G3" s="147"/>
      <c r="H3" s="147"/>
      <c r="I3" s="147"/>
      <c r="J3" s="147"/>
      <c r="K3" s="147"/>
    </row>
    <row r="4">
      <c r="A4" s="240" t="s">
        <v>2180</v>
      </c>
      <c r="B4" s="240" t="s">
        <v>2181</v>
      </c>
      <c r="C4" s="240" t="s">
        <v>4099</v>
      </c>
      <c r="D4" s="147" t="str">
        <f>IFERROR(__xludf.DUMMYFUNCTION("SUBSTITUTE(REGEXREPLACE(REGEXREPLACE(C4, "":[^;]+"", """"), "";([^;]+)$"", "" and $1""), "";"", "", "")"),"Dandan Liu, Aznul Qalid Md Sabri, Pan Lihu and Guangrui Fan")</f>
        <v>Dandan Liu, Aznul Qalid Md Sabri, Pan Lihu and Guangrui Fan</v>
      </c>
      <c r="E4" s="147"/>
      <c r="F4" s="147"/>
      <c r="G4" s="147"/>
      <c r="H4" s="147"/>
      <c r="I4" s="147"/>
      <c r="J4" s="147"/>
      <c r="K4" s="147"/>
    </row>
    <row r="5">
      <c r="A5" s="240" t="s">
        <v>2210</v>
      </c>
      <c r="B5" s="240" t="s">
        <v>2211</v>
      </c>
      <c r="C5" s="240" t="s">
        <v>4100</v>
      </c>
      <c r="D5" s="147" t="str">
        <f>IFERROR(__xludf.DUMMYFUNCTION("SUBSTITUTE(REGEXREPLACE(REGEXREPLACE(C5, "":[^;]+"", """"), "";([^;]+)$"", "" and $1""), "";"", "", "")"),"Wenhao Ying, Peng Zhu, Mingzhe Li, Ziyan Wang and Dawei Cheng")</f>
        <v>Wenhao Ying, Peng Zhu, Mingzhe Li, Ziyan Wang and Dawei Cheng</v>
      </c>
      <c r="E5" s="147"/>
      <c r="F5" s="147"/>
      <c r="G5" s="147"/>
      <c r="H5" s="147"/>
      <c r="I5" s="147"/>
      <c r="J5" s="147"/>
      <c r="K5" s="147"/>
    </row>
    <row r="6">
      <c r="A6" s="240" t="s">
        <v>2228</v>
      </c>
      <c r="B6" s="240" t="s">
        <v>2229</v>
      </c>
      <c r="C6" s="240" t="s">
        <v>4101</v>
      </c>
      <c r="D6" s="147" t="str">
        <f>IFERROR(__xludf.DUMMYFUNCTION("SUBSTITUTE(REGEXREPLACE(REGEXREPLACE(C6, "":[^;]+"", """"), "";([^;]+)$"", "" and $1""), "";"", "", "")"),"Wentao Gao, Xiaojing Du, Xiongren Chen, Yifan Guo, Andres Mauricio Cifuentes-Bernal, Renqiang Luo and Ziqi Xu")</f>
        <v>Wentao Gao, Xiaojing Du, Xiongren Chen, Yifan Guo, Andres Mauricio Cifuentes-Bernal, Renqiang Luo and Ziqi Xu</v>
      </c>
      <c r="E6" s="147"/>
      <c r="F6" s="147"/>
      <c r="G6" s="147"/>
      <c r="H6" s="147"/>
      <c r="I6" s="147"/>
      <c r="J6" s="147"/>
      <c r="K6" s="147"/>
    </row>
    <row r="7">
      <c r="A7" s="240" t="s">
        <v>2218</v>
      </c>
      <c r="B7" s="240" t="s">
        <v>2219</v>
      </c>
      <c r="C7" s="240" t="s">
        <v>4102</v>
      </c>
      <c r="D7" s="147" t="str">
        <f>IFERROR(__xludf.DUMMYFUNCTION("SUBSTITUTE(REGEXREPLACE(REGEXREPLACE(C7, "":[^;]+"", """"), "";([^;]+)$"", "" and $1""), "";"", "", "")"),"Haorui He, Yupeng Li, Dacheng Wen, Yang Chen, Reynold Cheng, Donglong Chen and Francis C. M. Lau")</f>
        <v>Haorui He, Yupeng Li, Dacheng Wen, Yang Chen, Reynold Cheng, Donglong Chen and Francis C. M. Lau</v>
      </c>
      <c r="E7" s="147"/>
      <c r="F7" s="147"/>
      <c r="G7" s="147"/>
      <c r="H7" s="147"/>
      <c r="I7" s="147"/>
      <c r="J7" s="147"/>
      <c r="K7" s="147"/>
    </row>
    <row r="8">
      <c r="A8" s="240" t="s">
        <v>2224</v>
      </c>
      <c r="B8" s="240" t="s">
        <v>2225</v>
      </c>
      <c r="C8" s="240" t="s">
        <v>4103</v>
      </c>
      <c r="D8" s="147" t="str">
        <f>IFERROR(__xludf.DUMMYFUNCTION("SUBSTITUTE(REGEXREPLACE(REGEXREPLACE(C8, "":[^;]+"", """"), "";([^;]+)$"", "" and $1""), "";"", "", "")"),"Sicheng Yang, Yukai Huang, Weitong Cai, Shitong Sun, Fengyi Fang, You He, Yiqiao Xie, Jiankang Deng, Hang Zhang, Jifei Song and Zhensong Zhang")</f>
        <v>Sicheng Yang, Yukai Huang, Weitong Cai, Shitong Sun, Fengyi Fang, You He, Yiqiao Xie, Jiankang Deng, Hang Zhang, Jifei Song and Zhensong Zhang</v>
      </c>
      <c r="E8" s="147"/>
      <c r="F8" s="147"/>
      <c r="G8" s="147"/>
      <c r="H8" s="147"/>
      <c r="I8" s="147"/>
      <c r="J8" s="147"/>
      <c r="K8" s="147"/>
    </row>
    <row r="9">
      <c r="A9" s="240" t="s">
        <v>2182</v>
      </c>
      <c r="B9" s="240" t="s">
        <v>2183</v>
      </c>
      <c r="C9" s="240" t="s">
        <v>4104</v>
      </c>
      <c r="D9" s="147" t="str">
        <f>IFERROR(__xludf.DUMMYFUNCTION("SUBSTITUTE(REGEXREPLACE(REGEXREPLACE(C9, "":[^;]+"", """"), "";([^;]+)$"", "" and $1""), "";"", "", "")"),"Pengyang Shao, Naixin Zhai, Lei Chen, Yonghui Yang, Fengbin Zhu, Xun Yang and Meng Wang")</f>
        <v>Pengyang Shao, Naixin Zhai, Lei Chen, Yonghui Yang, Fengbin Zhu, Xun Yang and Meng Wang</v>
      </c>
      <c r="E9" s="147"/>
      <c r="F9" s="147"/>
      <c r="G9" s="147"/>
      <c r="H9" s="147"/>
      <c r="I9" s="147"/>
      <c r="J9" s="147"/>
      <c r="K9" s="147"/>
    </row>
    <row r="10">
      <c r="A10" s="240" t="s">
        <v>2206</v>
      </c>
      <c r="B10" s="240" t="s">
        <v>2207</v>
      </c>
      <c r="C10" s="240" t="s">
        <v>4105</v>
      </c>
      <c r="D10" s="147" t="str">
        <f>IFERROR(__xludf.DUMMYFUNCTION("SUBSTITUTE(REGEXREPLACE(REGEXREPLACE(C10, "":[^;]+"", """"), "";([^;]+)$"", "" and $1""), "";"", "", "")"),"Yuwei Chuai, Gabriele Lenzini and Nicolas Pröllochs")</f>
        <v>Yuwei Chuai, Gabriele Lenzini and Nicolas Pröllochs</v>
      </c>
      <c r="E10" s="147"/>
      <c r="F10" s="147"/>
      <c r="G10" s="147"/>
      <c r="H10" s="147"/>
      <c r="I10" s="147"/>
      <c r="J10" s="147"/>
      <c r="K10" s="147"/>
    </row>
    <row r="11">
      <c r="A11" s="240" t="s">
        <v>2324</v>
      </c>
      <c r="B11" s="240" t="s">
        <v>2325</v>
      </c>
      <c r="C11" s="240" t="s">
        <v>4106</v>
      </c>
      <c r="D11" s="147" t="str">
        <f>IFERROR(__xludf.DUMMYFUNCTION("SUBSTITUTE(REGEXREPLACE(REGEXREPLACE(C11, "":[^;]+"", """"), "";([^;]+)$"", "" and $1""), "";"", "", "")"),"Han Wang, Deyi Ji, Lanyun Zhu, Jiebo Luo and Roy Ka-Wei Lee")</f>
        <v>Han Wang, Deyi Ji, Lanyun Zhu, Jiebo Luo and Roy Ka-Wei Lee</v>
      </c>
      <c r="E11" s="147"/>
      <c r="F11" s="147"/>
      <c r="G11" s="147"/>
      <c r="H11" s="147"/>
      <c r="I11" s="147"/>
      <c r="J11" s="147"/>
      <c r="K11" s="147"/>
    </row>
    <row r="12">
      <c r="A12" s="240" t="s">
        <v>2288</v>
      </c>
      <c r="B12" s="240" t="s">
        <v>2289</v>
      </c>
      <c r="C12" s="240" t="s">
        <v>4107</v>
      </c>
      <c r="D12" s="147" t="str">
        <f>IFERROR(__xludf.DUMMYFUNCTION("SUBSTITUTE(REGEXREPLACE(REGEXREPLACE(C12, "":[^;]+"", """"), "";([^;]+)$"", "" and $1""), "";"", "", "")"),"Liping Huang, Gaoxi Xiao, Stefan Ma, Hechang Chen, Shisong Tang and Flora D. Salim")</f>
        <v>Liping Huang, Gaoxi Xiao, Stefan Ma, Hechang Chen, Shisong Tang and Flora D. Salim</v>
      </c>
      <c r="E12" s="147"/>
      <c r="F12" s="147"/>
      <c r="G12" s="147"/>
      <c r="H12" s="147"/>
      <c r="I12" s="147"/>
      <c r="J12" s="147"/>
      <c r="K12" s="147"/>
    </row>
    <row r="13">
      <c r="A13" s="240" t="s">
        <v>2272</v>
      </c>
      <c r="B13" s="240" t="s">
        <v>2273</v>
      </c>
      <c r="C13" s="240" t="s">
        <v>4108</v>
      </c>
      <c r="D13" s="147" t="str">
        <f>IFERROR(__xludf.DUMMYFUNCTION("SUBSTITUTE(REGEXREPLACE(REGEXREPLACE(C13, "":[^;]+"", """"), "";([^;]+)$"", "" and $1""), "";"", "", "")"),"Bingbing Fan, Lin Chen, Songwei Li, Jian Yuan, Fengli Xu, Pan Hui and Yong Li")</f>
        <v>Bingbing Fan, Lin Chen, Songwei Li, Jian Yuan, Fengli Xu, Pan Hui and Yong Li</v>
      </c>
      <c r="E13" s="147"/>
      <c r="F13" s="147"/>
      <c r="G13" s="147"/>
      <c r="H13" s="147"/>
      <c r="I13" s="147"/>
      <c r="J13" s="147"/>
      <c r="K13" s="147"/>
    </row>
    <row r="14">
      <c r="A14" s="240" t="s">
        <v>2306</v>
      </c>
      <c r="B14" s="240" t="s">
        <v>2307</v>
      </c>
      <c r="C14" s="240" t="s">
        <v>4109</v>
      </c>
      <c r="D14" s="147" t="str">
        <f>IFERROR(__xludf.DUMMYFUNCTION("SUBSTITUTE(REGEXREPLACE(REGEXREPLACE(C14, "":[^;]+"", """"), "";([^;]+)$"", "" and $1""), "";"", "", "")"),"Wei Zhang, Shufeng Hao, Chongyang Shi, Usman Naseem, Jinyan Liu and Ziyu Li")</f>
        <v>Wei Zhang, Shufeng Hao, Chongyang Shi, Usman Naseem, Jinyan Liu and Ziyu Li</v>
      </c>
      <c r="E14" s="147"/>
      <c r="F14" s="147"/>
      <c r="G14" s="147"/>
      <c r="H14" s="147"/>
      <c r="I14" s="147"/>
      <c r="J14" s="147"/>
      <c r="K14" s="147"/>
    </row>
    <row r="15">
      <c r="A15" s="240" t="s">
        <v>2192</v>
      </c>
      <c r="B15" s="240" t="s">
        <v>2193</v>
      </c>
      <c r="C15" s="240" t="s">
        <v>4110</v>
      </c>
      <c r="D15" s="147" t="str">
        <f>IFERROR(__xludf.DUMMYFUNCTION("SUBSTITUTE(REGEXREPLACE(REGEXREPLACE(C15, "":[^;]+"", """"), "";([^;]+)$"", "" and $1""), "";"", "", "")"),"Xinyu Lin, Pengyuan Liu, Wenjie Wang, Yicheng Hu, Chen Xu, Fuli Feng, Qifan Wang and Tat-Seng Chua")</f>
        <v>Xinyu Lin, Pengyuan Liu, Wenjie Wang, Yicheng Hu, Chen Xu, Fuli Feng, Qifan Wang and Tat-Seng Chua</v>
      </c>
      <c r="E15" s="147"/>
      <c r="F15" s="147"/>
      <c r="G15" s="147"/>
      <c r="H15" s="147"/>
      <c r="I15" s="147"/>
      <c r="J15" s="147"/>
      <c r="K15" s="147"/>
    </row>
    <row r="16">
      <c r="A16" s="240" t="s">
        <v>2250</v>
      </c>
      <c r="B16" s="240" t="s">
        <v>2251</v>
      </c>
      <c r="C16" s="240" t="s">
        <v>4111</v>
      </c>
      <c r="D16" s="147" t="str">
        <f>IFERROR(__xludf.DUMMYFUNCTION("SUBSTITUTE(REGEXREPLACE(REGEXREPLACE(C16, "":[^;]+"", """"), "";([^;]+)$"", "" and $1""), "";"", "", "")"),"Chi Xu, Jiaxing Li, Mengdi Jin, William I. Atlas, Mark A. Spoljaric, Edith C.H. Ngai and Jiangchuan Liu")</f>
        <v>Chi Xu, Jiaxing Li, Mengdi Jin, William I. Atlas, Mark A. Spoljaric, Edith C.H. Ngai and Jiangchuan Liu</v>
      </c>
      <c r="E16" s="147"/>
      <c r="F16" s="147"/>
      <c r="G16" s="147"/>
      <c r="H16" s="147"/>
      <c r="I16" s="147"/>
      <c r="J16" s="147"/>
      <c r="K16" s="147"/>
    </row>
    <row r="17">
      <c r="A17" s="240" t="s">
        <v>2248</v>
      </c>
      <c r="B17" s="240" t="s">
        <v>2249</v>
      </c>
      <c r="C17" s="240" t="s">
        <v>4112</v>
      </c>
      <c r="D17" s="147" t="str">
        <f>IFERROR(__xludf.DUMMYFUNCTION("SUBSTITUTE(REGEXREPLACE(REGEXREPLACE(C17, "":[^;]+"", """"), "";([^;]+)$"", "" and $1""), "";"", "", "")"),"Fangjian Shen, Yifan Zeng, Dechen Lyu and Wushao Wen")</f>
        <v>Fangjian Shen, Yifan Zeng, Dechen Lyu and Wushao Wen</v>
      </c>
      <c r="E17" s="147"/>
      <c r="F17" s="147"/>
      <c r="G17" s="147"/>
      <c r="H17" s="147"/>
      <c r="I17" s="147"/>
      <c r="J17" s="147"/>
      <c r="K17" s="147"/>
    </row>
    <row r="18">
      <c r="A18" s="240" t="s">
        <v>2204</v>
      </c>
      <c r="B18" s="240" t="s">
        <v>2205</v>
      </c>
      <c r="C18" s="240" t="s">
        <v>4113</v>
      </c>
      <c r="D18" s="147" t="str">
        <f>IFERROR(__xludf.DUMMYFUNCTION("SUBSTITUTE(REGEXREPLACE(REGEXREPLACE(C18, "":[^;]+"", """"), "";([^;]+)$"", "" and $1""), "";"", "", "")"),"Lei Zhao, Xingguo Lv, Qika Lin, Kaize Shi, Xiaoming Qi, Bin Pu and Kenli Li")</f>
        <v>Lei Zhao, Xingguo Lv, Qika Lin, Kaize Shi, Xiaoming Qi, Bin Pu and Kenli Li</v>
      </c>
      <c r="E18" s="147"/>
      <c r="F18" s="147"/>
      <c r="G18" s="147"/>
      <c r="H18" s="147"/>
      <c r="I18" s="147"/>
      <c r="J18" s="147"/>
      <c r="K18" s="147"/>
    </row>
    <row r="19">
      <c r="A19" s="240" t="s">
        <v>2198</v>
      </c>
      <c r="B19" s="240" t="s">
        <v>2199</v>
      </c>
      <c r="C19" s="240" t="s">
        <v>4114</v>
      </c>
      <c r="D19" s="147" t="str">
        <f>IFERROR(__xludf.DUMMYFUNCTION("SUBSTITUTE(REGEXREPLACE(REGEXREPLACE(C19, "":[^;]+"", """"), "";([^;]+)$"", "" and $1""), "";"", "", "")"),"Yongkang Zhao, Hailin Feng, Tingting Wang, Thippa Reddy Gadekallu, Kai Fang and Wei Wang")</f>
        <v>Yongkang Zhao, Hailin Feng, Tingting Wang, Thippa Reddy Gadekallu, Kai Fang and Wei Wang</v>
      </c>
      <c r="E19" s="147"/>
      <c r="F19" s="147"/>
      <c r="G19" s="147"/>
      <c r="H19" s="147"/>
      <c r="I19" s="147"/>
      <c r="J19" s="147"/>
      <c r="K19" s="147"/>
    </row>
    <row r="20">
      <c r="A20" s="240" t="s">
        <v>2190</v>
      </c>
      <c r="B20" s="240" t="s">
        <v>2191</v>
      </c>
      <c r="C20" s="240" t="s">
        <v>4115</v>
      </c>
      <c r="D20" s="147" t="str">
        <f>IFERROR(__xludf.DUMMYFUNCTION("SUBSTITUTE(REGEXREPLACE(REGEXREPLACE(C20, "":[^;]+"", """"), "";([^;]+)$"", "" and $1""), "";"", "", "")"),"Rongkun Cui, Nana Zhang, Kun Zhu and Qi Zhang")</f>
        <v>Rongkun Cui, Nana Zhang, Kun Zhu and Qi Zhang</v>
      </c>
      <c r="E20" s="147"/>
      <c r="F20" s="147"/>
      <c r="G20" s="147"/>
      <c r="H20" s="147"/>
      <c r="I20" s="147"/>
      <c r="J20" s="147"/>
      <c r="K20" s="147"/>
    </row>
    <row r="21">
      <c r="A21" s="240" t="s">
        <v>2236</v>
      </c>
      <c r="B21" s="240" t="s">
        <v>2237</v>
      </c>
      <c r="C21" s="240" t="s">
        <v>4116</v>
      </c>
      <c r="D21" s="147" t="str">
        <f>IFERROR(__xludf.DUMMYFUNCTION("SUBSTITUTE(REGEXREPLACE(REGEXREPLACE(C21, "":[^;]+"", """"), "";([^;]+)$"", "" and $1""), "";"", "", "")"),"Xiaoyang Zhang, Yang Deng, Fang He and Dan Wang")</f>
        <v>Xiaoyang Zhang, Yang Deng, Fang He and Dan Wang</v>
      </c>
      <c r="E21" s="147"/>
      <c r="F21" s="147"/>
      <c r="G21" s="147"/>
      <c r="H21" s="147"/>
      <c r="I21" s="147"/>
      <c r="J21" s="147"/>
      <c r="K21" s="147"/>
    </row>
    <row r="22">
      <c r="A22" s="240" t="s">
        <v>2334</v>
      </c>
      <c r="B22" s="240" t="s">
        <v>2335</v>
      </c>
      <c r="C22" s="240" t="s">
        <v>4117</v>
      </c>
      <c r="D22" s="147" t="str">
        <f>IFERROR(__xludf.DUMMYFUNCTION("SUBSTITUTE(REGEXREPLACE(REGEXREPLACE(C22, "":[^;]+"", """"), "";([^;]+)$"", "" and $1""), "";"", "", "")"),"Xiaoyang Zhang, Taiqi Zhou, Fang He, Yang Deng and Dan Wang")</f>
        <v>Xiaoyang Zhang, Taiqi Zhou, Fang He, Yang Deng and Dan Wang</v>
      </c>
      <c r="E22" s="147"/>
      <c r="F22" s="147"/>
      <c r="G22" s="147"/>
      <c r="H22" s="147"/>
      <c r="I22" s="147"/>
      <c r="J22" s="147"/>
      <c r="K22" s="147"/>
    </row>
    <row r="23">
      <c r="A23" s="240" t="s">
        <v>2296</v>
      </c>
      <c r="B23" s="240" t="s">
        <v>2297</v>
      </c>
      <c r="C23" s="240" t="s">
        <v>4118</v>
      </c>
      <c r="D23" s="147" t="str">
        <f>IFERROR(__xludf.DUMMYFUNCTION("SUBSTITUTE(REGEXREPLACE(REGEXREPLACE(C23, "":[^;]+"", """"), "";([^;]+)$"", "" and $1""), "";"", "", "")"),"Qiyue Sun, Tailin Chen, Yinghui Zhang, Yuchen Zhang, Jiangbei Yue, Jianbo Jiao and Zeyu Fu")</f>
        <v>Qiyue Sun, Tailin Chen, Yinghui Zhang, Yuchen Zhang, Jiangbei Yue, Jianbo Jiao and Zeyu Fu</v>
      </c>
      <c r="E23" s="147"/>
      <c r="F23" s="147"/>
      <c r="G23" s="147"/>
      <c r="H23" s="147"/>
      <c r="I23" s="147"/>
      <c r="J23" s="147"/>
      <c r="K23" s="147"/>
    </row>
    <row r="24">
      <c r="A24" s="240" t="s">
        <v>2186</v>
      </c>
      <c r="B24" s="240" t="s">
        <v>2187</v>
      </c>
      <c r="C24" s="240" t="s">
        <v>4119</v>
      </c>
      <c r="D24" s="147" t="str">
        <f>IFERROR(__xludf.DUMMYFUNCTION("SUBSTITUTE(REGEXREPLACE(REGEXREPLACE(C24, "":[^;]+"", """"), "";([^;]+)$"", "" and $1""), "";"", "", "")"),"Yuansheng Gao, Peng Gao, Han Bao, Bin Li, Jixiang Luo, Zonghui Wang and Wenzhi Chen")</f>
        <v>Yuansheng Gao, Peng Gao, Han Bao, Bin Li, Jixiang Luo, Zonghui Wang and Wenzhi Chen</v>
      </c>
      <c r="E24" s="147"/>
      <c r="F24" s="147"/>
      <c r="G24" s="147"/>
      <c r="H24" s="147"/>
      <c r="I24" s="147"/>
      <c r="J24" s="147"/>
      <c r="K24" s="147"/>
    </row>
    <row r="25">
      <c r="A25" s="240" t="s">
        <v>2252</v>
      </c>
      <c r="B25" s="240" t="s">
        <v>2253</v>
      </c>
      <c r="C25" s="240" t="s">
        <v>4120</v>
      </c>
      <c r="D25" s="147" t="str">
        <f>IFERROR(__xludf.DUMMYFUNCTION("SUBSTITUTE(REGEXREPLACE(REGEXREPLACE(C25, "":[^;]+"", """"), "";([^;]+)$"", "" and $1""), "";"", "", "")"),"Jing Du, Haley Stone, Yang Yang, Ashna Desai, Hao Xue, Andreas Züfle, C. Raina MacIntyre and Flora D. Salim")</f>
        <v>Jing Du, Haley Stone, Yang Yang, Ashna Desai, Hao Xue, Andreas Züfle, C. Raina MacIntyre and Flora D. Salim</v>
      </c>
      <c r="E25" s="147"/>
      <c r="F25" s="147"/>
      <c r="G25" s="147"/>
      <c r="H25" s="147"/>
      <c r="I25" s="147"/>
      <c r="J25" s="147"/>
      <c r="K25" s="147"/>
    </row>
    <row r="26">
      <c r="A26" s="240" t="s">
        <v>2320</v>
      </c>
      <c r="B26" s="240" t="s">
        <v>2321</v>
      </c>
      <c r="C26" s="240" t="s">
        <v>4121</v>
      </c>
      <c r="D26" s="147" t="str">
        <f>IFERROR(__xludf.DUMMYFUNCTION("SUBSTITUTE(REGEXREPLACE(REGEXREPLACE(C26, "":[^;]+"", """"), "";([^;]+)$"", "" and $1""), "";"", "", "")"),"Jing Ren, Jiapeng Du, Bowen Li, Ziqi Xu, Xin Zheng, Hong Jia, Suyu Ma, Xiwei Xu and Feng Xia")</f>
        <v>Jing Ren, Jiapeng Du, Bowen Li, Ziqi Xu, Xin Zheng, Hong Jia, Suyu Ma, Xiwei Xu and Feng Xia</v>
      </c>
      <c r="E26" s="147"/>
      <c r="F26" s="147"/>
      <c r="G26" s="147"/>
      <c r="H26" s="147"/>
      <c r="I26" s="147"/>
      <c r="J26" s="147"/>
      <c r="K26" s="147"/>
    </row>
    <row r="27">
      <c r="A27" s="240" t="s">
        <v>2264</v>
      </c>
      <c r="B27" s="240" t="s">
        <v>2265</v>
      </c>
      <c r="C27" s="240" t="s">
        <v>4122</v>
      </c>
      <c r="D27" s="147" t="str">
        <f>IFERROR(__xludf.DUMMYFUNCTION("SUBSTITUTE(REGEXREPLACE(REGEXREPLACE(C27, "":[^;]+"", """"), "";([^;]+)$"", "" and $1""), "";"", "", "")"),"Ping Liu, Hui Song, Shufeng Hao, Xiaoning Hao, Zexu Zhang and Usman Naseem")</f>
        <v>Ping Liu, Hui Song, Shufeng Hao, Xiaoning Hao, Zexu Zhang and Usman Naseem</v>
      </c>
      <c r="E27" s="147"/>
      <c r="F27" s="147"/>
      <c r="G27" s="147"/>
      <c r="H27" s="147"/>
      <c r="I27" s="147"/>
      <c r="J27" s="147"/>
      <c r="K27" s="147"/>
    </row>
    <row r="28">
      <c r="A28" s="240" t="s">
        <v>2220</v>
      </c>
      <c r="B28" s="240" t="s">
        <v>2221</v>
      </c>
      <c r="C28" s="240" t="s">
        <v>4123</v>
      </c>
      <c r="D28" s="147" t="str">
        <f>IFERROR(__xludf.DUMMYFUNCTION("SUBSTITUTE(REGEXREPLACE(REGEXREPLACE(C28, "":[^;]+"", """"), "";([^;]+)$"", "" and $1""), "";"", "", "")"),"Ruixiao Zhu, Kun Zhu, Nana Zhang, Qi Zhang and Changjun Jiang")</f>
        <v>Ruixiao Zhu, Kun Zhu, Nana Zhang, Qi Zhang and Changjun Jiang</v>
      </c>
      <c r="E28" s="147"/>
      <c r="F28" s="147"/>
      <c r="G28" s="147"/>
      <c r="H28" s="147"/>
      <c r="I28" s="147"/>
      <c r="J28" s="147"/>
      <c r="K28" s="147"/>
    </row>
    <row r="29">
      <c r="A29" s="240" t="s">
        <v>2342</v>
      </c>
      <c r="B29" s="240" t="s">
        <v>2343</v>
      </c>
      <c r="C29" s="240" t="s">
        <v>4124</v>
      </c>
      <c r="D29" s="147" t="str">
        <f>IFERROR(__xludf.DUMMYFUNCTION("SUBSTITUTE(REGEXREPLACE(REGEXREPLACE(C29, "":[^;]+"", """"), "";([^;]+)$"", "" and $1""), "";"", "", "")"),"Pengyue Yang, Jiawen Wen, Haolin Jin, Linghan Huang, Huaming Chen and Ling Chen")</f>
        <v>Pengyue Yang, Jiawen Wen, Haolin Jin, Linghan Huang, Huaming Chen and Ling Chen</v>
      </c>
      <c r="E29" s="147"/>
      <c r="F29" s="147"/>
      <c r="G29" s="147"/>
      <c r="H29" s="147"/>
      <c r="I29" s="147"/>
      <c r="J29" s="147"/>
      <c r="K29" s="147"/>
    </row>
    <row r="30">
      <c r="A30" s="240" t="s">
        <v>2314</v>
      </c>
      <c r="B30" s="240" t="s">
        <v>2315</v>
      </c>
      <c r="C30" s="240" t="s">
        <v>4125</v>
      </c>
      <c r="D30" s="147" t="str">
        <f>IFERROR(__xludf.DUMMYFUNCTION("SUBSTITUTE(REGEXREPLACE(REGEXREPLACE(C30, "":[^;]+"", """"), "";([^;]+)$"", "" and $1""), "";"", "", "")"),"Zhixiang Lu, Chong Zhang, Yulong Li, Angelos Stefanidis, Anh Nguyen, Imran Razzak, Jionglong Su and Zhengyong Jiang")</f>
        <v>Zhixiang Lu, Chong Zhang, Yulong Li, Angelos Stefanidis, Anh Nguyen, Imran Razzak, Jionglong Su and Zhengyong Jiang</v>
      </c>
      <c r="E30" s="147"/>
      <c r="F30" s="147"/>
      <c r="G30" s="147"/>
      <c r="H30" s="147"/>
      <c r="I30" s="147"/>
      <c r="J30" s="147"/>
      <c r="K30" s="147"/>
    </row>
    <row r="31">
      <c r="A31" s="240" t="s">
        <v>2200</v>
      </c>
      <c r="B31" s="240" t="s">
        <v>2201</v>
      </c>
      <c r="C31" s="240" t="s">
        <v>4126</v>
      </c>
      <c r="D31" s="147" t="str">
        <f>IFERROR(__xludf.DUMMYFUNCTION("SUBSTITUTE(REGEXREPLACE(REGEXREPLACE(C31, "":[^;]+"", """"), "";([^;]+)$"", "" and $1""), "";"", "", "")"),"Michelle Bobek and Nicolas Pröllochs")</f>
        <v>Michelle Bobek and Nicolas Pröllochs</v>
      </c>
      <c r="E31" s="147"/>
      <c r="F31" s="147"/>
      <c r="G31" s="147"/>
      <c r="H31" s="147"/>
      <c r="I31" s="147"/>
      <c r="J31" s="147"/>
      <c r="K31" s="147"/>
    </row>
    <row r="32">
      <c r="A32" s="240" t="s">
        <v>2222</v>
      </c>
      <c r="B32" s="240" t="s">
        <v>2223</v>
      </c>
      <c r="C32" s="240" t="s">
        <v>4127</v>
      </c>
      <c r="D32" s="147" t="str">
        <f>IFERROR(__xludf.DUMMYFUNCTION("SUBSTITUTE(REGEXREPLACE(REGEXREPLACE(C32, "":[^;]+"", """"), "";([^;]+)$"", "" and $1""), "";"", "", "")"),"Linxiao Li and Zhixiang Lu")</f>
        <v>Linxiao Li and Zhixiang Lu</v>
      </c>
      <c r="E32" s="147"/>
      <c r="F32" s="147"/>
      <c r="G32" s="147"/>
      <c r="H32" s="147"/>
      <c r="I32" s="147"/>
      <c r="J32" s="147"/>
      <c r="K32" s="147"/>
    </row>
    <row r="33">
      <c r="A33" s="240" t="s">
        <v>2330</v>
      </c>
      <c r="B33" s="240" t="s">
        <v>2331</v>
      </c>
      <c r="C33" s="240" t="s">
        <v>4128</v>
      </c>
      <c r="D33" s="147" t="str">
        <f>IFERROR(__xludf.DUMMYFUNCTION("SUBSTITUTE(REGEXREPLACE(REGEXREPLACE(C33, "":[^;]+"", """"), "";([^;]+)$"", "" and $1""), "";"", "", "")"),"He Hu, Chiyuan Ma, Qianning Wang, Liu Lin, Yucheng Zhou, Laizhong Cui, Fei Ma and Qi Tian")</f>
        <v>He Hu, Chiyuan Ma, Qianning Wang, Liu Lin, Yucheng Zhou, Laizhong Cui, Fei Ma and Qi Tian</v>
      </c>
      <c r="E33" s="147"/>
      <c r="F33" s="147"/>
      <c r="G33" s="147"/>
      <c r="H33" s="147"/>
      <c r="I33" s="147"/>
      <c r="J33" s="147"/>
      <c r="K33" s="147"/>
    </row>
    <row r="34">
      <c r="A34" s="240" t="s">
        <v>2254</v>
      </c>
      <c r="B34" s="240" t="s">
        <v>2255</v>
      </c>
      <c r="C34" s="240" t="s">
        <v>4129</v>
      </c>
      <c r="D34" s="147" t="str">
        <f>IFERROR(__xludf.DUMMYFUNCTION("SUBSTITUTE(REGEXREPLACE(REGEXREPLACE(C34, "":[^;]+"", """"), "";([^;]+)$"", "" and $1""), "";"", "", "")"),"Yubo Wang, Haoyang Li, Fei Teng and Lei Chen")</f>
        <v>Yubo Wang, Haoyang Li, Fei Teng and Lei Chen</v>
      </c>
      <c r="E34" s="147"/>
      <c r="F34" s="147"/>
      <c r="G34" s="147"/>
      <c r="H34" s="147"/>
      <c r="I34" s="147"/>
      <c r="J34" s="147"/>
      <c r="K34" s="147"/>
    </row>
    <row r="35">
      <c r="A35" s="240" t="s">
        <v>2332</v>
      </c>
      <c r="B35" s="240" t="s">
        <v>2333</v>
      </c>
      <c r="C35" s="240" t="s">
        <v>4130</v>
      </c>
      <c r="D35" s="147" t="str">
        <f>IFERROR(__xludf.DUMMYFUNCTION("SUBSTITUTE(REGEXREPLACE(REGEXREPLACE(C35, "":[^;]+"", """"), "";([^;]+)$"", "" and $1""), "";"", "", "")"),"Yuankun Zu, Xiangyu Cai, Chuchu Yu, Hao Peng, Jia Duan, Long Chen, Kunyao Wang, Zehua Zhang, Changping Peng, Zhangang Lin and Ching Law")</f>
        <v>Yuankun Zu, Xiangyu Cai, Chuchu Yu, Hao Peng, Jia Duan, Long Chen, Kunyao Wang, Zehua Zhang, Changping Peng, Zhangang Lin and Ching Law</v>
      </c>
      <c r="E35" s="147"/>
      <c r="F35" s="147"/>
      <c r="G35" s="147"/>
      <c r="H35" s="147"/>
      <c r="I35" s="147"/>
      <c r="J35" s="147"/>
      <c r="K35" s="147"/>
    </row>
    <row r="36">
      <c r="A36" s="240" t="s">
        <v>2170</v>
      </c>
      <c r="B36" s="240" t="s">
        <v>2171</v>
      </c>
      <c r="C36" s="240" t="s">
        <v>4131</v>
      </c>
      <c r="D36" s="147" t="str">
        <f>IFERROR(__xludf.DUMMYFUNCTION("SUBSTITUTE(REGEXREPLACE(REGEXREPLACE(C36, "":[^;]+"", """"), "";([^;]+)$"", "" and $1""), "";"", "", "")"),"Muhammad Muneeb Pervez, Muhammad Qasim Atiq Ullah, Ibrahim Ahmed Khan, Roshnik Rahat, Muhammad Fareed Zaffar, Rashid Tahir, Talal Rahwan and Yasir Zaki")</f>
        <v>Muhammad Muneeb Pervez, Muhammad Qasim Atiq Ullah, Ibrahim Ahmed Khan, Roshnik Rahat, Muhammad Fareed Zaffar, Rashid Tahir, Talal Rahwan and Yasir Zaki</v>
      </c>
      <c r="E36" s="147"/>
      <c r="F36" s="147"/>
      <c r="G36" s="147"/>
      <c r="H36" s="147"/>
      <c r="I36" s="147"/>
      <c r="J36" s="147"/>
      <c r="K36" s="147"/>
    </row>
    <row r="37">
      <c r="A37" s="240" t="s">
        <v>2344</v>
      </c>
      <c r="B37" s="240" t="s">
        <v>2345</v>
      </c>
      <c r="C37" s="240" t="s">
        <v>4132</v>
      </c>
      <c r="D37" s="147" t="str">
        <f>IFERROR(__xludf.DUMMYFUNCTION("SUBSTITUTE(REGEXREPLACE(REGEXREPLACE(C37, "":[^;]+"", """"), "";([^;]+)$"", "" and $1""), "";"", "", "")"),"Yiluo Wei and Gareth Tyson")</f>
        <v>Yiluo Wei and Gareth Tyson</v>
      </c>
      <c r="E37" s="147"/>
      <c r="F37" s="147"/>
      <c r="G37" s="147"/>
      <c r="H37" s="147"/>
      <c r="I37" s="147"/>
      <c r="J37" s="147"/>
      <c r="K37" s="147"/>
    </row>
    <row r="38">
      <c r="A38" s="240" t="s">
        <v>2194</v>
      </c>
      <c r="B38" s="240" t="s">
        <v>2195</v>
      </c>
      <c r="C38" s="240" t="s">
        <v>4133</v>
      </c>
      <c r="D38" s="147" t="str">
        <f>IFERROR(__xludf.DUMMYFUNCTION("SUBSTITUTE(REGEXREPLACE(REGEXREPLACE(C38, "":[^;]+"", """"), "";([^;]+)$"", "" and $1""), "";"", "", "")"),"Chaoqun Li, Si Wu, Yijun Lu, Yuyin Ma, Jinyao Liu, Dingyi Jia, Mingda Han, Feng Li and Pengfei Hu")</f>
        <v>Chaoqun Li, Si Wu, Yijun Lu, Yuyin Ma, Jinyao Liu, Dingyi Jia, Mingda Han, Feng Li and Pengfei Hu</v>
      </c>
      <c r="E38" s="147"/>
      <c r="F38" s="147"/>
      <c r="G38" s="147"/>
      <c r="H38" s="147"/>
      <c r="I38" s="147"/>
      <c r="J38" s="147"/>
      <c r="K38" s="147"/>
    </row>
    <row r="39">
      <c r="A39" s="240" t="s">
        <v>2326</v>
      </c>
      <c r="B39" s="240" t="s">
        <v>2327</v>
      </c>
      <c r="C39" s="240" t="s">
        <v>4134</v>
      </c>
      <c r="D39" s="147" t="str">
        <f>IFERROR(__xludf.DUMMYFUNCTION("SUBSTITUTE(REGEXREPLACE(REGEXREPLACE(C39, "":[^;]+"", """"), "";([^;]+)$"", "" and $1""), "";"", "", "")"),"Wei Wang, Jian Chen, Junxin Chen, Zeling Xu, Yuntao Zou and Henry H. Y. Tong")</f>
        <v>Wei Wang, Jian Chen, Junxin Chen, Zeling Xu, Yuntao Zou and Henry H. Y. Tong</v>
      </c>
      <c r="E39" s="147"/>
      <c r="F39" s="147"/>
      <c r="G39" s="147"/>
      <c r="H39" s="147"/>
      <c r="I39" s="147"/>
      <c r="J39" s="147"/>
      <c r="K39" s="147"/>
    </row>
    <row r="40">
      <c r="A40" s="240" t="s">
        <v>2300</v>
      </c>
      <c r="B40" s="240" t="s">
        <v>2301</v>
      </c>
      <c r="C40" s="240" t="s">
        <v>4135</v>
      </c>
      <c r="D40" s="147" t="str">
        <f>IFERROR(__xludf.DUMMYFUNCTION("SUBSTITUTE(REGEXREPLACE(REGEXREPLACE(C40, "":[^;]+"", """"), "";([^;]+)$"", "" and $1""), "";"", "", "")"),"Xiongxiao Xu, Solomon Abera Bekele, Brice Videau and Kai Shu")</f>
        <v>Xiongxiao Xu, Solomon Abera Bekele, Brice Videau and Kai Shu</v>
      </c>
      <c r="E40" s="147"/>
      <c r="F40" s="147"/>
      <c r="G40" s="147"/>
      <c r="H40" s="147"/>
      <c r="I40" s="147"/>
      <c r="J40" s="147"/>
      <c r="K40" s="147"/>
    </row>
    <row r="41">
      <c r="A41" s="240" t="s">
        <v>2172</v>
      </c>
      <c r="B41" s="240" t="s">
        <v>2173</v>
      </c>
      <c r="C41" s="240" t="s">
        <v>4136</v>
      </c>
      <c r="D41" s="147" t="str">
        <f>IFERROR(__xludf.DUMMYFUNCTION("SUBSTITUTE(REGEXREPLACE(REGEXREPLACE(C41, "":[^;]+"", """"), "";([^;]+)$"", "" and $1""), "";"", "", "")"),"Tangwei Ye, Liang Hu, Zhongyuan Lai, Qi Zhang, Yiming Wu, Jiaxing Miao, Yijun Yang and Kun Yi")</f>
        <v>Tangwei Ye, Liang Hu, Zhongyuan Lai, Qi Zhang, Yiming Wu, Jiaxing Miao, Yijun Yang and Kun Yi</v>
      </c>
      <c r="E41" s="147"/>
      <c r="F41" s="147"/>
      <c r="G41" s="147"/>
      <c r="H41" s="147"/>
      <c r="I41" s="147"/>
      <c r="J41" s="147"/>
      <c r="K41" s="147"/>
    </row>
    <row r="42">
      <c r="A42" s="240" t="s">
        <v>2276</v>
      </c>
      <c r="B42" s="240" t="s">
        <v>2277</v>
      </c>
      <c r="C42" s="240" t="s">
        <v>4137</v>
      </c>
      <c r="D42" s="147" t="str">
        <f>IFERROR(__xludf.DUMMYFUNCTION("SUBSTITUTE(REGEXREPLACE(REGEXREPLACE(C42, "":[^;]+"", """"), "";([^;]+)$"", "" and $1""), "";"", "", "")"),"Jiahao Yuan, Zhiqing Cui, Hanqing Wang, Yuansheng Gao, Yucheng Zhou and Usman Naseem")</f>
        <v>Jiahao Yuan, Zhiqing Cui, Hanqing Wang, Yuansheng Gao, Yucheng Zhou and Usman Naseem</v>
      </c>
      <c r="E42" s="147"/>
      <c r="F42" s="147"/>
      <c r="G42" s="147"/>
      <c r="H42" s="147"/>
      <c r="I42" s="147"/>
      <c r="J42" s="147"/>
      <c r="K42" s="147"/>
    </row>
    <row r="43">
      <c r="A43" s="240" t="s">
        <v>2278</v>
      </c>
      <c r="B43" s="240" t="s">
        <v>2279</v>
      </c>
      <c r="C43" s="240" t="s">
        <v>4138</v>
      </c>
      <c r="D43" s="147" t="str">
        <f>IFERROR(__xludf.DUMMYFUNCTION("SUBSTITUTE(REGEXREPLACE(REGEXREPLACE(C43, "":[^;]+"", """"), "";([^;]+)$"", "" and $1""), "";"", "", "")"),"Hao Wu, Yuhua Li, Yuntao Zou, Qianqi Zhang, Ruixuan Li, Zeling Xu and Wei Wang")</f>
        <v>Hao Wu, Yuhua Li, Yuntao Zou, Qianqi Zhang, Ruixuan Li, Zeling Xu and Wei Wang</v>
      </c>
      <c r="E43" s="147"/>
      <c r="F43" s="147"/>
      <c r="G43" s="147"/>
      <c r="H43" s="147"/>
      <c r="I43" s="147"/>
      <c r="J43" s="147"/>
      <c r="K43" s="147"/>
    </row>
    <row r="44">
      <c r="A44" s="240" t="s">
        <v>2266</v>
      </c>
      <c r="B44" s="240" t="s">
        <v>2267</v>
      </c>
      <c r="C44" s="240" t="s">
        <v>4139</v>
      </c>
      <c r="D44" s="147" t="str">
        <f>IFERROR(__xludf.DUMMYFUNCTION("SUBSTITUTE(REGEXREPLACE(REGEXREPLACE(C44, "":[^;]+"", """"), "";([^;]+)$"", "" and $1""), "";"", "", "")"),"Weizheng Wang, Qipeng Xie, Shiyu Wang, Qingqing Ye, Kaishun Wu and Haibo Hu")</f>
        <v>Weizheng Wang, Qipeng Xie, Shiyu Wang, Qingqing Ye, Kaishun Wu and Haibo Hu</v>
      </c>
      <c r="E44" s="147"/>
      <c r="F44" s="147"/>
      <c r="G44" s="147"/>
      <c r="H44" s="147"/>
      <c r="I44" s="147"/>
      <c r="J44" s="147"/>
      <c r="K44" s="147"/>
    </row>
    <row r="45">
      <c r="A45" s="240" t="s">
        <v>2262</v>
      </c>
      <c r="B45" s="240" t="s">
        <v>2263</v>
      </c>
      <c r="C45" s="240" t="s">
        <v>4140</v>
      </c>
      <c r="D45" s="147" t="str">
        <f>IFERROR(__xludf.DUMMYFUNCTION("SUBSTITUTE(REGEXREPLACE(REGEXREPLACE(C45, "":[^;]+"", """"), "";([^;]+)$"", "" and $1""), "";"", "", "")"),"Chunze Yang, Wenjie Zhao, Yue Tang, Junbo Lu, Jiusong Ge, Qidong Liu, Zeyu Gao and Chen Li")</f>
        <v>Chunze Yang, Wenjie Zhao, Yue Tang, Junbo Lu, Jiusong Ge, Qidong Liu, Zeyu Gao and Chen Li</v>
      </c>
      <c r="E45" s="147"/>
      <c r="F45" s="147"/>
      <c r="G45" s="147"/>
      <c r="H45" s="147"/>
      <c r="I45" s="147"/>
      <c r="J45" s="147"/>
      <c r="K45" s="147"/>
    </row>
    <row r="46">
      <c r="A46" s="240" t="s">
        <v>2354</v>
      </c>
      <c r="B46" s="240" t="s">
        <v>2355</v>
      </c>
      <c r="C46" s="240" t="s">
        <v>4141</v>
      </c>
      <c r="D46" s="147" t="str">
        <f>IFERROR(__xludf.DUMMYFUNCTION("SUBSTITUTE(REGEXREPLACE(REGEXREPLACE(C46, "":[^;]+"", """"), "";([^;]+)$"", "" and $1""), "";"", "", "")"),"Jing Ren, Bowen Li, Ziqi Xu, Renqiang Luo, Shuo Yu, Xin Ye, Haytham Fayek, Xiaodong Li and Feng Xia")</f>
        <v>Jing Ren, Bowen Li, Ziqi Xu, Renqiang Luo, Shuo Yu, Xin Ye, Haytham Fayek, Xiaodong Li and Feng Xia</v>
      </c>
      <c r="E46" s="147"/>
      <c r="F46" s="147"/>
      <c r="G46" s="147"/>
      <c r="H46" s="147"/>
      <c r="I46" s="147"/>
      <c r="J46" s="147"/>
      <c r="K46" s="147"/>
    </row>
    <row r="47">
      <c r="A47" s="240" t="s">
        <v>2258</v>
      </c>
      <c r="B47" s="240" t="s">
        <v>2259</v>
      </c>
      <c r="C47" s="240" t="s">
        <v>4142</v>
      </c>
      <c r="D47" s="147" t="str">
        <f>IFERROR(__xludf.DUMMYFUNCTION("SUBSTITUTE(REGEXREPLACE(REGEXREPLACE(C47, "":[^;]+"", """"), "";([^;]+)$"", "" and $1""), "";"", "", "")"),"Xuanhan Fan, Rui Ding, Haojie Liu, Jibin Zhou, Han Liu, Yuanman Li, Wei Wang and Mao Ye")</f>
        <v>Xuanhan Fan, Rui Ding, Haojie Liu, Jibin Zhou, Han Liu, Yuanman Li, Wei Wang and Mao Ye</v>
      </c>
      <c r="E47" s="147"/>
      <c r="F47" s="147"/>
      <c r="G47" s="147"/>
      <c r="H47" s="147"/>
      <c r="I47" s="147"/>
      <c r="J47" s="147"/>
      <c r="K47" s="147"/>
    </row>
    <row r="48">
      <c r="A48" s="240" t="s">
        <v>2356</v>
      </c>
      <c r="B48" s="240" t="s">
        <v>2357</v>
      </c>
      <c r="C48" s="240" t="s">
        <v>4143</v>
      </c>
      <c r="D48" s="147" t="str">
        <f>IFERROR(__xludf.DUMMYFUNCTION("SUBSTITUTE(REGEXREPLACE(REGEXREPLACE(C48, "":[^;]+"", """"), "";([^;]+)$"", "" and $1""), "";"", "", "")"),"Fei Wang, Jiangnan Yang, Junjie Chen, Yuxin Liu, Kun Li, Yanyan Wei, Dan Guo and Meng Wang")</f>
        <v>Fei Wang, Jiangnan Yang, Junjie Chen, Yuxin Liu, Kun Li, Yanyan Wei, Dan Guo and Meng Wang</v>
      </c>
      <c r="E48" s="147"/>
      <c r="F48" s="147"/>
      <c r="G48" s="147"/>
      <c r="H48" s="147"/>
      <c r="I48" s="147"/>
      <c r="J48" s="147"/>
      <c r="K48" s="147"/>
    </row>
    <row r="49">
      <c r="A49" s="240" t="s">
        <v>2338</v>
      </c>
      <c r="B49" s="240" t="s">
        <v>2339</v>
      </c>
      <c r="C49" s="240" t="s">
        <v>4144</v>
      </c>
      <c r="D49" s="147" t="str">
        <f>IFERROR(__xludf.DUMMYFUNCTION("SUBSTITUTE(REGEXREPLACE(REGEXREPLACE(C49, "":[^;]+"", """"), "";([^;]+)$"", "" and $1""), "";"", "", "")"),"Chenglong Fu, Jian Yao, Pengjiang Qian, Weiwei Fu, Chuang Wang and Guisong Yang")</f>
        <v>Chenglong Fu, Jian Yao, Pengjiang Qian, Weiwei Fu, Chuang Wang and Guisong Yang</v>
      </c>
      <c r="E49" s="147"/>
      <c r="F49" s="147"/>
      <c r="G49" s="147"/>
      <c r="H49" s="147"/>
      <c r="I49" s="147"/>
      <c r="J49" s="147"/>
      <c r="K49" s="147"/>
    </row>
    <row r="50">
      <c r="A50" s="240" t="s">
        <v>2310</v>
      </c>
      <c r="B50" s="240" t="s">
        <v>2311</v>
      </c>
      <c r="C50" s="240" t="s">
        <v>4145</v>
      </c>
      <c r="D50" s="147" t="str">
        <f>IFERROR(__xludf.DUMMYFUNCTION("SUBSTITUTE(REGEXREPLACE(REGEXREPLACE(C50, "":[^;]+"", """"), "";([^;]+)$"", "" and $1""), "";"", "", "")"),"Wenhui Wu, Tiancheng Zhang, Hengyu Liu, Lun Du, Zikai Li, Mingxing Shao, Minghe Yu, Yifang Yin and Ge Yu")</f>
        <v>Wenhui Wu, Tiancheng Zhang, Hengyu Liu, Lun Du, Zikai Li, Mingxing Shao, Minghe Yu, Yifang Yin and Ge Yu</v>
      </c>
      <c r="E50" s="147"/>
      <c r="F50" s="147"/>
      <c r="G50" s="147"/>
      <c r="H50" s="147"/>
      <c r="I50" s="147"/>
      <c r="J50" s="147"/>
      <c r="K50" s="147"/>
    </row>
    <row r="51">
      <c r="A51" s="240" t="s">
        <v>2178</v>
      </c>
      <c r="B51" s="240" t="s">
        <v>2179</v>
      </c>
      <c r="C51" s="240" t="s">
        <v>4146</v>
      </c>
      <c r="D51" s="147" t="str">
        <f>IFERROR(__xludf.DUMMYFUNCTION("SUBSTITUTE(REGEXREPLACE(REGEXREPLACE(C51, "":[^;]+"", """"), "";([^;]+)$"", "" and $1""), "";"", "", "")"),"Aoqi Wu, Junming Liu, Yuwei Zhang, Weiquan Huang, Liang Hu, Yifan Yang, Qi Zhang, Jiaxing Miao, Yuhan Tang and Zhongyuan Lai")</f>
        <v>Aoqi Wu, Junming Liu, Yuwei Zhang, Weiquan Huang, Liang Hu, Yifan Yang, Qi Zhang, Jiaxing Miao, Yuhan Tang and Zhongyuan Lai</v>
      </c>
      <c r="E51" s="147"/>
      <c r="F51" s="147"/>
      <c r="G51" s="147"/>
      <c r="H51" s="147"/>
      <c r="I51" s="147"/>
      <c r="J51" s="147"/>
      <c r="K51" s="147"/>
    </row>
    <row r="52">
      <c r="A52" s="240" t="s">
        <v>2340</v>
      </c>
      <c r="B52" s="240" t="s">
        <v>2341</v>
      </c>
      <c r="C52" s="240" t="s">
        <v>4147</v>
      </c>
      <c r="D52" s="147" t="str">
        <f>IFERROR(__xludf.DUMMYFUNCTION("SUBSTITUTE(REGEXREPLACE(REGEXREPLACE(C52, "":[^;]+"", """"), "";([^;]+)$"", "" and $1""), "";"", "", "")"),"Peijie Liu, Fengli Xu and Yong Li")</f>
        <v>Peijie Liu, Fengli Xu and Yong Li</v>
      </c>
      <c r="E52" s="147"/>
      <c r="F52" s="147"/>
      <c r="G52" s="147"/>
      <c r="H52" s="147"/>
      <c r="I52" s="147"/>
      <c r="J52" s="147"/>
      <c r="K52" s="147"/>
    </row>
    <row r="53">
      <c r="A53" s="240" t="s">
        <v>2202</v>
      </c>
      <c r="B53" s="240" t="s">
        <v>2203</v>
      </c>
      <c r="C53" s="240" t="s">
        <v>4148</v>
      </c>
      <c r="D53" s="147" t="str">
        <f>IFERROR(__xludf.DUMMYFUNCTION("SUBSTITUTE(REGEXREPLACE(REGEXREPLACE(C53, "":[^;]+"", """"), "";([^;]+)$"", "" and $1""), "";"", "", "")"),"Yinglun Zhang, Sonia Moavenzadeh, Jarrar Amjad, Onur Apul, Adrita Barua, Fatih Evrendilek, Torsten Hahmann, Ganga Hettiarachchi, Pascal Hitzler, David Kedrowski, Vasu Kilaru, Prayas Lashkari, Katrina Schweikert, Antony Williams and Hande McGinty")</f>
        <v>Yinglun Zhang, Sonia Moavenzadeh, Jarrar Amjad, Onur Apul, Adrita Barua, Fatih Evrendilek, Torsten Hahmann, Ganga Hettiarachchi, Pascal Hitzler, David Kedrowski, Vasu Kilaru, Prayas Lashkari, Katrina Schweikert, Antony Williams and Hande McGinty</v>
      </c>
      <c r="E53" s="147"/>
      <c r="F53" s="147"/>
      <c r="G53" s="147"/>
      <c r="H53" s="147"/>
      <c r="I53" s="147"/>
      <c r="J53" s="147"/>
      <c r="K53" s="147"/>
    </row>
    <row r="54">
      <c r="A54" s="240" t="s">
        <v>2268</v>
      </c>
      <c r="B54" s="240" t="s">
        <v>2269</v>
      </c>
      <c r="C54" s="240" t="s">
        <v>4149</v>
      </c>
      <c r="D54" s="147" t="str">
        <f>IFERROR(__xludf.DUMMYFUNCTION("SUBSTITUTE(REGEXREPLACE(REGEXREPLACE(C54, "":[^;]+"", """"), "";([^;]+)$"", "" and $1""), "";"", "", "")"),"Swapnil Mane, Rajesh Sharma and Suman Kundu")</f>
        <v>Swapnil Mane, Rajesh Sharma and Suman Kundu</v>
      </c>
      <c r="E54" s="147"/>
      <c r="F54" s="147"/>
      <c r="G54" s="147"/>
      <c r="H54" s="147"/>
      <c r="I54" s="147"/>
      <c r="J54" s="147"/>
      <c r="K54" s="147"/>
    </row>
    <row r="55">
      <c r="A55" s="240" t="s">
        <v>2286</v>
      </c>
      <c r="B55" s="240" t="s">
        <v>2287</v>
      </c>
      <c r="C55" s="240" t="s">
        <v>4150</v>
      </c>
      <c r="D55" s="147" t="str">
        <f>IFERROR(__xludf.DUMMYFUNCTION("SUBSTITUTE(REGEXREPLACE(REGEXREPLACE(C55, "":[^;]+"", """"), "";([^;]+)$"", "" and $1""), "";"", "", "")"),"Yaokun Liu, Yifan Liu, Phoebe Mbuvi, Zelin Li, Ruichen Yao, Gawon Lim and Dong Wang")</f>
        <v>Yaokun Liu, Yifan Liu, Phoebe Mbuvi, Zelin Li, Ruichen Yao, Gawon Lim and Dong Wang</v>
      </c>
      <c r="E55" s="147"/>
      <c r="F55" s="147"/>
      <c r="G55" s="147"/>
      <c r="H55" s="147"/>
      <c r="I55" s="147"/>
      <c r="J55" s="147"/>
      <c r="K55" s="147"/>
    </row>
    <row r="56">
      <c r="A56" s="240" t="s">
        <v>2270</v>
      </c>
      <c r="B56" s="240" t="s">
        <v>2271</v>
      </c>
      <c r="C56" s="240" t="s">
        <v>4151</v>
      </c>
      <c r="D56" s="147" t="str">
        <f>IFERROR(__xludf.DUMMYFUNCTION("SUBSTITUTE(REGEXREPLACE(REGEXREPLACE(C56, "":[^;]+"", """"), "";([^;]+)$"", "" and $1""), "";"", "", "")"),"Xixian Yong, Peilin Sun, Zihe Wang and Xiao Zhou")</f>
        <v>Xixian Yong, Peilin Sun, Zihe Wang and Xiao Zhou</v>
      </c>
      <c r="E56" s="147"/>
      <c r="F56" s="147"/>
      <c r="G56" s="147"/>
      <c r="H56" s="147"/>
      <c r="I56" s="147"/>
      <c r="J56" s="147"/>
      <c r="K56" s="147"/>
    </row>
    <row r="57">
      <c r="A57" s="240" t="s">
        <v>2260</v>
      </c>
      <c r="B57" s="240" t="s">
        <v>2261</v>
      </c>
      <c r="C57" s="240" t="s">
        <v>4152</v>
      </c>
      <c r="D57" s="147" t="str">
        <f>IFERROR(__xludf.DUMMYFUNCTION("SUBSTITUTE(REGEXREPLACE(REGEXREPLACE(C57, "":[^;]+"", """"), "";([^;]+)$"", "" and $1""), "";"", "", "")"),"Xingrao Ma, Zongxi Li, Chengzu Dong, Kai Fang and Shao Di")</f>
        <v>Xingrao Ma, Zongxi Li, Chengzu Dong, Kai Fang and Shao Di</v>
      </c>
      <c r="E57" s="147"/>
      <c r="F57" s="147"/>
      <c r="G57" s="147"/>
      <c r="H57" s="147"/>
      <c r="I57" s="147"/>
      <c r="J57" s="147"/>
      <c r="K57" s="147"/>
    </row>
    <row r="58">
      <c r="A58" s="240" t="s">
        <v>2184</v>
      </c>
      <c r="B58" s="240" t="s">
        <v>2185</v>
      </c>
      <c r="C58" s="240" t="s">
        <v>4153</v>
      </c>
      <c r="D58" s="147" t="str">
        <f>IFERROR(__xludf.DUMMYFUNCTION("SUBSTITUTE(REGEXREPLACE(REGEXREPLACE(C58, "":[^;]+"", """"), "";([^;]+)$"", "" and $1""), "";"", "", "")"),"Weiwei Fang, Lin Li, Kaize Shi, Yu Yang and Jianwei Zhang")</f>
        <v>Weiwei Fang, Lin Li, Kaize Shi, Yu Yang and Jianwei Zhang</v>
      </c>
      <c r="E58" s="147"/>
      <c r="F58" s="147"/>
      <c r="G58" s="147"/>
      <c r="H58" s="147"/>
      <c r="I58" s="147"/>
      <c r="J58" s="147"/>
      <c r="K58" s="147"/>
    </row>
    <row r="59">
      <c r="A59" s="240" t="s">
        <v>2216</v>
      </c>
      <c r="B59" s="240" t="s">
        <v>2217</v>
      </c>
      <c r="C59" s="240" t="s">
        <v>4154</v>
      </c>
      <c r="D59" s="147" t="str">
        <f>IFERROR(__xludf.DUMMYFUNCTION("SUBSTITUTE(REGEXREPLACE(REGEXREPLACE(C59, "":[^;]+"", """"), "";([^;]+)$"", "" and $1""), "";"", "", "")"),"Rui Guo, Fengyi Wang, Ling-Yu Lin and Guolong Wang")</f>
        <v>Rui Guo, Fengyi Wang, Ling-Yu Lin and Guolong Wang</v>
      </c>
      <c r="E59" s="147"/>
      <c r="F59" s="147"/>
      <c r="G59" s="147"/>
      <c r="H59" s="147"/>
      <c r="I59" s="147"/>
      <c r="J59" s="147"/>
      <c r="K59" s="147"/>
    </row>
    <row r="60">
      <c r="A60" s="240" t="s">
        <v>2322</v>
      </c>
      <c r="B60" s="240" t="s">
        <v>2323</v>
      </c>
      <c r="C60" s="240" t="s">
        <v>4155</v>
      </c>
      <c r="D60" s="147" t="str">
        <f>IFERROR(__xludf.DUMMYFUNCTION("SUBSTITUTE(REGEXREPLACE(REGEXREPLACE(C60, "":[^;]+"", """"), "";([^;]+)$"", "" and $1""), "";"", "", "")"),"Guisong Yang, Yuchen Yang, Yunbo Shen, Xingyu He, Jianheng Tang, Yunhuai Liu and Chengji Xu")</f>
        <v>Guisong Yang, Yuchen Yang, Yunbo Shen, Xingyu He, Jianheng Tang, Yunhuai Liu and Chengji Xu</v>
      </c>
      <c r="E60" s="147"/>
      <c r="F60" s="147"/>
      <c r="G60" s="147"/>
      <c r="H60" s="147"/>
      <c r="I60" s="147"/>
      <c r="J60" s="147"/>
      <c r="K60" s="147"/>
    </row>
    <row r="61">
      <c r="A61" s="240" t="s">
        <v>2240</v>
      </c>
      <c r="B61" s="240" t="s">
        <v>2241</v>
      </c>
      <c r="C61" s="240" t="s">
        <v>4156</v>
      </c>
      <c r="D61" s="147" t="str">
        <f>IFERROR(__xludf.DUMMYFUNCTION("SUBSTITUTE(REGEXREPLACE(REGEXREPLACE(C61, "":[^;]+"", """"), "";([^;]+)$"", "" and $1""), "";"", "", "")"),"Renqiang Luo, Yongshuai Yang, Huafei Huang, Qing Qing, Mingliang Hou, Ziqi Xu, Yi Yu, Jingjing Zhou and Feng Xia")</f>
        <v>Renqiang Luo, Yongshuai Yang, Huafei Huang, Qing Qing, Mingliang Hou, Ziqi Xu, Yi Yu, Jingjing Zhou and Feng Xia</v>
      </c>
      <c r="E61" s="147"/>
      <c r="F61" s="147"/>
      <c r="G61" s="147"/>
      <c r="H61" s="147"/>
      <c r="I61" s="147"/>
      <c r="J61" s="147"/>
      <c r="K61" s="147"/>
    </row>
    <row r="62">
      <c r="A62" s="240" t="s">
        <v>2214</v>
      </c>
      <c r="B62" s="240" t="s">
        <v>2215</v>
      </c>
      <c r="C62" s="240" t="s">
        <v>4157</v>
      </c>
      <c r="D62" s="147" t="str">
        <f>IFERROR(__xludf.DUMMYFUNCTION("SUBSTITUTE(REGEXREPLACE(REGEXREPLACE(C62, "":[^;]+"", """"), "";([^;]+)$"", "" and $1""), "";"", "", "")"),"Thi Huyen Nguyen, Koustav Rudra and Wolfgang Nejdl")</f>
        <v>Thi Huyen Nguyen, Koustav Rudra and Wolfgang Nejdl</v>
      </c>
      <c r="E62" s="147"/>
      <c r="F62" s="147"/>
      <c r="G62" s="147"/>
      <c r="H62" s="147"/>
      <c r="I62" s="147"/>
      <c r="J62" s="147"/>
      <c r="K62" s="147"/>
    </row>
    <row r="63">
      <c r="A63" s="240" t="s">
        <v>2232</v>
      </c>
      <c r="B63" s="240" t="s">
        <v>2233</v>
      </c>
      <c r="C63" s="240" t="s">
        <v>4158</v>
      </c>
      <c r="D63" s="147" t="str">
        <f>IFERROR(__xludf.DUMMYFUNCTION("SUBSTITUTE(REGEXREPLACE(REGEXREPLACE(C63, "":[^;]+"", """"), "";([^;]+)$"", "" and $1""), "";"", "", "")"),"Lili Tian, Dehui Du and Yikang Chen")</f>
        <v>Lili Tian, Dehui Du and Yikang Chen</v>
      </c>
      <c r="E63" s="147"/>
      <c r="F63" s="147"/>
      <c r="G63" s="147"/>
      <c r="H63" s="147"/>
      <c r="I63" s="147"/>
      <c r="J63" s="147"/>
      <c r="K63" s="147"/>
    </row>
    <row r="64">
      <c r="A64" s="240" t="s">
        <v>2284</v>
      </c>
      <c r="B64" s="240" t="s">
        <v>2285</v>
      </c>
      <c r="C64" s="240" t="s">
        <v>4159</v>
      </c>
      <c r="D64" s="147" t="str">
        <f>IFERROR(__xludf.DUMMYFUNCTION("SUBSTITUTE(REGEXREPLACE(REGEXREPLACE(C64, "":[^;]+"", """"), "";([^;]+)$"", "" and $1""), "";"", "", "")"),"Md. Rafiul Biswas, Mabrouka Bessghaier, Shimaa Ibrahim, George Mikros and Wajdi Zaghouani")</f>
        <v>Md. Rafiul Biswas, Mabrouka Bessghaier, Shimaa Ibrahim, George Mikros and Wajdi Zaghouani</v>
      </c>
      <c r="E64" s="147"/>
      <c r="F64" s="147"/>
      <c r="G64" s="147"/>
      <c r="H64" s="147"/>
      <c r="I64" s="147"/>
      <c r="J64" s="147"/>
      <c r="K64" s="147"/>
    </row>
    <row r="65">
      <c r="A65" s="240" t="s">
        <v>2290</v>
      </c>
      <c r="B65" s="240" t="s">
        <v>2291</v>
      </c>
      <c r="C65" s="240" t="s">
        <v>4160</v>
      </c>
      <c r="D65" s="147" t="str">
        <f>IFERROR(__xludf.DUMMYFUNCTION("SUBSTITUTE(REGEXREPLACE(REGEXREPLACE(C65, "":[^;]+"", """"), "";([^;]+)$"", "" and $1""), "";"", "", "")"),"Qiuyu Li, Kun Zhang, Le Wu, Hao Liu, Hefei Xu, Xin Li and Si Wei")</f>
        <v>Qiuyu Li, Kun Zhang, Le Wu, Hao Liu, Hefei Xu, Xin Li and Si Wei</v>
      </c>
      <c r="E65" s="147"/>
      <c r="F65" s="147"/>
      <c r="G65" s="147"/>
      <c r="H65" s="147"/>
      <c r="I65" s="147"/>
      <c r="J65" s="147"/>
      <c r="K65" s="147"/>
    </row>
    <row r="66">
      <c r="A66" s="240" t="s">
        <v>2212</v>
      </c>
      <c r="B66" s="240" t="s">
        <v>2213</v>
      </c>
      <c r="C66" s="240" t="s">
        <v>4161</v>
      </c>
      <c r="D66" s="147" t="str">
        <f>IFERROR(__xludf.DUMMYFUNCTION("SUBSTITUTE(REGEXREPLACE(REGEXREPLACE(C66, "":[^;]+"", """"), "";([^;]+)$"", "" and $1""), "";"", "", "")"),"Xuankai Yang, Yan Wang, Jiajie Zhu, Pengfei Ding, Hongyang Liu, Xiuzhen Zhang and Huan Liu")</f>
        <v>Xuankai Yang, Yan Wang, Jiajie Zhu, Pengfei Ding, Hongyang Liu, Xiuzhen Zhang and Huan Liu</v>
      </c>
      <c r="E66" s="147"/>
      <c r="F66" s="147"/>
      <c r="G66" s="147"/>
      <c r="H66" s="147"/>
      <c r="I66" s="147"/>
      <c r="J66" s="147"/>
      <c r="K66" s="147"/>
    </row>
    <row r="67">
      <c r="A67" s="240" t="s">
        <v>2274</v>
      </c>
      <c r="B67" s="240" t="s">
        <v>2275</v>
      </c>
      <c r="C67" s="240" t="s">
        <v>4162</v>
      </c>
      <c r="D67" s="147" t="str">
        <f>IFERROR(__xludf.DUMMYFUNCTION("SUBSTITUTE(REGEXREPLACE(REGEXREPLACE(C67, "":[^;]+"", """"), "";([^;]+)$"", "" and $1""), "";"", "", "")"),"Xinyi Wang, Jiayu Zhang, Zhiyu Zhu, Zhibo Jin, Dong Yuan and Huaming Chen")</f>
        <v>Xinyi Wang, Jiayu Zhang, Zhiyu Zhu, Zhibo Jin, Dong Yuan and Huaming Chen</v>
      </c>
      <c r="E67" s="147"/>
      <c r="F67" s="147"/>
      <c r="G67" s="147"/>
      <c r="H67" s="147"/>
      <c r="I67" s="147"/>
      <c r="J67" s="147"/>
      <c r="K67" s="147"/>
    </row>
    <row r="68">
      <c r="A68" s="240" t="s">
        <v>2294</v>
      </c>
      <c r="B68" s="240" t="s">
        <v>2295</v>
      </c>
      <c r="C68" s="240" t="s">
        <v>4163</v>
      </c>
      <c r="D68" s="147" t="str">
        <f>IFERROR(__xludf.DUMMYFUNCTION("SUBSTITUTE(REGEXREPLACE(REGEXREPLACE(C68, "":[^;]+"", """"), "";([^;]+)$"", "" and $1""), "";"", "", "")"),"Aditya Kishore, Gaurav Kumar and Jasabanta Patro")</f>
        <v>Aditya Kishore, Gaurav Kumar and Jasabanta Patro</v>
      </c>
      <c r="E68" s="147"/>
      <c r="F68" s="147"/>
      <c r="G68" s="147"/>
      <c r="H68" s="147"/>
      <c r="I68" s="147"/>
      <c r="J68" s="147"/>
      <c r="K68" s="147"/>
    </row>
    <row r="69">
      <c r="A69" s="240" t="s">
        <v>2208</v>
      </c>
      <c r="B69" s="240" t="s">
        <v>2209</v>
      </c>
      <c r="C69" s="240" t="s">
        <v>4164</v>
      </c>
      <c r="D69" s="147" t="str">
        <f>IFERROR(__xludf.DUMMYFUNCTION("SUBSTITUTE(REGEXREPLACE(REGEXREPLACE(C69, "":[^;]+"", """"), "";([^;]+)$"", "" and $1""), "";"", "", "")"),"Prottay Kumar Adhikary, Reena Rawat and Tanmoy Chakraborty")</f>
        <v>Prottay Kumar Adhikary, Reena Rawat and Tanmoy Chakraborty</v>
      </c>
      <c r="E69" s="147"/>
      <c r="F69" s="147"/>
      <c r="G69" s="147"/>
      <c r="H69" s="147"/>
      <c r="I69" s="147"/>
      <c r="J69" s="147"/>
      <c r="K69" s="147"/>
    </row>
    <row r="70">
      <c r="A70" s="240" t="s">
        <v>2316</v>
      </c>
      <c r="B70" s="240" t="s">
        <v>2317</v>
      </c>
      <c r="C70" s="240" t="s">
        <v>4165</v>
      </c>
      <c r="D70" s="147" t="str">
        <f>IFERROR(__xludf.DUMMYFUNCTION("SUBSTITUTE(REGEXREPLACE(REGEXREPLACE(C70, "":[^;]+"", """"), "";([^;]+)$"", "" and $1""), "";"", "", "")"),"Han Liu, Zhi Xu, Xiaotong Zhang, Feng Zhang, Xiaoming Xu, Wei Wang, Fenglong Ma and Hong Yu")</f>
        <v>Han Liu, Zhi Xu, Xiaotong Zhang, Feng Zhang, Xiaoming Xu, Wei Wang, Fenglong Ma and Hong Yu</v>
      </c>
      <c r="E70" s="147"/>
      <c r="F70" s="147"/>
      <c r="G70" s="147"/>
      <c r="H70" s="147"/>
      <c r="I70" s="147"/>
      <c r="J70" s="147"/>
      <c r="K70" s="147"/>
    </row>
    <row r="71">
      <c r="A71" s="240" t="s">
        <v>2308</v>
      </c>
      <c r="B71" s="240" t="s">
        <v>2309</v>
      </c>
      <c r="C71" s="240" t="s">
        <v>4166</v>
      </c>
      <c r="D71" s="147" t="str">
        <f>IFERROR(__xludf.DUMMYFUNCTION("SUBSTITUTE(REGEXREPLACE(REGEXREPLACE(C71, "":[^;]+"", """"), "";([^;]+)$"", "" and $1""), "";"", "", "")"),"Chenyang Shao, Xinyang Liu, Yutang Lin, Fengli Xu and Yong Li")</f>
        <v>Chenyang Shao, Xinyang Liu, Yutang Lin, Fengli Xu and Yong Li</v>
      </c>
      <c r="E71" s="147"/>
      <c r="F71" s="147"/>
      <c r="G71" s="147"/>
      <c r="H71" s="147"/>
      <c r="I71" s="147"/>
      <c r="J71" s="147"/>
      <c r="K71" s="147"/>
    </row>
    <row r="72">
      <c r="A72" s="240" t="s">
        <v>2234</v>
      </c>
      <c r="B72" s="240" t="s">
        <v>2235</v>
      </c>
      <c r="C72" s="240" t="s">
        <v>4167</v>
      </c>
      <c r="D72" s="147" t="str">
        <f>IFERROR(__xludf.DUMMYFUNCTION("SUBSTITUTE(REGEXREPLACE(REGEXREPLACE(C72, "":[^;]+"", """"), "";([^;]+)$"", "" and $1""), "";"", "", "")"),"Tingting Li, Ziming Zhao, Zhaoxuan Li, Xiaofei Yue and Jiongchi Yu")</f>
        <v>Tingting Li, Ziming Zhao, Zhaoxuan Li, Xiaofei Yue and Jiongchi Yu</v>
      </c>
      <c r="E72" s="147"/>
      <c r="F72" s="147"/>
      <c r="G72" s="147"/>
      <c r="H72" s="147"/>
      <c r="I72" s="147"/>
      <c r="J72" s="147"/>
      <c r="K72" s="147"/>
    </row>
    <row r="73">
      <c r="A73" s="240" t="s">
        <v>2256</v>
      </c>
      <c r="B73" s="240" t="s">
        <v>2257</v>
      </c>
      <c r="C73" s="240" t="s">
        <v>4168</v>
      </c>
      <c r="D73" s="147" t="str">
        <f>IFERROR(__xludf.DUMMYFUNCTION("SUBSTITUTE(REGEXREPLACE(REGEXREPLACE(C73, "":[^;]+"", """"), "";([^;]+)$"", "" and $1""), "";"", "", "")"),"Maolin Wang, Beining Bao, Hongyu Chen, Zichun Liu, Lang Fu, Jun Chu, Langzhang Liang and Zenglin Xu")</f>
        <v>Maolin Wang, Beining Bao, Hongyu Chen, Zichun Liu, Lang Fu, Jun Chu, Langzhang Liang and Zenglin Xu</v>
      </c>
      <c r="E73" s="147"/>
      <c r="F73" s="147"/>
      <c r="G73" s="147"/>
      <c r="H73" s="147"/>
      <c r="I73" s="147"/>
      <c r="J73" s="147"/>
      <c r="K73" s="147"/>
    </row>
    <row r="74">
      <c r="A74" s="240" t="s">
        <v>2312</v>
      </c>
      <c r="B74" s="240" t="s">
        <v>2313</v>
      </c>
      <c r="C74" s="240" t="s">
        <v>4169</v>
      </c>
      <c r="D74" s="147" t="str">
        <f>IFERROR(__xludf.DUMMYFUNCTION("SUBSTITUTE(REGEXREPLACE(REGEXREPLACE(C74, "":[^;]+"", """"), "";([^;]+)$"", "" and $1""), "";"", "", "")"),"Eman Nabeel, Haleema Jamil, Shizza Asher, Zaeem Mohtashim Khan, Nida Tanveer, Ihsan Ayyub Qazi and Zafar Ayyub Qazi")</f>
        <v>Eman Nabeel, Haleema Jamil, Shizza Asher, Zaeem Mohtashim Khan, Nida Tanveer, Ihsan Ayyub Qazi and Zafar Ayyub Qazi</v>
      </c>
      <c r="E74" s="147"/>
      <c r="F74" s="147"/>
      <c r="G74" s="147"/>
      <c r="H74" s="147"/>
      <c r="I74" s="147"/>
      <c r="J74" s="147"/>
      <c r="K74" s="147"/>
    </row>
    <row r="75">
      <c r="A75" s="240" t="s">
        <v>2238</v>
      </c>
      <c r="B75" s="240" t="s">
        <v>2239</v>
      </c>
      <c r="C75" s="240" t="s">
        <v>4170</v>
      </c>
      <c r="D75" s="147" t="str">
        <f>IFERROR(__xludf.DUMMYFUNCTION("SUBSTITUTE(REGEXREPLACE(REGEXREPLACE(C75, "":[^;]+"", """"), "";([^;]+)$"", "" and $1""), "";"", "", "")"),"Tao Tang, Mujie Liu, Botao Liu, Wei Du, Liping Chen, Xinrui Cheng, Jiaxin Du and Xiangjie Kong")</f>
        <v>Tao Tang, Mujie Liu, Botao Liu, Wei Du, Liping Chen, Xinrui Cheng, Jiaxin Du and Xiangjie Kong</v>
      </c>
      <c r="E75" s="147"/>
      <c r="F75" s="147"/>
      <c r="G75" s="147"/>
      <c r="H75" s="147"/>
      <c r="I75" s="147"/>
      <c r="J75" s="147"/>
      <c r="K75" s="147"/>
    </row>
    <row r="76">
      <c r="A76" s="240" t="s">
        <v>2352</v>
      </c>
      <c r="B76" s="240" t="s">
        <v>2353</v>
      </c>
      <c r="C76" s="240" t="s">
        <v>4171</v>
      </c>
      <c r="D76" s="147" t="str">
        <f>IFERROR(__xludf.DUMMYFUNCTION("SUBSTITUTE(REGEXREPLACE(REGEXREPLACE(C76, "":[^;]+"", """"), "";([^;]+)$"", "" and $1""), "";"", "", "")"),"Baiyu Chen, Benjamin Tag, Hao Xue, Daniel Angus and Flora Salim")</f>
        <v>Baiyu Chen, Benjamin Tag, Hao Xue, Daniel Angus and Flora Salim</v>
      </c>
      <c r="E76" s="147"/>
      <c r="F76" s="147"/>
      <c r="G76" s="147"/>
      <c r="H76" s="147"/>
      <c r="I76" s="147"/>
      <c r="J76" s="147"/>
      <c r="K76" s="147"/>
    </row>
    <row r="77">
      <c r="A77" s="240" t="s">
        <v>2242</v>
      </c>
      <c r="B77" s="240" t="s">
        <v>2243</v>
      </c>
      <c r="C77" s="240" t="s">
        <v>4172</v>
      </c>
      <c r="D77" s="147" t="str">
        <f>IFERROR(__xludf.DUMMYFUNCTION("SUBSTITUTE(REGEXREPLACE(REGEXREPLACE(C77, "":[^;]+"", """"), "";([^;]+)$"", "" and $1""), "";"", "", "")"),"Liping Chen, Mujie Liu and Haytham Fayek")</f>
        <v>Liping Chen, Mujie Liu and Haytham Fayek</v>
      </c>
      <c r="E77" s="147"/>
      <c r="F77" s="147"/>
      <c r="G77" s="147"/>
      <c r="H77" s="147"/>
      <c r="I77" s="147"/>
      <c r="J77" s="147"/>
      <c r="K77" s="147"/>
    </row>
    <row r="78">
      <c r="A78" s="240" t="s">
        <v>2350</v>
      </c>
      <c r="B78" s="240" t="s">
        <v>2351</v>
      </c>
      <c r="C78" s="240" t="s">
        <v>4173</v>
      </c>
      <c r="D78" s="147" t="str">
        <f>IFERROR(__xludf.DUMMYFUNCTION("SUBSTITUTE(REGEXREPLACE(REGEXREPLACE(C78, "":[^;]+"", """"), "";([^;]+)$"", "" and $1""), "";"", "", "")"),"Qian Hong, Siyuan Chang and Xiao Zhou")</f>
        <v>Qian Hong, Siyuan Chang and Xiao Zhou</v>
      </c>
      <c r="E78" s="147"/>
      <c r="F78" s="147"/>
      <c r="G78" s="147"/>
      <c r="H78" s="147"/>
      <c r="I78" s="147"/>
      <c r="J78" s="147"/>
      <c r="K78" s="147"/>
    </row>
    <row r="79">
      <c r="A79" s="240" t="s">
        <v>2318</v>
      </c>
      <c r="B79" s="240" t="s">
        <v>2319</v>
      </c>
      <c r="C79" s="240" t="s">
        <v>4174</v>
      </c>
      <c r="D79" s="147" t="str">
        <f>IFERROR(__xludf.DUMMYFUNCTION("SUBSTITUTE(REGEXREPLACE(REGEXREPLACE(C79, "":[^;]+"", """"), "";([^;]+)$"", "" and $1""), "";"", "", "")"),"Valerio La Gatta, Marco Postiglione, Jeremy Gilbert, Daniel W. Linna Jr., Morgan Manella Greenfield, Aaron Shaw and V.S. Subrahmanian")</f>
        <v>Valerio La Gatta, Marco Postiglione, Jeremy Gilbert, Daniel W. Linna Jr., Morgan Manella Greenfield, Aaron Shaw and V.S. Subrahmanian</v>
      </c>
      <c r="E79" s="147"/>
      <c r="F79" s="147"/>
      <c r="G79" s="147"/>
      <c r="H79" s="147"/>
      <c r="I79" s="147"/>
      <c r="J79" s="147"/>
      <c r="K79" s="147"/>
    </row>
    <row r="80">
      <c r="A80" s="240" t="s">
        <v>2226</v>
      </c>
      <c r="B80" s="240" t="s">
        <v>2227</v>
      </c>
      <c r="C80" s="240" t="s">
        <v>4175</v>
      </c>
      <c r="D80" s="147" t="str">
        <f>IFERROR(__xludf.DUMMYFUNCTION("SUBSTITUTE(REGEXREPLACE(REGEXREPLACE(C80, "":[^;]+"", """"), "";([^;]+)$"", "" and $1""), "";"", "", "")"),"Georgios Kaoukis, Ioannis-Aris Koufopoulos, Eleni Psaroudaki, Danae Pla Karidi, Evaggelia Pitoura, George Papastefanatos and Panayiotis Tsaparas")</f>
        <v>Georgios Kaoukis, Ioannis-Aris Koufopoulos, Eleni Psaroudaki, Danae Pla Karidi, Evaggelia Pitoura, George Papastefanatos and Panayiotis Tsaparas</v>
      </c>
      <c r="E80" s="147"/>
      <c r="F80" s="147"/>
      <c r="G80" s="147"/>
      <c r="H80" s="147"/>
      <c r="I80" s="147"/>
      <c r="J80" s="147"/>
      <c r="K80" s="147"/>
    </row>
    <row r="81">
      <c r="A81" s="240" t="s">
        <v>2298</v>
      </c>
      <c r="B81" s="240" t="s">
        <v>2299</v>
      </c>
      <c r="C81" s="240" t="s">
        <v>4176</v>
      </c>
      <c r="D81" s="147" t="str">
        <f>IFERROR(__xludf.DUMMYFUNCTION("SUBSTITUTE(REGEXREPLACE(REGEXREPLACE(C81, "":[^;]+"", """"), "";([^;]+)$"", "" and $1""), "";"", "", "")"),"Seoyoon Jeong, JeeEun Kim, S. Shyam Sundar and Jinyoung Han")</f>
        <v>Seoyoon Jeong, JeeEun Kim, S. Shyam Sundar and Jinyoung Han</v>
      </c>
      <c r="E81" s="147"/>
      <c r="F81" s="147"/>
      <c r="G81" s="147"/>
      <c r="H81" s="147"/>
      <c r="I81" s="147"/>
      <c r="J81" s="147"/>
      <c r="K81" s="147"/>
    </row>
    <row r="82">
      <c r="A82" s="240" t="s">
        <v>2280</v>
      </c>
      <c r="B82" s="240" t="s">
        <v>2281</v>
      </c>
      <c r="C82" s="240" t="s">
        <v>4177</v>
      </c>
      <c r="D82" s="147" t="str">
        <f>IFERROR(__xludf.DUMMYFUNCTION("SUBSTITUTE(REGEXREPLACE(REGEXREPLACE(C82, "":[^;]+"", """"), "";([^;]+)$"", "" and $1""), "";"", "", "")"),"Shuxin Zhong, Hongyu Lin, Yan Fang, Jun Chen and Kaishun Wu")</f>
        <v>Shuxin Zhong, Hongyu Lin, Yan Fang, Jun Chen and Kaishun Wu</v>
      </c>
      <c r="E82" s="147"/>
      <c r="F82" s="147"/>
      <c r="G82" s="147"/>
      <c r="H82" s="147"/>
      <c r="I82" s="147"/>
      <c r="J82" s="147"/>
      <c r="K82" s="147"/>
    </row>
    <row r="83">
      <c r="A83" s="240" t="s">
        <v>2336</v>
      </c>
      <c r="B83" s="240" t="s">
        <v>2337</v>
      </c>
      <c r="C83" s="240" t="s">
        <v>4178</v>
      </c>
      <c r="D83" s="147" t="str">
        <f>IFERROR(__xludf.DUMMYFUNCTION("SUBSTITUTE(REGEXREPLACE(REGEXREPLACE(C83, "":[^;]+"", """"), "";([^;]+)$"", "" and $1""), "";"", "", "")"),"Jin Li, Huilin Gu, Shoujin Wang, Qi Zhang, Shui Yu, Chen Wang, Xiwei Xu and Fang Chen")</f>
        <v>Jin Li, Huilin Gu, Shoujin Wang, Qi Zhang, Shui Yu, Chen Wang, Xiwei Xu and Fang Chen</v>
      </c>
      <c r="E83" s="147"/>
      <c r="F83" s="147"/>
      <c r="G83" s="147"/>
      <c r="H83" s="147"/>
      <c r="I83" s="147"/>
      <c r="J83" s="147"/>
      <c r="K83" s="147"/>
    </row>
    <row r="84">
      <c r="A84" s="240" t="s">
        <v>2282</v>
      </c>
      <c r="B84" s="240" t="s">
        <v>2283</v>
      </c>
      <c r="C84" s="240" t="s">
        <v>4179</v>
      </c>
      <c r="D84" s="147" t="str">
        <f>IFERROR(__xludf.DUMMYFUNCTION("SUBSTITUTE(REGEXREPLACE(REGEXREPLACE(C84, "":[^;]+"", """"), "";([^;]+)$"", "" and $1""), "";"", "", "")"),"Lingyao Li, Xiaoshan Huang, Renkai Ma, Ben Zefeng Zhang, Haolun Wu, Fan Yang and Chen Chen")</f>
        <v>Lingyao Li, Xiaoshan Huang, Renkai Ma, Ben Zefeng Zhang, Haolun Wu, Fan Yang and Chen Chen</v>
      </c>
      <c r="E84" s="147"/>
      <c r="F84" s="147"/>
      <c r="G84" s="147"/>
      <c r="H84" s="147"/>
      <c r="I84" s="147"/>
      <c r="J84" s="147"/>
      <c r="K84" s="147"/>
    </row>
    <row r="85">
      <c r="A85" s="240" t="s">
        <v>2348</v>
      </c>
      <c r="B85" s="240" t="s">
        <v>2349</v>
      </c>
      <c r="C85" s="240" t="s">
        <v>4180</v>
      </c>
      <c r="D85" s="147" t="str">
        <f>IFERROR(__xludf.DUMMYFUNCTION("SUBSTITUTE(REGEXREPLACE(REGEXREPLACE(C85, "":[^;]+"", """"), "";([^;]+)$"", "" and $1""), "";"", "", "")"),"Hefei Xu, Le Wu, Yu Wang, Min Hou, Han Wu, Zhen Zhang and Meng Wang")</f>
        <v>Hefei Xu, Le Wu, Yu Wang, Min Hou, Han Wu, Zhen Zhang and Meng Wang</v>
      </c>
      <c r="E85" s="147"/>
      <c r="F85" s="147"/>
      <c r="G85" s="147"/>
      <c r="H85" s="147"/>
      <c r="I85" s="147"/>
      <c r="J85" s="147"/>
      <c r="K85" s="147"/>
    </row>
    <row r="86">
      <c r="A86" s="240" t="s">
        <v>2188</v>
      </c>
      <c r="B86" s="240" t="s">
        <v>2189</v>
      </c>
      <c r="C86" s="240" t="s">
        <v>4181</v>
      </c>
      <c r="D86" s="147" t="str">
        <f>IFERROR(__xludf.DUMMYFUNCTION("SUBSTITUTE(REGEXREPLACE(REGEXREPLACE(C86, "":[^;]+"", """"), "";([^;]+)$"", "" and $1""), "";"", "", "")"),"Sai Keerthana Karnam, Abhisek Dash, Krishna Gummadi, Animesh Mukherjee, Ingmar Weber and Savvas Zannettou")</f>
        <v>Sai Keerthana Karnam, Abhisek Dash, Krishna Gummadi, Animesh Mukherjee, Ingmar Weber and Savvas Zannettou</v>
      </c>
      <c r="E86" s="147"/>
      <c r="F86" s="147"/>
      <c r="G86" s="147"/>
      <c r="H86" s="147"/>
      <c r="I86" s="147"/>
      <c r="J86" s="147"/>
      <c r="K86" s="147"/>
    </row>
    <row r="87">
      <c r="A87" s="240" t="s">
        <v>2176</v>
      </c>
      <c r="B87" s="240" t="s">
        <v>2177</v>
      </c>
      <c r="C87" s="240" t="s">
        <v>4182</v>
      </c>
      <c r="D87" s="147" t="str">
        <f>IFERROR(__xludf.DUMMYFUNCTION("SUBSTITUTE(REGEXREPLACE(REGEXREPLACE(C87, "":[^;]+"", """"), "";([^;]+)$"", "" and $1""), "";"", "", "")"),"Chen Cheng, Hefei Xu and Le Wu")</f>
        <v>Chen Cheng, Hefei Xu and Le Wu</v>
      </c>
      <c r="E87" s="147"/>
      <c r="F87" s="147"/>
      <c r="G87" s="147"/>
      <c r="H87" s="147"/>
      <c r="I87" s="147"/>
      <c r="J87" s="147"/>
      <c r="K87" s="147"/>
    </row>
    <row r="88">
      <c r="A88" s="240" t="s">
        <v>2168</v>
      </c>
      <c r="B88" s="240" t="s">
        <v>2956</v>
      </c>
      <c r="C88" s="240" t="s">
        <v>4183</v>
      </c>
      <c r="D88" s="147" t="str">
        <f>IFERROR(__xludf.DUMMYFUNCTION("SUBSTITUTE(REGEXREPLACE(REGEXREPLACE(C88, "":[^;]+"", """"), "";([^;]+)$"", "" and $1""), "";"", "", "")"),"Moming Duan, Rui Zhao, Linshan Jiang, Nigel Shadbolt and Bingsheng He")</f>
        <v>Moming Duan, Rui Zhao, Linshan Jiang, Nigel Shadbolt and Bingsheng He</v>
      </c>
      <c r="E88" s="147"/>
      <c r="F88" s="147"/>
      <c r="G88" s="147"/>
      <c r="H88" s="147"/>
      <c r="I88" s="147"/>
      <c r="J88" s="147"/>
      <c r="K88" s="147"/>
    </row>
    <row r="89">
      <c r="A89" s="240" t="s">
        <v>2196</v>
      </c>
      <c r="B89" s="240" t="s">
        <v>2197</v>
      </c>
      <c r="C89" s="240" t="s">
        <v>4184</v>
      </c>
      <c r="D89" s="147" t="str">
        <f>IFERROR(__xludf.DUMMYFUNCTION("SUBSTITUTE(REGEXREPLACE(REGEXREPLACE(C89, "":[^;]+"", """"), "";([^;]+)$"", "" and $1""), "";"", "", "")"),"Xiaoli Zeng, Ying Zheng, Shuyan Huang, Zitao Liu, Mi Tian, Mingliang Hou, Jiaqi Zheng and Wenzhou Dou")</f>
        <v>Xiaoli Zeng, Ying Zheng, Shuyan Huang, Zitao Liu, Mi Tian, Mingliang Hou, Jiaqi Zheng and Wenzhou Dou</v>
      </c>
      <c r="E89" s="147"/>
      <c r="F89" s="147"/>
      <c r="G89" s="147"/>
      <c r="H89" s="147"/>
      <c r="I89" s="147"/>
      <c r="J89" s="147"/>
      <c r="K89" s="147"/>
    </row>
    <row r="90">
      <c r="A90" s="240" t="s">
        <v>2292</v>
      </c>
      <c r="B90" s="240" t="s">
        <v>2293</v>
      </c>
      <c r="C90" s="240" t="s">
        <v>4185</v>
      </c>
      <c r="D90" s="147" t="str">
        <f>IFERROR(__xludf.DUMMYFUNCTION("SUBSTITUTE(REGEXREPLACE(REGEXREPLACE(C90, "":[^;]+"", """"), "";([^;]+)$"", "" and $1""), "";"", "", "")"),"Xin Jing, Zeyu Shi, Zhangtao Cheng, Yichen Jing, Yuhuan Lu, Bangchao Deng and Dingqi Yang")</f>
        <v>Xin Jing, Zeyu Shi, Zhangtao Cheng, Yichen Jing, Yuhuan Lu, Bangchao Deng and Dingqi Yang</v>
      </c>
      <c r="E90" s="147"/>
      <c r="F90" s="147"/>
      <c r="G90" s="147"/>
      <c r="H90" s="147"/>
      <c r="I90" s="147"/>
      <c r="J90" s="147"/>
      <c r="K90" s="147"/>
    </row>
    <row r="91">
      <c r="A91" s="240" t="s">
        <v>2244</v>
      </c>
      <c r="B91" s="240" t="s">
        <v>2245</v>
      </c>
      <c r="C91" s="240" t="s">
        <v>4186</v>
      </c>
      <c r="D91" s="147" t="str">
        <f>IFERROR(__xludf.DUMMYFUNCTION("SUBSTITUTE(REGEXREPLACE(REGEXREPLACE(C91, "":[^;]+"", """"), "";([^;]+)$"", "" and $1""), "";"", "", "")"),"Parviz Ahmadov and Masoud Mansoury")</f>
        <v>Parviz Ahmadov and Masoud Mansoury</v>
      </c>
      <c r="E91" s="147"/>
      <c r="F91" s="147"/>
      <c r="G91" s="147"/>
      <c r="H91" s="147"/>
      <c r="I91" s="147"/>
      <c r="J91" s="147"/>
      <c r="K91" s="147"/>
    </row>
    <row r="92">
      <c r="A92" s="240" t="s">
        <v>2304</v>
      </c>
      <c r="B92" s="240" t="s">
        <v>2305</v>
      </c>
      <c r="C92" s="240" t="s">
        <v>4187</v>
      </c>
      <c r="D92" s="147" t="str">
        <f>IFERROR(__xludf.DUMMYFUNCTION("SUBSTITUTE(REGEXREPLACE(REGEXREPLACE(C92, "":[^;]+"", """"), "";([^;]+)$"", "" and $1""), "";"", "", "")"),"Zhipeng Liu, Ziming Zhao and Fan Zhang")</f>
        <v>Zhipeng Liu, Ziming Zhao and Fan Zhang</v>
      </c>
      <c r="E92" s="147"/>
      <c r="F92" s="147"/>
      <c r="G92" s="147"/>
      <c r="H92" s="147"/>
      <c r="I92" s="147"/>
      <c r="J92" s="147"/>
      <c r="K92" s="147"/>
    </row>
    <row r="93">
      <c r="A93" s="240" t="s">
        <v>2246</v>
      </c>
      <c r="B93" s="240" t="s">
        <v>2247</v>
      </c>
      <c r="C93" s="240" t="s">
        <v>4188</v>
      </c>
      <c r="D93" s="147" t="str">
        <f>IFERROR(__xludf.DUMMYFUNCTION("SUBSTITUTE(REGEXREPLACE(REGEXREPLACE(C93, "":[^;]+"", """"), "";([^;]+)$"", "" and $1""), "";"", "", "")"),"Mo Wang, Kaixuan Ren, Pratik Jalan, Ahmed Ashraf, Tuong Vy Vu, Rahul Seetharaman, Shah Nawaz and Usman Naseem")</f>
        <v>Mo Wang, Kaixuan Ren, Pratik Jalan, Ahmed Ashraf, Tuong Vy Vu, Rahul Seetharaman, Shah Nawaz and Usman Naseem</v>
      </c>
      <c r="E93" s="147"/>
      <c r="F93" s="147"/>
      <c r="G93" s="147"/>
      <c r="H93" s="147"/>
      <c r="I93" s="147"/>
      <c r="J93" s="147"/>
      <c r="K93" s="147"/>
    </row>
    <row r="94">
      <c r="A94" s="240" t="s">
        <v>2174</v>
      </c>
      <c r="B94" s="240" t="s">
        <v>2175</v>
      </c>
      <c r="C94" s="240" t="s">
        <v>4189</v>
      </c>
      <c r="D94" s="147" t="str">
        <f>IFERROR(__xludf.DUMMYFUNCTION("SUBSTITUTE(REGEXREPLACE(REGEXREPLACE(C94, "":[^;]+"", """"), "";([^;]+)$"", "" and $1""), "";"", "", "")"),"Bo Yang, Lanfei Feng, Yunkui Chen, Yu Zhang, Jianyu Zhang, Xiao Xu, Nueraili Aierken and Shijian Li")</f>
        <v>Bo Yang, Lanfei Feng, Yunkui Chen, Yu Zhang, Jianyu Zhang, Xiao Xu, Nueraili Aierken and Shijian Li</v>
      </c>
      <c r="E94" s="147"/>
      <c r="F94" s="147"/>
      <c r="G94" s="147"/>
      <c r="H94" s="147"/>
      <c r="I94" s="147"/>
      <c r="J94" s="147"/>
      <c r="K94" s="147"/>
    </row>
    <row r="95">
      <c r="A95" s="306" t="s">
        <v>2346</v>
      </c>
      <c r="B95" s="306" t="s">
        <v>2347</v>
      </c>
      <c r="C95" s="306" t="s">
        <v>4190</v>
      </c>
      <c r="D95" s="217" t="str">
        <f>IFERROR(__xludf.DUMMYFUNCTION("SUBSTITUTE(REGEXREPLACE(REGEXREPLACE(C95, "":[^;]+"", """"), "";([^;]+)$"", "" and $1""), "";"", "", "")"),"Yicheng Di")</f>
        <v>Yicheng Di</v>
      </c>
      <c r="E95" s="217"/>
      <c r="F95" s="217"/>
      <c r="G95" s="217"/>
      <c r="H95" s="217"/>
      <c r="I95" s="217"/>
      <c r="J95" s="217"/>
      <c r="K95" s="217"/>
      <c r="L95" s="241"/>
      <c r="M95" s="241"/>
      <c r="N95" s="241"/>
      <c r="O95" s="241"/>
      <c r="P95" s="241"/>
      <c r="Q95" s="241"/>
      <c r="R95" s="241"/>
      <c r="S95" s="241"/>
      <c r="T95" s="241"/>
      <c r="U95" s="241"/>
      <c r="V95" s="241"/>
      <c r="W95" s="241"/>
      <c r="X95" s="241"/>
      <c r="Y95" s="241"/>
      <c r="Z95" s="241"/>
    </row>
    <row r="96">
      <c r="A96" s="240" t="s">
        <v>2230</v>
      </c>
      <c r="B96" s="240" t="s">
        <v>2231</v>
      </c>
      <c r="C96" s="240" t="s">
        <v>4191</v>
      </c>
      <c r="D96" s="147" t="str">
        <f>IFERROR(__xludf.DUMMYFUNCTION("SUBSTITUTE(REGEXREPLACE(REGEXREPLACE(C96, "":[^;]+"", """"), "";([^;]+)$"", "" and $1""), "";"", "", "")"),"Jiahui He, Yiluo Wei and Gareth Tyson")</f>
        <v>Jiahui He, Yiluo Wei and Gareth Tyson</v>
      </c>
      <c r="E96" s="147"/>
      <c r="F96" s="147"/>
      <c r="G96" s="147"/>
      <c r="H96" s="147"/>
      <c r="I96" s="147"/>
      <c r="J96" s="147"/>
      <c r="K96" s="147"/>
    </row>
    <row r="97">
      <c r="A97" s="147"/>
      <c r="B97" s="147"/>
      <c r="C97" s="147"/>
      <c r="D97" s="147"/>
      <c r="E97" s="147"/>
      <c r="F97" s="147"/>
      <c r="G97" s="147"/>
      <c r="H97" s="147"/>
      <c r="I97" s="147"/>
      <c r="J97" s="147"/>
      <c r="K97" s="147"/>
    </row>
    <row r="98">
      <c r="A98" s="147"/>
      <c r="B98" s="147"/>
      <c r="C98" s="147"/>
      <c r="D98" s="147"/>
      <c r="E98" s="147"/>
      <c r="F98" s="147"/>
      <c r="G98" s="147"/>
      <c r="H98" s="147"/>
      <c r="I98" s="147"/>
      <c r="J98" s="147"/>
      <c r="K98" s="147"/>
    </row>
    <row r="99">
      <c r="A99" s="147"/>
      <c r="B99" s="147"/>
      <c r="C99" s="147"/>
      <c r="D99" s="147"/>
      <c r="E99" s="147"/>
      <c r="F99" s="147"/>
      <c r="G99" s="147"/>
      <c r="H99" s="147"/>
      <c r="I99" s="147"/>
      <c r="J99" s="147"/>
      <c r="K99" s="147"/>
    </row>
    <row r="100">
      <c r="A100" s="147"/>
      <c r="B100" s="147"/>
      <c r="C100" s="147"/>
      <c r="D100" s="147"/>
      <c r="E100" s="147"/>
      <c r="F100" s="147"/>
      <c r="G100" s="147"/>
      <c r="H100" s="147"/>
      <c r="I100" s="147"/>
      <c r="J100" s="147"/>
      <c r="K100" s="147"/>
    </row>
    <row r="101">
      <c r="A101" s="147"/>
      <c r="B101" s="147"/>
      <c r="C101" s="147"/>
      <c r="D101" s="147"/>
      <c r="E101" s="147"/>
      <c r="F101" s="147"/>
      <c r="G101" s="147"/>
      <c r="H101" s="147"/>
      <c r="I101" s="147"/>
      <c r="J101" s="147"/>
      <c r="K101" s="147"/>
    </row>
    <row r="102">
      <c r="A102" s="147"/>
      <c r="B102" s="147"/>
      <c r="C102" s="147"/>
      <c r="D102" s="147"/>
      <c r="E102" s="147"/>
      <c r="F102" s="147"/>
      <c r="G102" s="147"/>
      <c r="H102" s="147"/>
      <c r="I102" s="147"/>
      <c r="J102" s="147"/>
      <c r="K102" s="147"/>
    </row>
    <row r="103">
      <c r="A103" s="147"/>
      <c r="B103" s="147"/>
      <c r="C103" s="147"/>
      <c r="D103" s="147"/>
      <c r="E103" s="147"/>
      <c r="F103" s="147"/>
      <c r="G103" s="147"/>
      <c r="H103" s="147"/>
      <c r="I103" s="147"/>
      <c r="J103" s="147"/>
      <c r="K103" s="147"/>
    </row>
    <row r="104">
      <c r="A104" s="147"/>
      <c r="B104" s="147"/>
      <c r="C104" s="147"/>
      <c r="D104" s="147"/>
      <c r="E104" s="147"/>
      <c r="F104" s="147"/>
      <c r="G104" s="147"/>
      <c r="H104" s="147"/>
      <c r="I104" s="147"/>
      <c r="J104" s="147"/>
      <c r="K104" s="147"/>
    </row>
    <row r="105">
      <c r="A105" s="147"/>
      <c r="B105" s="147"/>
      <c r="C105" s="147"/>
      <c r="D105" s="147"/>
      <c r="E105" s="147"/>
      <c r="F105" s="147"/>
      <c r="G105" s="147"/>
      <c r="H105" s="147"/>
      <c r="I105" s="147"/>
      <c r="J105" s="147"/>
      <c r="K105" s="147"/>
    </row>
    <row r="106">
      <c r="A106" s="147"/>
      <c r="B106" s="147"/>
      <c r="C106" s="147"/>
      <c r="D106" s="147"/>
      <c r="E106" s="147"/>
      <c r="F106" s="147"/>
      <c r="G106" s="147"/>
      <c r="H106" s="147"/>
      <c r="I106" s="147"/>
      <c r="J106" s="147"/>
      <c r="K106" s="147"/>
    </row>
    <row r="107">
      <c r="A107" s="147"/>
      <c r="B107" s="147"/>
      <c r="C107" s="147"/>
      <c r="D107" s="147"/>
      <c r="E107" s="147"/>
      <c r="F107" s="147"/>
      <c r="G107" s="147"/>
      <c r="H107" s="147"/>
      <c r="I107" s="147"/>
      <c r="J107" s="147"/>
      <c r="K107" s="147"/>
    </row>
    <row r="108">
      <c r="A108" s="147"/>
      <c r="B108" s="147"/>
      <c r="C108" s="147"/>
      <c r="D108" s="147"/>
      <c r="E108" s="147"/>
      <c r="F108" s="147"/>
      <c r="G108" s="147"/>
      <c r="H108" s="147"/>
      <c r="I108" s="147"/>
      <c r="J108" s="147"/>
      <c r="K108" s="147"/>
    </row>
    <row r="109">
      <c r="A109" s="147"/>
      <c r="B109" s="147"/>
      <c r="C109" s="147"/>
      <c r="D109" s="147"/>
      <c r="E109" s="147"/>
      <c r="F109" s="147"/>
      <c r="G109" s="147"/>
      <c r="H109" s="147"/>
      <c r="I109" s="147"/>
      <c r="J109" s="147"/>
      <c r="K109" s="147"/>
    </row>
    <row r="110">
      <c r="A110" s="147"/>
      <c r="B110" s="147"/>
      <c r="C110" s="147"/>
      <c r="D110" s="147"/>
      <c r="E110" s="147"/>
      <c r="F110" s="147"/>
      <c r="G110" s="147"/>
      <c r="H110" s="147"/>
      <c r="I110" s="147"/>
      <c r="J110" s="147"/>
      <c r="K110" s="147"/>
    </row>
    <row r="111">
      <c r="A111" s="147"/>
      <c r="B111" s="147"/>
      <c r="C111" s="147"/>
      <c r="D111" s="147"/>
      <c r="E111" s="147"/>
      <c r="F111" s="147"/>
      <c r="G111" s="147"/>
      <c r="H111" s="147"/>
      <c r="I111" s="147"/>
      <c r="J111" s="147"/>
      <c r="K111" s="147"/>
    </row>
    <row r="112">
      <c r="A112" s="147"/>
      <c r="B112" s="147"/>
      <c r="C112" s="147"/>
      <c r="D112" s="147"/>
      <c r="E112" s="147"/>
      <c r="F112" s="147"/>
      <c r="G112" s="147"/>
      <c r="H112" s="147"/>
      <c r="I112" s="147"/>
      <c r="J112" s="147"/>
      <c r="K112" s="147"/>
    </row>
    <row r="113">
      <c r="A113" s="147"/>
      <c r="B113" s="147"/>
      <c r="C113" s="147"/>
      <c r="D113" s="147"/>
      <c r="E113" s="147"/>
      <c r="F113" s="147"/>
      <c r="G113" s="147"/>
      <c r="H113" s="147"/>
      <c r="I113" s="147"/>
      <c r="J113" s="147"/>
      <c r="K113" s="147"/>
    </row>
    <row r="114">
      <c r="A114" s="147"/>
      <c r="B114" s="147"/>
      <c r="C114" s="147"/>
      <c r="D114" s="147"/>
      <c r="E114" s="147"/>
      <c r="F114" s="147"/>
      <c r="G114" s="147"/>
      <c r="H114" s="147"/>
      <c r="I114" s="147"/>
      <c r="J114" s="147"/>
      <c r="K114" s="147"/>
    </row>
    <row r="115">
      <c r="A115" s="147"/>
      <c r="B115" s="147"/>
      <c r="C115" s="147"/>
      <c r="D115" s="147"/>
      <c r="E115" s="147"/>
      <c r="F115" s="147"/>
      <c r="G115" s="147"/>
      <c r="H115" s="147"/>
      <c r="I115" s="147"/>
      <c r="J115" s="147"/>
      <c r="K115" s="147"/>
    </row>
    <row r="116">
      <c r="A116" s="147"/>
      <c r="B116" s="147"/>
      <c r="C116" s="147"/>
      <c r="D116" s="147"/>
      <c r="E116" s="147"/>
      <c r="F116" s="147"/>
      <c r="G116" s="147"/>
      <c r="H116" s="147"/>
      <c r="I116" s="147"/>
      <c r="J116" s="147"/>
      <c r="K116" s="147"/>
    </row>
    <row r="117">
      <c r="A117" s="147"/>
      <c r="B117" s="147"/>
      <c r="C117" s="147"/>
      <c r="D117" s="147"/>
      <c r="E117" s="147"/>
      <c r="F117" s="147"/>
      <c r="G117" s="147"/>
      <c r="H117" s="147"/>
      <c r="I117" s="147"/>
      <c r="J117" s="147"/>
      <c r="K117" s="147"/>
    </row>
    <row r="118">
      <c r="A118" s="147"/>
      <c r="B118" s="147"/>
      <c r="C118" s="147"/>
      <c r="D118" s="147"/>
      <c r="E118" s="147"/>
      <c r="F118" s="147"/>
      <c r="G118" s="147"/>
      <c r="H118" s="147"/>
      <c r="I118" s="147"/>
      <c r="J118" s="147"/>
      <c r="K118" s="147"/>
    </row>
    <row r="119">
      <c r="A119" s="147"/>
      <c r="B119" s="147"/>
      <c r="C119" s="147"/>
      <c r="D119" s="147"/>
      <c r="E119" s="147"/>
      <c r="F119" s="147"/>
      <c r="G119" s="147"/>
      <c r="H119" s="147"/>
      <c r="I119" s="147"/>
      <c r="J119" s="147"/>
      <c r="K119" s="147"/>
    </row>
    <row r="120">
      <c r="A120" s="147"/>
      <c r="B120" s="147"/>
      <c r="C120" s="147"/>
      <c r="D120" s="147"/>
      <c r="E120" s="147"/>
      <c r="F120" s="147"/>
      <c r="G120" s="147"/>
      <c r="H120" s="147"/>
      <c r="I120" s="147"/>
      <c r="J120" s="147"/>
      <c r="K120" s="147"/>
    </row>
    <row r="121">
      <c r="A121" s="147"/>
      <c r="B121" s="147"/>
      <c r="C121" s="147"/>
      <c r="D121" s="147"/>
      <c r="E121" s="147"/>
      <c r="F121" s="147"/>
      <c r="G121" s="147"/>
      <c r="H121" s="147"/>
      <c r="I121" s="147"/>
      <c r="J121" s="147"/>
      <c r="K121" s="147"/>
    </row>
    <row r="122">
      <c r="A122" s="147"/>
      <c r="B122" s="147"/>
      <c r="C122" s="147"/>
      <c r="D122" s="147"/>
      <c r="E122" s="147"/>
      <c r="F122" s="147"/>
      <c r="G122" s="147"/>
      <c r="H122" s="147"/>
      <c r="I122" s="147"/>
      <c r="J122" s="147"/>
      <c r="K122" s="147"/>
    </row>
    <row r="123">
      <c r="A123" s="147"/>
      <c r="B123" s="147"/>
      <c r="C123" s="147"/>
      <c r="D123" s="147"/>
      <c r="E123" s="147"/>
      <c r="F123" s="147"/>
      <c r="G123" s="147"/>
      <c r="H123" s="147"/>
      <c r="I123" s="147"/>
      <c r="J123" s="147"/>
      <c r="K123" s="147"/>
    </row>
    <row r="124">
      <c r="A124" s="147"/>
      <c r="B124" s="147"/>
      <c r="C124" s="147"/>
      <c r="D124" s="147"/>
      <c r="E124" s="147"/>
      <c r="F124" s="147"/>
      <c r="G124" s="147"/>
      <c r="H124" s="147"/>
      <c r="I124" s="147"/>
      <c r="J124" s="147"/>
      <c r="K124" s="147"/>
    </row>
    <row r="125">
      <c r="A125" s="147"/>
      <c r="B125" s="147"/>
      <c r="C125" s="147"/>
      <c r="D125" s="147"/>
      <c r="E125" s="147"/>
      <c r="F125" s="147"/>
      <c r="G125" s="147"/>
      <c r="H125" s="147"/>
      <c r="I125" s="147"/>
      <c r="J125" s="147"/>
      <c r="K125" s="147"/>
    </row>
    <row r="126">
      <c r="A126" s="147"/>
      <c r="B126" s="147"/>
      <c r="C126" s="147"/>
      <c r="D126" s="147"/>
      <c r="E126" s="147"/>
      <c r="F126" s="147"/>
      <c r="G126" s="147"/>
      <c r="H126" s="147"/>
      <c r="I126" s="147"/>
      <c r="J126" s="147"/>
      <c r="K126" s="147"/>
    </row>
    <row r="127">
      <c r="A127" s="147"/>
      <c r="B127" s="147"/>
      <c r="C127" s="147"/>
      <c r="D127" s="147"/>
      <c r="E127" s="147"/>
      <c r="F127" s="147"/>
      <c r="G127" s="147"/>
      <c r="H127" s="147"/>
      <c r="I127" s="147"/>
      <c r="J127" s="147"/>
      <c r="K127" s="147"/>
    </row>
    <row r="128">
      <c r="A128" s="147"/>
      <c r="B128" s="147"/>
      <c r="C128" s="147"/>
      <c r="D128" s="147"/>
      <c r="E128" s="147"/>
      <c r="F128" s="147"/>
      <c r="G128" s="147"/>
      <c r="H128" s="147"/>
      <c r="I128" s="147"/>
      <c r="J128" s="147"/>
      <c r="K128" s="147"/>
    </row>
    <row r="129">
      <c r="A129" s="147"/>
      <c r="B129" s="147"/>
      <c r="C129" s="147"/>
      <c r="D129" s="147"/>
      <c r="E129" s="147"/>
      <c r="F129" s="147"/>
      <c r="G129" s="147"/>
      <c r="H129" s="147"/>
      <c r="I129" s="147"/>
      <c r="J129" s="147"/>
      <c r="K129" s="147"/>
    </row>
    <row r="130">
      <c r="A130" s="147"/>
      <c r="B130" s="147"/>
      <c r="C130" s="147"/>
      <c r="D130" s="147"/>
      <c r="E130" s="147"/>
      <c r="F130" s="147"/>
      <c r="G130" s="147"/>
      <c r="H130" s="147"/>
      <c r="I130" s="147"/>
      <c r="J130" s="147"/>
      <c r="K130" s="147"/>
    </row>
    <row r="131">
      <c r="A131" s="147"/>
      <c r="B131" s="147"/>
      <c r="C131" s="147"/>
      <c r="D131" s="147"/>
      <c r="E131" s="147"/>
      <c r="F131" s="147"/>
      <c r="G131" s="147"/>
      <c r="H131" s="147"/>
      <c r="I131" s="147"/>
      <c r="J131" s="147"/>
      <c r="K131" s="147"/>
    </row>
    <row r="132">
      <c r="A132" s="147"/>
      <c r="B132" s="147"/>
      <c r="C132" s="147"/>
      <c r="D132" s="147"/>
      <c r="E132" s="147"/>
      <c r="F132" s="147"/>
      <c r="G132" s="147"/>
      <c r="H132" s="147"/>
      <c r="I132" s="147"/>
      <c r="J132" s="147"/>
      <c r="K132" s="147"/>
    </row>
    <row r="133">
      <c r="A133" s="147"/>
      <c r="B133" s="147"/>
      <c r="C133" s="147"/>
      <c r="D133" s="147"/>
      <c r="E133" s="147"/>
      <c r="F133" s="147"/>
      <c r="G133" s="147"/>
      <c r="H133" s="147"/>
      <c r="I133" s="147"/>
      <c r="J133" s="147"/>
      <c r="K133" s="147"/>
    </row>
    <row r="134">
      <c r="A134" s="147"/>
      <c r="B134" s="147"/>
      <c r="C134" s="147"/>
      <c r="D134" s="147"/>
      <c r="E134" s="147"/>
      <c r="F134" s="147"/>
      <c r="G134" s="147"/>
      <c r="H134" s="147"/>
      <c r="I134" s="147"/>
      <c r="J134" s="147"/>
      <c r="K134" s="147"/>
    </row>
    <row r="135">
      <c r="A135" s="147"/>
      <c r="B135" s="147"/>
      <c r="C135" s="147"/>
      <c r="D135" s="147"/>
      <c r="E135" s="147"/>
      <c r="F135" s="147"/>
      <c r="G135" s="147"/>
      <c r="H135" s="147"/>
      <c r="I135" s="147"/>
      <c r="J135" s="147"/>
      <c r="K135" s="147"/>
    </row>
    <row r="136">
      <c r="A136" s="147"/>
      <c r="B136" s="147"/>
      <c r="C136" s="147"/>
      <c r="D136" s="147"/>
      <c r="E136" s="147"/>
      <c r="F136" s="147"/>
      <c r="G136" s="147"/>
      <c r="H136" s="147"/>
      <c r="I136" s="147"/>
      <c r="J136" s="147"/>
      <c r="K136" s="147"/>
    </row>
    <row r="137">
      <c r="A137" s="147"/>
      <c r="B137" s="147"/>
      <c r="C137" s="147"/>
      <c r="D137" s="147"/>
      <c r="E137" s="147"/>
      <c r="F137" s="147"/>
      <c r="G137" s="147"/>
      <c r="H137" s="147"/>
      <c r="I137" s="147"/>
      <c r="J137" s="147"/>
      <c r="K137" s="147"/>
    </row>
    <row r="138">
      <c r="A138" s="147"/>
      <c r="B138" s="147"/>
      <c r="C138" s="147"/>
      <c r="D138" s="147"/>
      <c r="E138" s="147"/>
      <c r="F138" s="147"/>
      <c r="G138" s="147"/>
      <c r="H138" s="147"/>
      <c r="I138" s="147"/>
      <c r="J138" s="147"/>
      <c r="K138" s="147"/>
    </row>
    <row r="139">
      <c r="A139" s="147"/>
      <c r="B139" s="147"/>
      <c r="C139" s="147"/>
      <c r="D139" s="147"/>
      <c r="E139" s="147"/>
      <c r="F139" s="147"/>
      <c r="G139" s="147"/>
      <c r="H139" s="147"/>
      <c r="I139" s="147"/>
      <c r="J139" s="147"/>
      <c r="K139" s="147"/>
    </row>
    <row r="140">
      <c r="A140" s="147"/>
      <c r="B140" s="147"/>
      <c r="C140" s="147"/>
      <c r="D140" s="147"/>
      <c r="E140" s="147"/>
      <c r="F140" s="147"/>
      <c r="G140" s="147"/>
      <c r="H140" s="147"/>
      <c r="I140" s="147"/>
      <c r="J140" s="147"/>
      <c r="K140" s="147"/>
    </row>
    <row r="141">
      <c r="A141" s="147"/>
      <c r="B141" s="147"/>
      <c r="C141" s="147"/>
      <c r="D141" s="147"/>
      <c r="E141" s="147"/>
      <c r="F141" s="147"/>
      <c r="G141" s="147"/>
      <c r="H141" s="147"/>
      <c r="I141" s="147"/>
      <c r="J141" s="147"/>
      <c r="K141" s="147"/>
    </row>
    <row r="142">
      <c r="A142" s="147"/>
      <c r="B142" s="147"/>
      <c r="C142" s="147"/>
      <c r="D142" s="147"/>
      <c r="E142" s="147"/>
      <c r="F142" s="147"/>
      <c r="G142" s="147"/>
      <c r="H142" s="147"/>
      <c r="I142" s="147"/>
      <c r="J142" s="147"/>
      <c r="K142" s="147"/>
    </row>
    <row r="143">
      <c r="A143" s="147"/>
      <c r="B143" s="147"/>
      <c r="C143" s="147"/>
      <c r="D143" s="147"/>
      <c r="E143" s="147"/>
      <c r="F143" s="147"/>
      <c r="G143" s="147"/>
      <c r="H143" s="147"/>
      <c r="I143" s="147"/>
      <c r="J143" s="147"/>
      <c r="K143" s="147"/>
    </row>
    <row r="144">
      <c r="A144" s="147"/>
      <c r="B144" s="147"/>
      <c r="C144" s="147"/>
      <c r="D144" s="147"/>
      <c r="E144" s="147"/>
      <c r="F144" s="147"/>
      <c r="G144" s="147"/>
      <c r="H144" s="147"/>
      <c r="I144" s="147"/>
      <c r="J144" s="147"/>
      <c r="K144" s="147"/>
    </row>
    <row r="145">
      <c r="A145" s="147"/>
      <c r="B145" s="147"/>
      <c r="C145" s="147"/>
      <c r="D145" s="147"/>
      <c r="E145" s="147"/>
      <c r="F145" s="147"/>
      <c r="G145" s="147"/>
      <c r="H145" s="147"/>
      <c r="I145" s="147"/>
      <c r="J145" s="147"/>
      <c r="K145" s="147"/>
    </row>
    <row r="146">
      <c r="A146" s="147"/>
      <c r="B146" s="147"/>
      <c r="C146" s="147"/>
      <c r="D146" s="147"/>
      <c r="E146" s="147"/>
      <c r="F146" s="147"/>
      <c r="G146" s="147"/>
      <c r="H146" s="147"/>
      <c r="I146" s="147"/>
      <c r="J146" s="147"/>
      <c r="K146" s="147"/>
    </row>
    <row r="147">
      <c r="A147" s="147"/>
      <c r="B147" s="147"/>
      <c r="C147" s="147"/>
      <c r="D147" s="147"/>
      <c r="E147" s="147"/>
      <c r="F147" s="147"/>
      <c r="G147" s="147"/>
      <c r="H147" s="147"/>
      <c r="I147" s="147"/>
      <c r="J147" s="147"/>
      <c r="K147" s="147"/>
    </row>
    <row r="148">
      <c r="A148" s="147"/>
      <c r="B148" s="147"/>
      <c r="C148" s="147"/>
      <c r="D148" s="147"/>
      <c r="E148" s="147"/>
      <c r="F148" s="147"/>
      <c r="G148" s="147"/>
      <c r="H148" s="147"/>
      <c r="I148" s="147"/>
      <c r="J148" s="147"/>
      <c r="K148" s="147"/>
    </row>
    <row r="149">
      <c r="A149" s="147"/>
      <c r="B149" s="147"/>
      <c r="C149" s="147"/>
      <c r="D149" s="147"/>
      <c r="E149" s="147"/>
      <c r="F149" s="147"/>
      <c r="G149" s="147"/>
      <c r="H149" s="147"/>
      <c r="I149" s="147"/>
      <c r="J149" s="147"/>
      <c r="K149" s="147"/>
    </row>
    <row r="150">
      <c r="A150" s="147"/>
      <c r="B150" s="147"/>
      <c r="C150" s="147"/>
      <c r="D150" s="147"/>
      <c r="E150" s="147"/>
      <c r="F150" s="147"/>
      <c r="G150" s="147"/>
      <c r="H150" s="147"/>
      <c r="I150" s="147"/>
      <c r="J150" s="147"/>
      <c r="K150" s="147"/>
    </row>
    <row r="151">
      <c r="A151" s="147"/>
      <c r="B151" s="147"/>
      <c r="C151" s="147"/>
      <c r="D151" s="147"/>
      <c r="E151" s="147"/>
      <c r="F151" s="147"/>
      <c r="G151" s="147"/>
      <c r="H151" s="147"/>
      <c r="I151" s="147"/>
      <c r="J151" s="147"/>
      <c r="K151" s="147"/>
    </row>
    <row r="152">
      <c r="A152" s="147"/>
      <c r="B152" s="147"/>
      <c r="C152" s="147"/>
      <c r="D152" s="147"/>
      <c r="E152" s="147"/>
      <c r="F152" s="147"/>
      <c r="G152" s="147"/>
      <c r="H152" s="147"/>
      <c r="I152" s="147"/>
      <c r="J152" s="147"/>
      <c r="K152" s="147"/>
    </row>
    <row r="153">
      <c r="A153" s="147"/>
      <c r="B153" s="147"/>
      <c r="C153" s="147"/>
      <c r="D153" s="147"/>
      <c r="E153" s="147"/>
      <c r="F153" s="147"/>
      <c r="G153" s="147"/>
      <c r="H153" s="147"/>
      <c r="I153" s="147"/>
      <c r="J153" s="147"/>
      <c r="K153" s="147"/>
    </row>
    <row r="154">
      <c r="A154" s="147"/>
      <c r="B154" s="147"/>
      <c r="C154" s="147"/>
      <c r="D154" s="147"/>
      <c r="E154" s="147"/>
      <c r="F154" s="147"/>
      <c r="G154" s="147"/>
      <c r="H154" s="147"/>
      <c r="I154" s="147"/>
      <c r="J154" s="147"/>
      <c r="K154" s="147"/>
    </row>
    <row r="155">
      <c r="A155" s="147"/>
      <c r="B155" s="147"/>
      <c r="C155" s="147"/>
      <c r="D155" s="147"/>
      <c r="E155" s="147"/>
      <c r="F155" s="147"/>
      <c r="G155" s="147"/>
      <c r="H155" s="147"/>
      <c r="I155" s="147"/>
      <c r="J155" s="147"/>
      <c r="K155" s="147"/>
    </row>
    <row r="156">
      <c r="A156" s="147"/>
      <c r="B156" s="147"/>
      <c r="C156" s="147"/>
      <c r="D156" s="147"/>
      <c r="E156" s="147"/>
      <c r="F156" s="147"/>
      <c r="G156" s="147"/>
      <c r="H156" s="147"/>
      <c r="I156" s="147"/>
      <c r="J156" s="147"/>
      <c r="K156" s="147"/>
    </row>
    <row r="157">
      <c r="A157" s="147"/>
      <c r="B157" s="147"/>
      <c r="C157" s="147"/>
      <c r="D157" s="147"/>
      <c r="E157" s="147"/>
      <c r="F157" s="147"/>
      <c r="G157" s="147"/>
      <c r="H157" s="147"/>
      <c r="I157" s="147"/>
      <c r="J157" s="147"/>
      <c r="K157" s="147"/>
    </row>
    <row r="158">
      <c r="A158" s="147"/>
      <c r="B158" s="147"/>
      <c r="C158" s="147"/>
      <c r="D158" s="147"/>
      <c r="E158" s="147"/>
      <c r="F158" s="147"/>
      <c r="G158" s="147"/>
      <c r="H158" s="147"/>
      <c r="I158" s="147"/>
      <c r="J158" s="147"/>
      <c r="K158" s="147"/>
    </row>
    <row r="159">
      <c r="A159" s="147"/>
      <c r="B159" s="147"/>
      <c r="C159" s="147"/>
      <c r="D159" s="147"/>
      <c r="E159" s="147"/>
      <c r="F159" s="147"/>
      <c r="G159" s="147"/>
      <c r="H159" s="147"/>
      <c r="I159" s="147"/>
      <c r="J159" s="147"/>
      <c r="K159" s="147"/>
    </row>
    <row r="160">
      <c r="A160" s="147"/>
      <c r="B160" s="147"/>
      <c r="C160" s="147"/>
      <c r="D160" s="147"/>
      <c r="E160" s="147"/>
      <c r="F160" s="147"/>
      <c r="G160" s="147"/>
      <c r="H160" s="147"/>
      <c r="I160" s="147"/>
      <c r="J160" s="147"/>
      <c r="K160" s="147"/>
    </row>
    <row r="161">
      <c r="A161" s="147"/>
      <c r="B161" s="147"/>
      <c r="C161" s="147"/>
      <c r="D161" s="147"/>
      <c r="E161" s="147"/>
      <c r="F161" s="147"/>
      <c r="G161" s="147"/>
      <c r="H161" s="147"/>
      <c r="I161" s="147"/>
      <c r="J161" s="147"/>
      <c r="K161" s="147"/>
    </row>
    <row r="162">
      <c r="A162" s="147"/>
      <c r="B162" s="147"/>
      <c r="C162" s="147"/>
      <c r="D162" s="147"/>
      <c r="E162" s="147"/>
      <c r="F162" s="147"/>
      <c r="G162" s="147"/>
      <c r="H162" s="147"/>
      <c r="I162" s="147"/>
      <c r="J162" s="147"/>
      <c r="K162" s="147"/>
    </row>
    <row r="163">
      <c r="A163" s="147"/>
      <c r="B163" s="147"/>
      <c r="C163" s="147"/>
      <c r="D163" s="147"/>
      <c r="E163" s="147"/>
      <c r="F163" s="147"/>
      <c r="G163" s="147"/>
      <c r="H163" s="147"/>
      <c r="I163" s="147"/>
      <c r="J163" s="147"/>
      <c r="K163" s="147"/>
    </row>
    <row r="164">
      <c r="A164" s="147"/>
      <c r="B164" s="147"/>
      <c r="C164" s="147"/>
      <c r="D164" s="147"/>
      <c r="E164" s="147"/>
      <c r="F164" s="147"/>
      <c r="G164" s="147"/>
      <c r="H164" s="147"/>
      <c r="I164" s="147"/>
      <c r="J164" s="147"/>
      <c r="K164" s="147"/>
    </row>
    <row r="165">
      <c r="A165" s="147"/>
      <c r="B165" s="147"/>
      <c r="C165" s="147"/>
      <c r="D165" s="147"/>
      <c r="E165" s="147"/>
      <c r="F165" s="147"/>
      <c r="G165" s="147"/>
      <c r="H165" s="147"/>
      <c r="I165" s="147"/>
      <c r="J165" s="147"/>
      <c r="K165" s="147"/>
    </row>
    <row r="166">
      <c r="A166" s="147"/>
      <c r="B166" s="147"/>
      <c r="C166" s="147"/>
      <c r="D166" s="147"/>
      <c r="E166" s="147"/>
      <c r="F166" s="147"/>
      <c r="G166" s="147"/>
      <c r="H166" s="147"/>
      <c r="I166" s="147"/>
      <c r="J166" s="147"/>
      <c r="K166" s="147"/>
    </row>
    <row r="167">
      <c r="A167" s="147"/>
      <c r="B167" s="147"/>
      <c r="C167" s="147"/>
      <c r="D167" s="147"/>
      <c r="E167" s="147"/>
      <c r="F167" s="147"/>
      <c r="G167" s="147"/>
      <c r="H167" s="147"/>
      <c r="I167" s="147"/>
      <c r="J167" s="147"/>
      <c r="K167" s="147"/>
    </row>
    <row r="168">
      <c r="A168" s="147"/>
      <c r="B168" s="147"/>
      <c r="C168" s="147"/>
      <c r="D168" s="147"/>
      <c r="E168" s="147"/>
      <c r="F168" s="147"/>
      <c r="G168" s="147"/>
      <c r="H168" s="147"/>
      <c r="I168" s="147"/>
      <c r="J168" s="147"/>
      <c r="K168" s="147"/>
    </row>
    <row r="169">
      <c r="A169" s="147"/>
      <c r="B169" s="147"/>
      <c r="C169" s="147"/>
      <c r="D169" s="147"/>
      <c r="E169" s="147"/>
      <c r="F169" s="147"/>
      <c r="G169" s="147"/>
      <c r="H169" s="147"/>
      <c r="I169" s="147"/>
      <c r="J169" s="147"/>
      <c r="K169" s="147"/>
    </row>
    <row r="170">
      <c r="A170" s="147"/>
      <c r="B170" s="147"/>
      <c r="C170" s="147"/>
      <c r="D170" s="147"/>
      <c r="E170" s="147"/>
      <c r="F170" s="147"/>
      <c r="G170" s="147"/>
      <c r="H170" s="147"/>
      <c r="I170" s="147"/>
      <c r="J170" s="147"/>
      <c r="K170" s="147"/>
    </row>
    <row r="171">
      <c r="A171" s="147"/>
      <c r="B171" s="147"/>
      <c r="C171" s="147"/>
      <c r="D171" s="147"/>
      <c r="E171" s="147"/>
      <c r="F171" s="147"/>
      <c r="G171" s="147"/>
      <c r="H171" s="147"/>
      <c r="I171" s="147"/>
      <c r="J171" s="147"/>
      <c r="K171" s="147"/>
    </row>
    <row r="172">
      <c r="A172" s="147"/>
      <c r="B172" s="147"/>
      <c r="C172" s="147"/>
      <c r="D172" s="147"/>
      <c r="E172" s="147"/>
      <c r="F172" s="147"/>
      <c r="G172" s="147"/>
      <c r="H172" s="147"/>
      <c r="I172" s="147"/>
      <c r="J172" s="147"/>
      <c r="K172" s="147"/>
    </row>
    <row r="173">
      <c r="A173" s="147"/>
      <c r="B173" s="147"/>
      <c r="C173" s="147"/>
      <c r="D173" s="147"/>
      <c r="E173" s="147"/>
      <c r="F173" s="147"/>
      <c r="G173" s="147"/>
      <c r="H173" s="147"/>
      <c r="I173" s="147"/>
      <c r="J173" s="147"/>
      <c r="K173" s="147"/>
    </row>
    <row r="174">
      <c r="A174" s="147"/>
      <c r="B174" s="147"/>
      <c r="C174" s="147"/>
      <c r="D174" s="147"/>
      <c r="E174" s="147"/>
      <c r="F174" s="147"/>
      <c r="G174" s="147"/>
      <c r="H174" s="147"/>
      <c r="I174" s="147"/>
      <c r="J174" s="147"/>
      <c r="K174" s="147"/>
    </row>
    <row r="175">
      <c r="A175" s="147"/>
      <c r="B175" s="147"/>
      <c r="C175" s="147"/>
      <c r="D175" s="147"/>
      <c r="E175" s="147"/>
      <c r="F175" s="147"/>
      <c r="G175" s="147"/>
      <c r="H175" s="147"/>
      <c r="I175" s="147"/>
      <c r="J175" s="147"/>
      <c r="K175" s="147"/>
    </row>
    <row r="176">
      <c r="A176" s="147"/>
      <c r="B176" s="147"/>
      <c r="C176" s="147"/>
      <c r="D176" s="147"/>
      <c r="E176" s="147"/>
      <c r="F176" s="147"/>
      <c r="G176" s="147"/>
      <c r="H176" s="147"/>
      <c r="I176" s="147"/>
      <c r="J176" s="147"/>
      <c r="K176" s="147"/>
    </row>
    <row r="177">
      <c r="A177" s="147"/>
      <c r="B177" s="147"/>
      <c r="C177" s="147"/>
      <c r="D177" s="147"/>
      <c r="E177" s="147"/>
      <c r="F177" s="147"/>
      <c r="G177" s="147"/>
      <c r="H177" s="147"/>
      <c r="I177" s="147"/>
      <c r="J177" s="147"/>
      <c r="K177" s="147"/>
    </row>
    <row r="178">
      <c r="A178" s="147"/>
      <c r="B178" s="147"/>
      <c r="C178" s="147"/>
      <c r="D178" s="147"/>
      <c r="E178" s="147"/>
      <c r="F178" s="147"/>
      <c r="G178" s="147"/>
      <c r="H178" s="147"/>
      <c r="I178" s="147"/>
      <c r="J178" s="147"/>
      <c r="K178" s="147"/>
    </row>
    <row r="179">
      <c r="A179" s="147"/>
      <c r="B179" s="147"/>
      <c r="C179" s="147"/>
      <c r="D179" s="147"/>
      <c r="E179" s="147"/>
      <c r="F179" s="147"/>
      <c r="G179" s="147"/>
      <c r="H179" s="147"/>
      <c r="I179" s="147"/>
      <c r="J179" s="147"/>
      <c r="K179" s="147"/>
    </row>
    <row r="180">
      <c r="A180" s="147"/>
      <c r="B180" s="147"/>
      <c r="C180" s="147"/>
      <c r="D180" s="147"/>
      <c r="E180" s="147"/>
      <c r="F180" s="147"/>
      <c r="G180" s="147"/>
      <c r="H180" s="147"/>
      <c r="I180" s="147"/>
      <c r="J180" s="147"/>
      <c r="K180" s="147"/>
    </row>
    <row r="181">
      <c r="A181" s="147"/>
      <c r="B181" s="147"/>
      <c r="C181" s="147"/>
      <c r="D181" s="147"/>
      <c r="E181" s="147"/>
      <c r="F181" s="147"/>
      <c r="G181" s="147"/>
      <c r="H181" s="147"/>
      <c r="I181" s="147"/>
      <c r="J181" s="147"/>
      <c r="K181" s="147"/>
    </row>
    <row r="182">
      <c r="A182" s="147"/>
      <c r="B182" s="147"/>
      <c r="C182" s="147"/>
      <c r="D182" s="147"/>
      <c r="E182" s="147"/>
      <c r="F182" s="147"/>
      <c r="G182" s="147"/>
      <c r="H182" s="147"/>
      <c r="I182" s="147"/>
      <c r="J182" s="147"/>
      <c r="K182" s="147"/>
    </row>
    <row r="183">
      <c r="A183" s="147"/>
      <c r="B183" s="147"/>
      <c r="C183" s="147"/>
      <c r="D183" s="147"/>
      <c r="E183" s="147"/>
      <c r="F183" s="147"/>
      <c r="G183" s="147"/>
      <c r="H183" s="147"/>
      <c r="I183" s="147"/>
      <c r="J183" s="147"/>
      <c r="K183" s="147"/>
    </row>
    <row r="184">
      <c r="A184" s="147"/>
      <c r="B184" s="147"/>
      <c r="C184" s="147"/>
      <c r="D184" s="147"/>
      <c r="E184" s="147"/>
      <c r="F184" s="147"/>
      <c r="G184" s="147"/>
      <c r="H184" s="147"/>
      <c r="I184" s="147"/>
      <c r="J184" s="147"/>
      <c r="K184" s="147"/>
    </row>
    <row r="185">
      <c r="A185" s="147"/>
      <c r="B185" s="147"/>
      <c r="C185" s="147"/>
      <c r="D185" s="147"/>
      <c r="E185" s="147"/>
      <c r="F185" s="147"/>
      <c r="G185" s="147"/>
      <c r="H185" s="147"/>
      <c r="I185" s="147"/>
      <c r="J185" s="147"/>
      <c r="K185" s="147"/>
    </row>
    <row r="186">
      <c r="A186" s="147"/>
      <c r="B186" s="147"/>
      <c r="C186" s="147"/>
      <c r="D186" s="147"/>
      <c r="E186" s="147"/>
      <c r="F186" s="147"/>
      <c r="G186" s="147"/>
      <c r="H186" s="147"/>
      <c r="I186" s="147"/>
      <c r="J186" s="147"/>
      <c r="K186" s="147"/>
    </row>
    <row r="187">
      <c r="A187" s="147"/>
      <c r="B187" s="147"/>
      <c r="C187" s="147"/>
      <c r="D187" s="147"/>
      <c r="E187" s="147"/>
      <c r="F187" s="147"/>
      <c r="G187" s="147"/>
      <c r="H187" s="147"/>
      <c r="I187" s="147"/>
      <c r="J187" s="147"/>
      <c r="K187" s="147"/>
    </row>
    <row r="188">
      <c r="A188" s="147"/>
      <c r="B188" s="147"/>
      <c r="C188" s="147"/>
      <c r="D188" s="147"/>
      <c r="E188" s="147"/>
      <c r="F188" s="147"/>
      <c r="G188" s="147"/>
      <c r="H188" s="147"/>
      <c r="I188" s="147"/>
      <c r="J188" s="147"/>
      <c r="K188" s="147"/>
    </row>
    <row r="189">
      <c r="A189" s="147"/>
      <c r="B189" s="147"/>
      <c r="C189" s="147"/>
      <c r="D189" s="147"/>
      <c r="E189" s="147"/>
      <c r="F189" s="147"/>
      <c r="G189" s="147"/>
      <c r="H189" s="147"/>
      <c r="I189" s="147"/>
      <c r="J189" s="147"/>
      <c r="K189" s="147"/>
    </row>
    <row r="190">
      <c r="A190" s="147"/>
      <c r="B190" s="147"/>
      <c r="C190" s="147"/>
      <c r="D190" s="147"/>
      <c r="E190" s="147"/>
      <c r="F190" s="147"/>
      <c r="G190" s="147"/>
      <c r="H190" s="147"/>
      <c r="I190" s="147"/>
      <c r="J190" s="147"/>
      <c r="K190" s="147"/>
    </row>
    <row r="191">
      <c r="A191" s="147"/>
      <c r="B191" s="147"/>
      <c r="C191" s="147"/>
      <c r="D191" s="147"/>
      <c r="E191" s="147"/>
      <c r="F191" s="147"/>
      <c r="G191" s="147"/>
      <c r="H191" s="147"/>
      <c r="I191" s="147"/>
      <c r="J191" s="147"/>
      <c r="K191" s="147"/>
    </row>
    <row r="192">
      <c r="A192" s="147"/>
      <c r="B192" s="147"/>
      <c r="C192" s="147"/>
      <c r="D192" s="147"/>
      <c r="E192" s="147"/>
      <c r="F192" s="147"/>
      <c r="G192" s="147"/>
      <c r="H192" s="147"/>
      <c r="I192" s="147"/>
      <c r="J192" s="147"/>
      <c r="K192" s="147"/>
    </row>
    <row r="193">
      <c r="A193" s="147"/>
      <c r="B193" s="147"/>
      <c r="C193" s="147"/>
      <c r="D193" s="147"/>
      <c r="E193" s="147"/>
      <c r="F193" s="147"/>
      <c r="G193" s="147"/>
      <c r="H193" s="147"/>
      <c r="I193" s="147"/>
      <c r="J193" s="147"/>
      <c r="K193" s="147"/>
    </row>
    <row r="194">
      <c r="A194" s="147"/>
      <c r="B194" s="147"/>
      <c r="C194" s="147"/>
      <c r="D194" s="147"/>
      <c r="E194" s="147"/>
      <c r="F194" s="147"/>
      <c r="G194" s="147"/>
      <c r="H194" s="147"/>
      <c r="I194" s="147"/>
      <c r="J194" s="147"/>
      <c r="K194" s="147"/>
    </row>
    <row r="195">
      <c r="A195" s="147"/>
      <c r="B195" s="147"/>
      <c r="C195" s="147"/>
      <c r="D195" s="147"/>
      <c r="E195" s="147"/>
      <c r="F195" s="147"/>
      <c r="G195" s="147"/>
      <c r="H195" s="147"/>
      <c r="I195" s="147"/>
      <c r="J195" s="147"/>
      <c r="K195" s="147"/>
    </row>
    <row r="196">
      <c r="A196" s="147"/>
      <c r="B196" s="147"/>
      <c r="C196" s="147"/>
      <c r="D196" s="147"/>
      <c r="E196" s="147"/>
      <c r="F196" s="147"/>
      <c r="G196" s="147"/>
      <c r="H196" s="147"/>
      <c r="I196" s="147"/>
      <c r="J196" s="147"/>
      <c r="K196" s="147"/>
    </row>
    <row r="197">
      <c r="A197" s="147"/>
      <c r="B197" s="147"/>
      <c r="C197" s="147"/>
      <c r="D197" s="147"/>
      <c r="E197" s="147"/>
      <c r="F197" s="147"/>
      <c r="G197" s="147"/>
      <c r="H197" s="147"/>
      <c r="I197" s="147"/>
      <c r="J197" s="147"/>
      <c r="K197" s="147"/>
    </row>
    <row r="198">
      <c r="A198" s="147"/>
      <c r="B198" s="147"/>
      <c r="C198" s="147"/>
      <c r="D198" s="147"/>
      <c r="E198" s="147"/>
      <c r="F198" s="147"/>
      <c r="G198" s="147"/>
      <c r="H198" s="147"/>
      <c r="I198" s="147"/>
      <c r="J198" s="147"/>
      <c r="K198" s="147"/>
    </row>
    <row r="199">
      <c r="A199" s="147"/>
      <c r="B199" s="147"/>
      <c r="C199" s="147"/>
      <c r="D199" s="147"/>
      <c r="E199" s="147"/>
      <c r="F199" s="147"/>
      <c r="G199" s="147"/>
      <c r="H199" s="147"/>
      <c r="I199" s="147"/>
      <c r="J199" s="147"/>
      <c r="K199" s="147"/>
    </row>
    <row r="200">
      <c r="A200" s="147"/>
      <c r="B200" s="147"/>
      <c r="C200" s="147"/>
      <c r="D200" s="147"/>
      <c r="E200" s="147"/>
      <c r="F200" s="147"/>
      <c r="G200" s="147"/>
      <c r="H200" s="147"/>
      <c r="I200" s="147"/>
      <c r="J200" s="147"/>
      <c r="K200" s="147"/>
    </row>
    <row r="201">
      <c r="A201" s="147"/>
      <c r="B201" s="147"/>
      <c r="C201" s="147"/>
      <c r="D201" s="147"/>
      <c r="E201" s="147"/>
      <c r="F201" s="147"/>
      <c r="G201" s="147"/>
      <c r="H201" s="147"/>
      <c r="I201" s="147"/>
      <c r="J201" s="147"/>
      <c r="K201" s="147"/>
    </row>
    <row r="202">
      <c r="A202" s="147"/>
      <c r="B202" s="147"/>
      <c r="C202" s="147"/>
      <c r="D202" s="147"/>
      <c r="E202" s="147"/>
      <c r="F202" s="147"/>
      <c r="G202" s="147"/>
      <c r="H202" s="147"/>
      <c r="I202" s="147"/>
      <c r="J202" s="147"/>
      <c r="K202" s="147"/>
    </row>
    <row r="203">
      <c r="A203" s="147"/>
      <c r="B203" s="147"/>
      <c r="C203" s="147"/>
      <c r="D203" s="147"/>
      <c r="E203" s="147"/>
      <c r="F203" s="147"/>
      <c r="G203" s="147"/>
      <c r="H203" s="147"/>
      <c r="I203" s="147"/>
      <c r="J203" s="147"/>
      <c r="K203" s="147"/>
    </row>
    <row r="204">
      <c r="A204" s="147"/>
      <c r="B204" s="147"/>
      <c r="C204" s="147"/>
      <c r="D204" s="147"/>
      <c r="E204" s="147"/>
      <c r="F204" s="147"/>
      <c r="G204" s="147"/>
      <c r="H204" s="147"/>
      <c r="I204" s="147"/>
      <c r="J204" s="147"/>
      <c r="K204" s="147"/>
    </row>
    <row r="205">
      <c r="A205" s="147"/>
      <c r="B205" s="147"/>
      <c r="C205" s="147"/>
      <c r="D205" s="147"/>
      <c r="E205" s="147"/>
      <c r="F205" s="147"/>
      <c r="G205" s="147"/>
      <c r="H205" s="147"/>
      <c r="I205" s="147"/>
      <c r="J205" s="147"/>
      <c r="K205" s="147"/>
    </row>
    <row r="206">
      <c r="A206" s="147"/>
      <c r="B206" s="147"/>
      <c r="C206" s="147"/>
      <c r="D206" s="147"/>
      <c r="E206" s="147"/>
      <c r="F206" s="147"/>
      <c r="G206" s="147"/>
      <c r="H206" s="147"/>
      <c r="I206" s="147"/>
      <c r="J206" s="147"/>
      <c r="K206" s="147"/>
    </row>
    <row r="207">
      <c r="A207" s="147"/>
      <c r="B207" s="147"/>
      <c r="C207" s="147"/>
      <c r="D207" s="147"/>
      <c r="E207" s="147"/>
      <c r="F207" s="147"/>
      <c r="G207" s="147"/>
      <c r="H207" s="147"/>
      <c r="I207" s="147"/>
      <c r="J207" s="147"/>
      <c r="K207" s="147"/>
    </row>
    <row r="208">
      <c r="A208" s="147"/>
      <c r="B208" s="147"/>
      <c r="C208" s="147"/>
      <c r="D208" s="147"/>
      <c r="E208" s="147"/>
      <c r="F208" s="147"/>
      <c r="G208" s="147"/>
      <c r="H208" s="147"/>
      <c r="I208" s="147"/>
      <c r="J208" s="147"/>
      <c r="K208" s="147"/>
    </row>
    <row r="209">
      <c r="A209" s="147"/>
      <c r="B209" s="147"/>
      <c r="C209" s="147"/>
      <c r="D209" s="147"/>
      <c r="E209" s="147"/>
      <c r="F209" s="147"/>
      <c r="G209" s="147"/>
      <c r="H209" s="147"/>
      <c r="I209" s="147"/>
      <c r="J209" s="147"/>
      <c r="K209" s="147"/>
    </row>
    <row r="210">
      <c r="A210" s="147"/>
      <c r="B210" s="147"/>
      <c r="C210" s="147"/>
      <c r="D210" s="147"/>
      <c r="E210" s="147"/>
      <c r="F210" s="147"/>
      <c r="G210" s="147"/>
      <c r="H210" s="147"/>
      <c r="I210" s="147"/>
      <c r="J210" s="147"/>
      <c r="K210" s="147"/>
    </row>
    <row r="211">
      <c r="A211" s="147"/>
      <c r="B211" s="147"/>
      <c r="C211" s="147"/>
      <c r="D211" s="147"/>
      <c r="E211" s="147"/>
      <c r="F211" s="147"/>
      <c r="G211" s="147"/>
      <c r="H211" s="147"/>
      <c r="I211" s="147"/>
      <c r="J211" s="147"/>
      <c r="K211" s="147"/>
    </row>
    <row r="212">
      <c r="A212" s="147"/>
      <c r="B212" s="147"/>
      <c r="C212" s="147"/>
      <c r="D212" s="147"/>
      <c r="E212" s="147"/>
      <c r="F212" s="147"/>
      <c r="G212" s="147"/>
      <c r="H212" s="147"/>
      <c r="I212" s="147"/>
      <c r="J212" s="147"/>
      <c r="K212" s="147"/>
    </row>
    <row r="213">
      <c r="A213" s="147"/>
      <c r="B213" s="147"/>
      <c r="C213" s="147"/>
      <c r="D213" s="147"/>
      <c r="E213" s="147"/>
      <c r="F213" s="147"/>
      <c r="G213" s="147"/>
      <c r="H213" s="147"/>
      <c r="I213" s="147"/>
      <c r="J213" s="147"/>
      <c r="K213" s="147"/>
    </row>
    <row r="214">
      <c r="A214" s="147"/>
      <c r="B214" s="147"/>
      <c r="C214" s="147"/>
      <c r="D214" s="147"/>
      <c r="E214" s="147"/>
      <c r="F214" s="147"/>
      <c r="G214" s="147"/>
      <c r="H214" s="147"/>
      <c r="I214" s="147"/>
      <c r="J214" s="147"/>
      <c r="K214" s="147"/>
    </row>
    <row r="215">
      <c r="A215" s="147"/>
      <c r="B215" s="147"/>
      <c r="C215" s="147"/>
      <c r="D215" s="147"/>
      <c r="E215" s="147"/>
      <c r="F215" s="147"/>
      <c r="G215" s="147"/>
      <c r="H215" s="147"/>
      <c r="I215" s="147"/>
      <c r="J215" s="147"/>
      <c r="K215" s="147"/>
    </row>
    <row r="216">
      <c r="A216" s="147"/>
      <c r="B216" s="147"/>
      <c r="C216" s="147"/>
      <c r="D216" s="147"/>
      <c r="E216" s="147"/>
      <c r="F216" s="147"/>
      <c r="G216" s="147"/>
      <c r="H216" s="147"/>
      <c r="I216" s="147"/>
      <c r="J216" s="147"/>
      <c r="K216" s="147"/>
    </row>
    <row r="217">
      <c r="A217" s="147"/>
      <c r="B217" s="147"/>
      <c r="C217" s="147"/>
      <c r="D217" s="147"/>
      <c r="E217" s="147"/>
      <c r="F217" s="147"/>
      <c r="G217" s="147"/>
      <c r="H217" s="147"/>
      <c r="I217" s="147"/>
      <c r="J217" s="147"/>
      <c r="K217" s="147"/>
    </row>
    <row r="218">
      <c r="A218" s="147"/>
      <c r="B218" s="147"/>
      <c r="C218" s="147"/>
      <c r="D218" s="147"/>
      <c r="E218" s="147"/>
      <c r="F218" s="147"/>
      <c r="G218" s="147"/>
      <c r="H218" s="147"/>
      <c r="I218" s="147"/>
      <c r="J218" s="147"/>
      <c r="K218" s="147"/>
    </row>
    <row r="219">
      <c r="A219" s="147"/>
      <c r="B219" s="147"/>
      <c r="C219" s="147"/>
      <c r="D219" s="147"/>
      <c r="E219" s="147"/>
      <c r="F219" s="147"/>
      <c r="G219" s="147"/>
      <c r="H219" s="147"/>
      <c r="I219" s="147"/>
      <c r="J219" s="147"/>
      <c r="K219" s="147"/>
    </row>
    <row r="220">
      <c r="A220" s="147"/>
      <c r="B220" s="147"/>
      <c r="C220" s="147"/>
      <c r="D220" s="147"/>
      <c r="E220" s="147"/>
      <c r="F220" s="147"/>
      <c r="G220" s="147"/>
      <c r="H220" s="147"/>
      <c r="I220" s="147"/>
      <c r="J220" s="147"/>
      <c r="K220" s="147"/>
    </row>
    <row r="221">
      <c r="A221" s="147"/>
      <c r="B221" s="147"/>
      <c r="C221" s="147"/>
      <c r="D221" s="147"/>
      <c r="E221" s="147"/>
      <c r="F221" s="147"/>
      <c r="G221" s="147"/>
      <c r="H221" s="147"/>
      <c r="I221" s="147"/>
      <c r="J221" s="147"/>
      <c r="K221" s="147"/>
    </row>
    <row r="222">
      <c r="A222" s="147"/>
      <c r="B222" s="147"/>
      <c r="C222" s="147"/>
      <c r="D222" s="147"/>
      <c r="E222" s="147"/>
      <c r="F222" s="147"/>
      <c r="G222" s="147"/>
      <c r="H222" s="147"/>
      <c r="I222" s="147"/>
      <c r="J222" s="147"/>
      <c r="K222" s="147"/>
    </row>
    <row r="223">
      <c r="A223" s="147"/>
      <c r="B223" s="147"/>
      <c r="C223" s="147"/>
      <c r="D223" s="147"/>
      <c r="E223" s="147"/>
      <c r="F223" s="147"/>
      <c r="G223" s="147"/>
      <c r="H223" s="147"/>
      <c r="I223" s="147"/>
      <c r="J223" s="147"/>
      <c r="K223" s="147"/>
    </row>
    <row r="224">
      <c r="A224" s="147"/>
      <c r="B224" s="147"/>
      <c r="C224" s="147"/>
      <c r="D224" s="147"/>
      <c r="E224" s="147"/>
      <c r="F224" s="147"/>
      <c r="G224" s="147"/>
      <c r="H224" s="147"/>
      <c r="I224" s="147"/>
      <c r="J224" s="147"/>
      <c r="K224" s="147"/>
    </row>
    <row r="225">
      <c r="A225" s="147"/>
      <c r="B225" s="147"/>
      <c r="C225" s="147"/>
      <c r="D225" s="147"/>
      <c r="E225" s="147"/>
      <c r="F225" s="147"/>
      <c r="G225" s="147"/>
      <c r="H225" s="147"/>
      <c r="I225" s="147"/>
      <c r="J225" s="147"/>
      <c r="K225" s="147"/>
    </row>
    <row r="226">
      <c r="A226" s="147"/>
      <c r="B226" s="147"/>
      <c r="C226" s="147"/>
      <c r="D226" s="147"/>
      <c r="E226" s="147"/>
      <c r="F226" s="147"/>
      <c r="G226" s="147"/>
      <c r="H226" s="147"/>
      <c r="I226" s="147"/>
      <c r="J226" s="147"/>
      <c r="K226" s="147"/>
    </row>
    <row r="227">
      <c r="A227" s="147"/>
      <c r="B227" s="147"/>
      <c r="C227" s="147"/>
      <c r="D227" s="147"/>
      <c r="E227" s="147"/>
      <c r="F227" s="147"/>
      <c r="G227" s="147"/>
      <c r="H227" s="147"/>
      <c r="I227" s="147"/>
      <c r="J227" s="147"/>
      <c r="K227" s="147"/>
    </row>
    <row r="228">
      <c r="A228" s="147"/>
      <c r="B228" s="147"/>
      <c r="C228" s="147"/>
      <c r="D228" s="147"/>
      <c r="E228" s="147"/>
      <c r="F228" s="147"/>
      <c r="G228" s="147"/>
      <c r="H228" s="147"/>
      <c r="I228" s="147"/>
      <c r="J228" s="147"/>
      <c r="K228" s="147"/>
    </row>
    <row r="229">
      <c r="A229" s="147"/>
      <c r="B229" s="147"/>
      <c r="C229" s="147"/>
      <c r="D229" s="147"/>
      <c r="E229" s="147"/>
      <c r="F229" s="147"/>
      <c r="G229" s="147"/>
      <c r="H229" s="147"/>
      <c r="I229" s="147"/>
      <c r="J229" s="147"/>
      <c r="K229" s="147"/>
    </row>
    <row r="230">
      <c r="A230" s="147"/>
      <c r="B230" s="147"/>
      <c r="C230" s="147"/>
      <c r="D230" s="147"/>
      <c r="E230" s="147"/>
      <c r="F230" s="147"/>
      <c r="G230" s="147"/>
      <c r="H230" s="147"/>
      <c r="I230" s="147"/>
      <c r="J230" s="147"/>
      <c r="K230" s="147"/>
    </row>
    <row r="231">
      <c r="A231" s="147"/>
      <c r="B231" s="147"/>
      <c r="C231" s="147"/>
      <c r="D231" s="147"/>
      <c r="E231" s="147"/>
      <c r="F231" s="147"/>
      <c r="G231" s="147"/>
      <c r="H231" s="147"/>
      <c r="I231" s="147"/>
      <c r="J231" s="147"/>
      <c r="K231" s="147"/>
    </row>
    <row r="232">
      <c r="A232" s="147"/>
      <c r="B232" s="147"/>
      <c r="C232" s="147"/>
      <c r="D232" s="147"/>
      <c r="E232" s="147"/>
      <c r="F232" s="147"/>
      <c r="G232" s="147"/>
      <c r="H232" s="147"/>
      <c r="I232" s="147"/>
      <c r="J232" s="147"/>
      <c r="K232" s="147"/>
    </row>
    <row r="233">
      <c r="A233" s="147"/>
      <c r="B233" s="147"/>
      <c r="C233" s="147"/>
      <c r="D233" s="147"/>
      <c r="E233" s="147"/>
      <c r="F233" s="147"/>
      <c r="G233" s="147"/>
      <c r="H233" s="147"/>
      <c r="I233" s="147"/>
      <c r="J233" s="147"/>
      <c r="K233" s="147"/>
    </row>
    <row r="234">
      <c r="A234" s="147"/>
      <c r="B234" s="147"/>
      <c r="C234" s="147"/>
      <c r="D234" s="147"/>
      <c r="E234" s="147"/>
      <c r="F234" s="147"/>
      <c r="G234" s="147"/>
      <c r="H234" s="147"/>
      <c r="I234" s="147"/>
      <c r="J234" s="147"/>
      <c r="K234" s="147"/>
    </row>
    <row r="235">
      <c r="A235" s="147"/>
      <c r="B235" s="147"/>
      <c r="C235" s="147"/>
      <c r="D235" s="147"/>
      <c r="E235" s="147"/>
      <c r="F235" s="147"/>
      <c r="G235" s="147"/>
      <c r="H235" s="147"/>
      <c r="I235" s="147"/>
      <c r="J235" s="147"/>
      <c r="K235" s="147"/>
    </row>
    <row r="236">
      <c r="A236" s="147"/>
      <c r="B236" s="147"/>
      <c r="C236" s="147"/>
      <c r="D236" s="147"/>
      <c r="E236" s="147"/>
      <c r="F236" s="147"/>
      <c r="G236" s="147"/>
      <c r="H236" s="147"/>
      <c r="I236" s="147"/>
      <c r="J236" s="147"/>
      <c r="K236" s="147"/>
    </row>
    <row r="237">
      <c r="A237" s="147"/>
      <c r="B237" s="147"/>
      <c r="C237" s="147"/>
      <c r="D237" s="147"/>
      <c r="E237" s="147"/>
      <c r="F237" s="147"/>
      <c r="G237" s="147"/>
      <c r="H237" s="147"/>
      <c r="I237" s="147"/>
      <c r="J237" s="147"/>
      <c r="K237" s="147"/>
    </row>
    <row r="238">
      <c r="A238" s="147"/>
      <c r="B238" s="147"/>
      <c r="C238" s="147"/>
      <c r="D238" s="147"/>
      <c r="E238" s="147"/>
      <c r="F238" s="147"/>
      <c r="G238" s="147"/>
      <c r="H238" s="147"/>
      <c r="I238" s="147"/>
      <c r="J238" s="147"/>
      <c r="K238" s="147"/>
    </row>
    <row r="239">
      <c r="A239" s="147"/>
      <c r="B239" s="147"/>
      <c r="C239" s="147"/>
      <c r="D239" s="147"/>
      <c r="E239" s="147"/>
      <c r="F239" s="147"/>
      <c r="G239" s="147"/>
      <c r="H239" s="147"/>
      <c r="I239" s="147"/>
      <c r="J239" s="147"/>
      <c r="K239" s="147"/>
    </row>
    <row r="240">
      <c r="A240" s="147"/>
      <c r="B240" s="147"/>
      <c r="C240" s="147"/>
      <c r="D240" s="147"/>
      <c r="E240" s="147"/>
      <c r="F240" s="147"/>
      <c r="G240" s="147"/>
      <c r="H240" s="147"/>
      <c r="I240" s="147"/>
      <c r="J240" s="147"/>
      <c r="K240" s="147"/>
    </row>
    <row r="241">
      <c r="A241" s="147"/>
      <c r="B241" s="147"/>
      <c r="C241" s="147"/>
      <c r="D241" s="147"/>
      <c r="E241" s="147"/>
      <c r="F241" s="147"/>
      <c r="G241" s="147"/>
      <c r="H241" s="147"/>
      <c r="I241" s="147"/>
      <c r="J241" s="147"/>
      <c r="K241" s="147"/>
    </row>
    <row r="242">
      <c r="A242" s="147"/>
      <c r="B242" s="147"/>
      <c r="C242" s="147"/>
      <c r="D242" s="147"/>
      <c r="E242" s="147"/>
      <c r="F242" s="147"/>
      <c r="G242" s="147"/>
      <c r="H242" s="147"/>
      <c r="I242" s="147"/>
      <c r="J242" s="147"/>
      <c r="K242" s="147"/>
    </row>
    <row r="243">
      <c r="A243" s="147"/>
      <c r="B243" s="147"/>
      <c r="C243" s="147"/>
      <c r="D243" s="147"/>
      <c r="E243" s="147"/>
      <c r="F243" s="147"/>
      <c r="G243" s="147"/>
      <c r="H243" s="147"/>
      <c r="I243" s="147"/>
      <c r="J243" s="147"/>
      <c r="K243" s="147"/>
    </row>
    <row r="244">
      <c r="A244" s="147"/>
      <c r="B244" s="147"/>
      <c r="C244" s="147"/>
      <c r="D244" s="147"/>
      <c r="E244" s="147"/>
      <c r="F244" s="147"/>
      <c r="G244" s="147"/>
      <c r="H244" s="147"/>
      <c r="I244" s="147"/>
      <c r="J244" s="147"/>
      <c r="K244" s="147"/>
    </row>
    <row r="245">
      <c r="A245" s="147"/>
      <c r="B245" s="147"/>
      <c r="C245" s="147"/>
      <c r="D245" s="147"/>
      <c r="E245" s="147"/>
      <c r="F245" s="147"/>
      <c r="G245" s="147"/>
      <c r="H245" s="147"/>
      <c r="I245" s="147"/>
      <c r="J245" s="147"/>
      <c r="K245" s="147"/>
    </row>
    <row r="246">
      <c r="A246" s="147"/>
      <c r="B246" s="147"/>
      <c r="C246" s="147"/>
      <c r="D246" s="147"/>
      <c r="E246" s="147"/>
      <c r="F246" s="147"/>
      <c r="G246" s="147"/>
      <c r="H246" s="147"/>
      <c r="I246" s="147"/>
      <c r="J246" s="147"/>
      <c r="K246" s="147"/>
    </row>
    <row r="247">
      <c r="A247" s="147"/>
      <c r="B247" s="147"/>
      <c r="C247" s="147"/>
      <c r="D247" s="147"/>
      <c r="E247" s="147"/>
      <c r="F247" s="147"/>
      <c r="G247" s="147"/>
      <c r="H247" s="147"/>
      <c r="I247" s="147"/>
      <c r="J247" s="147"/>
      <c r="K247" s="147"/>
    </row>
    <row r="248">
      <c r="A248" s="147"/>
      <c r="B248" s="147"/>
      <c r="C248" s="147"/>
      <c r="D248" s="147"/>
      <c r="E248" s="147"/>
      <c r="F248" s="147"/>
      <c r="G248" s="147"/>
      <c r="H248" s="147"/>
      <c r="I248" s="147"/>
      <c r="J248" s="147"/>
      <c r="K248" s="147"/>
    </row>
    <row r="249">
      <c r="A249" s="147"/>
      <c r="B249" s="147"/>
      <c r="C249" s="147"/>
      <c r="D249" s="147"/>
      <c r="E249" s="147"/>
      <c r="F249" s="147"/>
      <c r="G249" s="147"/>
      <c r="H249" s="147"/>
      <c r="I249" s="147"/>
      <c r="J249" s="147"/>
      <c r="K249" s="147"/>
    </row>
    <row r="250">
      <c r="A250" s="147"/>
      <c r="B250" s="147"/>
      <c r="C250" s="147"/>
      <c r="D250" s="147"/>
      <c r="E250" s="147"/>
      <c r="F250" s="147"/>
      <c r="G250" s="147"/>
      <c r="H250" s="147"/>
      <c r="I250" s="147"/>
      <c r="J250" s="147"/>
      <c r="K250" s="147"/>
    </row>
    <row r="251">
      <c r="A251" s="147"/>
      <c r="B251" s="147"/>
      <c r="C251" s="147"/>
      <c r="D251" s="147"/>
      <c r="E251" s="147"/>
      <c r="F251" s="147"/>
      <c r="G251" s="147"/>
      <c r="H251" s="147"/>
      <c r="I251" s="147"/>
      <c r="J251" s="147"/>
      <c r="K251" s="147"/>
    </row>
    <row r="252">
      <c r="A252" s="147"/>
      <c r="B252" s="147"/>
      <c r="C252" s="147"/>
      <c r="D252" s="147"/>
      <c r="E252" s="147"/>
      <c r="F252" s="147"/>
      <c r="G252" s="147"/>
      <c r="H252" s="147"/>
      <c r="I252" s="147"/>
      <c r="J252" s="147"/>
      <c r="K252" s="147"/>
    </row>
    <row r="253">
      <c r="A253" s="147"/>
      <c r="B253" s="147"/>
      <c r="C253" s="147"/>
      <c r="D253" s="147"/>
      <c r="E253" s="147"/>
      <c r="F253" s="147"/>
      <c r="G253" s="147"/>
      <c r="H253" s="147"/>
      <c r="I253" s="147"/>
      <c r="J253" s="147"/>
      <c r="K253" s="147"/>
    </row>
    <row r="254">
      <c r="A254" s="147"/>
      <c r="B254" s="147"/>
      <c r="C254" s="147"/>
      <c r="D254" s="147"/>
      <c r="E254" s="147"/>
      <c r="F254" s="147"/>
      <c r="G254" s="147"/>
      <c r="H254" s="147"/>
      <c r="I254" s="147"/>
      <c r="J254" s="147"/>
      <c r="K254" s="147"/>
    </row>
    <row r="255">
      <c r="A255" s="147"/>
      <c r="B255" s="147"/>
      <c r="C255" s="147"/>
      <c r="D255" s="147"/>
      <c r="E255" s="147"/>
      <c r="F255" s="147"/>
      <c r="G255" s="147"/>
      <c r="H255" s="147"/>
      <c r="I255" s="147"/>
      <c r="J255" s="147"/>
      <c r="K255" s="147"/>
    </row>
    <row r="256">
      <c r="A256" s="147"/>
      <c r="B256" s="147"/>
      <c r="C256" s="147"/>
      <c r="D256" s="147"/>
      <c r="E256" s="147"/>
      <c r="F256" s="147"/>
      <c r="G256" s="147"/>
      <c r="H256" s="147"/>
      <c r="I256" s="147"/>
      <c r="J256" s="147"/>
      <c r="K256" s="147"/>
    </row>
    <row r="257">
      <c r="A257" s="147"/>
      <c r="B257" s="147"/>
      <c r="C257" s="147"/>
      <c r="D257" s="147"/>
      <c r="E257" s="147"/>
      <c r="F257" s="147"/>
      <c r="G257" s="147"/>
      <c r="H257" s="147"/>
      <c r="I257" s="147"/>
      <c r="J257" s="147"/>
      <c r="K257" s="147"/>
    </row>
    <row r="258">
      <c r="A258" s="147"/>
      <c r="B258" s="147"/>
      <c r="C258" s="147"/>
      <c r="D258" s="147"/>
      <c r="E258" s="147"/>
      <c r="F258" s="147"/>
      <c r="G258" s="147"/>
      <c r="H258" s="147"/>
      <c r="I258" s="147"/>
      <c r="J258" s="147"/>
      <c r="K258" s="147"/>
    </row>
    <row r="259">
      <c r="A259" s="147"/>
      <c r="B259" s="147"/>
      <c r="C259" s="147"/>
      <c r="D259" s="147"/>
      <c r="E259" s="147"/>
      <c r="F259" s="147"/>
      <c r="G259" s="147"/>
      <c r="H259" s="147"/>
      <c r="I259" s="147"/>
      <c r="J259" s="147"/>
      <c r="K259" s="147"/>
    </row>
    <row r="260">
      <c r="A260" s="147"/>
      <c r="B260" s="147"/>
      <c r="C260" s="147"/>
      <c r="D260" s="147"/>
      <c r="E260" s="147"/>
      <c r="F260" s="147"/>
      <c r="G260" s="147"/>
      <c r="H260" s="147"/>
      <c r="I260" s="147"/>
      <c r="J260" s="147"/>
      <c r="K260" s="147"/>
    </row>
    <row r="261">
      <c r="A261" s="147"/>
      <c r="B261" s="147"/>
      <c r="C261" s="147"/>
      <c r="D261" s="147"/>
      <c r="E261" s="147"/>
      <c r="F261" s="147"/>
      <c r="G261" s="147"/>
      <c r="H261" s="147"/>
      <c r="I261" s="147"/>
      <c r="J261" s="147"/>
      <c r="K261" s="147"/>
    </row>
    <row r="262">
      <c r="A262" s="147"/>
      <c r="B262" s="147"/>
      <c r="C262" s="147"/>
      <c r="D262" s="147"/>
      <c r="E262" s="147"/>
      <c r="F262" s="147"/>
      <c r="G262" s="147"/>
      <c r="H262" s="147"/>
      <c r="I262" s="147"/>
      <c r="J262" s="147"/>
      <c r="K262" s="147"/>
    </row>
    <row r="263">
      <c r="A263" s="147"/>
      <c r="B263" s="147"/>
      <c r="C263" s="147"/>
      <c r="D263" s="147"/>
      <c r="E263" s="147"/>
      <c r="F263" s="147"/>
      <c r="G263" s="147"/>
      <c r="H263" s="147"/>
      <c r="I263" s="147"/>
      <c r="J263" s="147"/>
      <c r="K263" s="147"/>
    </row>
    <row r="264">
      <c r="A264" s="147"/>
      <c r="B264" s="147"/>
      <c r="C264" s="147"/>
      <c r="D264" s="147"/>
      <c r="E264" s="147"/>
      <c r="F264" s="147"/>
      <c r="G264" s="147"/>
      <c r="H264" s="147"/>
      <c r="I264" s="147"/>
      <c r="J264" s="147"/>
      <c r="K264" s="147"/>
    </row>
    <row r="265">
      <c r="A265" s="147"/>
      <c r="B265" s="147"/>
      <c r="C265" s="147"/>
      <c r="D265" s="147"/>
      <c r="E265" s="147"/>
      <c r="F265" s="147"/>
      <c r="G265" s="147"/>
      <c r="H265" s="147"/>
      <c r="I265" s="147"/>
      <c r="J265" s="147"/>
      <c r="K265" s="147"/>
    </row>
    <row r="266">
      <c r="A266" s="147"/>
      <c r="B266" s="147"/>
      <c r="C266" s="147"/>
      <c r="D266" s="147"/>
      <c r="E266" s="147"/>
      <c r="F266" s="147"/>
      <c r="G266" s="147"/>
      <c r="H266" s="147"/>
      <c r="I266" s="147"/>
      <c r="J266" s="147"/>
      <c r="K266" s="147"/>
    </row>
    <row r="267">
      <c r="A267" s="147"/>
      <c r="B267" s="147"/>
      <c r="C267" s="147"/>
      <c r="D267" s="147"/>
      <c r="E267" s="147"/>
      <c r="F267" s="147"/>
      <c r="G267" s="147"/>
      <c r="H267" s="147"/>
      <c r="I267" s="147"/>
      <c r="J267" s="147"/>
      <c r="K267" s="147"/>
    </row>
    <row r="268">
      <c r="A268" s="147"/>
      <c r="B268" s="147"/>
      <c r="C268" s="147"/>
      <c r="D268" s="147"/>
      <c r="E268" s="147"/>
      <c r="F268" s="147"/>
      <c r="G268" s="147"/>
      <c r="H268" s="147"/>
      <c r="I268" s="147"/>
      <c r="J268" s="147"/>
      <c r="K268" s="147"/>
    </row>
    <row r="269">
      <c r="A269" s="147"/>
      <c r="B269" s="147"/>
      <c r="C269" s="147"/>
      <c r="D269" s="147"/>
      <c r="E269" s="147"/>
      <c r="F269" s="147"/>
      <c r="G269" s="147"/>
      <c r="H269" s="147"/>
      <c r="I269" s="147"/>
      <c r="J269" s="147"/>
      <c r="K269" s="147"/>
    </row>
    <row r="270">
      <c r="A270" s="147"/>
      <c r="B270" s="147"/>
      <c r="C270" s="147"/>
      <c r="D270" s="147"/>
      <c r="E270" s="147"/>
      <c r="F270" s="147"/>
      <c r="G270" s="147"/>
      <c r="H270" s="147"/>
      <c r="I270" s="147"/>
      <c r="J270" s="147"/>
      <c r="K270" s="147"/>
    </row>
    <row r="271">
      <c r="A271" s="147"/>
      <c r="B271" s="147"/>
      <c r="C271" s="147"/>
      <c r="D271" s="147"/>
      <c r="E271" s="147"/>
      <c r="F271" s="147"/>
      <c r="G271" s="147"/>
      <c r="H271" s="147"/>
      <c r="I271" s="147"/>
      <c r="J271" s="147"/>
      <c r="K271" s="147"/>
    </row>
    <row r="272">
      <c r="A272" s="147"/>
      <c r="B272" s="147"/>
      <c r="C272" s="147"/>
      <c r="D272" s="147"/>
      <c r="E272" s="147"/>
      <c r="F272" s="147"/>
      <c r="G272" s="147"/>
      <c r="H272" s="147"/>
      <c r="I272" s="147"/>
      <c r="J272" s="147"/>
      <c r="K272" s="147"/>
    </row>
    <row r="273">
      <c r="A273" s="147"/>
      <c r="B273" s="147"/>
      <c r="C273" s="147"/>
      <c r="D273" s="147"/>
      <c r="E273" s="147"/>
      <c r="F273" s="147"/>
      <c r="G273" s="147"/>
      <c r="H273" s="147"/>
      <c r="I273" s="147"/>
      <c r="J273" s="147"/>
      <c r="K273" s="147"/>
    </row>
    <row r="274">
      <c r="A274" s="147"/>
      <c r="B274" s="147"/>
      <c r="C274" s="147"/>
      <c r="D274" s="147"/>
      <c r="E274" s="147"/>
      <c r="F274" s="147"/>
      <c r="G274" s="147"/>
      <c r="H274" s="147"/>
      <c r="I274" s="147"/>
      <c r="J274" s="147"/>
      <c r="K274" s="147"/>
    </row>
    <row r="275">
      <c r="A275" s="147"/>
      <c r="B275" s="147"/>
      <c r="C275" s="147"/>
      <c r="D275" s="147"/>
      <c r="E275" s="147"/>
      <c r="F275" s="147"/>
      <c r="G275" s="147"/>
      <c r="H275" s="147"/>
      <c r="I275" s="147"/>
      <c r="J275" s="147"/>
      <c r="K275" s="147"/>
    </row>
    <row r="276">
      <c r="A276" s="147"/>
      <c r="B276" s="147"/>
      <c r="C276" s="147"/>
      <c r="D276" s="147"/>
      <c r="E276" s="147"/>
      <c r="F276" s="147"/>
      <c r="G276" s="147"/>
      <c r="H276" s="147"/>
      <c r="I276" s="147"/>
      <c r="J276" s="147"/>
      <c r="K276" s="147"/>
    </row>
    <row r="277">
      <c r="A277" s="147"/>
      <c r="B277" s="147"/>
      <c r="C277" s="147"/>
      <c r="D277" s="147"/>
      <c r="E277" s="147"/>
      <c r="F277" s="147"/>
      <c r="G277" s="147"/>
      <c r="H277" s="147"/>
      <c r="I277" s="147"/>
      <c r="J277" s="147"/>
      <c r="K277" s="147"/>
    </row>
    <row r="278">
      <c r="A278" s="147"/>
      <c r="B278" s="147"/>
      <c r="C278" s="147"/>
      <c r="D278" s="147"/>
      <c r="E278" s="147"/>
      <c r="F278" s="147"/>
      <c r="G278" s="147"/>
      <c r="H278" s="147"/>
      <c r="I278" s="147"/>
      <c r="J278" s="147"/>
      <c r="K278" s="147"/>
    </row>
    <row r="279">
      <c r="A279" s="147"/>
      <c r="B279" s="147"/>
      <c r="C279" s="147"/>
      <c r="D279" s="147"/>
      <c r="E279" s="147"/>
      <c r="F279" s="147"/>
      <c r="G279" s="147"/>
      <c r="H279" s="147"/>
      <c r="I279" s="147"/>
      <c r="J279" s="147"/>
      <c r="K279" s="147"/>
    </row>
    <row r="280">
      <c r="A280" s="147"/>
      <c r="B280" s="147"/>
      <c r="C280" s="147"/>
      <c r="D280" s="147"/>
      <c r="E280" s="147"/>
      <c r="F280" s="147"/>
      <c r="G280" s="147"/>
      <c r="H280" s="147"/>
      <c r="I280" s="147"/>
      <c r="J280" s="147"/>
      <c r="K280" s="147"/>
    </row>
    <row r="281">
      <c r="A281" s="147"/>
      <c r="B281" s="147"/>
      <c r="C281" s="147"/>
      <c r="D281" s="147"/>
      <c r="E281" s="147"/>
      <c r="F281" s="147"/>
      <c r="G281" s="147"/>
      <c r="H281" s="147"/>
      <c r="I281" s="147"/>
      <c r="J281" s="147"/>
      <c r="K281" s="147"/>
    </row>
    <row r="282">
      <c r="A282" s="147"/>
      <c r="B282" s="147"/>
      <c r="C282" s="147"/>
      <c r="D282" s="147"/>
      <c r="E282" s="147"/>
      <c r="F282" s="147"/>
      <c r="G282" s="147"/>
      <c r="H282" s="147"/>
      <c r="I282" s="147"/>
      <c r="J282" s="147"/>
      <c r="K282" s="147"/>
    </row>
    <row r="283">
      <c r="A283" s="147"/>
      <c r="B283" s="147"/>
      <c r="C283" s="147"/>
      <c r="D283" s="147"/>
      <c r="E283" s="147"/>
      <c r="F283" s="147"/>
      <c r="G283" s="147"/>
      <c r="H283" s="147"/>
      <c r="I283" s="147"/>
      <c r="J283" s="147"/>
      <c r="K283" s="147"/>
    </row>
    <row r="284">
      <c r="A284" s="147"/>
      <c r="B284" s="147"/>
      <c r="C284" s="147"/>
      <c r="D284" s="147"/>
      <c r="E284" s="147"/>
      <c r="F284" s="147"/>
      <c r="G284" s="147"/>
      <c r="H284" s="147"/>
      <c r="I284" s="147"/>
      <c r="J284" s="147"/>
      <c r="K284" s="147"/>
    </row>
    <row r="285">
      <c r="A285" s="147"/>
      <c r="B285" s="147"/>
      <c r="C285" s="147"/>
      <c r="D285" s="147"/>
      <c r="E285" s="147"/>
      <c r="F285" s="147"/>
      <c r="G285" s="147"/>
      <c r="H285" s="147"/>
      <c r="I285" s="147"/>
      <c r="J285" s="147"/>
      <c r="K285" s="147"/>
    </row>
    <row r="286">
      <c r="A286" s="147"/>
      <c r="B286" s="147"/>
      <c r="C286" s="147"/>
      <c r="D286" s="147"/>
      <c r="E286" s="147"/>
      <c r="F286" s="147"/>
      <c r="G286" s="147"/>
      <c r="H286" s="147"/>
      <c r="I286" s="147"/>
      <c r="J286" s="147"/>
      <c r="K286" s="147"/>
    </row>
    <row r="287">
      <c r="A287" s="147"/>
      <c r="B287" s="147"/>
      <c r="C287" s="147"/>
      <c r="D287" s="147"/>
      <c r="E287" s="147"/>
      <c r="F287" s="147"/>
      <c r="G287" s="147"/>
      <c r="H287" s="147"/>
      <c r="I287" s="147"/>
      <c r="J287" s="147"/>
      <c r="K287" s="147"/>
    </row>
    <row r="288">
      <c r="A288" s="147"/>
      <c r="B288" s="147"/>
      <c r="C288" s="147"/>
      <c r="D288" s="147"/>
      <c r="E288" s="147"/>
      <c r="F288" s="147"/>
      <c r="G288" s="147"/>
      <c r="H288" s="147"/>
      <c r="I288" s="147"/>
      <c r="J288" s="147"/>
      <c r="K288" s="147"/>
    </row>
    <row r="289">
      <c r="A289" s="147"/>
      <c r="B289" s="147"/>
      <c r="C289" s="147"/>
      <c r="D289" s="147"/>
      <c r="E289" s="147"/>
      <c r="F289" s="147"/>
      <c r="G289" s="147"/>
      <c r="H289" s="147"/>
      <c r="I289" s="147"/>
      <c r="J289" s="147"/>
      <c r="K289" s="147"/>
    </row>
    <row r="290">
      <c r="A290" s="147"/>
      <c r="B290" s="147"/>
      <c r="C290" s="147"/>
      <c r="D290" s="147"/>
      <c r="E290" s="147"/>
      <c r="F290" s="147"/>
      <c r="G290" s="147"/>
      <c r="H290" s="147"/>
      <c r="I290" s="147"/>
      <c r="J290" s="147"/>
      <c r="K290" s="147"/>
    </row>
    <row r="291">
      <c r="A291" s="147"/>
      <c r="B291" s="147"/>
      <c r="C291" s="147"/>
      <c r="D291" s="147"/>
      <c r="E291" s="147"/>
      <c r="F291" s="147"/>
      <c r="G291" s="147"/>
      <c r="H291" s="147"/>
      <c r="I291" s="147"/>
      <c r="J291" s="147"/>
      <c r="K291" s="147"/>
    </row>
    <row r="292">
      <c r="A292" s="147"/>
      <c r="B292" s="147"/>
      <c r="C292" s="147"/>
      <c r="D292" s="147"/>
      <c r="E292" s="147"/>
      <c r="F292" s="147"/>
      <c r="G292" s="147"/>
      <c r="H292" s="147"/>
      <c r="I292" s="147"/>
      <c r="J292" s="147"/>
      <c r="K292" s="147"/>
    </row>
    <row r="293">
      <c r="A293" s="147"/>
      <c r="B293" s="147"/>
      <c r="C293" s="147"/>
      <c r="D293" s="147"/>
      <c r="E293" s="147"/>
      <c r="F293" s="147"/>
      <c r="G293" s="147"/>
      <c r="H293" s="147"/>
      <c r="I293" s="147"/>
      <c r="J293" s="147"/>
      <c r="K293" s="147"/>
    </row>
    <row r="294">
      <c r="A294" s="147"/>
      <c r="B294" s="147"/>
      <c r="C294" s="147"/>
      <c r="D294" s="147"/>
      <c r="E294" s="147"/>
      <c r="F294" s="147"/>
      <c r="G294" s="147"/>
      <c r="H294" s="147"/>
      <c r="I294" s="147"/>
      <c r="J294" s="147"/>
      <c r="K294" s="147"/>
    </row>
    <row r="295">
      <c r="A295" s="147"/>
      <c r="B295" s="147"/>
      <c r="C295" s="147"/>
      <c r="D295" s="147"/>
      <c r="E295" s="147"/>
      <c r="F295" s="147"/>
      <c r="G295" s="147"/>
      <c r="H295" s="147"/>
      <c r="I295" s="147"/>
      <c r="J295" s="147"/>
      <c r="K295" s="147"/>
    </row>
    <row r="296">
      <c r="A296" s="147"/>
      <c r="B296" s="147"/>
      <c r="C296" s="147"/>
      <c r="D296" s="147"/>
      <c r="E296" s="147"/>
      <c r="F296" s="147"/>
      <c r="G296" s="147"/>
      <c r="H296" s="147"/>
      <c r="I296" s="147"/>
      <c r="J296" s="147"/>
      <c r="K296" s="147"/>
    </row>
    <row r="297">
      <c r="A297" s="147"/>
      <c r="B297" s="147"/>
      <c r="C297" s="147"/>
      <c r="D297" s="147"/>
      <c r="E297" s="147"/>
      <c r="F297" s="147"/>
      <c r="G297" s="147"/>
      <c r="H297" s="147"/>
      <c r="I297" s="147"/>
      <c r="J297" s="147"/>
      <c r="K297" s="147"/>
    </row>
    <row r="298">
      <c r="A298" s="147"/>
      <c r="B298" s="147"/>
      <c r="C298" s="147"/>
      <c r="D298" s="147"/>
      <c r="E298" s="147"/>
      <c r="F298" s="147"/>
      <c r="G298" s="147"/>
      <c r="H298" s="147"/>
      <c r="I298" s="147"/>
      <c r="J298" s="147"/>
      <c r="K298" s="147"/>
    </row>
    <row r="299">
      <c r="A299" s="147"/>
      <c r="B299" s="147"/>
      <c r="C299" s="147"/>
      <c r="D299" s="147"/>
      <c r="E299" s="147"/>
      <c r="F299" s="147"/>
      <c r="G299" s="147"/>
      <c r="H299" s="147"/>
      <c r="I299" s="147"/>
      <c r="J299" s="147"/>
      <c r="K299" s="147"/>
    </row>
    <row r="300">
      <c r="A300" s="147"/>
      <c r="B300" s="147"/>
      <c r="C300" s="147"/>
      <c r="D300" s="147"/>
      <c r="E300" s="147"/>
      <c r="F300" s="147"/>
      <c r="G300" s="147"/>
      <c r="H300" s="147"/>
      <c r="I300" s="147"/>
      <c r="J300" s="147"/>
      <c r="K300" s="147"/>
    </row>
    <row r="301">
      <c r="A301" s="147"/>
      <c r="B301" s="147"/>
      <c r="C301" s="147"/>
      <c r="D301" s="147"/>
      <c r="E301" s="147"/>
      <c r="F301" s="147"/>
      <c r="G301" s="147"/>
      <c r="H301" s="147"/>
      <c r="I301" s="147"/>
      <c r="J301" s="147"/>
      <c r="K301" s="147"/>
    </row>
    <row r="302">
      <c r="A302" s="147"/>
      <c r="B302" s="147"/>
      <c r="C302" s="147"/>
      <c r="D302" s="147"/>
      <c r="E302" s="147"/>
      <c r="F302" s="147"/>
      <c r="G302" s="147"/>
      <c r="H302" s="147"/>
      <c r="I302" s="147"/>
      <c r="J302" s="147"/>
      <c r="K302" s="147"/>
    </row>
    <row r="303">
      <c r="A303" s="147"/>
      <c r="B303" s="147"/>
      <c r="C303" s="147"/>
      <c r="D303" s="147"/>
      <c r="E303" s="147"/>
      <c r="F303" s="147"/>
      <c r="G303" s="147"/>
      <c r="H303" s="147"/>
      <c r="I303" s="147"/>
      <c r="J303" s="147"/>
      <c r="K303" s="147"/>
    </row>
    <row r="304">
      <c r="A304" s="147"/>
      <c r="B304" s="147"/>
      <c r="C304" s="147"/>
      <c r="D304" s="147"/>
      <c r="E304" s="147"/>
      <c r="F304" s="147"/>
      <c r="G304" s="147"/>
      <c r="H304" s="147"/>
      <c r="I304" s="147"/>
      <c r="J304" s="147"/>
      <c r="K304" s="147"/>
    </row>
    <row r="305">
      <c r="A305" s="147"/>
      <c r="B305" s="147"/>
      <c r="C305" s="147"/>
      <c r="D305" s="147"/>
      <c r="E305" s="147"/>
      <c r="F305" s="147"/>
      <c r="G305" s="147"/>
      <c r="H305" s="147"/>
      <c r="I305" s="147"/>
      <c r="J305" s="147"/>
      <c r="K305" s="147"/>
    </row>
    <row r="306">
      <c r="A306" s="147"/>
      <c r="B306" s="147"/>
      <c r="C306" s="147"/>
      <c r="D306" s="147"/>
      <c r="E306" s="147"/>
      <c r="F306" s="147"/>
      <c r="G306" s="147"/>
      <c r="H306" s="147"/>
      <c r="I306" s="147"/>
      <c r="J306" s="147"/>
      <c r="K306" s="147"/>
    </row>
    <row r="307">
      <c r="A307" s="147"/>
      <c r="B307" s="147"/>
      <c r="C307" s="147"/>
      <c r="D307" s="147"/>
      <c r="E307" s="147"/>
      <c r="F307" s="147"/>
      <c r="G307" s="147"/>
      <c r="H307" s="147"/>
      <c r="I307" s="147"/>
      <c r="J307" s="147"/>
      <c r="K307" s="147"/>
    </row>
    <row r="308">
      <c r="A308" s="147"/>
      <c r="B308" s="147"/>
      <c r="C308" s="147"/>
      <c r="D308" s="147"/>
      <c r="E308" s="147"/>
      <c r="F308" s="147"/>
      <c r="G308" s="147"/>
      <c r="H308" s="147"/>
      <c r="I308" s="147"/>
      <c r="J308" s="147"/>
      <c r="K308" s="147"/>
    </row>
    <row r="309">
      <c r="A309" s="147"/>
      <c r="B309" s="147"/>
      <c r="C309" s="147"/>
      <c r="D309" s="147"/>
      <c r="E309" s="147"/>
      <c r="F309" s="147"/>
      <c r="G309" s="147"/>
      <c r="H309" s="147"/>
      <c r="I309" s="147"/>
      <c r="J309" s="147"/>
      <c r="K309" s="147"/>
    </row>
    <row r="310">
      <c r="A310" s="147"/>
      <c r="B310" s="147"/>
      <c r="C310" s="147"/>
      <c r="D310" s="147"/>
      <c r="E310" s="147"/>
      <c r="F310" s="147"/>
      <c r="G310" s="147"/>
      <c r="H310" s="147"/>
      <c r="I310" s="147"/>
      <c r="J310" s="147"/>
      <c r="K310" s="147"/>
    </row>
    <row r="311">
      <c r="A311" s="147"/>
      <c r="B311" s="147"/>
      <c r="C311" s="147"/>
      <c r="D311" s="147"/>
      <c r="E311" s="147"/>
      <c r="F311" s="147"/>
      <c r="G311" s="147"/>
      <c r="H311" s="147"/>
      <c r="I311" s="147"/>
      <c r="J311" s="147"/>
      <c r="K311" s="147"/>
    </row>
    <row r="312">
      <c r="A312" s="147"/>
      <c r="B312" s="147"/>
      <c r="C312" s="147"/>
      <c r="D312" s="147"/>
      <c r="E312" s="147"/>
      <c r="F312" s="147"/>
      <c r="G312" s="147"/>
      <c r="H312" s="147"/>
      <c r="I312" s="147"/>
      <c r="J312" s="147"/>
      <c r="K312" s="147"/>
    </row>
    <row r="313">
      <c r="A313" s="147"/>
      <c r="B313" s="147"/>
      <c r="C313" s="147"/>
      <c r="D313" s="147"/>
      <c r="E313" s="147"/>
      <c r="F313" s="147"/>
      <c r="G313" s="147"/>
      <c r="H313" s="147"/>
      <c r="I313" s="147"/>
      <c r="J313" s="147"/>
      <c r="K313" s="147"/>
    </row>
    <row r="314">
      <c r="A314" s="147"/>
      <c r="B314" s="147"/>
      <c r="C314" s="147"/>
      <c r="D314" s="147"/>
      <c r="E314" s="147"/>
      <c r="F314" s="147"/>
      <c r="G314" s="147"/>
      <c r="H314" s="147"/>
      <c r="I314" s="147"/>
      <c r="J314" s="147"/>
      <c r="K314" s="147"/>
    </row>
    <row r="315">
      <c r="A315" s="147"/>
      <c r="B315" s="147"/>
      <c r="C315" s="147"/>
      <c r="D315" s="147"/>
      <c r="E315" s="147"/>
      <c r="F315" s="147"/>
      <c r="G315" s="147"/>
      <c r="H315" s="147"/>
      <c r="I315" s="147"/>
      <c r="J315" s="147"/>
      <c r="K315" s="147"/>
    </row>
    <row r="316">
      <c r="A316" s="147"/>
      <c r="B316" s="147"/>
      <c r="C316" s="147"/>
      <c r="D316" s="147"/>
      <c r="E316" s="147"/>
      <c r="F316" s="147"/>
      <c r="G316" s="147"/>
      <c r="H316" s="147"/>
      <c r="I316" s="147"/>
      <c r="J316" s="147"/>
      <c r="K316" s="147"/>
    </row>
    <row r="317">
      <c r="A317" s="147"/>
      <c r="B317" s="147"/>
      <c r="C317" s="147"/>
      <c r="D317" s="147"/>
      <c r="E317" s="147"/>
      <c r="F317" s="147"/>
      <c r="G317" s="147"/>
      <c r="H317" s="147"/>
      <c r="I317" s="147"/>
      <c r="J317" s="147"/>
      <c r="K317" s="147"/>
    </row>
    <row r="318">
      <c r="A318" s="147"/>
      <c r="B318" s="147"/>
      <c r="C318" s="147"/>
      <c r="D318" s="147"/>
      <c r="E318" s="147"/>
      <c r="F318" s="147"/>
      <c r="G318" s="147"/>
      <c r="H318" s="147"/>
      <c r="I318" s="147"/>
      <c r="J318" s="147"/>
      <c r="K318" s="147"/>
    </row>
    <row r="319">
      <c r="A319" s="147"/>
      <c r="B319" s="147"/>
      <c r="C319" s="147"/>
      <c r="D319" s="147"/>
      <c r="E319" s="147"/>
      <c r="F319" s="147"/>
      <c r="G319" s="147"/>
      <c r="H319" s="147"/>
      <c r="I319" s="147"/>
      <c r="J319" s="147"/>
      <c r="K319" s="147"/>
    </row>
    <row r="320">
      <c r="A320" s="147"/>
      <c r="B320" s="147"/>
      <c r="C320" s="147"/>
      <c r="D320" s="147"/>
      <c r="E320" s="147"/>
      <c r="F320" s="147"/>
      <c r="G320" s="147"/>
      <c r="H320" s="147"/>
      <c r="I320" s="147"/>
      <c r="J320" s="147"/>
      <c r="K320" s="147"/>
    </row>
    <row r="321">
      <c r="A321" s="147"/>
      <c r="B321" s="147"/>
      <c r="C321" s="147"/>
      <c r="D321" s="147"/>
      <c r="E321" s="147"/>
      <c r="F321" s="147"/>
      <c r="G321" s="147"/>
      <c r="H321" s="147"/>
      <c r="I321" s="147"/>
      <c r="J321" s="147"/>
      <c r="K321" s="147"/>
    </row>
    <row r="322">
      <c r="A322" s="147"/>
      <c r="B322" s="147"/>
      <c r="C322" s="147"/>
      <c r="D322" s="147"/>
      <c r="E322" s="147"/>
      <c r="F322" s="147"/>
      <c r="G322" s="147"/>
      <c r="H322" s="147"/>
      <c r="I322" s="147"/>
      <c r="J322" s="147"/>
      <c r="K322" s="147"/>
    </row>
    <row r="323">
      <c r="A323" s="147"/>
      <c r="B323" s="147"/>
      <c r="C323" s="147"/>
      <c r="D323" s="147"/>
      <c r="E323" s="147"/>
      <c r="F323" s="147"/>
      <c r="G323" s="147"/>
      <c r="H323" s="147"/>
      <c r="I323" s="147"/>
      <c r="J323" s="147"/>
      <c r="K323" s="147"/>
    </row>
    <row r="324">
      <c r="A324" s="147"/>
      <c r="B324" s="147"/>
      <c r="C324" s="147"/>
      <c r="D324" s="147"/>
      <c r="E324" s="147"/>
      <c r="F324" s="147"/>
      <c r="G324" s="147"/>
      <c r="H324" s="147"/>
      <c r="I324" s="147"/>
      <c r="J324" s="147"/>
      <c r="K324" s="147"/>
    </row>
    <row r="325">
      <c r="A325" s="147"/>
      <c r="B325" s="147"/>
      <c r="C325" s="147"/>
      <c r="D325" s="147"/>
      <c r="E325" s="147"/>
      <c r="F325" s="147"/>
      <c r="G325" s="147"/>
      <c r="H325" s="147"/>
      <c r="I325" s="147"/>
      <c r="J325" s="147"/>
      <c r="K325" s="147"/>
    </row>
    <row r="326">
      <c r="A326" s="147"/>
      <c r="B326" s="147"/>
      <c r="C326" s="147"/>
      <c r="D326" s="147"/>
      <c r="E326" s="147"/>
      <c r="F326" s="147"/>
      <c r="G326" s="147"/>
      <c r="H326" s="147"/>
      <c r="I326" s="147"/>
      <c r="J326" s="147"/>
      <c r="K326" s="147"/>
    </row>
    <row r="327">
      <c r="A327" s="147"/>
      <c r="B327" s="147"/>
      <c r="C327" s="147"/>
      <c r="D327" s="147"/>
      <c r="E327" s="147"/>
      <c r="F327" s="147"/>
      <c r="G327" s="147"/>
      <c r="H327" s="147"/>
      <c r="I327" s="147"/>
      <c r="J327" s="147"/>
      <c r="K327" s="147"/>
    </row>
    <row r="328">
      <c r="A328" s="147"/>
      <c r="B328" s="147"/>
      <c r="C328" s="147"/>
      <c r="D328" s="147"/>
      <c r="E328" s="147"/>
      <c r="F328" s="147"/>
      <c r="G328" s="147"/>
      <c r="H328" s="147"/>
      <c r="I328" s="147"/>
      <c r="J328" s="147"/>
      <c r="K328" s="147"/>
    </row>
    <row r="329">
      <c r="A329" s="147"/>
      <c r="B329" s="147"/>
      <c r="C329" s="147"/>
      <c r="D329" s="147"/>
      <c r="E329" s="147"/>
      <c r="F329" s="147"/>
      <c r="G329" s="147"/>
      <c r="H329" s="147"/>
      <c r="I329" s="147"/>
      <c r="J329" s="147"/>
      <c r="K329" s="147"/>
    </row>
    <row r="330">
      <c r="A330" s="147"/>
      <c r="B330" s="147"/>
      <c r="C330" s="147"/>
      <c r="D330" s="147"/>
      <c r="E330" s="147"/>
      <c r="F330" s="147"/>
      <c r="G330" s="147"/>
      <c r="H330" s="147"/>
      <c r="I330" s="147"/>
      <c r="J330" s="147"/>
      <c r="K330" s="147"/>
    </row>
    <row r="331">
      <c r="A331" s="147"/>
      <c r="B331" s="147"/>
      <c r="C331" s="147"/>
      <c r="D331" s="147"/>
      <c r="E331" s="147"/>
      <c r="F331" s="147"/>
      <c r="G331" s="147"/>
      <c r="H331" s="147"/>
      <c r="I331" s="147"/>
      <c r="J331" s="147"/>
      <c r="K331" s="147"/>
    </row>
    <row r="332">
      <c r="A332" s="147"/>
      <c r="B332" s="147"/>
      <c r="C332" s="147"/>
      <c r="D332" s="147"/>
      <c r="E332" s="147"/>
      <c r="F332" s="147"/>
      <c r="G332" s="147"/>
      <c r="H332" s="147"/>
      <c r="I332" s="147"/>
      <c r="J332" s="147"/>
      <c r="K332" s="147"/>
    </row>
    <row r="333">
      <c r="A333" s="147"/>
      <c r="B333" s="147"/>
      <c r="C333" s="147"/>
      <c r="D333" s="147"/>
      <c r="E333" s="147"/>
      <c r="F333" s="147"/>
      <c r="G333" s="147"/>
      <c r="H333" s="147"/>
      <c r="I333" s="147"/>
      <c r="J333" s="147"/>
      <c r="K333" s="147"/>
    </row>
    <row r="334">
      <c r="A334" s="147"/>
      <c r="B334" s="147"/>
      <c r="C334" s="147"/>
      <c r="D334" s="147"/>
      <c r="E334" s="147"/>
      <c r="F334" s="147"/>
      <c r="G334" s="147"/>
      <c r="H334" s="147"/>
      <c r="I334" s="147"/>
      <c r="J334" s="147"/>
      <c r="K334" s="147"/>
    </row>
    <row r="335">
      <c r="A335" s="147"/>
      <c r="B335" s="147"/>
      <c r="C335" s="147"/>
      <c r="D335" s="147"/>
      <c r="E335" s="147"/>
      <c r="F335" s="147"/>
      <c r="G335" s="147"/>
      <c r="H335" s="147"/>
      <c r="I335" s="147"/>
      <c r="J335" s="147"/>
      <c r="K335" s="147"/>
    </row>
    <row r="336">
      <c r="A336" s="147"/>
      <c r="B336" s="147"/>
      <c r="C336" s="147"/>
      <c r="D336" s="147"/>
      <c r="E336" s="147"/>
      <c r="F336" s="147"/>
      <c r="G336" s="147"/>
      <c r="H336" s="147"/>
      <c r="I336" s="147"/>
      <c r="J336" s="147"/>
      <c r="K336" s="147"/>
    </row>
    <row r="337">
      <c r="A337" s="147"/>
      <c r="B337" s="147"/>
      <c r="C337" s="147"/>
      <c r="D337" s="147"/>
      <c r="E337" s="147"/>
      <c r="F337" s="147"/>
      <c r="G337" s="147"/>
      <c r="H337" s="147"/>
      <c r="I337" s="147"/>
      <c r="J337" s="147"/>
      <c r="K337" s="147"/>
    </row>
    <row r="338">
      <c r="A338" s="147"/>
      <c r="B338" s="147"/>
      <c r="C338" s="147"/>
      <c r="D338" s="147"/>
      <c r="E338" s="147"/>
      <c r="F338" s="147"/>
      <c r="G338" s="147"/>
      <c r="H338" s="147"/>
      <c r="I338" s="147"/>
      <c r="J338" s="147"/>
      <c r="K338" s="147"/>
    </row>
    <row r="339">
      <c r="A339" s="147"/>
      <c r="B339" s="147"/>
      <c r="C339" s="147"/>
      <c r="D339" s="147"/>
      <c r="E339" s="147"/>
      <c r="F339" s="147"/>
      <c r="G339" s="147"/>
      <c r="H339" s="147"/>
      <c r="I339" s="147"/>
      <c r="J339" s="147"/>
      <c r="K339" s="147"/>
    </row>
    <row r="340">
      <c r="A340" s="147"/>
      <c r="B340" s="147"/>
      <c r="C340" s="147"/>
      <c r="D340" s="147"/>
      <c r="E340" s="147"/>
      <c r="F340" s="147"/>
      <c r="G340" s="147"/>
      <c r="H340" s="147"/>
      <c r="I340" s="147"/>
      <c r="J340" s="147"/>
      <c r="K340" s="147"/>
    </row>
    <row r="341">
      <c r="A341" s="147"/>
      <c r="B341" s="147"/>
      <c r="C341" s="147"/>
      <c r="D341" s="147"/>
      <c r="E341" s="147"/>
      <c r="F341" s="147"/>
      <c r="G341" s="147"/>
      <c r="H341" s="147"/>
      <c r="I341" s="147"/>
      <c r="J341" s="147"/>
      <c r="K341" s="147"/>
    </row>
    <row r="342">
      <c r="A342" s="147"/>
      <c r="B342" s="147"/>
      <c r="C342" s="147"/>
      <c r="D342" s="147"/>
      <c r="E342" s="147"/>
      <c r="F342" s="147"/>
      <c r="G342" s="147"/>
      <c r="H342" s="147"/>
      <c r="I342" s="147"/>
      <c r="J342" s="147"/>
      <c r="K342" s="147"/>
    </row>
    <row r="343">
      <c r="A343" s="147"/>
      <c r="B343" s="147"/>
      <c r="C343" s="147"/>
      <c r="D343" s="147"/>
      <c r="E343" s="147"/>
      <c r="F343" s="147"/>
      <c r="G343" s="147"/>
      <c r="H343" s="147"/>
      <c r="I343" s="147"/>
      <c r="J343" s="147"/>
      <c r="K343" s="147"/>
    </row>
    <row r="344">
      <c r="A344" s="147"/>
      <c r="B344" s="147"/>
      <c r="C344" s="147"/>
      <c r="D344" s="147"/>
      <c r="E344" s="147"/>
      <c r="F344" s="147"/>
      <c r="G344" s="147"/>
      <c r="H344" s="147"/>
      <c r="I344" s="147"/>
      <c r="J344" s="147"/>
      <c r="K344" s="147"/>
    </row>
    <row r="345">
      <c r="A345" s="147"/>
      <c r="B345" s="147"/>
      <c r="C345" s="147"/>
      <c r="D345" s="147"/>
      <c r="E345" s="147"/>
      <c r="F345" s="147"/>
      <c r="G345" s="147"/>
      <c r="H345" s="147"/>
      <c r="I345" s="147"/>
      <c r="J345" s="147"/>
      <c r="K345" s="147"/>
    </row>
    <row r="346">
      <c r="A346" s="147"/>
      <c r="B346" s="147"/>
      <c r="C346" s="147"/>
      <c r="D346" s="147"/>
      <c r="E346" s="147"/>
      <c r="F346" s="147"/>
      <c r="G346" s="147"/>
      <c r="H346" s="147"/>
      <c r="I346" s="147"/>
      <c r="J346" s="147"/>
      <c r="K346" s="147"/>
    </row>
    <row r="347">
      <c r="A347" s="147"/>
      <c r="B347" s="147"/>
      <c r="C347" s="147"/>
      <c r="D347" s="147"/>
      <c r="E347" s="147"/>
      <c r="F347" s="147"/>
      <c r="G347" s="147"/>
      <c r="H347" s="147"/>
      <c r="I347" s="147"/>
      <c r="J347" s="147"/>
      <c r="K347" s="147"/>
    </row>
    <row r="348">
      <c r="A348" s="147"/>
      <c r="B348" s="147"/>
      <c r="C348" s="147"/>
      <c r="D348" s="147"/>
      <c r="E348" s="147"/>
      <c r="F348" s="147"/>
      <c r="G348" s="147"/>
      <c r="H348" s="147"/>
      <c r="I348" s="147"/>
      <c r="J348" s="147"/>
      <c r="K348" s="147"/>
    </row>
    <row r="349">
      <c r="A349" s="147"/>
      <c r="B349" s="147"/>
      <c r="C349" s="147"/>
      <c r="D349" s="147"/>
      <c r="E349" s="147"/>
      <c r="F349" s="147"/>
      <c r="G349" s="147"/>
      <c r="H349" s="147"/>
      <c r="I349" s="147"/>
      <c r="J349" s="147"/>
      <c r="K349" s="147"/>
    </row>
    <row r="350">
      <c r="A350" s="147"/>
      <c r="B350" s="147"/>
      <c r="C350" s="147"/>
      <c r="D350" s="147"/>
      <c r="E350" s="147"/>
      <c r="F350" s="147"/>
      <c r="G350" s="147"/>
      <c r="H350" s="147"/>
      <c r="I350" s="147"/>
      <c r="J350" s="147"/>
      <c r="K350" s="147"/>
    </row>
    <row r="351">
      <c r="A351" s="147"/>
      <c r="B351" s="147"/>
      <c r="C351" s="147"/>
      <c r="D351" s="147"/>
      <c r="E351" s="147"/>
      <c r="F351" s="147"/>
      <c r="G351" s="147"/>
      <c r="H351" s="147"/>
      <c r="I351" s="147"/>
      <c r="J351" s="147"/>
      <c r="K351" s="147"/>
    </row>
    <row r="352">
      <c r="A352" s="147"/>
      <c r="B352" s="147"/>
      <c r="C352" s="147"/>
      <c r="D352" s="147"/>
      <c r="E352" s="147"/>
      <c r="F352" s="147"/>
      <c r="G352" s="147"/>
      <c r="H352" s="147"/>
      <c r="I352" s="147"/>
      <c r="J352" s="147"/>
      <c r="K352" s="147"/>
    </row>
    <row r="353">
      <c r="A353" s="147"/>
      <c r="B353" s="147"/>
      <c r="C353" s="147"/>
      <c r="D353" s="147"/>
      <c r="E353" s="147"/>
      <c r="F353" s="147"/>
      <c r="G353" s="147"/>
      <c r="H353" s="147"/>
      <c r="I353" s="147"/>
      <c r="J353" s="147"/>
      <c r="K353" s="147"/>
    </row>
    <row r="354">
      <c r="A354" s="147"/>
      <c r="B354" s="147"/>
      <c r="C354" s="147"/>
      <c r="D354" s="147"/>
      <c r="E354" s="147"/>
      <c r="F354" s="147"/>
      <c r="G354" s="147"/>
      <c r="H354" s="147"/>
      <c r="I354" s="147"/>
      <c r="J354" s="147"/>
      <c r="K354" s="147"/>
    </row>
    <row r="355">
      <c r="A355" s="147"/>
      <c r="B355" s="147"/>
      <c r="C355" s="147"/>
      <c r="D355" s="147"/>
      <c r="E355" s="147"/>
      <c r="F355" s="147"/>
      <c r="G355" s="147"/>
      <c r="H355" s="147"/>
      <c r="I355" s="147"/>
      <c r="J355" s="147"/>
      <c r="K355" s="147"/>
    </row>
    <row r="356">
      <c r="A356" s="147"/>
      <c r="B356" s="147"/>
      <c r="C356" s="147"/>
      <c r="D356" s="147"/>
      <c r="E356" s="147"/>
      <c r="F356" s="147"/>
      <c r="G356" s="147"/>
      <c r="H356" s="147"/>
      <c r="I356" s="147"/>
      <c r="J356" s="147"/>
      <c r="K356" s="147"/>
    </row>
    <row r="357">
      <c r="A357" s="147"/>
      <c r="B357" s="147"/>
      <c r="C357" s="147"/>
      <c r="D357" s="147"/>
      <c r="E357" s="147"/>
      <c r="F357" s="147"/>
      <c r="G357" s="147"/>
      <c r="H357" s="147"/>
      <c r="I357" s="147"/>
      <c r="J357" s="147"/>
      <c r="K357" s="147"/>
    </row>
    <row r="358">
      <c r="A358" s="147"/>
      <c r="B358" s="147"/>
      <c r="C358" s="147"/>
      <c r="D358" s="147"/>
      <c r="E358" s="147"/>
      <c r="F358" s="147"/>
      <c r="G358" s="147"/>
      <c r="H358" s="147"/>
      <c r="I358" s="147"/>
      <c r="J358" s="147"/>
      <c r="K358" s="147"/>
    </row>
    <row r="359">
      <c r="A359" s="147"/>
      <c r="B359" s="147"/>
      <c r="C359" s="147"/>
      <c r="D359" s="147"/>
      <c r="E359" s="147"/>
      <c r="F359" s="147"/>
      <c r="G359" s="147"/>
      <c r="H359" s="147"/>
      <c r="I359" s="147"/>
      <c r="J359" s="147"/>
      <c r="K359" s="147"/>
    </row>
    <row r="360">
      <c r="A360" s="147"/>
      <c r="B360" s="147"/>
      <c r="C360" s="147"/>
      <c r="D360" s="147"/>
      <c r="E360" s="147"/>
      <c r="F360" s="147"/>
      <c r="G360" s="147"/>
      <c r="H360" s="147"/>
      <c r="I360" s="147"/>
      <c r="J360" s="147"/>
      <c r="K360" s="147"/>
    </row>
    <row r="361">
      <c r="A361" s="147"/>
      <c r="B361" s="147"/>
      <c r="C361" s="147"/>
      <c r="D361" s="147"/>
      <c r="E361" s="147"/>
      <c r="F361" s="147"/>
      <c r="G361" s="147"/>
      <c r="H361" s="147"/>
      <c r="I361" s="147"/>
      <c r="J361" s="147"/>
      <c r="K361" s="147"/>
    </row>
    <row r="362">
      <c r="A362" s="147"/>
      <c r="B362" s="147"/>
      <c r="C362" s="147"/>
      <c r="D362" s="147"/>
      <c r="E362" s="147"/>
      <c r="F362" s="147"/>
      <c r="G362" s="147"/>
      <c r="H362" s="147"/>
      <c r="I362" s="147"/>
      <c r="J362" s="147"/>
      <c r="K362" s="147"/>
    </row>
    <row r="363">
      <c r="A363" s="147"/>
      <c r="B363" s="147"/>
      <c r="C363" s="147"/>
      <c r="D363" s="147"/>
      <c r="E363" s="147"/>
      <c r="F363" s="147"/>
      <c r="G363" s="147"/>
      <c r="H363" s="147"/>
      <c r="I363" s="147"/>
      <c r="J363" s="147"/>
      <c r="K363" s="147"/>
    </row>
    <row r="364">
      <c r="A364" s="147"/>
      <c r="B364" s="147"/>
      <c r="C364" s="147"/>
      <c r="D364" s="147"/>
      <c r="E364" s="147"/>
      <c r="F364" s="147"/>
      <c r="G364" s="147"/>
      <c r="H364" s="147"/>
      <c r="I364" s="147"/>
      <c r="J364" s="147"/>
      <c r="K364" s="147"/>
    </row>
    <row r="365">
      <c r="A365" s="147"/>
      <c r="B365" s="147"/>
      <c r="C365" s="147"/>
      <c r="D365" s="147"/>
      <c r="E365" s="147"/>
      <c r="F365" s="147"/>
      <c r="G365" s="147"/>
      <c r="H365" s="147"/>
      <c r="I365" s="147"/>
      <c r="J365" s="147"/>
      <c r="K365" s="147"/>
    </row>
    <row r="366">
      <c r="A366" s="147"/>
      <c r="B366" s="147"/>
      <c r="C366" s="147"/>
      <c r="D366" s="147"/>
      <c r="E366" s="147"/>
      <c r="F366" s="147"/>
      <c r="G366" s="147"/>
      <c r="H366" s="147"/>
      <c r="I366" s="147"/>
      <c r="J366" s="147"/>
      <c r="K366" s="147"/>
    </row>
    <row r="367">
      <c r="A367" s="147"/>
      <c r="B367" s="147"/>
      <c r="C367" s="147"/>
      <c r="D367" s="147"/>
      <c r="E367" s="147"/>
      <c r="F367" s="147"/>
      <c r="G367" s="147"/>
      <c r="H367" s="147"/>
      <c r="I367" s="147"/>
      <c r="J367" s="147"/>
      <c r="K367" s="147"/>
    </row>
    <row r="368">
      <c r="A368" s="147"/>
      <c r="B368" s="147"/>
      <c r="C368" s="147"/>
      <c r="D368" s="147"/>
      <c r="E368" s="147"/>
      <c r="F368" s="147"/>
      <c r="G368" s="147"/>
      <c r="H368" s="147"/>
      <c r="I368" s="147"/>
      <c r="J368" s="147"/>
      <c r="K368" s="147"/>
    </row>
    <row r="369">
      <c r="A369" s="147"/>
      <c r="B369" s="147"/>
      <c r="C369" s="147"/>
      <c r="D369" s="147"/>
      <c r="E369" s="147"/>
      <c r="F369" s="147"/>
      <c r="G369" s="147"/>
      <c r="H369" s="147"/>
      <c r="I369" s="147"/>
      <c r="J369" s="147"/>
      <c r="K369" s="147"/>
    </row>
    <row r="370">
      <c r="A370" s="147"/>
      <c r="B370" s="147"/>
      <c r="C370" s="147"/>
      <c r="D370" s="147"/>
      <c r="E370" s="147"/>
      <c r="F370" s="147"/>
      <c r="G370" s="147"/>
      <c r="H370" s="147"/>
      <c r="I370" s="147"/>
      <c r="J370" s="147"/>
      <c r="K370" s="147"/>
    </row>
    <row r="371">
      <c r="A371" s="147"/>
      <c r="B371" s="147"/>
      <c r="C371" s="147"/>
      <c r="D371" s="147"/>
      <c r="E371" s="147"/>
      <c r="F371" s="147"/>
      <c r="G371" s="147"/>
      <c r="H371" s="147"/>
      <c r="I371" s="147"/>
      <c r="J371" s="147"/>
      <c r="K371" s="147"/>
    </row>
    <row r="372">
      <c r="A372" s="147"/>
      <c r="B372" s="147"/>
      <c r="C372" s="147"/>
      <c r="D372" s="147"/>
      <c r="E372" s="147"/>
      <c r="F372" s="147"/>
      <c r="G372" s="147"/>
      <c r="H372" s="147"/>
      <c r="I372" s="147"/>
      <c r="J372" s="147"/>
      <c r="K372" s="147"/>
    </row>
    <row r="373">
      <c r="A373" s="147"/>
      <c r="B373" s="147"/>
      <c r="C373" s="147"/>
      <c r="D373" s="147"/>
      <c r="E373" s="147"/>
      <c r="F373" s="147"/>
      <c r="G373" s="147"/>
      <c r="H373" s="147"/>
      <c r="I373" s="147"/>
      <c r="J373" s="147"/>
      <c r="K373" s="147"/>
    </row>
    <row r="374">
      <c r="A374" s="147"/>
      <c r="B374" s="147"/>
      <c r="C374" s="147"/>
      <c r="D374" s="147"/>
      <c r="E374" s="147"/>
      <c r="F374" s="147"/>
      <c r="G374" s="147"/>
      <c r="H374" s="147"/>
      <c r="I374" s="147"/>
      <c r="J374" s="147"/>
      <c r="K374" s="147"/>
    </row>
    <row r="375">
      <c r="A375" s="147"/>
      <c r="B375" s="147"/>
      <c r="C375" s="147"/>
      <c r="D375" s="147"/>
      <c r="E375" s="147"/>
      <c r="F375" s="147"/>
      <c r="G375" s="147"/>
      <c r="H375" s="147"/>
      <c r="I375" s="147"/>
      <c r="J375" s="147"/>
      <c r="K375" s="147"/>
    </row>
    <row r="376">
      <c r="A376" s="147"/>
      <c r="B376" s="147"/>
      <c r="C376" s="147"/>
      <c r="D376" s="147"/>
      <c r="E376" s="147"/>
      <c r="F376" s="147"/>
      <c r="G376" s="147"/>
      <c r="H376" s="147"/>
      <c r="I376" s="147"/>
      <c r="J376" s="147"/>
      <c r="K376" s="147"/>
    </row>
    <row r="377">
      <c r="A377" s="147"/>
      <c r="B377" s="147"/>
      <c r="C377" s="147"/>
      <c r="D377" s="147"/>
      <c r="E377" s="147"/>
      <c r="F377" s="147"/>
      <c r="G377" s="147"/>
      <c r="H377" s="147"/>
      <c r="I377" s="147"/>
      <c r="J377" s="147"/>
      <c r="K377" s="147"/>
    </row>
    <row r="378">
      <c r="A378" s="147"/>
      <c r="B378" s="147"/>
      <c r="C378" s="147"/>
      <c r="D378" s="147"/>
      <c r="E378" s="147"/>
      <c r="F378" s="147"/>
      <c r="G378" s="147"/>
      <c r="H378" s="147"/>
      <c r="I378" s="147"/>
      <c r="J378" s="147"/>
      <c r="K378" s="147"/>
    </row>
    <row r="379">
      <c r="A379" s="147"/>
      <c r="B379" s="147"/>
      <c r="C379" s="147"/>
      <c r="D379" s="147"/>
      <c r="E379" s="147"/>
      <c r="F379" s="147"/>
      <c r="G379" s="147"/>
      <c r="H379" s="147"/>
      <c r="I379" s="147"/>
      <c r="J379" s="147"/>
      <c r="K379" s="147"/>
    </row>
    <row r="380">
      <c r="A380" s="147"/>
      <c r="B380" s="147"/>
      <c r="C380" s="147"/>
      <c r="D380" s="147"/>
      <c r="E380" s="147"/>
      <c r="F380" s="147"/>
      <c r="G380" s="147"/>
      <c r="H380" s="147"/>
      <c r="I380" s="147"/>
      <c r="J380" s="147"/>
      <c r="K380" s="147"/>
    </row>
    <row r="381">
      <c r="A381" s="147"/>
      <c r="B381" s="147"/>
      <c r="C381" s="147"/>
      <c r="D381" s="147"/>
      <c r="E381" s="147"/>
      <c r="F381" s="147"/>
      <c r="G381" s="147"/>
      <c r="H381" s="147"/>
      <c r="I381" s="147"/>
      <c r="J381" s="147"/>
      <c r="K381" s="147"/>
    </row>
    <row r="382">
      <c r="A382" s="147"/>
      <c r="B382" s="147"/>
      <c r="C382" s="147"/>
      <c r="D382" s="147"/>
      <c r="E382" s="147"/>
      <c r="F382" s="147"/>
      <c r="G382" s="147"/>
      <c r="H382" s="147"/>
      <c r="I382" s="147"/>
      <c r="J382" s="147"/>
      <c r="K382" s="147"/>
    </row>
    <row r="383">
      <c r="A383" s="147"/>
      <c r="B383" s="147"/>
      <c r="C383" s="147"/>
      <c r="D383" s="147"/>
      <c r="E383" s="147"/>
      <c r="F383" s="147"/>
      <c r="G383" s="147"/>
      <c r="H383" s="147"/>
      <c r="I383" s="147"/>
      <c r="J383" s="147"/>
      <c r="K383" s="147"/>
    </row>
    <row r="384">
      <c r="A384" s="147"/>
      <c r="B384" s="147"/>
      <c r="C384" s="147"/>
      <c r="D384" s="147"/>
      <c r="E384" s="147"/>
      <c r="F384" s="147"/>
      <c r="G384" s="147"/>
      <c r="H384" s="147"/>
      <c r="I384" s="147"/>
      <c r="J384" s="147"/>
      <c r="K384" s="147"/>
    </row>
    <row r="385">
      <c r="A385" s="147"/>
      <c r="B385" s="147"/>
      <c r="C385" s="147"/>
      <c r="D385" s="147"/>
      <c r="E385" s="147"/>
      <c r="F385" s="147"/>
      <c r="G385" s="147"/>
      <c r="H385" s="147"/>
      <c r="I385" s="147"/>
      <c r="J385" s="147"/>
      <c r="K385" s="147"/>
    </row>
    <row r="386">
      <c r="A386" s="147"/>
      <c r="B386" s="147"/>
      <c r="C386" s="147"/>
      <c r="D386" s="147"/>
      <c r="E386" s="147"/>
      <c r="F386" s="147"/>
      <c r="G386" s="147"/>
      <c r="H386" s="147"/>
      <c r="I386" s="147"/>
      <c r="J386" s="147"/>
      <c r="K386" s="147"/>
    </row>
    <row r="387">
      <c r="A387" s="147"/>
      <c r="B387" s="147"/>
      <c r="C387" s="147"/>
      <c r="D387" s="147"/>
      <c r="E387" s="147"/>
      <c r="F387" s="147"/>
      <c r="G387" s="147"/>
      <c r="H387" s="147"/>
      <c r="I387" s="147"/>
      <c r="J387" s="147"/>
      <c r="K387" s="147"/>
    </row>
    <row r="388">
      <c r="A388" s="147"/>
      <c r="B388" s="147"/>
      <c r="C388" s="147"/>
      <c r="D388" s="147"/>
      <c r="E388" s="147"/>
      <c r="F388" s="147"/>
      <c r="G388" s="147"/>
      <c r="H388" s="147"/>
      <c r="I388" s="147"/>
      <c r="J388" s="147"/>
      <c r="K388" s="147"/>
    </row>
    <row r="389">
      <c r="A389" s="147"/>
      <c r="B389" s="147"/>
      <c r="C389" s="147"/>
      <c r="D389" s="147"/>
      <c r="E389" s="147"/>
      <c r="F389" s="147"/>
      <c r="G389" s="147"/>
      <c r="H389" s="147"/>
      <c r="I389" s="147"/>
      <c r="J389" s="147"/>
      <c r="K389" s="147"/>
    </row>
    <row r="390">
      <c r="A390" s="147"/>
      <c r="B390" s="147"/>
      <c r="C390" s="147"/>
      <c r="D390" s="147"/>
      <c r="E390" s="147"/>
      <c r="F390" s="147"/>
      <c r="G390" s="147"/>
      <c r="H390" s="147"/>
      <c r="I390" s="147"/>
      <c r="J390" s="147"/>
      <c r="K390" s="147"/>
    </row>
    <row r="391">
      <c r="A391" s="147"/>
      <c r="B391" s="147"/>
      <c r="C391" s="147"/>
      <c r="D391" s="147"/>
      <c r="E391" s="147"/>
      <c r="F391" s="147"/>
      <c r="G391" s="147"/>
      <c r="H391" s="147"/>
      <c r="I391" s="147"/>
      <c r="J391" s="147"/>
      <c r="K391" s="147"/>
    </row>
    <row r="392">
      <c r="A392" s="147"/>
      <c r="B392" s="147"/>
      <c r="C392" s="147"/>
      <c r="D392" s="147"/>
      <c r="E392" s="147"/>
      <c r="F392" s="147"/>
      <c r="G392" s="147"/>
      <c r="H392" s="147"/>
      <c r="I392" s="147"/>
      <c r="J392" s="147"/>
      <c r="K392" s="147"/>
    </row>
    <row r="393">
      <c r="A393" s="147"/>
      <c r="B393" s="147"/>
      <c r="C393" s="147"/>
      <c r="D393" s="147"/>
      <c r="E393" s="147"/>
      <c r="F393" s="147"/>
      <c r="G393" s="147"/>
      <c r="H393" s="147"/>
      <c r="I393" s="147"/>
      <c r="J393" s="147"/>
      <c r="K393" s="147"/>
    </row>
    <row r="394">
      <c r="A394" s="147"/>
      <c r="B394" s="147"/>
      <c r="C394" s="147"/>
      <c r="D394" s="147"/>
      <c r="E394" s="147"/>
      <c r="F394" s="147"/>
      <c r="G394" s="147"/>
      <c r="H394" s="147"/>
      <c r="I394" s="147"/>
      <c r="J394" s="147"/>
      <c r="K394" s="147"/>
    </row>
    <row r="395">
      <c r="A395" s="147"/>
      <c r="B395" s="147"/>
      <c r="C395" s="147"/>
      <c r="D395" s="147"/>
      <c r="E395" s="147"/>
      <c r="F395" s="147"/>
      <c r="G395" s="147"/>
      <c r="H395" s="147"/>
      <c r="I395" s="147"/>
      <c r="J395" s="147"/>
      <c r="K395" s="147"/>
    </row>
    <row r="396">
      <c r="A396" s="147"/>
      <c r="B396" s="147"/>
      <c r="C396" s="147"/>
      <c r="D396" s="147"/>
      <c r="E396" s="147"/>
      <c r="F396" s="147"/>
      <c r="G396" s="147"/>
      <c r="H396" s="147"/>
      <c r="I396" s="147"/>
      <c r="J396" s="147"/>
      <c r="K396" s="147"/>
    </row>
    <row r="397">
      <c r="A397" s="147"/>
      <c r="B397" s="147"/>
      <c r="C397" s="147"/>
      <c r="D397" s="147"/>
      <c r="E397" s="147"/>
      <c r="F397" s="147"/>
      <c r="G397" s="147"/>
      <c r="H397" s="147"/>
      <c r="I397" s="147"/>
      <c r="J397" s="147"/>
      <c r="K397" s="147"/>
    </row>
    <row r="398">
      <c r="A398" s="147"/>
      <c r="B398" s="147"/>
      <c r="C398" s="147"/>
      <c r="D398" s="147"/>
      <c r="E398" s="147"/>
      <c r="F398" s="147"/>
      <c r="G398" s="147"/>
      <c r="H398" s="147"/>
      <c r="I398" s="147"/>
      <c r="J398" s="147"/>
      <c r="K398" s="147"/>
    </row>
    <row r="399">
      <c r="A399" s="147"/>
      <c r="B399" s="147"/>
      <c r="C399" s="147"/>
      <c r="D399" s="147"/>
      <c r="E399" s="147"/>
      <c r="F399" s="147"/>
      <c r="G399" s="147"/>
      <c r="H399" s="147"/>
      <c r="I399" s="147"/>
      <c r="J399" s="147"/>
      <c r="K399" s="147"/>
    </row>
    <row r="400">
      <c r="A400" s="147"/>
      <c r="B400" s="147"/>
      <c r="C400" s="147"/>
      <c r="D400" s="147"/>
      <c r="E400" s="147"/>
      <c r="F400" s="147"/>
      <c r="G400" s="147"/>
      <c r="H400" s="147"/>
      <c r="I400" s="147"/>
      <c r="J400" s="147"/>
      <c r="K400" s="147"/>
    </row>
    <row r="401">
      <c r="A401" s="147"/>
      <c r="B401" s="147"/>
      <c r="C401" s="147"/>
      <c r="D401" s="147"/>
      <c r="E401" s="147"/>
      <c r="F401" s="147"/>
      <c r="G401" s="147"/>
      <c r="H401" s="147"/>
      <c r="I401" s="147"/>
      <c r="J401" s="147"/>
      <c r="K401" s="147"/>
    </row>
    <row r="402">
      <c r="A402" s="147"/>
      <c r="B402" s="147"/>
      <c r="C402" s="147"/>
      <c r="D402" s="147"/>
      <c r="E402" s="147"/>
      <c r="F402" s="147"/>
      <c r="G402" s="147"/>
      <c r="H402" s="147"/>
      <c r="I402" s="147"/>
      <c r="J402" s="147"/>
      <c r="K402" s="147"/>
    </row>
    <row r="403">
      <c r="A403" s="147"/>
      <c r="B403" s="147"/>
      <c r="C403" s="147"/>
      <c r="D403" s="147"/>
      <c r="E403" s="147"/>
      <c r="F403" s="147"/>
      <c r="G403" s="147"/>
      <c r="H403" s="147"/>
      <c r="I403" s="147"/>
      <c r="J403" s="147"/>
      <c r="K403" s="147"/>
    </row>
    <row r="404">
      <c r="A404" s="147"/>
      <c r="B404" s="147"/>
      <c r="C404" s="147"/>
      <c r="D404" s="147"/>
      <c r="E404" s="147"/>
      <c r="F404" s="147"/>
      <c r="G404" s="147"/>
      <c r="H404" s="147"/>
      <c r="I404" s="147"/>
      <c r="J404" s="147"/>
      <c r="K404" s="147"/>
    </row>
    <row r="405">
      <c r="A405" s="147"/>
      <c r="B405" s="147"/>
      <c r="C405" s="147"/>
      <c r="D405" s="147"/>
      <c r="E405" s="147"/>
      <c r="F405" s="147"/>
      <c r="G405" s="147"/>
      <c r="H405" s="147"/>
      <c r="I405" s="147"/>
      <c r="J405" s="147"/>
      <c r="K405" s="147"/>
    </row>
    <row r="406">
      <c r="A406" s="147"/>
      <c r="B406" s="147"/>
      <c r="C406" s="147"/>
      <c r="D406" s="147"/>
      <c r="E406" s="147"/>
      <c r="F406" s="147"/>
      <c r="G406" s="147"/>
      <c r="H406" s="147"/>
      <c r="I406" s="147"/>
      <c r="J406" s="147"/>
      <c r="K406" s="147"/>
    </row>
    <row r="407">
      <c r="A407" s="147"/>
      <c r="B407" s="147"/>
      <c r="C407" s="147"/>
      <c r="D407" s="147"/>
      <c r="E407" s="147"/>
      <c r="F407" s="147"/>
      <c r="G407" s="147"/>
      <c r="H407" s="147"/>
      <c r="I407" s="147"/>
      <c r="J407" s="147"/>
      <c r="K407" s="147"/>
    </row>
    <row r="408">
      <c r="A408" s="147"/>
      <c r="B408" s="147"/>
      <c r="C408" s="147"/>
      <c r="D408" s="147"/>
      <c r="E408" s="147"/>
      <c r="F408" s="147"/>
      <c r="G408" s="147"/>
      <c r="H408" s="147"/>
      <c r="I408" s="147"/>
      <c r="J408" s="147"/>
      <c r="K408" s="147"/>
    </row>
    <row r="409">
      <c r="A409" s="147"/>
      <c r="B409" s="147"/>
      <c r="C409" s="147"/>
      <c r="D409" s="147"/>
      <c r="E409" s="147"/>
      <c r="F409" s="147"/>
      <c r="G409" s="147"/>
      <c r="H409" s="147"/>
      <c r="I409" s="147"/>
      <c r="J409" s="147"/>
      <c r="K409" s="147"/>
    </row>
    <row r="410">
      <c r="A410" s="147"/>
      <c r="B410" s="147"/>
      <c r="C410" s="147"/>
      <c r="D410" s="147"/>
      <c r="E410" s="147"/>
      <c r="F410" s="147"/>
      <c r="G410" s="147"/>
      <c r="H410" s="147"/>
      <c r="I410" s="147"/>
      <c r="J410" s="147"/>
      <c r="K410" s="147"/>
    </row>
    <row r="411">
      <c r="A411" s="147"/>
      <c r="B411" s="147"/>
      <c r="C411" s="147"/>
      <c r="D411" s="147"/>
      <c r="E411" s="147"/>
      <c r="F411" s="147"/>
      <c r="G411" s="147"/>
      <c r="H411" s="147"/>
      <c r="I411" s="147"/>
      <c r="J411" s="147"/>
      <c r="K411" s="147"/>
    </row>
    <row r="412">
      <c r="A412" s="147"/>
      <c r="B412" s="147"/>
      <c r="C412" s="147"/>
      <c r="D412" s="147"/>
      <c r="E412" s="147"/>
      <c r="F412" s="147"/>
      <c r="G412" s="147"/>
      <c r="H412" s="147"/>
      <c r="I412" s="147"/>
      <c r="J412" s="147"/>
      <c r="K412" s="147"/>
    </row>
    <row r="413">
      <c r="A413" s="147"/>
      <c r="B413" s="147"/>
      <c r="C413" s="147"/>
      <c r="D413" s="147"/>
      <c r="E413" s="147"/>
      <c r="F413" s="147"/>
      <c r="G413" s="147"/>
      <c r="H413" s="147"/>
      <c r="I413" s="147"/>
      <c r="J413" s="147"/>
      <c r="K413" s="147"/>
    </row>
    <row r="414">
      <c r="A414" s="147"/>
      <c r="B414" s="147"/>
      <c r="C414" s="147"/>
      <c r="D414" s="147"/>
      <c r="E414" s="147"/>
      <c r="F414" s="147"/>
      <c r="G414" s="147"/>
      <c r="H414" s="147"/>
      <c r="I414" s="147"/>
      <c r="J414" s="147"/>
      <c r="K414" s="147"/>
    </row>
    <row r="415">
      <c r="A415" s="147"/>
      <c r="B415" s="147"/>
      <c r="C415" s="147"/>
      <c r="D415" s="147"/>
      <c r="E415" s="147"/>
      <c r="F415" s="147"/>
      <c r="G415" s="147"/>
      <c r="H415" s="147"/>
      <c r="I415" s="147"/>
      <c r="J415" s="147"/>
      <c r="K415" s="147"/>
    </row>
    <row r="416">
      <c r="A416" s="147"/>
      <c r="B416" s="147"/>
      <c r="C416" s="147"/>
      <c r="D416" s="147"/>
      <c r="E416" s="147"/>
      <c r="F416" s="147"/>
      <c r="G416" s="147"/>
      <c r="H416" s="147"/>
      <c r="I416" s="147"/>
      <c r="J416" s="147"/>
      <c r="K416" s="147"/>
    </row>
    <row r="417">
      <c r="A417" s="147"/>
      <c r="B417" s="147"/>
      <c r="C417" s="147"/>
      <c r="D417" s="147"/>
      <c r="E417" s="147"/>
      <c r="F417" s="147"/>
      <c r="G417" s="147"/>
      <c r="H417" s="147"/>
      <c r="I417" s="147"/>
      <c r="J417" s="147"/>
      <c r="K417" s="147"/>
    </row>
    <row r="418">
      <c r="A418" s="147"/>
      <c r="B418" s="147"/>
      <c r="C418" s="147"/>
      <c r="D418" s="147"/>
      <c r="E418" s="147"/>
      <c r="F418" s="147"/>
      <c r="G418" s="147"/>
      <c r="H418" s="147"/>
      <c r="I418" s="147"/>
      <c r="J418" s="147"/>
      <c r="K418" s="147"/>
    </row>
    <row r="419">
      <c r="A419" s="147"/>
      <c r="B419" s="147"/>
      <c r="C419" s="147"/>
      <c r="D419" s="147"/>
      <c r="E419" s="147"/>
      <c r="F419" s="147"/>
      <c r="G419" s="147"/>
      <c r="H419" s="147"/>
      <c r="I419" s="147"/>
      <c r="J419" s="147"/>
      <c r="K419" s="147"/>
    </row>
    <row r="420">
      <c r="A420" s="147"/>
      <c r="B420" s="147"/>
      <c r="C420" s="147"/>
      <c r="D420" s="147"/>
      <c r="E420" s="147"/>
      <c r="F420" s="147"/>
      <c r="G420" s="147"/>
      <c r="H420" s="147"/>
      <c r="I420" s="147"/>
      <c r="J420" s="147"/>
      <c r="K420" s="147"/>
    </row>
    <row r="421">
      <c r="A421" s="147"/>
      <c r="B421" s="147"/>
      <c r="C421" s="147"/>
      <c r="D421" s="147"/>
      <c r="E421" s="147"/>
      <c r="F421" s="147"/>
      <c r="G421" s="147"/>
      <c r="H421" s="147"/>
      <c r="I421" s="147"/>
      <c r="J421" s="147"/>
      <c r="K421" s="147"/>
    </row>
    <row r="422">
      <c r="A422" s="147"/>
      <c r="B422" s="147"/>
      <c r="C422" s="147"/>
      <c r="D422" s="147"/>
      <c r="E422" s="147"/>
      <c r="F422" s="147"/>
      <c r="G422" s="147"/>
      <c r="H422" s="147"/>
      <c r="I422" s="147"/>
      <c r="J422" s="147"/>
      <c r="K422" s="147"/>
    </row>
    <row r="423">
      <c r="A423" s="147"/>
      <c r="B423" s="147"/>
      <c r="C423" s="147"/>
      <c r="D423" s="147"/>
      <c r="E423" s="147"/>
      <c r="F423" s="147"/>
      <c r="G423" s="147"/>
      <c r="H423" s="147"/>
      <c r="I423" s="147"/>
      <c r="J423" s="147"/>
      <c r="K423" s="147"/>
    </row>
    <row r="424">
      <c r="A424" s="147"/>
      <c r="B424" s="147"/>
      <c r="C424" s="147"/>
      <c r="D424" s="147"/>
      <c r="E424" s="147"/>
      <c r="F424" s="147"/>
      <c r="G424" s="147"/>
      <c r="H424" s="147"/>
      <c r="I424" s="147"/>
      <c r="J424" s="147"/>
      <c r="K424" s="147"/>
    </row>
    <row r="425">
      <c r="A425" s="147"/>
      <c r="B425" s="147"/>
      <c r="C425" s="147"/>
      <c r="D425" s="147"/>
      <c r="E425" s="147"/>
      <c r="F425" s="147"/>
      <c r="G425" s="147"/>
      <c r="H425" s="147"/>
      <c r="I425" s="147"/>
      <c r="J425" s="147"/>
      <c r="K425" s="147"/>
    </row>
    <row r="426">
      <c r="A426" s="147"/>
      <c r="B426" s="147"/>
      <c r="C426" s="147"/>
      <c r="D426" s="147"/>
      <c r="E426" s="147"/>
      <c r="F426" s="147"/>
      <c r="G426" s="147"/>
      <c r="H426" s="147"/>
      <c r="I426" s="147"/>
      <c r="J426" s="147"/>
      <c r="K426" s="147"/>
    </row>
    <row r="427">
      <c r="A427" s="147"/>
      <c r="B427" s="147"/>
      <c r="C427" s="147"/>
      <c r="D427" s="147"/>
      <c r="E427" s="147"/>
      <c r="F427" s="147"/>
      <c r="G427" s="147"/>
      <c r="H427" s="147"/>
      <c r="I427" s="147"/>
      <c r="J427" s="147"/>
      <c r="K427" s="147"/>
    </row>
    <row r="428">
      <c r="A428" s="147"/>
      <c r="B428" s="147"/>
      <c r="C428" s="147"/>
      <c r="D428" s="147"/>
      <c r="E428" s="147"/>
      <c r="F428" s="147"/>
      <c r="G428" s="147"/>
      <c r="H428" s="147"/>
      <c r="I428" s="147"/>
      <c r="J428" s="147"/>
      <c r="K428" s="147"/>
    </row>
    <row r="429">
      <c r="A429" s="147"/>
      <c r="B429" s="147"/>
      <c r="C429" s="147"/>
      <c r="D429" s="147"/>
      <c r="E429" s="147"/>
      <c r="F429" s="147"/>
      <c r="G429" s="147"/>
      <c r="H429" s="147"/>
      <c r="I429" s="147"/>
      <c r="J429" s="147"/>
      <c r="K429" s="147"/>
    </row>
    <row r="430">
      <c r="A430" s="147"/>
      <c r="B430" s="147"/>
      <c r="C430" s="147"/>
      <c r="D430" s="147"/>
      <c r="E430" s="147"/>
      <c r="F430" s="147"/>
      <c r="G430" s="147"/>
      <c r="H430" s="147"/>
      <c r="I430" s="147"/>
      <c r="J430" s="147"/>
      <c r="K430" s="147"/>
    </row>
    <row r="431">
      <c r="A431" s="147"/>
      <c r="B431" s="147"/>
      <c r="C431" s="147"/>
      <c r="D431" s="147"/>
      <c r="E431" s="147"/>
      <c r="F431" s="147"/>
      <c r="G431" s="147"/>
      <c r="H431" s="147"/>
      <c r="I431" s="147"/>
      <c r="J431" s="147"/>
      <c r="K431" s="147"/>
    </row>
    <row r="432">
      <c r="A432" s="147"/>
      <c r="B432" s="147"/>
      <c r="C432" s="147"/>
      <c r="D432" s="147"/>
      <c r="E432" s="147"/>
      <c r="F432" s="147"/>
      <c r="G432" s="147"/>
      <c r="H432" s="147"/>
      <c r="I432" s="147"/>
      <c r="J432" s="147"/>
      <c r="K432" s="147"/>
    </row>
    <row r="433">
      <c r="A433" s="147"/>
      <c r="B433" s="147"/>
      <c r="C433" s="147"/>
      <c r="D433" s="147"/>
      <c r="E433" s="147"/>
      <c r="F433" s="147"/>
      <c r="G433" s="147"/>
      <c r="H433" s="147"/>
      <c r="I433" s="147"/>
      <c r="J433" s="147"/>
      <c r="K433" s="147"/>
    </row>
    <row r="434">
      <c r="A434" s="147"/>
      <c r="B434" s="147"/>
      <c r="C434" s="147"/>
      <c r="D434" s="147"/>
      <c r="E434" s="147"/>
      <c r="F434" s="147"/>
      <c r="G434" s="147"/>
      <c r="H434" s="147"/>
      <c r="I434" s="147"/>
      <c r="J434" s="147"/>
      <c r="K434" s="147"/>
    </row>
    <row r="435">
      <c r="A435" s="147"/>
      <c r="B435" s="147"/>
      <c r="C435" s="147"/>
      <c r="D435" s="147"/>
      <c r="E435" s="147"/>
      <c r="F435" s="147"/>
      <c r="G435" s="147"/>
      <c r="H435" s="147"/>
      <c r="I435" s="147"/>
      <c r="J435" s="147"/>
      <c r="K435" s="147"/>
    </row>
    <row r="436">
      <c r="A436" s="147"/>
      <c r="B436" s="147"/>
      <c r="C436" s="147"/>
      <c r="D436" s="147"/>
      <c r="E436" s="147"/>
      <c r="F436" s="147"/>
      <c r="G436" s="147"/>
      <c r="H436" s="147"/>
      <c r="I436" s="147"/>
      <c r="J436" s="147"/>
      <c r="K436" s="147"/>
    </row>
    <row r="437">
      <c r="A437" s="147"/>
      <c r="B437" s="147"/>
      <c r="C437" s="147"/>
      <c r="D437" s="147"/>
      <c r="E437" s="147"/>
      <c r="F437" s="147"/>
      <c r="G437" s="147"/>
      <c r="H437" s="147"/>
      <c r="I437" s="147"/>
      <c r="J437" s="147"/>
      <c r="K437" s="147"/>
    </row>
    <row r="438">
      <c r="A438" s="147"/>
      <c r="B438" s="147"/>
      <c r="C438" s="147"/>
      <c r="D438" s="147"/>
      <c r="E438" s="147"/>
      <c r="F438" s="147"/>
      <c r="G438" s="147"/>
      <c r="H438" s="147"/>
      <c r="I438" s="147"/>
      <c r="J438" s="147"/>
      <c r="K438" s="147"/>
    </row>
    <row r="439">
      <c r="A439" s="147"/>
      <c r="B439" s="147"/>
      <c r="C439" s="147"/>
      <c r="D439" s="147"/>
      <c r="E439" s="147"/>
      <c r="F439" s="147"/>
      <c r="G439" s="147"/>
      <c r="H439" s="147"/>
      <c r="I439" s="147"/>
      <c r="J439" s="147"/>
      <c r="K439" s="147"/>
    </row>
    <row r="440">
      <c r="A440" s="147"/>
      <c r="B440" s="147"/>
      <c r="C440" s="147"/>
      <c r="D440" s="147"/>
      <c r="E440" s="147"/>
      <c r="F440" s="147"/>
      <c r="G440" s="147"/>
      <c r="H440" s="147"/>
      <c r="I440" s="147"/>
      <c r="J440" s="147"/>
      <c r="K440" s="147"/>
    </row>
    <row r="441">
      <c r="A441" s="147"/>
      <c r="B441" s="147"/>
      <c r="C441" s="147"/>
      <c r="D441" s="147"/>
      <c r="E441" s="147"/>
      <c r="F441" s="147"/>
      <c r="G441" s="147"/>
      <c r="H441" s="147"/>
      <c r="I441" s="147"/>
      <c r="J441" s="147"/>
      <c r="K441" s="147"/>
    </row>
    <row r="442">
      <c r="A442" s="147"/>
      <c r="B442" s="147"/>
      <c r="C442" s="147"/>
      <c r="D442" s="147"/>
      <c r="E442" s="147"/>
      <c r="F442" s="147"/>
      <c r="G442" s="147"/>
      <c r="H442" s="147"/>
      <c r="I442" s="147"/>
      <c r="J442" s="147"/>
      <c r="K442" s="147"/>
    </row>
    <row r="443">
      <c r="A443" s="147"/>
      <c r="B443" s="147"/>
      <c r="C443" s="147"/>
      <c r="D443" s="147"/>
      <c r="E443" s="147"/>
      <c r="F443" s="147"/>
      <c r="G443" s="147"/>
      <c r="H443" s="147"/>
      <c r="I443" s="147"/>
      <c r="J443" s="147"/>
      <c r="K443" s="147"/>
    </row>
    <row r="444">
      <c r="A444" s="147"/>
      <c r="B444" s="147"/>
      <c r="C444" s="147"/>
      <c r="D444" s="147"/>
      <c r="E444" s="147"/>
      <c r="F444" s="147"/>
      <c r="G444" s="147"/>
      <c r="H444" s="147"/>
      <c r="I444" s="147"/>
      <c r="J444" s="147"/>
      <c r="K444" s="147"/>
    </row>
    <row r="445">
      <c r="A445" s="147"/>
      <c r="B445" s="147"/>
      <c r="C445" s="147"/>
      <c r="D445" s="147"/>
      <c r="E445" s="147"/>
      <c r="F445" s="147"/>
      <c r="G445" s="147"/>
      <c r="H445" s="147"/>
      <c r="I445" s="147"/>
      <c r="J445" s="147"/>
      <c r="K445" s="147"/>
    </row>
    <row r="446">
      <c r="A446" s="147"/>
      <c r="B446" s="147"/>
      <c r="C446" s="147"/>
      <c r="D446" s="147"/>
      <c r="E446" s="147"/>
      <c r="F446" s="147"/>
      <c r="G446" s="147"/>
      <c r="H446" s="147"/>
      <c r="I446" s="147"/>
      <c r="J446" s="147"/>
      <c r="K446" s="147"/>
    </row>
    <row r="447">
      <c r="A447" s="147"/>
      <c r="B447" s="147"/>
      <c r="C447" s="147"/>
      <c r="D447" s="147"/>
      <c r="E447" s="147"/>
      <c r="F447" s="147"/>
      <c r="G447" s="147"/>
      <c r="H447" s="147"/>
      <c r="I447" s="147"/>
      <c r="J447" s="147"/>
      <c r="K447" s="147"/>
    </row>
    <row r="448">
      <c r="A448" s="147"/>
      <c r="B448" s="147"/>
      <c r="C448" s="147"/>
      <c r="D448" s="147"/>
      <c r="E448" s="147"/>
      <c r="F448" s="147"/>
      <c r="G448" s="147"/>
      <c r="H448" s="147"/>
      <c r="I448" s="147"/>
      <c r="J448" s="147"/>
      <c r="K448" s="147"/>
    </row>
    <row r="449">
      <c r="A449" s="147"/>
      <c r="B449" s="147"/>
      <c r="C449" s="147"/>
      <c r="D449" s="147"/>
      <c r="E449" s="147"/>
      <c r="F449" s="147"/>
      <c r="G449" s="147"/>
      <c r="H449" s="147"/>
      <c r="I449" s="147"/>
      <c r="J449" s="147"/>
      <c r="K449" s="147"/>
    </row>
    <row r="450">
      <c r="A450" s="147"/>
      <c r="B450" s="147"/>
      <c r="C450" s="147"/>
      <c r="D450" s="147"/>
      <c r="E450" s="147"/>
      <c r="F450" s="147"/>
      <c r="G450" s="147"/>
      <c r="H450" s="147"/>
      <c r="I450" s="147"/>
      <c r="J450" s="147"/>
      <c r="K450" s="147"/>
    </row>
    <row r="451">
      <c r="A451" s="147"/>
      <c r="B451" s="147"/>
      <c r="C451" s="147"/>
      <c r="D451" s="147"/>
      <c r="E451" s="147"/>
      <c r="F451" s="147"/>
      <c r="G451" s="147"/>
      <c r="H451" s="147"/>
      <c r="I451" s="147"/>
      <c r="J451" s="147"/>
      <c r="K451" s="147"/>
    </row>
    <row r="452">
      <c r="A452" s="147"/>
      <c r="B452" s="147"/>
      <c r="C452" s="147"/>
      <c r="D452" s="147"/>
      <c r="E452" s="147"/>
      <c r="F452" s="147"/>
      <c r="G452" s="147"/>
      <c r="H452" s="147"/>
      <c r="I452" s="147"/>
      <c r="J452" s="147"/>
      <c r="K452" s="147"/>
    </row>
    <row r="453">
      <c r="A453" s="147"/>
      <c r="B453" s="147"/>
      <c r="C453" s="147"/>
      <c r="D453" s="147"/>
      <c r="E453" s="147"/>
      <c r="F453" s="147"/>
      <c r="G453" s="147"/>
      <c r="H453" s="147"/>
      <c r="I453" s="147"/>
      <c r="J453" s="147"/>
      <c r="K453" s="147"/>
    </row>
    <row r="454">
      <c r="A454" s="147"/>
      <c r="B454" s="147"/>
      <c r="C454" s="147"/>
      <c r="D454" s="147"/>
      <c r="E454" s="147"/>
      <c r="F454" s="147"/>
      <c r="G454" s="147"/>
      <c r="H454" s="147"/>
      <c r="I454" s="147"/>
      <c r="J454" s="147"/>
      <c r="K454" s="147"/>
    </row>
    <row r="455">
      <c r="A455" s="147"/>
      <c r="B455" s="147"/>
      <c r="C455" s="147"/>
      <c r="D455" s="147"/>
      <c r="E455" s="147"/>
      <c r="F455" s="147"/>
      <c r="G455" s="147"/>
      <c r="H455" s="147"/>
      <c r="I455" s="147"/>
      <c r="J455" s="147"/>
      <c r="K455" s="147"/>
    </row>
    <row r="456">
      <c r="A456" s="147"/>
      <c r="B456" s="147"/>
      <c r="C456" s="147"/>
      <c r="D456" s="147"/>
      <c r="E456" s="147"/>
      <c r="F456" s="147"/>
      <c r="G456" s="147"/>
      <c r="H456" s="147"/>
      <c r="I456" s="147"/>
      <c r="J456" s="147"/>
      <c r="K456" s="147"/>
    </row>
    <row r="457">
      <c r="A457" s="147"/>
      <c r="B457" s="147"/>
      <c r="C457" s="147"/>
      <c r="D457" s="147"/>
      <c r="E457" s="147"/>
      <c r="F457" s="147"/>
      <c r="G457" s="147"/>
      <c r="H457" s="147"/>
      <c r="I457" s="147"/>
      <c r="J457" s="147"/>
      <c r="K457" s="147"/>
    </row>
    <row r="458">
      <c r="A458" s="147"/>
      <c r="B458" s="147"/>
      <c r="C458" s="147"/>
      <c r="D458" s="147"/>
      <c r="E458" s="147"/>
      <c r="F458" s="147"/>
      <c r="G458" s="147"/>
      <c r="H458" s="147"/>
      <c r="I458" s="147"/>
      <c r="J458" s="147"/>
      <c r="K458" s="147"/>
    </row>
    <row r="459">
      <c r="A459" s="147"/>
      <c r="B459" s="147"/>
      <c r="C459" s="147"/>
      <c r="D459" s="147"/>
      <c r="E459" s="147"/>
      <c r="F459" s="147"/>
      <c r="G459" s="147"/>
      <c r="H459" s="147"/>
      <c r="I459" s="147"/>
      <c r="J459" s="147"/>
      <c r="K459" s="147"/>
    </row>
    <row r="460">
      <c r="A460" s="147"/>
      <c r="B460" s="147"/>
      <c r="C460" s="147"/>
      <c r="D460" s="147"/>
      <c r="E460" s="147"/>
      <c r="F460" s="147"/>
      <c r="G460" s="147"/>
      <c r="H460" s="147"/>
      <c r="I460" s="147"/>
      <c r="J460" s="147"/>
      <c r="K460" s="147"/>
    </row>
    <row r="461">
      <c r="A461" s="147"/>
      <c r="B461" s="147"/>
      <c r="C461" s="147"/>
      <c r="D461" s="147"/>
      <c r="E461" s="147"/>
      <c r="F461" s="147"/>
      <c r="G461" s="147"/>
      <c r="H461" s="147"/>
      <c r="I461" s="147"/>
      <c r="J461" s="147"/>
      <c r="K461" s="147"/>
    </row>
    <row r="462">
      <c r="A462" s="147"/>
      <c r="B462" s="147"/>
      <c r="C462" s="147"/>
      <c r="D462" s="147"/>
      <c r="E462" s="147"/>
      <c r="F462" s="147"/>
      <c r="G462" s="147"/>
      <c r="H462" s="147"/>
      <c r="I462" s="147"/>
      <c r="J462" s="147"/>
      <c r="K462" s="147"/>
    </row>
    <row r="463">
      <c r="A463" s="147"/>
      <c r="B463" s="147"/>
      <c r="C463" s="147"/>
      <c r="D463" s="147"/>
      <c r="E463" s="147"/>
      <c r="F463" s="147"/>
      <c r="G463" s="147"/>
      <c r="H463" s="147"/>
      <c r="I463" s="147"/>
      <c r="J463" s="147"/>
      <c r="K463" s="147"/>
    </row>
    <row r="464">
      <c r="A464" s="147"/>
      <c r="B464" s="147"/>
      <c r="C464" s="147"/>
      <c r="D464" s="147"/>
      <c r="E464" s="147"/>
      <c r="F464" s="147"/>
      <c r="G464" s="147"/>
      <c r="H464" s="147"/>
      <c r="I464" s="147"/>
      <c r="J464" s="147"/>
      <c r="K464" s="147"/>
    </row>
    <row r="465">
      <c r="A465" s="147"/>
      <c r="B465" s="147"/>
      <c r="C465" s="147"/>
      <c r="D465" s="147"/>
      <c r="E465" s="147"/>
      <c r="F465" s="147"/>
      <c r="G465" s="147"/>
      <c r="H465" s="147"/>
      <c r="I465" s="147"/>
      <c r="J465" s="147"/>
      <c r="K465" s="147"/>
    </row>
    <row r="466">
      <c r="A466" s="147"/>
      <c r="B466" s="147"/>
      <c r="C466" s="147"/>
      <c r="D466" s="147"/>
      <c r="E466" s="147"/>
      <c r="F466" s="147"/>
      <c r="G466" s="147"/>
      <c r="H466" s="147"/>
      <c r="I466" s="147"/>
      <c r="J466" s="147"/>
      <c r="K466" s="147"/>
    </row>
    <row r="467">
      <c r="A467" s="147"/>
      <c r="B467" s="147"/>
      <c r="C467" s="147"/>
      <c r="D467" s="147"/>
      <c r="E467" s="147"/>
      <c r="F467" s="147"/>
      <c r="G467" s="147"/>
      <c r="H467" s="147"/>
      <c r="I467" s="147"/>
      <c r="J467" s="147"/>
      <c r="K467" s="147"/>
    </row>
    <row r="468">
      <c r="A468" s="147"/>
      <c r="B468" s="147"/>
      <c r="C468" s="147"/>
      <c r="D468" s="147"/>
      <c r="E468" s="147"/>
      <c r="F468" s="147"/>
      <c r="G468" s="147"/>
      <c r="H468" s="147"/>
      <c r="I468" s="147"/>
      <c r="J468" s="147"/>
      <c r="K468" s="147"/>
    </row>
    <row r="469">
      <c r="A469" s="147"/>
      <c r="B469" s="147"/>
      <c r="C469" s="147"/>
      <c r="D469" s="147"/>
      <c r="E469" s="147"/>
      <c r="F469" s="147"/>
      <c r="G469" s="147"/>
      <c r="H469" s="147"/>
      <c r="I469" s="147"/>
      <c r="J469" s="147"/>
      <c r="K469" s="147"/>
    </row>
    <row r="470">
      <c r="A470" s="147"/>
      <c r="B470" s="147"/>
      <c r="C470" s="147"/>
      <c r="D470" s="147"/>
      <c r="E470" s="147"/>
      <c r="F470" s="147"/>
      <c r="G470" s="147"/>
      <c r="H470" s="147"/>
      <c r="I470" s="147"/>
      <c r="J470" s="147"/>
      <c r="K470" s="147"/>
    </row>
    <row r="471">
      <c r="A471" s="147"/>
      <c r="B471" s="147"/>
      <c r="C471" s="147"/>
      <c r="D471" s="147"/>
      <c r="E471" s="147"/>
      <c r="F471" s="147"/>
      <c r="G471" s="147"/>
      <c r="H471" s="147"/>
      <c r="I471" s="147"/>
      <c r="J471" s="147"/>
      <c r="K471" s="147"/>
    </row>
    <row r="472">
      <c r="A472" s="147"/>
      <c r="B472" s="147"/>
      <c r="C472" s="147"/>
      <c r="D472" s="147"/>
      <c r="E472" s="147"/>
      <c r="F472" s="147"/>
      <c r="G472" s="147"/>
      <c r="H472" s="147"/>
      <c r="I472" s="147"/>
      <c r="J472" s="147"/>
      <c r="K472" s="147"/>
    </row>
    <row r="473">
      <c r="A473" s="147"/>
      <c r="B473" s="147"/>
      <c r="C473" s="147"/>
      <c r="D473" s="147"/>
      <c r="E473" s="147"/>
      <c r="F473" s="147"/>
      <c r="G473" s="147"/>
      <c r="H473" s="147"/>
      <c r="I473" s="147"/>
      <c r="J473" s="147"/>
      <c r="K473" s="147"/>
    </row>
    <row r="474">
      <c r="A474" s="147"/>
      <c r="B474" s="147"/>
      <c r="C474" s="147"/>
      <c r="D474" s="147"/>
      <c r="E474" s="147"/>
      <c r="F474" s="147"/>
      <c r="G474" s="147"/>
      <c r="H474" s="147"/>
      <c r="I474" s="147"/>
      <c r="J474" s="147"/>
      <c r="K474" s="147"/>
    </row>
    <row r="475">
      <c r="A475" s="147"/>
      <c r="B475" s="147"/>
      <c r="C475" s="147"/>
      <c r="D475" s="147"/>
      <c r="E475" s="147"/>
      <c r="F475" s="147"/>
      <c r="G475" s="147"/>
      <c r="H475" s="147"/>
      <c r="I475" s="147"/>
      <c r="J475" s="147"/>
      <c r="K475" s="147"/>
    </row>
    <row r="476">
      <c r="A476" s="147"/>
      <c r="B476" s="147"/>
      <c r="C476" s="147"/>
      <c r="D476" s="147"/>
      <c r="E476" s="147"/>
      <c r="F476" s="147"/>
      <c r="G476" s="147"/>
      <c r="H476" s="147"/>
      <c r="I476" s="147"/>
      <c r="J476" s="147"/>
      <c r="K476" s="147"/>
    </row>
    <row r="477">
      <c r="A477" s="147"/>
      <c r="B477" s="147"/>
      <c r="C477" s="147"/>
      <c r="D477" s="147"/>
      <c r="E477" s="147"/>
      <c r="F477" s="147"/>
      <c r="G477" s="147"/>
      <c r="H477" s="147"/>
      <c r="I477" s="147"/>
      <c r="J477" s="147"/>
      <c r="K477" s="147"/>
    </row>
    <row r="478">
      <c r="A478" s="147"/>
      <c r="B478" s="147"/>
      <c r="C478" s="147"/>
      <c r="D478" s="147"/>
      <c r="E478" s="147"/>
      <c r="F478" s="147"/>
      <c r="G478" s="147"/>
      <c r="H478" s="147"/>
      <c r="I478" s="147"/>
      <c r="J478" s="147"/>
      <c r="K478" s="147"/>
    </row>
    <row r="479">
      <c r="A479" s="147"/>
      <c r="B479" s="147"/>
      <c r="C479" s="147"/>
      <c r="D479" s="147"/>
      <c r="E479" s="147"/>
      <c r="F479" s="147"/>
      <c r="G479" s="147"/>
      <c r="H479" s="147"/>
      <c r="I479" s="147"/>
      <c r="J479" s="147"/>
      <c r="K479" s="147"/>
    </row>
    <row r="480">
      <c r="A480" s="147"/>
      <c r="B480" s="147"/>
      <c r="C480" s="147"/>
      <c r="D480" s="147"/>
      <c r="E480" s="147"/>
      <c r="F480" s="147"/>
      <c r="G480" s="147"/>
      <c r="H480" s="147"/>
      <c r="I480" s="147"/>
      <c r="J480" s="147"/>
      <c r="K480" s="147"/>
    </row>
    <row r="481">
      <c r="A481" s="147"/>
      <c r="B481" s="147"/>
      <c r="C481" s="147"/>
      <c r="D481" s="147"/>
      <c r="E481" s="147"/>
      <c r="F481" s="147"/>
      <c r="G481" s="147"/>
      <c r="H481" s="147"/>
      <c r="I481" s="147"/>
      <c r="J481" s="147"/>
      <c r="K481" s="147"/>
    </row>
    <row r="482">
      <c r="A482" s="147"/>
      <c r="B482" s="147"/>
      <c r="C482" s="147"/>
      <c r="D482" s="147"/>
      <c r="E482" s="147"/>
      <c r="F482" s="147"/>
      <c r="G482" s="147"/>
      <c r="H482" s="147"/>
      <c r="I482" s="147"/>
      <c r="J482" s="147"/>
      <c r="K482" s="147"/>
    </row>
    <row r="483">
      <c r="A483" s="147"/>
      <c r="B483" s="147"/>
      <c r="C483" s="147"/>
      <c r="D483" s="147"/>
      <c r="E483" s="147"/>
      <c r="F483" s="147"/>
      <c r="G483" s="147"/>
      <c r="H483" s="147"/>
      <c r="I483" s="147"/>
      <c r="J483" s="147"/>
      <c r="K483" s="147"/>
    </row>
    <row r="484">
      <c r="A484" s="147"/>
      <c r="B484" s="147"/>
      <c r="C484" s="147"/>
      <c r="D484" s="147"/>
      <c r="E484" s="147"/>
      <c r="F484" s="147"/>
      <c r="G484" s="147"/>
      <c r="H484" s="147"/>
      <c r="I484" s="147"/>
      <c r="J484" s="147"/>
      <c r="K484" s="147"/>
    </row>
    <row r="485">
      <c r="A485" s="147"/>
      <c r="B485" s="147"/>
      <c r="C485" s="147"/>
      <c r="D485" s="147"/>
      <c r="E485" s="147"/>
      <c r="F485" s="147"/>
      <c r="G485" s="147"/>
      <c r="H485" s="147"/>
      <c r="I485" s="147"/>
      <c r="J485" s="147"/>
      <c r="K485" s="147"/>
    </row>
    <row r="486">
      <c r="A486" s="147"/>
      <c r="B486" s="147"/>
      <c r="C486" s="147"/>
      <c r="D486" s="147"/>
      <c r="E486" s="147"/>
      <c r="F486" s="147"/>
      <c r="G486" s="147"/>
      <c r="H486" s="147"/>
      <c r="I486" s="147"/>
      <c r="J486" s="147"/>
      <c r="K486" s="147"/>
    </row>
    <row r="487">
      <c r="A487" s="147"/>
      <c r="B487" s="147"/>
      <c r="C487" s="147"/>
      <c r="D487" s="147"/>
      <c r="E487" s="147"/>
      <c r="F487" s="147"/>
      <c r="G487" s="147"/>
      <c r="H487" s="147"/>
      <c r="I487" s="147"/>
      <c r="J487" s="147"/>
      <c r="K487" s="147"/>
    </row>
    <row r="488">
      <c r="A488" s="147"/>
      <c r="B488" s="147"/>
      <c r="C488" s="147"/>
      <c r="D488" s="147"/>
      <c r="E488" s="147"/>
      <c r="F488" s="147"/>
      <c r="G488" s="147"/>
      <c r="H488" s="147"/>
      <c r="I488" s="147"/>
      <c r="J488" s="147"/>
      <c r="K488" s="147"/>
    </row>
    <row r="489">
      <c r="A489" s="147"/>
      <c r="B489" s="147"/>
      <c r="C489" s="147"/>
      <c r="D489" s="147"/>
      <c r="E489" s="147"/>
      <c r="F489" s="147"/>
      <c r="G489" s="147"/>
      <c r="H489" s="147"/>
      <c r="I489" s="147"/>
      <c r="J489" s="147"/>
      <c r="K489" s="147"/>
    </row>
    <row r="490">
      <c r="A490" s="147"/>
      <c r="B490" s="147"/>
      <c r="C490" s="147"/>
      <c r="D490" s="147"/>
      <c r="E490" s="147"/>
      <c r="F490" s="147"/>
      <c r="G490" s="147"/>
      <c r="H490" s="147"/>
      <c r="I490" s="147"/>
      <c r="J490" s="147"/>
      <c r="K490" s="147"/>
    </row>
    <row r="491">
      <c r="A491" s="147"/>
      <c r="B491" s="147"/>
      <c r="C491" s="147"/>
      <c r="D491" s="147"/>
      <c r="E491" s="147"/>
      <c r="F491" s="147"/>
      <c r="G491" s="147"/>
      <c r="H491" s="147"/>
      <c r="I491" s="147"/>
      <c r="J491" s="147"/>
      <c r="K491" s="147"/>
    </row>
    <row r="492">
      <c r="A492" s="147"/>
      <c r="B492" s="147"/>
      <c r="C492" s="147"/>
      <c r="D492" s="147"/>
      <c r="E492" s="147"/>
      <c r="F492" s="147"/>
      <c r="G492" s="147"/>
      <c r="H492" s="147"/>
      <c r="I492" s="147"/>
      <c r="J492" s="147"/>
      <c r="K492" s="147"/>
    </row>
    <row r="493">
      <c r="A493" s="147"/>
      <c r="B493" s="147"/>
      <c r="C493" s="147"/>
      <c r="D493" s="147"/>
      <c r="E493" s="147"/>
      <c r="F493" s="147"/>
      <c r="G493" s="147"/>
      <c r="H493" s="147"/>
      <c r="I493" s="147"/>
      <c r="J493" s="147"/>
      <c r="K493" s="147"/>
    </row>
    <row r="494">
      <c r="A494" s="147"/>
      <c r="B494" s="147"/>
      <c r="C494" s="147"/>
      <c r="D494" s="147"/>
      <c r="E494" s="147"/>
      <c r="F494" s="147"/>
      <c r="G494" s="147"/>
      <c r="H494" s="147"/>
      <c r="I494" s="147"/>
      <c r="J494" s="147"/>
      <c r="K494" s="147"/>
    </row>
    <row r="495">
      <c r="A495" s="147"/>
      <c r="B495" s="147"/>
      <c r="C495" s="147"/>
      <c r="D495" s="147"/>
      <c r="E495" s="147"/>
      <c r="F495" s="147"/>
      <c r="G495" s="147"/>
      <c r="H495" s="147"/>
      <c r="I495" s="147"/>
      <c r="J495" s="147"/>
      <c r="K495" s="147"/>
    </row>
    <row r="496">
      <c r="A496" s="147"/>
      <c r="B496" s="147"/>
      <c r="C496" s="147"/>
      <c r="D496" s="147"/>
      <c r="E496" s="147"/>
      <c r="F496" s="147"/>
      <c r="G496" s="147"/>
      <c r="H496" s="147"/>
      <c r="I496" s="147"/>
      <c r="J496" s="147"/>
      <c r="K496" s="147"/>
    </row>
    <row r="497">
      <c r="A497" s="147"/>
      <c r="B497" s="147"/>
      <c r="C497" s="147"/>
      <c r="D497" s="147"/>
      <c r="E497" s="147"/>
      <c r="F497" s="147"/>
      <c r="G497" s="147"/>
      <c r="H497" s="147"/>
      <c r="I497" s="147"/>
      <c r="J497" s="147"/>
      <c r="K497" s="147"/>
    </row>
    <row r="498">
      <c r="A498" s="147"/>
      <c r="B498" s="147"/>
      <c r="C498" s="147"/>
      <c r="D498" s="147"/>
      <c r="E498" s="147"/>
      <c r="F498" s="147"/>
      <c r="G498" s="147"/>
      <c r="H498" s="147"/>
      <c r="I498" s="147"/>
      <c r="J498" s="147"/>
      <c r="K498" s="147"/>
    </row>
    <row r="499">
      <c r="A499" s="147"/>
      <c r="B499" s="147"/>
      <c r="C499" s="147"/>
      <c r="D499" s="147"/>
      <c r="E499" s="147"/>
      <c r="F499" s="147"/>
      <c r="G499" s="147"/>
      <c r="H499" s="147"/>
      <c r="I499" s="147"/>
      <c r="J499" s="147"/>
      <c r="K499" s="147"/>
    </row>
    <row r="500">
      <c r="A500" s="147"/>
      <c r="B500" s="147"/>
      <c r="C500" s="147"/>
      <c r="D500" s="147"/>
      <c r="E500" s="147"/>
      <c r="F500" s="147"/>
      <c r="G500" s="147"/>
      <c r="H500" s="147"/>
      <c r="I500" s="147"/>
      <c r="J500" s="147"/>
      <c r="K500" s="147"/>
    </row>
    <row r="501">
      <c r="A501" s="147"/>
      <c r="B501" s="147"/>
      <c r="C501" s="147"/>
      <c r="D501" s="147"/>
      <c r="E501" s="147"/>
      <c r="F501" s="147"/>
      <c r="G501" s="147"/>
      <c r="H501" s="147"/>
      <c r="I501" s="147"/>
      <c r="J501" s="147"/>
      <c r="K501" s="147"/>
    </row>
    <row r="502">
      <c r="A502" s="147"/>
      <c r="B502" s="147"/>
      <c r="C502" s="147"/>
      <c r="D502" s="147"/>
      <c r="E502" s="147"/>
      <c r="F502" s="147"/>
      <c r="G502" s="147"/>
      <c r="H502" s="147"/>
      <c r="I502" s="147"/>
      <c r="J502" s="147"/>
      <c r="K502" s="147"/>
    </row>
    <row r="503">
      <c r="A503" s="147"/>
      <c r="B503" s="147"/>
      <c r="C503" s="147"/>
      <c r="D503" s="147"/>
      <c r="E503" s="147"/>
      <c r="F503" s="147"/>
      <c r="G503" s="147"/>
      <c r="H503" s="147"/>
      <c r="I503" s="147"/>
      <c r="J503" s="147"/>
      <c r="K503" s="147"/>
    </row>
    <row r="504">
      <c r="A504" s="147"/>
      <c r="B504" s="147"/>
      <c r="C504" s="147"/>
      <c r="D504" s="147"/>
      <c r="E504" s="147"/>
      <c r="F504" s="147"/>
      <c r="G504" s="147"/>
      <c r="H504" s="147"/>
      <c r="I504" s="147"/>
      <c r="J504" s="147"/>
      <c r="K504" s="147"/>
    </row>
    <row r="505">
      <c r="A505" s="147"/>
      <c r="B505" s="147"/>
      <c r="C505" s="147"/>
      <c r="D505" s="147"/>
      <c r="E505" s="147"/>
      <c r="F505" s="147"/>
      <c r="G505" s="147"/>
      <c r="H505" s="147"/>
      <c r="I505" s="147"/>
      <c r="J505" s="147"/>
      <c r="K505" s="147"/>
    </row>
    <row r="506">
      <c r="A506" s="147"/>
      <c r="B506" s="147"/>
      <c r="C506" s="147"/>
      <c r="D506" s="147"/>
      <c r="E506" s="147"/>
      <c r="F506" s="147"/>
      <c r="G506" s="147"/>
      <c r="H506" s="147"/>
      <c r="I506" s="147"/>
      <c r="J506" s="147"/>
      <c r="K506" s="147"/>
    </row>
    <row r="507">
      <c r="A507" s="147"/>
      <c r="B507" s="147"/>
      <c r="C507" s="147"/>
      <c r="D507" s="147"/>
      <c r="E507" s="147"/>
      <c r="F507" s="147"/>
      <c r="G507" s="147"/>
      <c r="H507" s="147"/>
      <c r="I507" s="147"/>
      <c r="J507" s="147"/>
      <c r="K507" s="147"/>
    </row>
    <row r="508">
      <c r="A508" s="147"/>
      <c r="B508" s="147"/>
      <c r="C508" s="147"/>
      <c r="D508" s="147"/>
      <c r="E508" s="147"/>
      <c r="F508" s="147"/>
      <c r="G508" s="147"/>
      <c r="H508" s="147"/>
      <c r="I508" s="147"/>
      <c r="J508" s="147"/>
      <c r="K508" s="147"/>
    </row>
    <row r="509">
      <c r="A509" s="147"/>
      <c r="B509" s="147"/>
      <c r="C509" s="147"/>
      <c r="D509" s="147"/>
      <c r="E509" s="147"/>
      <c r="F509" s="147"/>
      <c r="G509" s="147"/>
      <c r="H509" s="147"/>
      <c r="I509" s="147"/>
      <c r="J509" s="147"/>
      <c r="K509" s="147"/>
    </row>
    <row r="510">
      <c r="A510" s="147"/>
      <c r="B510" s="147"/>
      <c r="C510" s="147"/>
      <c r="D510" s="147"/>
      <c r="E510" s="147"/>
      <c r="F510" s="147"/>
      <c r="G510" s="147"/>
      <c r="H510" s="147"/>
      <c r="I510" s="147"/>
      <c r="J510" s="147"/>
      <c r="K510" s="147"/>
    </row>
    <row r="511">
      <c r="A511" s="147"/>
      <c r="B511" s="147"/>
      <c r="C511" s="147"/>
      <c r="D511" s="147"/>
      <c r="E511" s="147"/>
      <c r="F511" s="147"/>
      <c r="G511" s="147"/>
      <c r="H511" s="147"/>
      <c r="I511" s="147"/>
      <c r="J511" s="147"/>
      <c r="K511" s="147"/>
    </row>
    <row r="512">
      <c r="A512" s="147"/>
      <c r="B512" s="147"/>
      <c r="C512" s="147"/>
      <c r="D512" s="147"/>
      <c r="E512" s="147"/>
      <c r="F512" s="147"/>
      <c r="G512" s="147"/>
      <c r="H512" s="147"/>
      <c r="I512" s="147"/>
      <c r="J512" s="147"/>
      <c r="K512" s="147"/>
    </row>
    <row r="513">
      <c r="A513" s="147"/>
      <c r="B513" s="147"/>
      <c r="C513" s="147"/>
      <c r="D513" s="147"/>
      <c r="E513" s="147"/>
      <c r="F513" s="147"/>
      <c r="G513" s="147"/>
      <c r="H513" s="147"/>
      <c r="I513" s="147"/>
      <c r="J513" s="147"/>
      <c r="K513" s="147"/>
    </row>
    <row r="514">
      <c r="A514" s="147"/>
      <c r="B514" s="147"/>
      <c r="C514" s="147"/>
      <c r="D514" s="147"/>
      <c r="E514" s="147"/>
      <c r="F514" s="147"/>
      <c r="G514" s="147"/>
      <c r="H514" s="147"/>
      <c r="I514" s="147"/>
      <c r="J514" s="147"/>
      <c r="K514" s="147"/>
    </row>
    <row r="515">
      <c r="A515" s="147"/>
      <c r="B515" s="147"/>
      <c r="C515" s="147"/>
      <c r="D515" s="147"/>
      <c r="E515" s="147"/>
      <c r="F515" s="147"/>
      <c r="G515" s="147"/>
      <c r="H515" s="147"/>
      <c r="I515" s="147"/>
      <c r="J515" s="147"/>
      <c r="K515" s="147"/>
    </row>
    <row r="516">
      <c r="A516" s="147"/>
      <c r="B516" s="147"/>
      <c r="C516" s="147"/>
      <c r="D516" s="147"/>
      <c r="E516" s="147"/>
      <c r="F516" s="147"/>
      <c r="G516" s="147"/>
      <c r="H516" s="147"/>
      <c r="I516" s="147"/>
      <c r="J516" s="147"/>
      <c r="K516" s="147"/>
    </row>
    <row r="517">
      <c r="A517" s="147"/>
      <c r="B517" s="147"/>
      <c r="C517" s="147"/>
      <c r="D517" s="147"/>
      <c r="E517" s="147"/>
      <c r="F517" s="147"/>
      <c r="G517" s="147"/>
      <c r="H517" s="147"/>
      <c r="I517" s="147"/>
      <c r="J517" s="147"/>
      <c r="K517" s="147"/>
    </row>
    <row r="518">
      <c r="A518" s="147"/>
      <c r="B518" s="147"/>
      <c r="C518" s="147"/>
      <c r="D518" s="147"/>
      <c r="E518" s="147"/>
      <c r="F518" s="147"/>
      <c r="G518" s="147"/>
      <c r="H518" s="147"/>
      <c r="I518" s="147"/>
      <c r="J518" s="147"/>
      <c r="K518" s="147"/>
    </row>
    <row r="519">
      <c r="A519" s="147"/>
      <c r="B519" s="147"/>
      <c r="C519" s="147"/>
      <c r="D519" s="147"/>
      <c r="E519" s="147"/>
      <c r="F519" s="147"/>
      <c r="G519" s="147"/>
      <c r="H519" s="147"/>
      <c r="I519" s="147"/>
      <c r="J519" s="147"/>
      <c r="K519" s="147"/>
    </row>
    <row r="520">
      <c r="A520" s="147"/>
      <c r="B520" s="147"/>
      <c r="C520" s="147"/>
      <c r="D520" s="147"/>
      <c r="E520" s="147"/>
      <c r="F520" s="147"/>
      <c r="G520" s="147"/>
      <c r="H520" s="147"/>
      <c r="I520" s="147"/>
      <c r="J520" s="147"/>
      <c r="K520" s="147"/>
    </row>
    <row r="521">
      <c r="A521" s="147"/>
      <c r="B521" s="147"/>
      <c r="C521" s="147"/>
      <c r="D521" s="147"/>
      <c r="E521" s="147"/>
      <c r="F521" s="147"/>
      <c r="G521" s="147"/>
      <c r="H521" s="147"/>
      <c r="I521" s="147"/>
      <c r="J521" s="147"/>
      <c r="K521" s="147"/>
    </row>
    <row r="522">
      <c r="A522" s="147"/>
      <c r="B522" s="147"/>
      <c r="C522" s="147"/>
      <c r="D522" s="147"/>
      <c r="E522" s="147"/>
      <c r="F522" s="147"/>
      <c r="G522" s="147"/>
      <c r="H522" s="147"/>
      <c r="I522" s="147"/>
      <c r="J522" s="147"/>
      <c r="K522" s="147"/>
    </row>
    <row r="523">
      <c r="A523" s="147"/>
      <c r="B523" s="147"/>
      <c r="C523" s="147"/>
      <c r="D523" s="147"/>
      <c r="E523" s="147"/>
      <c r="F523" s="147"/>
      <c r="G523" s="147"/>
      <c r="H523" s="147"/>
      <c r="I523" s="147"/>
      <c r="J523" s="147"/>
      <c r="K523" s="147"/>
    </row>
    <row r="524">
      <c r="A524" s="147"/>
      <c r="B524" s="147"/>
      <c r="C524" s="147"/>
      <c r="D524" s="147"/>
      <c r="E524" s="147"/>
      <c r="F524" s="147"/>
      <c r="G524" s="147"/>
      <c r="H524" s="147"/>
      <c r="I524" s="147"/>
      <c r="J524" s="147"/>
      <c r="K524" s="147"/>
    </row>
    <row r="525">
      <c r="A525" s="147"/>
      <c r="B525" s="147"/>
      <c r="C525" s="147"/>
      <c r="D525" s="147"/>
      <c r="E525" s="147"/>
      <c r="F525" s="147"/>
      <c r="G525" s="147"/>
      <c r="H525" s="147"/>
      <c r="I525" s="147"/>
      <c r="J525" s="147"/>
      <c r="K525" s="147"/>
    </row>
    <row r="526">
      <c r="A526" s="147"/>
      <c r="B526" s="147"/>
      <c r="C526" s="147"/>
      <c r="D526" s="147"/>
      <c r="E526" s="147"/>
      <c r="F526" s="147"/>
      <c r="G526" s="147"/>
      <c r="H526" s="147"/>
      <c r="I526" s="147"/>
      <c r="J526" s="147"/>
      <c r="K526" s="147"/>
    </row>
    <row r="527">
      <c r="A527" s="147"/>
      <c r="B527" s="147"/>
      <c r="C527" s="147"/>
      <c r="D527" s="147"/>
      <c r="E527" s="147"/>
      <c r="F527" s="147"/>
      <c r="G527" s="147"/>
      <c r="H527" s="147"/>
      <c r="I527" s="147"/>
      <c r="J527" s="147"/>
      <c r="K527" s="147"/>
    </row>
    <row r="528">
      <c r="A528" s="147"/>
      <c r="B528" s="147"/>
      <c r="C528" s="147"/>
      <c r="D528" s="147"/>
      <c r="E528" s="147"/>
      <c r="F528" s="147"/>
      <c r="G528" s="147"/>
      <c r="H528" s="147"/>
      <c r="I528" s="147"/>
      <c r="J528" s="147"/>
      <c r="K528" s="147"/>
    </row>
    <row r="529">
      <c r="A529" s="147"/>
      <c r="B529" s="147"/>
      <c r="C529" s="147"/>
      <c r="D529" s="147"/>
      <c r="E529" s="147"/>
      <c r="F529" s="147"/>
      <c r="G529" s="147"/>
      <c r="H529" s="147"/>
      <c r="I529" s="147"/>
      <c r="J529" s="147"/>
      <c r="K529" s="147"/>
    </row>
    <row r="530">
      <c r="A530" s="147"/>
      <c r="B530" s="147"/>
      <c r="C530" s="147"/>
      <c r="D530" s="147"/>
      <c r="E530" s="147"/>
      <c r="F530" s="147"/>
      <c r="G530" s="147"/>
      <c r="H530" s="147"/>
      <c r="I530" s="147"/>
      <c r="J530" s="147"/>
      <c r="K530" s="147"/>
    </row>
    <row r="531">
      <c r="A531" s="147"/>
      <c r="B531" s="147"/>
      <c r="C531" s="147"/>
      <c r="D531" s="147"/>
      <c r="E531" s="147"/>
      <c r="F531" s="147"/>
      <c r="G531" s="147"/>
      <c r="H531" s="147"/>
      <c r="I531" s="147"/>
      <c r="J531" s="147"/>
      <c r="K531" s="147"/>
    </row>
    <row r="532">
      <c r="A532" s="147"/>
      <c r="B532" s="147"/>
      <c r="C532" s="147"/>
      <c r="D532" s="147"/>
      <c r="E532" s="147"/>
      <c r="F532" s="147"/>
      <c r="G532" s="147"/>
      <c r="H532" s="147"/>
      <c r="I532" s="147"/>
      <c r="J532" s="147"/>
      <c r="K532" s="147"/>
    </row>
    <row r="533">
      <c r="A533" s="147"/>
      <c r="B533" s="147"/>
      <c r="C533" s="147"/>
      <c r="D533" s="147"/>
      <c r="E533" s="147"/>
      <c r="F533" s="147"/>
      <c r="G533" s="147"/>
      <c r="H533" s="147"/>
      <c r="I533" s="147"/>
      <c r="J533" s="147"/>
      <c r="K533" s="147"/>
    </row>
    <row r="534">
      <c r="A534" s="147"/>
      <c r="B534" s="147"/>
      <c r="C534" s="147"/>
      <c r="D534" s="147"/>
      <c r="E534" s="147"/>
      <c r="F534" s="147"/>
      <c r="G534" s="147"/>
      <c r="H534" s="147"/>
      <c r="I534" s="147"/>
      <c r="J534" s="147"/>
      <c r="K534" s="147"/>
    </row>
    <row r="535">
      <c r="A535" s="147"/>
      <c r="B535" s="147"/>
      <c r="C535" s="147"/>
      <c r="D535" s="147"/>
      <c r="E535" s="147"/>
      <c r="F535" s="147"/>
      <c r="G535" s="147"/>
      <c r="H535" s="147"/>
      <c r="I535" s="147"/>
      <c r="J535" s="147"/>
      <c r="K535" s="147"/>
    </row>
    <row r="536">
      <c r="A536" s="147"/>
      <c r="B536" s="147"/>
      <c r="C536" s="147"/>
      <c r="D536" s="147"/>
      <c r="E536" s="147"/>
      <c r="F536" s="147"/>
      <c r="G536" s="147"/>
      <c r="H536" s="147"/>
      <c r="I536" s="147"/>
      <c r="J536" s="147"/>
      <c r="K536" s="147"/>
    </row>
    <row r="537">
      <c r="A537" s="147"/>
      <c r="B537" s="147"/>
      <c r="C537" s="147"/>
      <c r="D537" s="147"/>
      <c r="E537" s="147"/>
      <c r="F537" s="147"/>
      <c r="G537" s="147"/>
      <c r="H537" s="147"/>
      <c r="I537" s="147"/>
      <c r="J537" s="147"/>
      <c r="K537" s="147"/>
    </row>
    <row r="538">
      <c r="A538" s="147"/>
      <c r="B538" s="147"/>
      <c r="C538" s="147"/>
      <c r="D538" s="147"/>
      <c r="E538" s="147"/>
      <c r="F538" s="147"/>
      <c r="G538" s="147"/>
      <c r="H538" s="147"/>
      <c r="I538" s="147"/>
      <c r="J538" s="147"/>
      <c r="K538" s="147"/>
    </row>
    <row r="539">
      <c r="A539" s="147"/>
      <c r="B539" s="147"/>
      <c r="C539" s="147"/>
      <c r="D539" s="147"/>
      <c r="E539" s="147"/>
      <c r="F539" s="147"/>
      <c r="G539" s="147"/>
      <c r="H539" s="147"/>
      <c r="I539" s="147"/>
      <c r="J539" s="147"/>
      <c r="K539" s="147"/>
    </row>
    <row r="540">
      <c r="A540" s="147"/>
      <c r="B540" s="147"/>
      <c r="C540" s="147"/>
      <c r="D540" s="147"/>
      <c r="E540" s="147"/>
      <c r="F540" s="147"/>
      <c r="G540" s="147"/>
      <c r="H540" s="147"/>
      <c r="I540" s="147"/>
      <c r="J540" s="147"/>
      <c r="K540" s="147"/>
    </row>
    <row r="541">
      <c r="A541" s="147"/>
      <c r="B541" s="147"/>
      <c r="C541" s="147"/>
      <c r="D541" s="147"/>
      <c r="E541" s="147"/>
      <c r="F541" s="147"/>
      <c r="G541" s="147"/>
      <c r="H541" s="147"/>
      <c r="I541" s="147"/>
      <c r="J541" s="147"/>
      <c r="K541" s="147"/>
    </row>
    <row r="542">
      <c r="A542" s="147"/>
      <c r="B542" s="147"/>
      <c r="C542" s="147"/>
      <c r="D542" s="147"/>
      <c r="E542" s="147"/>
      <c r="F542" s="147"/>
      <c r="G542" s="147"/>
      <c r="H542" s="147"/>
      <c r="I542" s="147"/>
      <c r="J542" s="147"/>
      <c r="K542" s="147"/>
    </row>
    <row r="543">
      <c r="A543" s="147"/>
      <c r="B543" s="147"/>
      <c r="C543" s="147"/>
      <c r="D543" s="147"/>
      <c r="E543" s="147"/>
      <c r="F543" s="147"/>
      <c r="G543" s="147"/>
      <c r="H543" s="147"/>
      <c r="I543" s="147"/>
      <c r="J543" s="147"/>
      <c r="K543" s="147"/>
    </row>
    <row r="544">
      <c r="A544" s="147"/>
      <c r="B544" s="147"/>
      <c r="C544" s="147"/>
      <c r="D544" s="147"/>
      <c r="E544" s="147"/>
      <c r="F544" s="147"/>
      <c r="G544" s="147"/>
      <c r="H544" s="147"/>
      <c r="I544" s="147"/>
      <c r="J544" s="147"/>
      <c r="K544" s="147"/>
    </row>
    <row r="545">
      <c r="A545" s="147"/>
      <c r="B545" s="147"/>
      <c r="C545" s="147"/>
      <c r="D545" s="147"/>
      <c r="E545" s="147"/>
      <c r="F545" s="147"/>
      <c r="G545" s="147"/>
      <c r="H545" s="147"/>
      <c r="I545" s="147"/>
      <c r="J545" s="147"/>
      <c r="K545" s="147"/>
    </row>
    <row r="546">
      <c r="A546" s="147"/>
      <c r="B546" s="147"/>
      <c r="C546" s="147"/>
      <c r="D546" s="147"/>
      <c r="E546" s="147"/>
      <c r="F546" s="147"/>
      <c r="G546" s="147"/>
      <c r="H546" s="147"/>
      <c r="I546" s="147"/>
      <c r="J546" s="147"/>
      <c r="K546" s="147"/>
    </row>
    <row r="547">
      <c r="A547" s="147"/>
      <c r="B547" s="147"/>
      <c r="C547" s="147"/>
      <c r="D547" s="147"/>
      <c r="E547" s="147"/>
      <c r="F547" s="147"/>
      <c r="G547" s="147"/>
      <c r="H547" s="147"/>
      <c r="I547" s="147"/>
      <c r="J547" s="147"/>
      <c r="K547" s="147"/>
    </row>
    <row r="548">
      <c r="A548" s="147"/>
      <c r="B548" s="147"/>
      <c r="C548" s="147"/>
      <c r="D548" s="147"/>
      <c r="E548" s="147"/>
      <c r="F548" s="147"/>
      <c r="G548" s="147"/>
      <c r="H548" s="147"/>
      <c r="I548" s="147"/>
      <c r="J548" s="147"/>
      <c r="K548" s="147"/>
    </row>
    <row r="549">
      <c r="A549" s="147"/>
      <c r="B549" s="147"/>
      <c r="C549" s="147"/>
      <c r="D549" s="147"/>
      <c r="E549" s="147"/>
      <c r="F549" s="147"/>
      <c r="G549" s="147"/>
      <c r="H549" s="147"/>
      <c r="I549" s="147"/>
      <c r="J549" s="147"/>
      <c r="K549" s="147"/>
    </row>
    <row r="550">
      <c r="A550" s="147"/>
      <c r="B550" s="147"/>
      <c r="C550" s="147"/>
      <c r="D550" s="147"/>
      <c r="E550" s="147"/>
      <c r="F550" s="147"/>
      <c r="G550" s="147"/>
      <c r="H550" s="147"/>
      <c r="I550" s="147"/>
      <c r="J550" s="147"/>
      <c r="K550" s="147"/>
    </row>
    <row r="551">
      <c r="A551" s="147"/>
      <c r="B551" s="147"/>
      <c r="C551" s="147"/>
      <c r="D551" s="147"/>
      <c r="E551" s="147"/>
      <c r="F551" s="147"/>
      <c r="G551" s="147"/>
      <c r="H551" s="147"/>
      <c r="I551" s="147"/>
      <c r="J551" s="147"/>
      <c r="K551" s="147"/>
    </row>
    <row r="552">
      <c r="A552" s="147"/>
      <c r="B552" s="147"/>
      <c r="C552" s="147"/>
      <c r="D552" s="147"/>
      <c r="E552" s="147"/>
      <c r="F552" s="147"/>
      <c r="G552" s="147"/>
      <c r="H552" s="147"/>
      <c r="I552" s="147"/>
      <c r="J552" s="147"/>
      <c r="K552" s="147"/>
    </row>
    <row r="553">
      <c r="A553" s="147"/>
      <c r="B553" s="147"/>
      <c r="C553" s="147"/>
      <c r="D553" s="147"/>
      <c r="E553" s="147"/>
      <c r="F553" s="147"/>
      <c r="G553" s="147"/>
      <c r="H553" s="147"/>
      <c r="I553" s="147"/>
      <c r="J553" s="147"/>
      <c r="K553" s="147"/>
    </row>
    <row r="554">
      <c r="A554" s="147"/>
      <c r="B554" s="147"/>
      <c r="C554" s="147"/>
      <c r="D554" s="147"/>
      <c r="E554" s="147"/>
      <c r="F554" s="147"/>
      <c r="G554" s="147"/>
      <c r="H554" s="147"/>
      <c r="I554" s="147"/>
      <c r="J554" s="147"/>
      <c r="K554" s="147"/>
    </row>
    <row r="555">
      <c r="A555" s="147"/>
      <c r="B555" s="147"/>
      <c r="C555" s="147"/>
      <c r="D555" s="147"/>
      <c r="E555" s="147"/>
      <c r="F555" s="147"/>
      <c r="G555" s="147"/>
      <c r="H555" s="147"/>
      <c r="I555" s="147"/>
      <c r="J555" s="147"/>
      <c r="K555" s="147"/>
    </row>
    <row r="556">
      <c r="A556" s="147"/>
      <c r="B556" s="147"/>
      <c r="C556" s="147"/>
      <c r="D556" s="147"/>
      <c r="E556" s="147"/>
      <c r="F556" s="147"/>
      <c r="G556" s="147"/>
      <c r="H556" s="147"/>
      <c r="I556" s="147"/>
      <c r="J556" s="147"/>
      <c r="K556" s="147"/>
    </row>
    <row r="557">
      <c r="A557" s="147"/>
      <c r="B557" s="147"/>
      <c r="C557" s="147"/>
      <c r="D557" s="147"/>
      <c r="E557" s="147"/>
      <c r="F557" s="147"/>
      <c r="G557" s="147"/>
      <c r="H557" s="147"/>
      <c r="I557" s="147"/>
      <c r="J557" s="147"/>
      <c r="K557" s="147"/>
    </row>
    <row r="558">
      <c r="A558" s="147"/>
      <c r="B558" s="147"/>
      <c r="C558" s="147"/>
      <c r="D558" s="147"/>
      <c r="E558" s="147"/>
      <c r="F558" s="147"/>
      <c r="G558" s="147"/>
      <c r="H558" s="147"/>
      <c r="I558" s="147"/>
      <c r="J558" s="147"/>
      <c r="K558" s="147"/>
    </row>
    <row r="559">
      <c r="A559" s="147"/>
      <c r="B559" s="147"/>
      <c r="C559" s="147"/>
      <c r="D559" s="147"/>
      <c r="E559" s="147"/>
      <c r="F559" s="147"/>
      <c r="G559" s="147"/>
      <c r="H559" s="147"/>
      <c r="I559" s="147"/>
      <c r="J559" s="147"/>
      <c r="K559" s="147"/>
    </row>
    <row r="560">
      <c r="A560" s="147"/>
      <c r="B560" s="147"/>
      <c r="C560" s="147"/>
      <c r="D560" s="147"/>
      <c r="E560" s="147"/>
      <c r="F560" s="147"/>
      <c r="G560" s="147"/>
      <c r="H560" s="147"/>
      <c r="I560" s="147"/>
      <c r="J560" s="147"/>
      <c r="K560" s="147"/>
    </row>
    <row r="561">
      <c r="A561" s="147"/>
      <c r="B561" s="147"/>
      <c r="C561" s="147"/>
      <c r="D561" s="147"/>
      <c r="E561" s="147"/>
      <c r="F561" s="147"/>
      <c r="G561" s="147"/>
      <c r="H561" s="147"/>
      <c r="I561" s="147"/>
      <c r="J561" s="147"/>
      <c r="K561" s="147"/>
    </row>
    <row r="562">
      <c r="A562" s="147"/>
      <c r="B562" s="147"/>
      <c r="C562" s="147"/>
      <c r="D562" s="147"/>
      <c r="E562" s="147"/>
      <c r="F562" s="147"/>
      <c r="G562" s="147"/>
      <c r="H562" s="147"/>
      <c r="I562" s="147"/>
      <c r="J562" s="147"/>
      <c r="K562" s="147"/>
    </row>
    <row r="563">
      <c r="A563" s="147"/>
      <c r="B563" s="147"/>
      <c r="C563" s="147"/>
      <c r="D563" s="147"/>
      <c r="E563" s="147"/>
      <c r="F563" s="147"/>
      <c r="G563" s="147"/>
      <c r="H563" s="147"/>
      <c r="I563" s="147"/>
      <c r="J563" s="147"/>
      <c r="K563" s="147"/>
    </row>
    <row r="564">
      <c r="A564" s="147"/>
      <c r="B564" s="147"/>
      <c r="C564" s="147"/>
      <c r="D564" s="147"/>
      <c r="E564" s="147"/>
      <c r="F564" s="147"/>
      <c r="G564" s="147"/>
      <c r="H564" s="147"/>
      <c r="I564" s="147"/>
      <c r="J564" s="147"/>
      <c r="K564" s="147"/>
    </row>
    <row r="565">
      <c r="A565" s="147"/>
      <c r="B565" s="147"/>
      <c r="C565" s="147"/>
      <c r="D565" s="147"/>
      <c r="E565" s="147"/>
      <c r="F565" s="147"/>
      <c r="G565" s="147"/>
      <c r="H565" s="147"/>
      <c r="I565" s="147"/>
      <c r="J565" s="147"/>
      <c r="K565" s="147"/>
    </row>
    <row r="566">
      <c r="A566" s="147"/>
      <c r="B566" s="147"/>
      <c r="C566" s="147"/>
      <c r="D566" s="147"/>
      <c r="E566" s="147"/>
      <c r="F566" s="147"/>
      <c r="G566" s="147"/>
      <c r="H566" s="147"/>
      <c r="I566" s="147"/>
      <c r="J566" s="147"/>
      <c r="K566" s="147"/>
    </row>
    <row r="567">
      <c r="A567" s="147"/>
      <c r="B567" s="147"/>
      <c r="C567" s="147"/>
      <c r="D567" s="147"/>
      <c r="E567" s="147"/>
      <c r="F567" s="147"/>
      <c r="G567" s="147"/>
      <c r="H567" s="147"/>
      <c r="I567" s="147"/>
      <c r="J567" s="147"/>
      <c r="K567" s="147"/>
    </row>
    <row r="568">
      <c r="A568" s="147"/>
      <c r="B568" s="147"/>
      <c r="C568" s="147"/>
      <c r="D568" s="147"/>
      <c r="E568" s="147"/>
      <c r="F568" s="147"/>
      <c r="G568" s="147"/>
      <c r="H568" s="147"/>
      <c r="I568" s="147"/>
      <c r="J568" s="147"/>
      <c r="K568" s="147"/>
    </row>
    <row r="569">
      <c r="A569" s="147"/>
      <c r="B569" s="147"/>
      <c r="C569" s="147"/>
      <c r="D569" s="147"/>
      <c r="E569" s="147"/>
      <c r="F569" s="147"/>
      <c r="G569" s="147"/>
      <c r="H569" s="147"/>
      <c r="I569" s="147"/>
      <c r="J569" s="147"/>
      <c r="K569" s="147"/>
    </row>
    <row r="570">
      <c r="A570" s="147"/>
      <c r="B570" s="147"/>
      <c r="C570" s="147"/>
      <c r="D570" s="147"/>
      <c r="E570" s="147"/>
      <c r="F570" s="147"/>
      <c r="G570" s="147"/>
      <c r="H570" s="147"/>
      <c r="I570" s="147"/>
      <c r="J570" s="147"/>
      <c r="K570" s="147"/>
    </row>
    <row r="571">
      <c r="A571" s="147"/>
      <c r="B571" s="147"/>
      <c r="C571" s="147"/>
      <c r="D571" s="147"/>
      <c r="E571" s="147"/>
      <c r="F571" s="147"/>
      <c r="G571" s="147"/>
      <c r="H571" s="147"/>
      <c r="I571" s="147"/>
      <c r="J571" s="147"/>
      <c r="K571" s="147"/>
    </row>
    <row r="572">
      <c r="A572" s="147"/>
      <c r="B572" s="147"/>
      <c r="C572" s="147"/>
      <c r="D572" s="147"/>
      <c r="E572" s="147"/>
      <c r="F572" s="147"/>
      <c r="G572" s="147"/>
      <c r="H572" s="147"/>
      <c r="I572" s="147"/>
      <c r="J572" s="147"/>
      <c r="K572" s="147"/>
    </row>
    <row r="573">
      <c r="A573" s="147"/>
      <c r="B573" s="147"/>
      <c r="C573" s="147"/>
      <c r="D573" s="147"/>
      <c r="E573" s="147"/>
      <c r="F573" s="147"/>
      <c r="G573" s="147"/>
      <c r="H573" s="147"/>
      <c r="I573" s="147"/>
      <c r="J573" s="147"/>
      <c r="K573" s="147"/>
    </row>
    <row r="574">
      <c r="A574" s="147"/>
      <c r="B574" s="147"/>
      <c r="C574" s="147"/>
      <c r="D574" s="147"/>
      <c r="E574" s="147"/>
      <c r="F574" s="147"/>
      <c r="G574" s="147"/>
      <c r="H574" s="147"/>
      <c r="I574" s="147"/>
      <c r="J574" s="147"/>
      <c r="K574" s="147"/>
    </row>
    <row r="575">
      <c r="A575" s="147"/>
      <c r="B575" s="147"/>
      <c r="C575" s="147"/>
      <c r="D575" s="147"/>
      <c r="E575" s="147"/>
      <c r="F575" s="147"/>
      <c r="G575" s="147"/>
      <c r="H575" s="147"/>
      <c r="I575" s="147"/>
      <c r="J575" s="147"/>
      <c r="K575" s="147"/>
    </row>
    <row r="576">
      <c r="A576" s="147"/>
      <c r="B576" s="147"/>
      <c r="C576" s="147"/>
      <c r="D576" s="147"/>
      <c r="E576" s="147"/>
      <c r="F576" s="147"/>
      <c r="G576" s="147"/>
      <c r="H576" s="147"/>
      <c r="I576" s="147"/>
      <c r="J576" s="147"/>
      <c r="K576" s="147"/>
    </row>
    <row r="577">
      <c r="A577" s="147"/>
      <c r="B577" s="147"/>
      <c r="C577" s="147"/>
      <c r="D577" s="147"/>
      <c r="E577" s="147"/>
      <c r="F577" s="147"/>
      <c r="G577" s="147"/>
      <c r="H577" s="147"/>
      <c r="I577" s="147"/>
      <c r="J577" s="147"/>
      <c r="K577" s="147"/>
    </row>
    <row r="578">
      <c r="A578" s="147"/>
      <c r="B578" s="147"/>
      <c r="C578" s="147"/>
      <c r="D578" s="147"/>
      <c r="E578" s="147"/>
      <c r="F578" s="147"/>
      <c r="G578" s="147"/>
      <c r="H578" s="147"/>
      <c r="I578" s="147"/>
      <c r="J578" s="147"/>
      <c r="K578" s="147"/>
    </row>
    <row r="579">
      <c r="A579" s="147"/>
      <c r="B579" s="147"/>
      <c r="C579" s="147"/>
      <c r="D579" s="147"/>
      <c r="E579" s="147"/>
      <c r="F579" s="147"/>
      <c r="G579" s="147"/>
      <c r="H579" s="147"/>
      <c r="I579" s="147"/>
      <c r="J579" s="147"/>
      <c r="K579" s="147"/>
    </row>
    <row r="580">
      <c r="A580" s="147"/>
      <c r="B580" s="147"/>
      <c r="C580" s="147"/>
      <c r="D580" s="147"/>
      <c r="E580" s="147"/>
      <c r="F580" s="147"/>
      <c r="G580" s="147"/>
      <c r="H580" s="147"/>
      <c r="I580" s="147"/>
      <c r="J580" s="147"/>
      <c r="K580" s="147"/>
    </row>
    <row r="581">
      <c r="A581" s="147"/>
      <c r="B581" s="147"/>
      <c r="C581" s="147"/>
      <c r="D581" s="147"/>
      <c r="E581" s="147"/>
      <c r="F581" s="147"/>
      <c r="G581" s="147"/>
      <c r="H581" s="147"/>
      <c r="I581" s="147"/>
      <c r="J581" s="147"/>
      <c r="K581" s="147"/>
    </row>
    <row r="582">
      <c r="A582" s="147"/>
      <c r="B582" s="147"/>
      <c r="C582" s="147"/>
      <c r="D582" s="147"/>
      <c r="E582" s="147"/>
      <c r="F582" s="147"/>
      <c r="G582" s="147"/>
      <c r="H582" s="147"/>
      <c r="I582" s="147"/>
      <c r="J582" s="147"/>
      <c r="K582" s="147"/>
    </row>
    <row r="583">
      <c r="A583" s="147"/>
      <c r="B583" s="147"/>
      <c r="C583" s="147"/>
      <c r="D583" s="147"/>
      <c r="E583" s="147"/>
      <c r="F583" s="147"/>
      <c r="G583" s="147"/>
      <c r="H583" s="147"/>
      <c r="I583" s="147"/>
      <c r="J583" s="147"/>
      <c r="K583" s="147"/>
    </row>
    <row r="584">
      <c r="A584" s="147"/>
      <c r="B584" s="147"/>
      <c r="C584" s="147"/>
      <c r="D584" s="147"/>
      <c r="E584" s="147"/>
      <c r="F584" s="147"/>
      <c r="G584" s="147"/>
      <c r="H584" s="147"/>
      <c r="I584" s="147"/>
      <c r="J584" s="147"/>
      <c r="K584" s="147"/>
    </row>
    <row r="585">
      <c r="A585" s="147"/>
      <c r="B585" s="147"/>
      <c r="C585" s="147"/>
      <c r="D585" s="147"/>
      <c r="E585" s="147"/>
      <c r="F585" s="147"/>
      <c r="G585" s="147"/>
      <c r="H585" s="147"/>
      <c r="I585" s="147"/>
      <c r="J585" s="147"/>
      <c r="K585" s="147"/>
    </row>
    <row r="586">
      <c r="A586" s="147"/>
      <c r="B586" s="147"/>
      <c r="C586" s="147"/>
      <c r="D586" s="147"/>
      <c r="E586" s="147"/>
      <c r="F586" s="147"/>
      <c r="G586" s="147"/>
      <c r="H586" s="147"/>
      <c r="I586" s="147"/>
      <c r="J586" s="147"/>
      <c r="K586" s="147"/>
    </row>
    <row r="587">
      <c r="A587" s="147"/>
      <c r="B587" s="147"/>
      <c r="C587" s="147"/>
      <c r="D587" s="147"/>
      <c r="E587" s="147"/>
      <c r="F587" s="147"/>
      <c r="G587" s="147"/>
      <c r="H587" s="147"/>
      <c r="I587" s="147"/>
      <c r="J587" s="147"/>
      <c r="K587" s="147"/>
    </row>
    <row r="588">
      <c r="A588" s="147"/>
      <c r="B588" s="147"/>
      <c r="C588" s="147"/>
      <c r="D588" s="147"/>
      <c r="E588" s="147"/>
      <c r="F588" s="147"/>
      <c r="G588" s="147"/>
      <c r="H588" s="147"/>
      <c r="I588" s="147"/>
      <c r="J588" s="147"/>
      <c r="K588" s="147"/>
    </row>
    <row r="589">
      <c r="A589" s="147"/>
      <c r="B589" s="147"/>
      <c r="C589" s="147"/>
      <c r="D589" s="147"/>
      <c r="E589" s="147"/>
      <c r="F589" s="147"/>
      <c r="G589" s="147"/>
      <c r="H589" s="147"/>
      <c r="I589" s="147"/>
      <c r="J589" s="147"/>
      <c r="K589" s="147"/>
    </row>
    <row r="590">
      <c r="A590" s="147"/>
      <c r="B590" s="147"/>
      <c r="C590" s="147"/>
      <c r="D590" s="147"/>
      <c r="E590" s="147"/>
      <c r="F590" s="147"/>
      <c r="G590" s="147"/>
      <c r="H590" s="147"/>
      <c r="I590" s="147"/>
      <c r="J590" s="147"/>
      <c r="K590" s="147"/>
    </row>
    <row r="591">
      <c r="A591" s="147"/>
      <c r="B591" s="147"/>
      <c r="C591" s="147"/>
      <c r="D591" s="147"/>
      <c r="E591" s="147"/>
      <c r="F591" s="147"/>
      <c r="G591" s="147"/>
      <c r="H591" s="147"/>
      <c r="I591" s="147"/>
      <c r="J591" s="147"/>
      <c r="K591" s="147"/>
    </row>
    <row r="592">
      <c r="A592" s="147"/>
      <c r="B592" s="147"/>
      <c r="C592" s="147"/>
      <c r="D592" s="147"/>
      <c r="E592" s="147"/>
      <c r="F592" s="147"/>
      <c r="G592" s="147"/>
      <c r="H592" s="147"/>
      <c r="I592" s="147"/>
      <c r="J592" s="147"/>
      <c r="K592" s="147"/>
    </row>
    <row r="593">
      <c r="A593" s="147"/>
      <c r="B593" s="147"/>
      <c r="C593" s="147"/>
      <c r="D593" s="147"/>
      <c r="E593" s="147"/>
      <c r="F593" s="147"/>
      <c r="G593" s="147"/>
      <c r="H593" s="147"/>
      <c r="I593" s="147"/>
      <c r="J593" s="147"/>
      <c r="K593" s="147"/>
    </row>
    <row r="594">
      <c r="A594" s="147"/>
      <c r="B594" s="147"/>
      <c r="C594" s="147"/>
      <c r="D594" s="147"/>
      <c r="E594" s="147"/>
      <c r="F594" s="147"/>
      <c r="G594" s="147"/>
      <c r="H594" s="147"/>
      <c r="I594" s="147"/>
      <c r="J594" s="147"/>
      <c r="K594" s="147"/>
    </row>
    <row r="595">
      <c r="A595" s="147"/>
      <c r="B595" s="147"/>
      <c r="C595" s="147"/>
      <c r="D595" s="147"/>
      <c r="E595" s="147"/>
      <c r="F595" s="147"/>
      <c r="G595" s="147"/>
      <c r="H595" s="147"/>
      <c r="I595" s="147"/>
      <c r="J595" s="147"/>
      <c r="K595" s="147"/>
    </row>
    <row r="596">
      <c r="A596" s="147"/>
      <c r="B596" s="147"/>
      <c r="C596" s="147"/>
      <c r="D596" s="147"/>
      <c r="E596" s="147"/>
      <c r="F596" s="147"/>
      <c r="G596" s="147"/>
      <c r="H596" s="147"/>
      <c r="I596" s="147"/>
      <c r="J596" s="147"/>
      <c r="K596" s="147"/>
    </row>
    <row r="597">
      <c r="A597" s="147"/>
      <c r="B597" s="147"/>
      <c r="C597" s="147"/>
      <c r="D597" s="147"/>
      <c r="E597" s="147"/>
      <c r="F597" s="147"/>
      <c r="G597" s="147"/>
      <c r="H597" s="147"/>
      <c r="I597" s="147"/>
      <c r="J597" s="147"/>
      <c r="K597" s="147"/>
    </row>
    <row r="598">
      <c r="A598" s="147"/>
      <c r="B598" s="147"/>
      <c r="C598" s="147"/>
      <c r="D598" s="147"/>
      <c r="E598" s="147"/>
      <c r="F598" s="147"/>
      <c r="G598" s="147"/>
      <c r="H598" s="147"/>
      <c r="I598" s="147"/>
      <c r="J598" s="147"/>
      <c r="K598" s="147"/>
    </row>
    <row r="599">
      <c r="A599" s="147"/>
      <c r="B599" s="147"/>
      <c r="C599" s="147"/>
      <c r="D599" s="147"/>
      <c r="E599" s="147"/>
      <c r="F599" s="147"/>
      <c r="G599" s="147"/>
      <c r="H599" s="147"/>
      <c r="I599" s="147"/>
      <c r="J599" s="147"/>
      <c r="K599" s="147"/>
    </row>
    <row r="600">
      <c r="A600" s="147"/>
      <c r="B600" s="147"/>
      <c r="C600" s="147"/>
      <c r="D600" s="147"/>
      <c r="E600" s="147"/>
      <c r="F600" s="147"/>
      <c r="G600" s="147"/>
      <c r="H600" s="147"/>
      <c r="I600" s="147"/>
      <c r="J600" s="147"/>
      <c r="K600" s="147"/>
    </row>
    <row r="601">
      <c r="A601" s="147"/>
      <c r="B601" s="147"/>
      <c r="C601" s="147"/>
      <c r="D601" s="147"/>
      <c r="E601" s="147"/>
      <c r="F601" s="147"/>
      <c r="G601" s="147"/>
      <c r="H601" s="147"/>
      <c r="I601" s="147"/>
      <c r="J601" s="147"/>
      <c r="K601" s="147"/>
    </row>
    <row r="602">
      <c r="A602" s="147"/>
      <c r="B602" s="147"/>
      <c r="C602" s="147"/>
      <c r="D602" s="147"/>
      <c r="E602" s="147"/>
      <c r="F602" s="147"/>
      <c r="G602" s="147"/>
      <c r="H602" s="147"/>
      <c r="I602" s="147"/>
      <c r="J602" s="147"/>
      <c r="K602" s="147"/>
    </row>
    <row r="603">
      <c r="A603" s="147"/>
      <c r="B603" s="147"/>
      <c r="C603" s="147"/>
      <c r="D603" s="147"/>
      <c r="E603" s="147"/>
      <c r="F603" s="147"/>
      <c r="G603" s="147"/>
      <c r="H603" s="147"/>
      <c r="I603" s="147"/>
      <c r="J603" s="147"/>
      <c r="K603" s="147"/>
    </row>
    <row r="604">
      <c r="A604" s="147"/>
      <c r="B604" s="147"/>
      <c r="C604" s="147"/>
      <c r="D604" s="147"/>
      <c r="E604" s="147"/>
      <c r="F604" s="147"/>
      <c r="G604" s="147"/>
      <c r="H604" s="147"/>
      <c r="I604" s="147"/>
      <c r="J604" s="147"/>
      <c r="K604" s="147"/>
    </row>
    <row r="605">
      <c r="A605" s="147"/>
      <c r="B605" s="147"/>
      <c r="C605" s="147"/>
      <c r="D605" s="147"/>
      <c r="E605" s="147"/>
      <c r="F605" s="147"/>
      <c r="G605" s="147"/>
      <c r="H605" s="147"/>
      <c r="I605" s="147"/>
      <c r="J605" s="147"/>
      <c r="K605" s="147"/>
    </row>
    <row r="606">
      <c r="A606" s="147"/>
      <c r="B606" s="147"/>
      <c r="C606" s="147"/>
      <c r="D606" s="147"/>
      <c r="E606" s="147"/>
      <c r="F606" s="147"/>
      <c r="G606" s="147"/>
      <c r="H606" s="147"/>
      <c r="I606" s="147"/>
      <c r="J606" s="147"/>
      <c r="K606" s="147"/>
    </row>
    <row r="607">
      <c r="A607" s="147"/>
      <c r="B607" s="147"/>
      <c r="C607" s="147"/>
      <c r="D607" s="147"/>
      <c r="E607" s="147"/>
      <c r="F607" s="147"/>
      <c r="G607" s="147"/>
      <c r="H607" s="147"/>
      <c r="I607" s="147"/>
      <c r="J607" s="147"/>
      <c r="K607" s="147"/>
    </row>
    <row r="608">
      <c r="A608" s="147"/>
      <c r="B608" s="147"/>
      <c r="C608" s="147"/>
      <c r="D608" s="147"/>
      <c r="E608" s="147"/>
      <c r="F608" s="147"/>
      <c r="G608" s="147"/>
      <c r="H608" s="147"/>
      <c r="I608" s="147"/>
      <c r="J608" s="147"/>
      <c r="K608" s="147"/>
    </row>
    <row r="609">
      <c r="A609" s="147"/>
      <c r="B609" s="147"/>
      <c r="C609" s="147"/>
      <c r="D609" s="147"/>
      <c r="E609" s="147"/>
      <c r="F609" s="147"/>
      <c r="G609" s="147"/>
      <c r="H609" s="147"/>
      <c r="I609" s="147"/>
      <c r="J609" s="147"/>
      <c r="K609" s="147"/>
    </row>
    <row r="610">
      <c r="A610" s="147"/>
      <c r="B610" s="147"/>
      <c r="C610" s="147"/>
      <c r="D610" s="147"/>
      <c r="E610" s="147"/>
      <c r="F610" s="147"/>
      <c r="G610" s="147"/>
      <c r="H610" s="147"/>
      <c r="I610" s="147"/>
      <c r="J610" s="147"/>
      <c r="K610" s="147"/>
    </row>
    <row r="611">
      <c r="A611" s="147"/>
      <c r="B611" s="147"/>
      <c r="C611" s="147"/>
      <c r="D611" s="147"/>
      <c r="E611" s="147"/>
      <c r="F611" s="147"/>
      <c r="G611" s="147"/>
      <c r="H611" s="147"/>
      <c r="I611" s="147"/>
      <c r="J611" s="147"/>
      <c r="K611" s="147"/>
    </row>
    <row r="612">
      <c r="A612" s="147"/>
      <c r="B612" s="147"/>
      <c r="C612" s="147"/>
      <c r="D612" s="147"/>
      <c r="E612" s="147"/>
      <c r="F612" s="147"/>
      <c r="G612" s="147"/>
      <c r="H612" s="147"/>
      <c r="I612" s="147"/>
      <c r="J612" s="147"/>
      <c r="K612" s="147"/>
    </row>
    <row r="613">
      <c r="A613" s="147"/>
      <c r="B613" s="147"/>
      <c r="C613" s="147"/>
      <c r="D613" s="147"/>
      <c r="E613" s="147"/>
      <c r="F613" s="147"/>
      <c r="G613" s="147"/>
      <c r="H613" s="147"/>
      <c r="I613" s="147"/>
      <c r="J613" s="147"/>
      <c r="K613" s="147"/>
    </row>
    <row r="614">
      <c r="A614" s="147"/>
      <c r="B614" s="147"/>
      <c r="C614" s="147"/>
      <c r="D614" s="147"/>
      <c r="E614" s="147"/>
      <c r="F614" s="147"/>
      <c r="G614" s="147"/>
      <c r="H614" s="147"/>
      <c r="I614" s="147"/>
      <c r="J614" s="147"/>
      <c r="K614" s="147"/>
    </row>
    <row r="615">
      <c r="A615" s="147"/>
      <c r="B615" s="147"/>
      <c r="C615" s="147"/>
      <c r="D615" s="147"/>
      <c r="E615" s="147"/>
      <c r="F615" s="147"/>
      <c r="G615" s="147"/>
      <c r="H615" s="147"/>
      <c r="I615" s="147"/>
      <c r="J615" s="147"/>
      <c r="K615" s="147"/>
    </row>
    <row r="616">
      <c r="A616" s="147"/>
      <c r="B616" s="147"/>
      <c r="C616" s="147"/>
      <c r="D616" s="147"/>
      <c r="E616" s="147"/>
      <c r="F616" s="147"/>
      <c r="G616" s="147"/>
      <c r="H616" s="147"/>
      <c r="I616" s="147"/>
      <c r="J616" s="147"/>
      <c r="K616" s="147"/>
    </row>
    <row r="617">
      <c r="A617" s="147"/>
      <c r="B617" s="147"/>
      <c r="C617" s="147"/>
      <c r="D617" s="147"/>
      <c r="E617" s="147"/>
      <c r="F617" s="147"/>
      <c r="G617" s="147"/>
      <c r="H617" s="147"/>
      <c r="I617" s="147"/>
      <c r="J617" s="147"/>
      <c r="K617" s="147"/>
    </row>
    <row r="618">
      <c r="A618" s="147"/>
      <c r="B618" s="147"/>
      <c r="C618" s="147"/>
      <c r="D618" s="147"/>
      <c r="E618" s="147"/>
      <c r="F618" s="147"/>
      <c r="G618" s="147"/>
      <c r="H618" s="147"/>
      <c r="I618" s="147"/>
      <c r="J618" s="147"/>
      <c r="K618" s="147"/>
    </row>
    <row r="619">
      <c r="A619" s="147"/>
      <c r="B619" s="147"/>
      <c r="C619" s="147"/>
      <c r="D619" s="147"/>
      <c r="E619" s="147"/>
      <c r="F619" s="147"/>
      <c r="G619" s="147"/>
      <c r="H619" s="147"/>
      <c r="I619" s="147"/>
      <c r="J619" s="147"/>
      <c r="K619" s="147"/>
    </row>
    <row r="620">
      <c r="A620" s="147"/>
      <c r="B620" s="147"/>
      <c r="C620" s="147"/>
      <c r="D620" s="147"/>
      <c r="E620" s="147"/>
      <c r="F620" s="147"/>
      <c r="G620" s="147"/>
      <c r="H620" s="147"/>
      <c r="I620" s="147"/>
      <c r="J620" s="147"/>
      <c r="K620" s="147"/>
    </row>
    <row r="621">
      <c r="A621" s="147"/>
      <c r="B621" s="147"/>
      <c r="C621" s="147"/>
      <c r="D621" s="147"/>
      <c r="E621" s="147"/>
      <c r="F621" s="147"/>
      <c r="G621" s="147"/>
      <c r="H621" s="147"/>
      <c r="I621" s="147"/>
      <c r="J621" s="147"/>
      <c r="K621" s="147"/>
    </row>
    <row r="622">
      <c r="A622" s="147"/>
      <c r="B622" s="147"/>
      <c r="C622" s="147"/>
      <c r="D622" s="147"/>
      <c r="E622" s="147"/>
      <c r="F622" s="147"/>
      <c r="G622" s="147"/>
      <c r="H622" s="147"/>
      <c r="I622" s="147"/>
      <c r="J622" s="147"/>
      <c r="K622" s="147"/>
    </row>
    <row r="623">
      <c r="A623" s="147"/>
      <c r="B623" s="147"/>
      <c r="C623" s="147"/>
      <c r="D623" s="147"/>
      <c r="E623" s="147"/>
      <c r="F623" s="147"/>
      <c r="G623" s="147"/>
      <c r="H623" s="147"/>
      <c r="I623" s="147"/>
      <c r="J623" s="147"/>
      <c r="K623" s="147"/>
    </row>
    <row r="624">
      <c r="A624" s="147"/>
      <c r="B624" s="147"/>
      <c r="C624" s="147"/>
      <c r="D624" s="147"/>
      <c r="E624" s="147"/>
      <c r="F624" s="147"/>
      <c r="G624" s="147"/>
      <c r="H624" s="147"/>
      <c r="I624" s="147"/>
      <c r="J624" s="147"/>
      <c r="K624" s="147"/>
    </row>
    <row r="625">
      <c r="A625" s="147"/>
      <c r="B625" s="147"/>
      <c r="C625" s="147"/>
      <c r="D625" s="147"/>
      <c r="E625" s="147"/>
      <c r="F625" s="147"/>
      <c r="G625" s="147"/>
      <c r="H625" s="147"/>
      <c r="I625" s="147"/>
      <c r="J625" s="147"/>
      <c r="K625" s="147"/>
    </row>
    <row r="626">
      <c r="A626" s="147"/>
      <c r="B626" s="147"/>
      <c r="C626" s="147"/>
      <c r="D626" s="147"/>
      <c r="E626" s="147"/>
      <c r="F626" s="147"/>
      <c r="G626" s="147"/>
      <c r="H626" s="147"/>
      <c r="I626" s="147"/>
      <c r="J626" s="147"/>
      <c r="K626" s="147"/>
    </row>
    <row r="627">
      <c r="A627" s="147"/>
      <c r="B627" s="147"/>
      <c r="C627" s="147"/>
      <c r="D627" s="147"/>
      <c r="E627" s="147"/>
      <c r="F627" s="147"/>
      <c r="G627" s="147"/>
      <c r="H627" s="147"/>
      <c r="I627" s="147"/>
      <c r="J627" s="147"/>
      <c r="K627" s="147"/>
    </row>
    <row r="628">
      <c r="A628" s="147"/>
      <c r="B628" s="147"/>
      <c r="C628" s="147"/>
      <c r="D628" s="147"/>
      <c r="E628" s="147"/>
      <c r="F628" s="147"/>
      <c r="G628" s="147"/>
      <c r="H628" s="147"/>
      <c r="I628" s="147"/>
      <c r="J628" s="147"/>
      <c r="K628" s="147"/>
    </row>
    <row r="629">
      <c r="A629" s="147"/>
      <c r="B629" s="147"/>
      <c r="C629" s="147"/>
      <c r="D629" s="147"/>
      <c r="E629" s="147"/>
      <c r="F629" s="147"/>
      <c r="G629" s="147"/>
      <c r="H629" s="147"/>
      <c r="I629" s="147"/>
      <c r="J629" s="147"/>
      <c r="K629" s="147"/>
    </row>
    <row r="630">
      <c r="A630" s="147"/>
      <c r="B630" s="147"/>
      <c r="C630" s="147"/>
      <c r="D630" s="147"/>
      <c r="E630" s="147"/>
      <c r="F630" s="147"/>
      <c r="G630" s="147"/>
      <c r="H630" s="147"/>
      <c r="I630" s="147"/>
      <c r="J630" s="147"/>
      <c r="K630" s="147"/>
    </row>
    <row r="631">
      <c r="A631" s="147"/>
      <c r="B631" s="147"/>
      <c r="C631" s="147"/>
      <c r="D631" s="147"/>
      <c r="E631" s="147"/>
      <c r="F631" s="147"/>
      <c r="G631" s="147"/>
      <c r="H631" s="147"/>
      <c r="I631" s="147"/>
      <c r="J631" s="147"/>
      <c r="K631" s="147"/>
    </row>
    <row r="632">
      <c r="A632" s="147"/>
      <c r="B632" s="147"/>
      <c r="C632" s="147"/>
      <c r="D632" s="147"/>
      <c r="E632" s="147"/>
      <c r="F632" s="147"/>
      <c r="G632" s="147"/>
      <c r="H632" s="147"/>
      <c r="I632" s="147"/>
      <c r="J632" s="147"/>
      <c r="K632" s="147"/>
    </row>
    <row r="633">
      <c r="A633" s="147"/>
      <c r="B633" s="147"/>
      <c r="C633" s="147"/>
      <c r="D633" s="147"/>
      <c r="E633" s="147"/>
      <c r="F633" s="147"/>
      <c r="G633" s="147"/>
      <c r="H633" s="147"/>
      <c r="I633" s="147"/>
      <c r="J633" s="147"/>
      <c r="K633" s="147"/>
    </row>
    <row r="634">
      <c r="A634" s="147"/>
      <c r="B634" s="147"/>
      <c r="C634" s="147"/>
      <c r="D634" s="147"/>
      <c r="E634" s="147"/>
      <c r="F634" s="147"/>
      <c r="G634" s="147"/>
      <c r="H634" s="147"/>
      <c r="I634" s="147"/>
      <c r="J634" s="147"/>
      <c r="K634" s="147"/>
    </row>
    <row r="635">
      <c r="A635" s="147"/>
      <c r="B635" s="147"/>
      <c r="C635" s="147"/>
      <c r="D635" s="147"/>
      <c r="E635" s="147"/>
      <c r="F635" s="147"/>
      <c r="G635" s="147"/>
      <c r="H635" s="147"/>
      <c r="I635" s="147"/>
      <c r="J635" s="147"/>
      <c r="K635" s="147"/>
    </row>
    <row r="636">
      <c r="A636" s="147"/>
      <c r="B636" s="147"/>
      <c r="C636" s="147"/>
      <c r="D636" s="147"/>
      <c r="E636" s="147"/>
      <c r="F636" s="147"/>
      <c r="G636" s="147"/>
      <c r="H636" s="147"/>
      <c r="I636" s="147"/>
      <c r="J636" s="147"/>
      <c r="K636" s="147"/>
    </row>
    <row r="637">
      <c r="A637" s="147"/>
      <c r="B637" s="147"/>
      <c r="C637" s="147"/>
      <c r="D637" s="147"/>
      <c r="E637" s="147"/>
      <c r="F637" s="147"/>
      <c r="G637" s="147"/>
      <c r="H637" s="147"/>
      <c r="I637" s="147"/>
      <c r="J637" s="147"/>
      <c r="K637" s="147"/>
    </row>
    <row r="638">
      <c r="A638" s="147"/>
      <c r="B638" s="147"/>
      <c r="C638" s="147"/>
      <c r="D638" s="147"/>
      <c r="E638" s="147"/>
      <c r="F638" s="147"/>
      <c r="G638" s="147"/>
      <c r="H638" s="147"/>
      <c r="I638" s="147"/>
      <c r="J638" s="147"/>
      <c r="K638" s="147"/>
    </row>
    <row r="639">
      <c r="A639" s="147"/>
      <c r="B639" s="147"/>
      <c r="C639" s="147"/>
      <c r="D639" s="147"/>
      <c r="E639" s="147"/>
      <c r="F639" s="147"/>
      <c r="G639" s="147"/>
      <c r="H639" s="147"/>
      <c r="I639" s="147"/>
      <c r="J639" s="147"/>
      <c r="K639" s="147"/>
    </row>
    <row r="640">
      <c r="A640" s="147"/>
      <c r="B640" s="147"/>
      <c r="C640" s="147"/>
      <c r="D640" s="147"/>
      <c r="E640" s="147"/>
      <c r="F640" s="147"/>
      <c r="G640" s="147"/>
      <c r="H640" s="147"/>
      <c r="I640" s="147"/>
      <c r="J640" s="147"/>
      <c r="K640" s="147"/>
    </row>
    <row r="641">
      <c r="A641" s="147"/>
      <c r="B641" s="147"/>
      <c r="C641" s="147"/>
      <c r="D641" s="147"/>
      <c r="E641" s="147"/>
      <c r="F641" s="147"/>
      <c r="G641" s="147"/>
      <c r="H641" s="147"/>
      <c r="I641" s="147"/>
      <c r="J641" s="147"/>
      <c r="K641" s="147"/>
    </row>
    <row r="642">
      <c r="A642" s="147"/>
      <c r="B642" s="147"/>
      <c r="C642" s="147"/>
      <c r="D642" s="147"/>
      <c r="E642" s="147"/>
      <c r="F642" s="147"/>
      <c r="G642" s="147"/>
      <c r="H642" s="147"/>
      <c r="I642" s="147"/>
      <c r="J642" s="147"/>
      <c r="K642" s="147"/>
    </row>
    <row r="643">
      <c r="A643" s="147"/>
      <c r="B643" s="147"/>
      <c r="C643" s="147"/>
      <c r="D643" s="147"/>
      <c r="E643" s="147"/>
      <c r="F643" s="147"/>
      <c r="G643" s="147"/>
      <c r="H643" s="147"/>
      <c r="I643" s="147"/>
      <c r="J643" s="147"/>
      <c r="K643" s="147"/>
    </row>
    <row r="644">
      <c r="A644" s="147"/>
      <c r="B644" s="147"/>
      <c r="C644" s="147"/>
      <c r="D644" s="147"/>
      <c r="E644" s="147"/>
      <c r="F644" s="147"/>
      <c r="G644" s="147"/>
      <c r="H644" s="147"/>
      <c r="I644" s="147"/>
      <c r="J644" s="147"/>
      <c r="K644" s="147"/>
    </row>
    <row r="645">
      <c r="A645" s="147"/>
      <c r="B645" s="147"/>
      <c r="C645" s="147"/>
      <c r="D645" s="147"/>
      <c r="E645" s="147"/>
      <c r="F645" s="147"/>
      <c r="G645" s="147"/>
      <c r="H645" s="147"/>
      <c r="I645" s="147"/>
      <c r="J645" s="147"/>
      <c r="K645" s="147"/>
    </row>
    <row r="646">
      <c r="A646" s="147"/>
      <c r="B646" s="147"/>
      <c r="C646" s="147"/>
      <c r="D646" s="147"/>
      <c r="E646" s="147"/>
      <c r="F646" s="147"/>
      <c r="G646" s="147"/>
      <c r="H646" s="147"/>
      <c r="I646" s="147"/>
      <c r="J646" s="147"/>
      <c r="K646" s="147"/>
    </row>
    <row r="647">
      <c r="A647" s="147"/>
      <c r="B647" s="147"/>
      <c r="C647" s="147"/>
      <c r="D647" s="147"/>
      <c r="E647" s="147"/>
      <c r="F647" s="147"/>
      <c r="G647" s="147"/>
      <c r="H647" s="147"/>
      <c r="I647" s="147"/>
      <c r="J647" s="147"/>
      <c r="K647" s="147"/>
    </row>
    <row r="648">
      <c r="A648" s="147"/>
      <c r="B648" s="147"/>
      <c r="C648" s="147"/>
      <c r="D648" s="147"/>
      <c r="E648" s="147"/>
      <c r="F648" s="147"/>
      <c r="G648" s="147"/>
      <c r="H648" s="147"/>
      <c r="I648" s="147"/>
      <c r="J648" s="147"/>
      <c r="K648" s="147"/>
    </row>
    <row r="649">
      <c r="A649" s="147"/>
      <c r="B649" s="147"/>
      <c r="C649" s="147"/>
      <c r="D649" s="147"/>
      <c r="E649" s="147"/>
      <c r="F649" s="147"/>
      <c r="G649" s="147"/>
      <c r="H649" s="147"/>
      <c r="I649" s="147"/>
      <c r="J649" s="147"/>
      <c r="K649" s="147"/>
    </row>
    <row r="650">
      <c r="A650" s="147"/>
      <c r="B650" s="147"/>
      <c r="C650" s="147"/>
      <c r="D650" s="147"/>
      <c r="E650" s="147"/>
      <c r="F650" s="147"/>
      <c r="G650" s="147"/>
      <c r="H650" s="147"/>
      <c r="I650" s="147"/>
      <c r="J650" s="147"/>
      <c r="K650" s="147"/>
    </row>
    <row r="651">
      <c r="A651" s="147"/>
      <c r="B651" s="147"/>
      <c r="C651" s="147"/>
      <c r="D651" s="147"/>
      <c r="E651" s="147"/>
      <c r="F651" s="147"/>
      <c r="G651" s="147"/>
      <c r="H651" s="147"/>
      <c r="I651" s="147"/>
      <c r="J651" s="147"/>
      <c r="K651" s="147"/>
    </row>
    <row r="652">
      <c r="A652" s="147"/>
      <c r="B652" s="147"/>
      <c r="C652" s="147"/>
      <c r="D652" s="147"/>
      <c r="E652" s="147"/>
      <c r="F652" s="147"/>
      <c r="G652" s="147"/>
      <c r="H652" s="147"/>
      <c r="I652" s="147"/>
      <c r="J652" s="147"/>
      <c r="K652" s="147"/>
    </row>
    <row r="653">
      <c r="A653" s="147"/>
      <c r="B653" s="147"/>
      <c r="C653" s="147"/>
      <c r="D653" s="147"/>
      <c r="E653" s="147"/>
      <c r="F653" s="147"/>
      <c r="G653" s="147"/>
      <c r="H653" s="147"/>
      <c r="I653" s="147"/>
      <c r="J653" s="147"/>
      <c r="K653" s="147"/>
    </row>
    <row r="654">
      <c r="A654" s="147"/>
      <c r="B654" s="147"/>
      <c r="C654" s="147"/>
      <c r="D654" s="147"/>
      <c r="E654" s="147"/>
      <c r="F654" s="147"/>
      <c r="G654" s="147"/>
      <c r="H654" s="147"/>
      <c r="I654" s="147"/>
      <c r="J654" s="147"/>
      <c r="K654" s="147"/>
    </row>
    <row r="655">
      <c r="A655" s="147"/>
      <c r="B655" s="147"/>
      <c r="C655" s="147"/>
      <c r="D655" s="147"/>
      <c r="E655" s="147"/>
      <c r="F655" s="147"/>
      <c r="G655" s="147"/>
      <c r="H655" s="147"/>
      <c r="I655" s="147"/>
      <c r="J655" s="147"/>
      <c r="K655" s="147"/>
    </row>
    <row r="656">
      <c r="A656" s="147"/>
      <c r="B656" s="147"/>
      <c r="C656" s="147"/>
      <c r="D656" s="147"/>
      <c r="E656" s="147"/>
      <c r="F656" s="147"/>
      <c r="G656" s="147"/>
      <c r="H656" s="147"/>
      <c r="I656" s="147"/>
      <c r="J656" s="147"/>
      <c r="K656" s="147"/>
    </row>
    <row r="657">
      <c r="A657" s="147"/>
      <c r="B657" s="147"/>
      <c r="C657" s="147"/>
      <c r="D657" s="147"/>
      <c r="E657" s="147"/>
      <c r="F657" s="147"/>
      <c r="G657" s="147"/>
      <c r="H657" s="147"/>
      <c r="I657" s="147"/>
      <c r="J657" s="147"/>
      <c r="K657" s="147"/>
    </row>
    <row r="658">
      <c r="A658" s="147"/>
      <c r="B658" s="147"/>
      <c r="C658" s="147"/>
      <c r="D658" s="147"/>
      <c r="E658" s="147"/>
      <c r="F658" s="147"/>
      <c r="G658" s="147"/>
      <c r="H658" s="147"/>
      <c r="I658" s="147"/>
      <c r="J658" s="147"/>
      <c r="K658" s="147"/>
    </row>
    <row r="659">
      <c r="A659" s="147"/>
      <c r="B659" s="147"/>
      <c r="C659" s="147"/>
      <c r="D659" s="147"/>
      <c r="E659" s="147"/>
      <c r="F659" s="147"/>
      <c r="G659" s="147"/>
      <c r="H659" s="147"/>
      <c r="I659" s="147"/>
      <c r="J659" s="147"/>
      <c r="K659" s="147"/>
    </row>
    <row r="660">
      <c r="A660" s="147"/>
      <c r="B660" s="147"/>
      <c r="C660" s="147"/>
      <c r="D660" s="147"/>
      <c r="E660" s="147"/>
      <c r="F660" s="147"/>
      <c r="G660" s="147"/>
      <c r="H660" s="147"/>
      <c r="I660" s="147"/>
      <c r="J660" s="147"/>
      <c r="K660" s="147"/>
    </row>
    <row r="661">
      <c r="A661" s="147"/>
      <c r="B661" s="147"/>
      <c r="C661" s="147"/>
      <c r="D661" s="147"/>
      <c r="E661" s="147"/>
      <c r="F661" s="147"/>
      <c r="G661" s="147"/>
      <c r="H661" s="147"/>
      <c r="I661" s="147"/>
      <c r="J661" s="147"/>
      <c r="K661" s="147"/>
    </row>
    <row r="662">
      <c r="A662" s="147"/>
      <c r="B662" s="147"/>
      <c r="C662" s="147"/>
      <c r="D662" s="147"/>
      <c r="E662" s="147"/>
      <c r="F662" s="147"/>
      <c r="G662" s="147"/>
      <c r="H662" s="147"/>
      <c r="I662" s="147"/>
      <c r="J662" s="147"/>
      <c r="K662" s="147"/>
    </row>
    <row r="663">
      <c r="A663" s="147"/>
      <c r="B663" s="147"/>
      <c r="C663" s="147"/>
      <c r="D663" s="147"/>
      <c r="E663" s="147"/>
      <c r="F663" s="147"/>
      <c r="G663" s="147"/>
      <c r="H663" s="147"/>
      <c r="I663" s="147"/>
      <c r="J663" s="147"/>
      <c r="K663" s="147"/>
    </row>
    <row r="664">
      <c r="A664" s="147"/>
      <c r="B664" s="147"/>
      <c r="C664" s="147"/>
      <c r="D664" s="147"/>
      <c r="E664" s="147"/>
      <c r="F664" s="147"/>
      <c r="G664" s="147"/>
      <c r="H664" s="147"/>
      <c r="I664" s="147"/>
      <c r="J664" s="147"/>
      <c r="K664" s="147"/>
    </row>
    <row r="665">
      <c r="A665" s="147"/>
      <c r="B665" s="147"/>
      <c r="C665" s="147"/>
      <c r="D665" s="147"/>
      <c r="E665" s="147"/>
      <c r="F665" s="147"/>
      <c r="G665" s="147"/>
      <c r="H665" s="147"/>
      <c r="I665" s="147"/>
      <c r="J665" s="147"/>
      <c r="K665" s="147"/>
    </row>
    <row r="666">
      <c r="A666" s="147"/>
      <c r="B666" s="147"/>
      <c r="C666" s="147"/>
      <c r="D666" s="147"/>
      <c r="E666" s="147"/>
      <c r="F666" s="147"/>
      <c r="G666" s="147"/>
      <c r="H666" s="147"/>
      <c r="I666" s="147"/>
      <c r="J666" s="147"/>
      <c r="K666" s="147"/>
    </row>
    <row r="667">
      <c r="A667" s="147"/>
      <c r="B667" s="147"/>
      <c r="C667" s="147"/>
      <c r="D667" s="147"/>
      <c r="E667" s="147"/>
      <c r="F667" s="147"/>
      <c r="G667" s="147"/>
      <c r="H667" s="147"/>
      <c r="I667" s="147"/>
      <c r="J667" s="147"/>
      <c r="K667" s="147"/>
    </row>
    <row r="668">
      <c r="A668" s="147"/>
      <c r="B668" s="147"/>
      <c r="C668" s="147"/>
      <c r="D668" s="147"/>
      <c r="E668" s="147"/>
      <c r="F668" s="147"/>
      <c r="G668" s="147"/>
      <c r="H668" s="147"/>
      <c r="I668" s="147"/>
      <c r="J668" s="147"/>
      <c r="K668" s="147"/>
    </row>
    <row r="669">
      <c r="A669" s="147"/>
      <c r="B669" s="147"/>
      <c r="C669" s="147"/>
      <c r="D669" s="147"/>
      <c r="E669" s="147"/>
      <c r="F669" s="147"/>
      <c r="G669" s="147"/>
      <c r="H669" s="147"/>
      <c r="I669" s="147"/>
      <c r="J669" s="147"/>
      <c r="K669" s="147"/>
    </row>
    <row r="670">
      <c r="A670" s="147"/>
      <c r="B670" s="147"/>
      <c r="C670" s="147"/>
      <c r="D670" s="147"/>
      <c r="E670" s="147"/>
      <c r="F670" s="147"/>
      <c r="G670" s="147"/>
      <c r="H670" s="147"/>
      <c r="I670" s="147"/>
      <c r="J670" s="147"/>
      <c r="K670" s="147"/>
    </row>
    <row r="671">
      <c r="A671" s="147"/>
      <c r="B671" s="147"/>
      <c r="C671" s="147"/>
      <c r="D671" s="147"/>
      <c r="E671" s="147"/>
      <c r="F671" s="147"/>
      <c r="G671" s="147"/>
      <c r="H671" s="147"/>
      <c r="I671" s="147"/>
      <c r="J671" s="147"/>
      <c r="K671" s="147"/>
    </row>
    <row r="672">
      <c r="A672" s="147"/>
      <c r="B672" s="147"/>
      <c r="C672" s="147"/>
      <c r="D672" s="147"/>
      <c r="E672" s="147"/>
      <c r="F672" s="147"/>
      <c r="G672" s="147"/>
      <c r="H672" s="147"/>
      <c r="I672" s="147"/>
      <c r="J672" s="147"/>
      <c r="K672" s="147"/>
    </row>
    <row r="673">
      <c r="A673" s="147"/>
      <c r="B673" s="147"/>
      <c r="C673" s="147"/>
      <c r="D673" s="147"/>
      <c r="E673" s="147"/>
      <c r="F673" s="147"/>
      <c r="G673" s="147"/>
      <c r="H673" s="147"/>
      <c r="I673" s="147"/>
      <c r="J673" s="147"/>
      <c r="K673" s="147"/>
    </row>
    <row r="674">
      <c r="A674" s="147"/>
      <c r="B674" s="147"/>
      <c r="C674" s="147"/>
      <c r="D674" s="147"/>
      <c r="E674" s="147"/>
      <c r="F674" s="147"/>
      <c r="G674" s="147"/>
      <c r="H674" s="147"/>
      <c r="I674" s="147"/>
      <c r="J674" s="147"/>
      <c r="K674" s="147"/>
    </row>
    <row r="675">
      <c r="A675" s="147"/>
      <c r="B675" s="147"/>
      <c r="C675" s="147"/>
      <c r="D675" s="147"/>
      <c r="E675" s="147"/>
      <c r="F675" s="147"/>
      <c r="G675" s="147"/>
      <c r="H675" s="147"/>
      <c r="I675" s="147"/>
      <c r="J675" s="147"/>
      <c r="K675" s="147"/>
    </row>
    <row r="676">
      <c r="A676" s="147"/>
      <c r="B676" s="147"/>
      <c r="C676" s="147"/>
      <c r="D676" s="147"/>
      <c r="E676" s="147"/>
      <c r="F676" s="147"/>
      <c r="G676" s="147"/>
      <c r="H676" s="147"/>
      <c r="I676" s="147"/>
      <c r="J676" s="147"/>
      <c r="K676" s="147"/>
    </row>
    <row r="677">
      <c r="A677" s="147"/>
      <c r="B677" s="147"/>
      <c r="C677" s="147"/>
      <c r="D677" s="147"/>
      <c r="E677" s="147"/>
      <c r="F677" s="147"/>
      <c r="G677" s="147"/>
      <c r="H677" s="147"/>
      <c r="I677" s="147"/>
      <c r="J677" s="147"/>
      <c r="K677" s="147"/>
    </row>
    <row r="678">
      <c r="A678" s="147"/>
      <c r="B678" s="147"/>
      <c r="C678" s="147"/>
      <c r="D678" s="147"/>
      <c r="E678" s="147"/>
      <c r="F678" s="147"/>
      <c r="G678" s="147"/>
      <c r="H678" s="147"/>
      <c r="I678" s="147"/>
      <c r="J678" s="147"/>
      <c r="K678" s="147"/>
    </row>
    <row r="679">
      <c r="A679" s="147"/>
      <c r="B679" s="147"/>
      <c r="C679" s="147"/>
      <c r="D679" s="147"/>
      <c r="E679" s="147"/>
      <c r="F679" s="147"/>
      <c r="G679" s="147"/>
      <c r="H679" s="147"/>
      <c r="I679" s="147"/>
      <c r="J679" s="147"/>
      <c r="K679" s="147"/>
    </row>
    <row r="680">
      <c r="A680" s="147"/>
      <c r="B680" s="147"/>
      <c r="C680" s="147"/>
      <c r="D680" s="147"/>
      <c r="E680" s="147"/>
      <c r="F680" s="147"/>
      <c r="G680" s="147"/>
      <c r="H680" s="147"/>
      <c r="I680" s="147"/>
      <c r="J680" s="147"/>
      <c r="K680" s="147"/>
    </row>
    <row r="681">
      <c r="A681" s="147"/>
      <c r="B681" s="147"/>
      <c r="C681" s="147"/>
      <c r="D681" s="147"/>
      <c r="E681" s="147"/>
      <c r="F681" s="147"/>
      <c r="G681" s="147"/>
      <c r="H681" s="147"/>
      <c r="I681" s="147"/>
      <c r="J681" s="147"/>
      <c r="K681" s="147"/>
    </row>
    <row r="682">
      <c r="A682" s="147"/>
      <c r="B682" s="147"/>
      <c r="C682" s="147"/>
      <c r="D682" s="147"/>
      <c r="E682" s="147"/>
      <c r="F682" s="147"/>
      <c r="G682" s="147"/>
      <c r="H682" s="147"/>
      <c r="I682" s="147"/>
      <c r="J682" s="147"/>
      <c r="K682" s="147"/>
    </row>
    <row r="683">
      <c r="A683" s="147"/>
      <c r="B683" s="147"/>
      <c r="C683" s="147"/>
      <c r="D683" s="147"/>
      <c r="E683" s="147"/>
      <c r="F683" s="147"/>
      <c r="G683" s="147"/>
      <c r="H683" s="147"/>
      <c r="I683" s="147"/>
      <c r="J683" s="147"/>
      <c r="K683" s="147"/>
    </row>
    <row r="684">
      <c r="A684" s="147"/>
      <c r="B684" s="147"/>
      <c r="C684" s="147"/>
      <c r="D684" s="147"/>
      <c r="E684" s="147"/>
      <c r="F684" s="147"/>
      <c r="G684" s="147"/>
      <c r="H684" s="147"/>
      <c r="I684" s="147"/>
      <c r="J684" s="147"/>
      <c r="K684" s="147"/>
    </row>
    <row r="685">
      <c r="A685" s="147"/>
      <c r="B685" s="147"/>
      <c r="C685" s="147"/>
      <c r="D685" s="147"/>
      <c r="E685" s="147"/>
      <c r="F685" s="147"/>
      <c r="G685" s="147"/>
      <c r="H685" s="147"/>
      <c r="I685" s="147"/>
      <c r="J685" s="147"/>
      <c r="K685" s="147"/>
    </row>
    <row r="686">
      <c r="A686" s="147"/>
      <c r="B686" s="147"/>
      <c r="C686" s="147"/>
      <c r="D686" s="147"/>
      <c r="E686" s="147"/>
      <c r="F686" s="147"/>
      <c r="G686" s="147"/>
      <c r="H686" s="147"/>
      <c r="I686" s="147"/>
      <c r="J686" s="147"/>
      <c r="K686" s="147"/>
    </row>
    <row r="687">
      <c r="A687" s="147"/>
      <c r="B687" s="147"/>
      <c r="C687" s="147"/>
      <c r="D687" s="147"/>
      <c r="E687" s="147"/>
      <c r="F687" s="147"/>
      <c r="G687" s="147"/>
      <c r="H687" s="147"/>
      <c r="I687" s="147"/>
      <c r="J687" s="147"/>
      <c r="K687" s="147"/>
    </row>
    <row r="688">
      <c r="A688" s="147"/>
      <c r="B688" s="147"/>
      <c r="C688" s="147"/>
      <c r="D688" s="147"/>
      <c r="E688" s="147"/>
      <c r="F688" s="147"/>
      <c r="G688" s="147"/>
      <c r="H688" s="147"/>
      <c r="I688" s="147"/>
      <c r="J688" s="147"/>
      <c r="K688" s="147"/>
    </row>
    <row r="689">
      <c r="A689" s="147"/>
      <c r="B689" s="147"/>
      <c r="C689" s="147"/>
      <c r="D689" s="147"/>
      <c r="E689" s="147"/>
      <c r="F689" s="147"/>
      <c r="G689" s="147"/>
      <c r="H689" s="147"/>
      <c r="I689" s="147"/>
      <c r="J689" s="147"/>
      <c r="K689" s="147"/>
    </row>
    <row r="690">
      <c r="A690" s="147"/>
      <c r="B690" s="147"/>
      <c r="C690" s="147"/>
      <c r="D690" s="147"/>
      <c r="E690" s="147"/>
      <c r="F690" s="147"/>
      <c r="G690" s="147"/>
      <c r="H690" s="147"/>
      <c r="I690" s="147"/>
      <c r="J690" s="147"/>
      <c r="K690" s="147"/>
    </row>
    <row r="691">
      <c r="A691" s="147"/>
      <c r="B691" s="147"/>
      <c r="C691" s="147"/>
      <c r="D691" s="147"/>
      <c r="E691" s="147"/>
      <c r="F691" s="147"/>
      <c r="G691" s="147"/>
      <c r="H691" s="147"/>
      <c r="I691" s="147"/>
      <c r="J691" s="147"/>
      <c r="K691" s="147"/>
    </row>
    <row r="692">
      <c r="A692" s="147"/>
      <c r="B692" s="147"/>
      <c r="C692" s="147"/>
      <c r="D692" s="147"/>
      <c r="E692" s="147"/>
      <c r="F692" s="147"/>
      <c r="G692" s="147"/>
      <c r="H692" s="147"/>
      <c r="I692" s="147"/>
      <c r="J692" s="147"/>
      <c r="K692" s="147"/>
    </row>
    <row r="693">
      <c r="A693" s="147"/>
      <c r="B693" s="147"/>
      <c r="C693" s="147"/>
      <c r="D693" s="147"/>
      <c r="E693" s="147"/>
      <c r="F693" s="147"/>
      <c r="G693" s="147"/>
      <c r="H693" s="147"/>
      <c r="I693" s="147"/>
      <c r="J693" s="147"/>
      <c r="K693" s="147"/>
    </row>
    <row r="694">
      <c r="A694" s="147"/>
      <c r="B694" s="147"/>
      <c r="C694" s="147"/>
      <c r="D694" s="147"/>
      <c r="E694" s="147"/>
      <c r="F694" s="147"/>
      <c r="G694" s="147"/>
      <c r="H694" s="147"/>
      <c r="I694" s="147"/>
      <c r="J694" s="147"/>
      <c r="K694" s="147"/>
    </row>
    <row r="695">
      <c r="A695" s="147"/>
      <c r="B695" s="147"/>
      <c r="C695" s="147"/>
      <c r="D695" s="147"/>
      <c r="E695" s="147"/>
      <c r="F695" s="147"/>
      <c r="G695" s="147"/>
      <c r="H695" s="147"/>
      <c r="I695" s="147"/>
      <c r="J695" s="147"/>
      <c r="K695" s="147"/>
    </row>
    <row r="696">
      <c r="A696" s="147"/>
      <c r="B696" s="147"/>
      <c r="C696" s="147"/>
      <c r="D696" s="147"/>
      <c r="E696" s="147"/>
      <c r="F696" s="147"/>
      <c r="G696" s="147"/>
      <c r="H696" s="147"/>
      <c r="I696" s="147"/>
      <c r="J696" s="147"/>
      <c r="K696" s="147"/>
    </row>
    <row r="697">
      <c r="A697" s="147"/>
      <c r="B697" s="147"/>
      <c r="C697" s="147"/>
      <c r="D697" s="147"/>
      <c r="E697" s="147"/>
      <c r="F697" s="147"/>
      <c r="G697" s="147"/>
      <c r="H697" s="147"/>
      <c r="I697" s="147"/>
      <c r="J697" s="147"/>
      <c r="K697" s="147"/>
    </row>
    <row r="698">
      <c r="A698" s="147"/>
      <c r="B698" s="147"/>
      <c r="C698" s="147"/>
      <c r="D698" s="147"/>
      <c r="E698" s="147"/>
      <c r="F698" s="147"/>
      <c r="G698" s="147"/>
      <c r="H698" s="147"/>
      <c r="I698" s="147"/>
      <c r="J698" s="147"/>
      <c r="K698" s="147"/>
    </row>
    <row r="699">
      <c r="A699" s="147"/>
      <c r="B699" s="147"/>
      <c r="C699" s="147"/>
      <c r="D699" s="147"/>
      <c r="E699" s="147"/>
      <c r="F699" s="147"/>
      <c r="G699" s="147"/>
      <c r="H699" s="147"/>
      <c r="I699" s="147"/>
      <c r="J699" s="147"/>
      <c r="K699" s="147"/>
    </row>
    <row r="700">
      <c r="A700" s="147"/>
      <c r="B700" s="147"/>
      <c r="C700" s="147"/>
      <c r="D700" s="147"/>
      <c r="E700" s="147"/>
      <c r="F700" s="147"/>
      <c r="G700" s="147"/>
      <c r="H700" s="147"/>
      <c r="I700" s="147"/>
      <c r="J700" s="147"/>
      <c r="K700" s="147"/>
    </row>
    <row r="701">
      <c r="A701" s="147"/>
      <c r="B701" s="147"/>
      <c r="C701" s="147"/>
      <c r="D701" s="147"/>
      <c r="E701" s="147"/>
      <c r="F701" s="147"/>
      <c r="G701" s="147"/>
      <c r="H701" s="147"/>
      <c r="I701" s="147"/>
      <c r="J701" s="147"/>
      <c r="K701" s="147"/>
    </row>
    <row r="702">
      <c r="A702" s="147"/>
      <c r="B702" s="147"/>
      <c r="C702" s="147"/>
      <c r="D702" s="147"/>
      <c r="E702" s="147"/>
      <c r="F702" s="147"/>
      <c r="G702" s="147"/>
      <c r="H702" s="147"/>
      <c r="I702" s="147"/>
      <c r="J702" s="147"/>
      <c r="K702" s="147"/>
    </row>
    <row r="703">
      <c r="A703" s="147"/>
      <c r="B703" s="147"/>
      <c r="C703" s="147"/>
      <c r="D703" s="147"/>
      <c r="E703" s="147"/>
      <c r="F703" s="147"/>
      <c r="G703" s="147"/>
      <c r="H703" s="147"/>
      <c r="I703" s="147"/>
      <c r="J703" s="147"/>
      <c r="K703" s="147"/>
    </row>
    <row r="704">
      <c r="A704" s="147"/>
      <c r="B704" s="147"/>
      <c r="C704" s="147"/>
      <c r="D704" s="147"/>
      <c r="E704" s="147"/>
      <c r="F704" s="147"/>
      <c r="G704" s="147"/>
      <c r="H704" s="147"/>
      <c r="I704" s="147"/>
      <c r="J704" s="147"/>
      <c r="K704" s="147"/>
    </row>
    <row r="705">
      <c r="A705" s="147"/>
      <c r="B705" s="147"/>
      <c r="C705" s="147"/>
      <c r="D705" s="147"/>
      <c r="E705" s="147"/>
      <c r="F705" s="147"/>
      <c r="G705" s="147"/>
      <c r="H705" s="147"/>
      <c r="I705" s="147"/>
      <c r="J705" s="147"/>
      <c r="K705" s="147"/>
    </row>
    <row r="706">
      <c r="A706" s="147"/>
      <c r="B706" s="147"/>
      <c r="C706" s="147"/>
      <c r="D706" s="147"/>
      <c r="E706" s="147"/>
      <c r="F706" s="147"/>
      <c r="G706" s="147"/>
      <c r="H706" s="147"/>
      <c r="I706" s="147"/>
      <c r="J706" s="147"/>
      <c r="K706" s="147"/>
    </row>
    <row r="707">
      <c r="A707" s="147"/>
      <c r="B707" s="147"/>
      <c r="C707" s="147"/>
      <c r="D707" s="147"/>
      <c r="E707" s="147"/>
      <c r="F707" s="147"/>
      <c r="G707" s="147"/>
      <c r="H707" s="147"/>
      <c r="I707" s="147"/>
      <c r="J707" s="147"/>
      <c r="K707" s="147"/>
    </row>
    <row r="708">
      <c r="A708" s="147"/>
      <c r="B708" s="147"/>
      <c r="C708" s="147"/>
      <c r="D708" s="147"/>
      <c r="E708" s="147"/>
      <c r="F708" s="147"/>
      <c r="G708" s="147"/>
      <c r="H708" s="147"/>
      <c r="I708" s="147"/>
      <c r="J708" s="147"/>
      <c r="K708" s="147"/>
    </row>
    <row r="709">
      <c r="A709" s="147"/>
      <c r="B709" s="147"/>
      <c r="C709" s="147"/>
      <c r="D709" s="147"/>
      <c r="E709" s="147"/>
      <c r="F709" s="147"/>
      <c r="G709" s="147"/>
      <c r="H709" s="147"/>
      <c r="I709" s="147"/>
      <c r="J709" s="147"/>
      <c r="K709" s="147"/>
    </row>
    <row r="710">
      <c r="A710" s="147"/>
      <c r="B710" s="147"/>
      <c r="C710" s="147"/>
      <c r="D710" s="147"/>
      <c r="E710" s="147"/>
      <c r="F710" s="147"/>
      <c r="G710" s="147"/>
      <c r="H710" s="147"/>
      <c r="I710" s="147"/>
      <c r="J710" s="147"/>
      <c r="K710" s="147"/>
    </row>
    <row r="711">
      <c r="A711" s="147"/>
      <c r="B711" s="147"/>
      <c r="C711" s="147"/>
      <c r="D711" s="147"/>
      <c r="E711" s="147"/>
      <c r="F711" s="147"/>
      <c r="G711" s="147"/>
      <c r="H711" s="147"/>
      <c r="I711" s="147"/>
      <c r="J711" s="147"/>
      <c r="K711" s="147"/>
    </row>
    <row r="712">
      <c r="A712" s="147"/>
      <c r="B712" s="147"/>
      <c r="C712" s="147"/>
      <c r="D712" s="147"/>
      <c r="E712" s="147"/>
      <c r="F712" s="147"/>
      <c r="G712" s="147"/>
      <c r="H712" s="147"/>
      <c r="I712" s="147"/>
      <c r="J712" s="147"/>
      <c r="K712" s="147"/>
    </row>
    <row r="713">
      <c r="A713" s="147"/>
      <c r="B713" s="147"/>
      <c r="C713" s="147"/>
      <c r="D713" s="147"/>
      <c r="E713" s="147"/>
      <c r="F713" s="147"/>
      <c r="G713" s="147"/>
      <c r="H713" s="147"/>
      <c r="I713" s="147"/>
      <c r="J713" s="147"/>
      <c r="K713" s="147"/>
    </row>
    <row r="714">
      <c r="A714" s="147"/>
      <c r="B714" s="147"/>
      <c r="C714" s="147"/>
      <c r="D714" s="147"/>
      <c r="E714" s="147"/>
      <c r="F714" s="147"/>
      <c r="G714" s="147"/>
      <c r="H714" s="147"/>
      <c r="I714" s="147"/>
      <c r="J714" s="147"/>
      <c r="K714" s="147"/>
    </row>
    <row r="715">
      <c r="A715" s="147"/>
      <c r="B715" s="147"/>
      <c r="C715" s="147"/>
      <c r="D715" s="147"/>
      <c r="E715" s="147"/>
      <c r="F715" s="147"/>
      <c r="G715" s="147"/>
      <c r="H715" s="147"/>
      <c r="I715" s="147"/>
      <c r="J715" s="147"/>
      <c r="K715" s="147"/>
    </row>
    <row r="716">
      <c r="A716" s="147"/>
      <c r="B716" s="147"/>
      <c r="C716" s="147"/>
      <c r="D716" s="147"/>
      <c r="E716" s="147"/>
      <c r="F716" s="147"/>
      <c r="G716" s="147"/>
      <c r="H716" s="147"/>
      <c r="I716" s="147"/>
      <c r="J716" s="147"/>
      <c r="K716" s="147"/>
    </row>
    <row r="717">
      <c r="A717" s="147"/>
      <c r="B717" s="147"/>
      <c r="C717" s="147"/>
      <c r="D717" s="147"/>
      <c r="E717" s="147"/>
      <c r="F717" s="147"/>
      <c r="G717" s="147"/>
      <c r="H717" s="147"/>
      <c r="I717" s="147"/>
      <c r="J717" s="147"/>
      <c r="K717" s="147"/>
    </row>
    <row r="718">
      <c r="A718" s="147"/>
      <c r="B718" s="147"/>
      <c r="C718" s="147"/>
      <c r="D718" s="147"/>
      <c r="E718" s="147"/>
      <c r="F718" s="147"/>
      <c r="G718" s="147"/>
      <c r="H718" s="147"/>
      <c r="I718" s="147"/>
      <c r="J718" s="147"/>
      <c r="K718" s="147"/>
    </row>
    <row r="719">
      <c r="A719" s="147"/>
      <c r="B719" s="147"/>
      <c r="C719" s="147"/>
      <c r="D719" s="147"/>
      <c r="E719" s="147"/>
      <c r="F719" s="147"/>
      <c r="G719" s="147"/>
      <c r="H719" s="147"/>
      <c r="I719" s="147"/>
      <c r="J719" s="147"/>
      <c r="K719" s="147"/>
    </row>
    <row r="720">
      <c r="A720" s="147"/>
      <c r="B720" s="147"/>
      <c r="C720" s="147"/>
      <c r="D720" s="147"/>
      <c r="E720" s="147"/>
      <c r="F720" s="147"/>
      <c r="G720" s="147"/>
      <c r="H720" s="147"/>
      <c r="I720" s="147"/>
      <c r="J720" s="147"/>
      <c r="K720" s="147"/>
    </row>
    <row r="721">
      <c r="A721" s="147"/>
      <c r="B721" s="147"/>
      <c r="C721" s="147"/>
      <c r="D721" s="147"/>
      <c r="E721" s="147"/>
      <c r="F721" s="147"/>
      <c r="G721" s="147"/>
      <c r="H721" s="147"/>
      <c r="I721" s="147"/>
      <c r="J721" s="147"/>
      <c r="K721" s="147"/>
    </row>
    <row r="722">
      <c r="A722" s="147"/>
      <c r="B722" s="147"/>
      <c r="C722" s="147"/>
      <c r="D722" s="147"/>
      <c r="E722" s="147"/>
      <c r="F722" s="147"/>
      <c r="G722" s="147"/>
      <c r="H722" s="147"/>
      <c r="I722" s="147"/>
      <c r="J722" s="147"/>
      <c r="K722" s="147"/>
    </row>
    <row r="723">
      <c r="A723" s="147"/>
      <c r="B723" s="147"/>
      <c r="C723" s="147"/>
      <c r="D723" s="147"/>
      <c r="E723" s="147"/>
      <c r="F723" s="147"/>
      <c r="G723" s="147"/>
      <c r="H723" s="147"/>
      <c r="I723" s="147"/>
      <c r="J723" s="147"/>
      <c r="K723" s="147"/>
    </row>
    <row r="724">
      <c r="A724" s="147"/>
      <c r="B724" s="147"/>
      <c r="C724" s="147"/>
      <c r="D724" s="147"/>
      <c r="E724" s="147"/>
      <c r="F724" s="147"/>
      <c r="G724" s="147"/>
      <c r="H724" s="147"/>
      <c r="I724" s="147"/>
      <c r="J724" s="147"/>
      <c r="K724" s="147"/>
    </row>
    <row r="725">
      <c r="A725" s="147"/>
      <c r="B725" s="147"/>
      <c r="C725" s="147"/>
      <c r="D725" s="147"/>
      <c r="E725" s="147"/>
      <c r="F725" s="147"/>
      <c r="G725" s="147"/>
      <c r="H725" s="147"/>
      <c r="I725" s="147"/>
      <c r="J725" s="147"/>
      <c r="K725" s="147"/>
    </row>
    <row r="726">
      <c r="A726" s="147"/>
      <c r="B726" s="147"/>
      <c r="C726" s="147"/>
      <c r="D726" s="147"/>
      <c r="E726" s="147"/>
      <c r="F726" s="147"/>
      <c r="G726" s="147"/>
      <c r="H726" s="147"/>
      <c r="I726" s="147"/>
      <c r="J726" s="147"/>
      <c r="K726" s="147"/>
    </row>
    <row r="727">
      <c r="A727" s="147"/>
      <c r="B727" s="147"/>
      <c r="C727" s="147"/>
      <c r="D727" s="147"/>
      <c r="E727" s="147"/>
      <c r="F727" s="147"/>
      <c r="G727" s="147"/>
      <c r="H727" s="147"/>
      <c r="I727" s="147"/>
      <c r="J727" s="147"/>
      <c r="K727" s="147"/>
    </row>
    <row r="728">
      <c r="A728" s="147"/>
      <c r="B728" s="147"/>
      <c r="C728" s="147"/>
      <c r="D728" s="147"/>
      <c r="E728" s="147"/>
      <c r="F728" s="147"/>
      <c r="G728" s="147"/>
      <c r="H728" s="147"/>
      <c r="I728" s="147"/>
      <c r="J728" s="147"/>
      <c r="K728" s="147"/>
    </row>
    <row r="729">
      <c r="A729" s="147"/>
      <c r="B729" s="147"/>
      <c r="C729" s="147"/>
      <c r="D729" s="147"/>
      <c r="E729" s="147"/>
      <c r="F729" s="147"/>
      <c r="G729" s="147"/>
      <c r="H729" s="147"/>
      <c r="I729" s="147"/>
      <c r="J729" s="147"/>
      <c r="K729" s="147"/>
    </row>
    <row r="730">
      <c r="A730" s="147"/>
      <c r="B730" s="147"/>
      <c r="C730" s="147"/>
      <c r="D730" s="147"/>
      <c r="E730" s="147"/>
      <c r="F730" s="147"/>
      <c r="G730" s="147"/>
      <c r="H730" s="147"/>
      <c r="I730" s="147"/>
      <c r="J730" s="147"/>
      <c r="K730" s="147"/>
    </row>
    <row r="731">
      <c r="A731" s="147"/>
      <c r="B731" s="147"/>
      <c r="C731" s="147"/>
      <c r="D731" s="147"/>
      <c r="E731" s="147"/>
      <c r="F731" s="147"/>
      <c r="G731" s="147"/>
      <c r="H731" s="147"/>
      <c r="I731" s="147"/>
      <c r="J731" s="147"/>
      <c r="K731" s="147"/>
    </row>
    <row r="732">
      <c r="A732" s="147"/>
      <c r="B732" s="147"/>
      <c r="C732" s="147"/>
      <c r="D732" s="147"/>
      <c r="E732" s="147"/>
      <c r="F732" s="147"/>
      <c r="G732" s="147"/>
      <c r="H732" s="147"/>
      <c r="I732" s="147"/>
      <c r="J732" s="147"/>
      <c r="K732" s="147"/>
    </row>
    <row r="733">
      <c r="A733" s="147"/>
      <c r="B733" s="147"/>
      <c r="C733" s="147"/>
      <c r="D733" s="147"/>
      <c r="E733" s="147"/>
      <c r="F733" s="147"/>
      <c r="G733" s="147"/>
      <c r="H733" s="147"/>
      <c r="I733" s="147"/>
      <c r="J733" s="147"/>
      <c r="K733" s="147"/>
    </row>
    <row r="734">
      <c r="A734" s="147"/>
      <c r="B734" s="147"/>
      <c r="C734" s="147"/>
      <c r="D734" s="147"/>
      <c r="E734" s="147"/>
      <c r="F734" s="147"/>
      <c r="G734" s="147"/>
      <c r="H734" s="147"/>
      <c r="I734" s="147"/>
      <c r="J734" s="147"/>
      <c r="K734" s="147"/>
    </row>
    <row r="735">
      <c r="A735" s="147"/>
      <c r="B735" s="147"/>
      <c r="C735" s="147"/>
      <c r="D735" s="147"/>
      <c r="E735" s="147"/>
      <c r="F735" s="147"/>
      <c r="G735" s="147"/>
      <c r="H735" s="147"/>
      <c r="I735" s="147"/>
      <c r="J735" s="147"/>
      <c r="K735" s="147"/>
    </row>
    <row r="736">
      <c r="A736" s="147"/>
      <c r="B736" s="147"/>
      <c r="C736" s="147"/>
      <c r="D736" s="147"/>
      <c r="E736" s="147"/>
      <c r="F736" s="147"/>
      <c r="G736" s="147"/>
      <c r="H736" s="147"/>
      <c r="I736" s="147"/>
      <c r="J736" s="147"/>
      <c r="K736" s="147"/>
    </row>
    <row r="737">
      <c r="A737" s="147"/>
      <c r="B737" s="147"/>
      <c r="C737" s="147"/>
      <c r="D737" s="147"/>
      <c r="E737" s="147"/>
      <c r="F737" s="147"/>
      <c r="G737" s="147"/>
      <c r="H737" s="147"/>
      <c r="I737" s="147"/>
      <c r="J737" s="147"/>
      <c r="K737" s="147"/>
    </row>
    <row r="738">
      <c r="A738" s="147"/>
      <c r="B738" s="147"/>
      <c r="C738" s="147"/>
      <c r="D738" s="147"/>
      <c r="E738" s="147"/>
      <c r="F738" s="147"/>
      <c r="G738" s="147"/>
      <c r="H738" s="147"/>
      <c r="I738" s="147"/>
      <c r="J738" s="147"/>
      <c r="K738" s="147"/>
    </row>
    <row r="739">
      <c r="A739" s="147"/>
      <c r="B739" s="147"/>
      <c r="C739" s="147"/>
      <c r="D739" s="147"/>
      <c r="E739" s="147"/>
      <c r="F739" s="147"/>
      <c r="G739" s="147"/>
      <c r="H739" s="147"/>
      <c r="I739" s="147"/>
      <c r="J739" s="147"/>
      <c r="K739" s="147"/>
    </row>
    <row r="740">
      <c r="A740" s="147"/>
      <c r="B740" s="147"/>
      <c r="C740" s="147"/>
      <c r="D740" s="147"/>
      <c r="E740" s="147"/>
      <c r="F740" s="147"/>
      <c r="G740" s="147"/>
      <c r="H740" s="147"/>
      <c r="I740" s="147"/>
      <c r="J740" s="147"/>
      <c r="K740" s="147"/>
    </row>
    <row r="741">
      <c r="A741" s="147"/>
      <c r="B741" s="147"/>
      <c r="C741" s="147"/>
      <c r="D741" s="147"/>
      <c r="E741" s="147"/>
      <c r="F741" s="147"/>
      <c r="G741" s="147"/>
      <c r="H741" s="147"/>
      <c r="I741" s="147"/>
      <c r="J741" s="147"/>
      <c r="K741" s="147"/>
    </row>
    <row r="742">
      <c r="A742" s="147"/>
      <c r="B742" s="147"/>
      <c r="C742" s="147"/>
      <c r="D742" s="147"/>
      <c r="E742" s="147"/>
      <c r="F742" s="147"/>
      <c r="G742" s="147"/>
      <c r="H742" s="147"/>
      <c r="I742" s="147"/>
      <c r="J742" s="147"/>
      <c r="K742" s="147"/>
    </row>
    <row r="743">
      <c r="A743" s="147"/>
      <c r="B743" s="147"/>
      <c r="C743" s="147"/>
      <c r="D743" s="147"/>
      <c r="E743" s="147"/>
      <c r="F743" s="147"/>
      <c r="G743" s="147"/>
      <c r="H743" s="147"/>
      <c r="I743" s="147"/>
      <c r="J743" s="147"/>
      <c r="K743" s="147"/>
    </row>
    <row r="744">
      <c r="A744" s="147"/>
      <c r="B744" s="147"/>
      <c r="C744" s="147"/>
      <c r="D744" s="147"/>
      <c r="E744" s="147"/>
      <c r="F744" s="147"/>
      <c r="G744" s="147"/>
      <c r="H744" s="147"/>
      <c r="I744" s="147"/>
      <c r="J744" s="147"/>
      <c r="K744" s="147"/>
    </row>
    <row r="745">
      <c r="A745" s="147"/>
      <c r="B745" s="147"/>
      <c r="C745" s="147"/>
      <c r="D745" s="147"/>
      <c r="E745" s="147"/>
      <c r="F745" s="147"/>
      <c r="G745" s="147"/>
      <c r="H745" s="147"/>
      <c r="I745" s="147"/>
      <c r="J745" s="147"/>
      <c r="K745" s="147"/>
    </row>
    <row r="746">
      <c r="A746" s="147"/>
      <c r="B746" s="147"/>
      <c r="C746" s="147"/>
      <c r="D746" s="147"/>
      <c r="E746" s="147"/>
      <c r="F746" s="147"/>
      <c r="G746" s="147"/>
      <c r="H746" s="147"/>
      <c r="I746" s="147"/>
      <c r="J746" s="147"/>
      <c r="K746" s="147"/>
    </row>
    <row r="747">
      <c r="A747" s="147"/>
      <c r="B747" s="147"/>
      <c r="C747" s="147"/>
      <c r="D747" s="147"/>
      <c r="E747" s="147"/>
      <c r="F747" s="147"/>
      <c r="G747" s="147"/>
      <c r="H747" s="147"/>
      <c r="I747" s="147"/>
      <c r="J747" s="147"/>
      <c r="K747" s="147"/>
    </row>
    <row r="748">
      <c r="A748" s="147"/>
      <c r="B748" s="147"/>
      <c r="C748" s="147"/>
      <c r="D748" s="147"/>
      <c r="E748" s="147"/>
      <c r="F748" s="147"/>
      <c r="G748" s="147"/>
      <c r="H748" s="147"/>
      <c r="I748" s="147"/>
      <c r="J748" s="147"/>
      <c r="K748" s="147"/>
    </row>
    <row r="749">
      <c r="A749" s="147"/>
      <c r="B749" s="147"/>
      <c r="C749" s="147"/>
      <c r="D749" s="147"/>
      <c r="E749" s="147"/>
      <c r="F749" s="147"/>
      <c r="G749" s="147"/>
      <c r="H749" s="147"/>
      <c r="I749" s="147"/>
      <c r="J749" s="147"/>
      <c r="K749" s="147"/>
    </row>
    <row r="750">
      <c r="A750" s="147"/>
      <c r="B750" s="147"/>
      <c r="C750" s="147"/>
      <c r="D750" s="147"/>
      <c r="E750" s="147"/>
      <c r="F750" s="147"/>
      <c r="G750" s="147"/>
      <c r="H750" s="147"/>
      <c r="I750" s="147"/>
      <c r="J750" s="147"/>
      <c r="K750" s="147"/>
    </row>
    <row r="751">
      <c r="A751" s="147"/>
      <c r="B751" s="147"/>
      <c r="C751" s="147"/>
      <c r="D751" s="147"/>
      <c r="E751" s="147"/>
      <c r="F751" s="147"/>
      <c r="G751" s="147"/>
      <c r="H751" s="147"/>
      <c r="I751" s="147"/>
      <c r="J751" s="147"/>
      <c r="K751" s="147"/>
    </row>
    <row r="752">
      <c r="A752" s="147"/>
      <c r="B752" s="147"/>
      <c r="C752" s="147"/>
      <c r="D752" s="147"/>
      <c r="E752" s="147"/>
      <c r="F752" s="147"/>
      <c r="G752" s="147"/>
      <c r="H752" s="147"/>
      <c r="I752" s="147"/>
      <c r="J752" s="147"/>
      <c r="K752" s="147"/>
    </row>
    <row r="753">
      <c r="A753" s="147"/>
      <c r="B753" s="147"/>
      <c r="C753" s="147"/>
      <c r="D753" s="147"/>
      <c r="E753" s="147"/>
      <c r="F753" s="147"/>
      <c r="G753" s="147"/>
      <c r="H753" s="147"/>
      <c r="I753" s="147"/>
      <c r="J753" s="147"/>
      <c r="K753" s="147"/>
    </row>
    <row r="754">
      <c r="A754" s="147"/>
      <c r="B754" s="147"/>
      <c r="C754" s="147"/>
      <c r="D754" s="147"/>
      <c r="E754" s="147"/>
      <c r="F754" s="147"/>
      <c r="G754" s="147"/>
      <c r="H754" s="147"/>
      <c r="I754" s="147"/>
      <c r="J754" s="147"/>
      <c r="K754" s="147"/>
    </row>
    <row r="755">
      <c r="A755" s="147"/>
      <c r="B755" s="147"/>
      <c r="C755" s="147"/>
      <c r="D755" s="147"/>
      <c r="E755" s="147"/>
      <c r="F755" s="147"/>
      <c r="G755" s="147"/>
      <c r="H755" s="147"/>
      <c r="I755" s="147"/>
      <c r="J755" s="147"/>
      <c r="K755" s="147"/>
    </row>
    <row r="756">
      <c r="A756" s="147"/>
      <c r="B756" s="147"/>
      <c r="C756" s="147"/>
      <c r="D756" s="147"/>
      <c r="E756" s="147"/>
      <c r="F756" s="147"/>
      <c r="G756" s="147"/>
      <c r="H756" s="147"/>
      <c r="I756" s="147"/>
      <c r="J756" s="147"/>
      <c r="K756" s="147"/>
    </row>
    <row r="757">
      <c r="A757" s="147"/>
      <c r="B757" s="147"/>
      <c r="C757" s="147"/>
      <c r="D757" s="147"/>
      <c r="E757" s="147"/>
      <c r="F757" s="147"/>
      <c r="G757" s="147"/>
      <c r="H757" s="147"/>
      <c r="I757" s="147"/>
      <c r="J757" s="147"/>
      <c r="K757" s="147"/>
    </row>
    <row r="758">
      <c r="A758" s="147"/>
      <c r="B758" s="147"/>
      <c r="C758" s="147"/>
      <c r="D758" s="147"/>
      <c r="E758" s="147"/>
      <c r="F758" s="147"/>
      <c r="G758" s="147"/>
      <c r="H758" s="147"/>
      <c r="I758" s="147"/>
      <c r="J758" s="147"/>
      <c r="K758" s="147"/>
    </row>
    <row r="759">
      <c r="A759" s="147"/>
      <c r="B759" s="147"/>
      <c r="C759" s="147"/>
      <c r="D759" s="147"/>
      <c r="E759" s="147"/>
      <c r="F759" s="147"/>
      <c r="G759" s="147"/>
      <c r="H759" s="147"/>
      <c r="I759" s="147"/>
      <c r="J759" s="147"/>
      <c r="K759" s="147"/>
    </row>
    <row r="760">
      <c r="A760" s="147"/>
      <c r="B760" s="147"/>
      <c r="C760" s="147"/>
      <c r="D760" s="147"/>
      <c r="E760" s="147"/>
      <c r="F760" s="147"/>
      <c r="G760" s="147"/>
      <c r="H760" s="147"/>
      <c r="I760" s="147"/>
      <c r="J760" s="147"/>
      <c r="K760" s="147"/>
    </row>
    <row r="761">
      <c r="A761" s="147"/>
      <c r="B761" s="147"/>
      <c r="C761" s="147"/>
      <c r="D761" s="147"/>
      <c r="E761" s="147"/>
      <c r="F761" s="147"/>
      <c r="G761" s="147"/>
      <c r="H761" s="147"/>
      <c r="I761" s="147"/>
      <c r="J761" s="147"/>
      <c r="K761" s="147"/>
    </row>
    <row r="762">
      <c r="A762" s="147"/>
      <c r="B762" s="147"/>
      <c r="C762" s="147"/>
      <c r="D762" s="147"/>
      <c r="E762" s="147"/>
      <c r="F762" s="147"/>
      <c r="G762" s="147"/>
      <c r="H762" s="147"/>
      <c r="I762" s="147"/>
      <c r="J762" s="147"/>
      <c r="K762" s="147"/>
    </row>
    <row r="763">
      <c r="A763" s="147"/>
      <c r="B763" s="147"/>
      <c r="C763" s="147"/>
      <c r="D763" s="147"/>
      <c r="E763" s="147"/>
      <c r="F763" s="147"/>
      <c r="G763" s="147"/>
      <c r="H763" s="147"/>
      <c r="I763" s="147"/>
      <c r="J763" s="147"/>
      <c r="K763" s="147"/>
    </row>
    <row r="764">
      <c r="A764" s="147"/>
      <c r="B764" s="147"/>
      <c r="C764" s="147"/>
      <c r="D764" s="147"/>
      <c r="E764" s="147"/>
      <c r="F764" s="147"/>
      <c r="G764" s="147"/>
      <c r="H764" s="147"/>
      <c r="I764" s="147"/>
      <c r="J764" s="147"/>
      <c r="K764" s="147"/>
    </row>
    <row r="765">
      <c r="A765" s="147"/>
      <c r="B765" s="147"/>
      <c r="C765" s="147"/>
      <c r="D765" s="147"/>
      <c r="E765" s="147"/>
      <c r="F765" s="147"/>
      <c r="G765" s="147"/>
      <c r="H765" s="147"/>
      <c r="I765" s="147"/>
      <c r="J765" s="147"/>
      <c r="K765" s="147"/>
    </row>
    <row r="766">
      <c r="A766" s="147"/>
      <c r="B766" s="147"/>
      <c r="C766" s="147"/>
      <c r="D766" s="147"/>
      <c r="E766" s="147"/>
      <c r="F766" s="147"/>
      <c r="G766" s="147"/>
      <c r="H766" s="147"/>
      <c r="I766" s="147"/>
      <c r="J766" s="147"/>
      <c r="K766" s="147"/>
    </row>
    <row r="767">
      <c r="A767" s="147"/>
      <c r="B767" s="147"/>
      <c r="C767" s="147"/>
      <c r="D767" s="147"/>
      <c r="E767" s="147"/>
      <c r="F767" s="147"/>
      <c r="G767" s="147"/>
      <c r="H767" s="147"/>
      <c r="I767" s="147"/>
      <c r="J767" s="147"/>
      <c r="K767" s="147"/>
    </row>
    <row r="768">
      <c r="A768" s="147"/>
      <c r="B768" s="147"/>
      <c r="C768" s="147"/>
      <c r="D768" s="147"/>
      <c r="E768" s="147"/>
      <c r="F768" s="147"/>
      <c r="G768" s="147"/>
      <c r="H768" s="147"/>
      <c r="I768" s="147"/>
      <c r="J768" s="147"/>
      <c r="K768" s="147"/>
    </row>
    <row r="769">
      <c r="A769" s="147"/>
      <c r="B769" s="147"/>
      <c r="C769" s="147"/>
      <c r="D769" s="147"/>
      <c r="E769" s="147"/>
      <c r="F769" s="147"/>
      <c r="G769" s="147"/>
      <c r="H769" s="147"/>
      <c r="I769" s="147"/>
      <c r="J769" s="147"/>
      <c r="K769" s="147"/>
    </row>
    <row r="770">
      <c r="A770" s="147"/>
      <c r="B770" s="147"/>
      <c r="C770" s="147"/>
      <c r="D770" s="147"/>
      <c r="E770" s="147"/>
      <c r="F770" s="147"/>
      <c r="G770" s="147"/>
      <c r="H770" s="147"/>
      <c r="I770" s="147"/>
      <c r="J770" s="147"/>
      <c r="K770" s="147"/>
    </row>
    <row r="771">
      <c r="A771" s="147"/>
      <c r="B771" s="147"/>
      <c r="C771" s="147"/>
      <c r="D771" s="147"/>
      <c r="E771" s="147"/>
      <c r="F771" s="147"/>
      <c r="G771" s="147"/>
      <c r="H771" s="147"/>
      <c r="I771" s="147"/>
      <c r="J771" s="147"/>
      <c r="K771" s="147"/>
    </row>
    <row r="772">
      <c r="A772" s="147"/>
      <c r="B772" s="147"/>
      <c r="C772" s="147"/>
      <c r="D772" s="147"/>
      <c r="E772" s="147"/>
      <c r="F772" s="147"/>
      <c r="G772" s="147"/>
      <c r="H772" s="147"/>
      <c r="I772" s="147"/>
      <c r="J772" s="147"/>
      <c r="K772" s="147"/>
    </row>
    <row r="773">
      <c r="A773" s="147"/>
      <c r="B773" s="147"/>
      <c r="C773" s="147"/>
      <c r="D773" s="147"/>
      <c r="E773" s="147"/>
      <c r="F773" s="147"/>
      <c r="G773" s="147"/>
      <c r="H773" s="147"/>
      <c r="I773" s="147"/>
      <c r="J773" s="147"/>
      <c r="K773" s="147"/>
    </row>
    <row r="774">
      <c r="A774" s="147"/>
      <c r="B774" s="147"/>
      <c r="C774" s="147"/>
      <c r="D774" s="147"/>
      <c r="E774" s="147"/>
      <c r="F774" s="147"/>
      <c r="G774" s="147"/>
      <c r="H774" s="147"/>
      <c r="I774" s="147"/>
      <c r="J774" s="147"/>
      <c r="K774" s="147"/>
    </row>
    <row r="775">
      <c r="A775" s="147"/>
      <c r="B775" s="147"/>
      <c r="C775" s="147"/>
      <c r="D775" s="147"/>
      <c r="E775" s="147"/>
      <c r="F775" s="147"/>
      <c r="G775" s="147"/>
      <c r="H775" s="147"/>
      <c r="I775" s="147"/>
      <c r="J775" s="147"/>
      <c r="K775" s="147"/>
    </row>
    <row r="776">
      <c r="A776" s="147"/>
      <c r="B776" s="147"/>
      <c r="C776" s="147"/>
      <c r="D776" s="147"/>
      <c r="E776" s="147"/>
      <c r="F776" s="147"/>
      <c r="G776" s="147"/>
      <c r="H776" s="147"/>
      <c r="I776" s="147"/>
      <c r="J776" s="147"/>
      <c r="K776" s="147"/>
    </row>
    <row r="777">
      <c r="A777" s="147"/>
      <c r="B777" s="147"/>
      <c r="C777" s="147"/>
      <c r="D777" s="147"/>
      <c r="E777" s="147"/>
      <c r="F777" s="147"/>
      <c r="G777" s="147"/>
      <c r="H777" s="147"/>
      <c r="I777" s="147"/>
      <c r="J777" s="147"/>
      <c r="K777" s="147"/>
    </row>
    <row r="778">
      <c r="A778" s="147"/>
      <c r="B778" s="147"/>
      <c r="C778" s="147"/>
      <c r="D778" s="147"/>
      <c r="E778" s="147"/>
      <c r="F778" s="147"/>
      <c r="G778" s="147"/>
      <c r="H778" s="147"/>
      <c r="I778" s="147"/>
      <c r="J778" s="147"/>
      <c r="K778" s="147"/>
    </row>
    <row r="779">
      <c r="A779" s="147"/>
      <c r="B779" s="147"/>
      <c r="C779" s="147"/>
      <c r="D779" s="147"/>
      <c r="E779" s="147"/>
      <c r="F779" s="147"/>
      <c r="G779" s="147"/>
      <c r="H779" s="147"/>
      <c r="I779" s="147"/>
      <c r="J779" s="147"/>
      <c r="K779" s="147"/>
    </row>
    <row r="780">
      <c r="A780" s="147"/>
      <c r="B780" s="147"/>
      <c r="C780" s="147"/>
      <c r="D780" s="147"/>
      <c r="E780" s="147"/>
      <c r="F780" s="147"/>
      <c r="G780" s="147"/>
      <c r="H780" s="147"/>
      <c r="I780" s="147"/>
      <c r="J780" s="147"/>
      <c r="K780" s="147"/>
    </row>
    <row r="781">
      <c r="A781" s="147"/>
      <c r="B781" s="147"/>
      <c r="C781" s="147"/>
      <c r="D781" s="147"/>
      <c r="E781" s="147"/>
      <c r="F781" s="147"/>
      <c r="G781" s="147"/>
      <c r="H781" s="147"/>
      <c r="I781" s="147"/>
      <c r="J781" s="147"/>
      <c r="K781" s="147"/>
    </row>
    <row r="782">
      <c r="A782" s="147"/>
      <c r="B782" s="147"/>
      <c r="C782" s="147"/>
      <c r="D782" s="147"/>
      <c r="E782" s="147"/>
      <c r="F782" s="147"/>
      <c r="G782" s="147"/>
      <c r="H782" s="147"/>
      <c r="I782" s="147"/>
      <c r="J782" s="147"/>
      <c r="K782" s="147"/>
    </row>
    <row r="783">
      <c r="A783" s="147"/>
      <c r="B783" s="147"/>
      <c r="C783" s="147"/>
      <c r="D783" s="147"/>
      <c r="E783" s="147"/>
      <c r="F783" s="147"/>
      <c r="G783" s="147"/>
      <c r="H783" s="147"/>
      <c r="I783" s="147"/>
      <c r="J783" s="147"/>
      <c r="K783" s="147"/>
    </row>
    <row r="784">
      <c r="A784" s="147"/>
      <c r="B784" s="147"/>
      <c r="C784" s="147"/>
      <c r="D784" s="147"/>
      <c r="E784" s="147"/>
      <c r="F784" s="147"/>
      <c r="G784" s="147"/>
      <c r="H784" s="147"/>
      <c r="I784" s="147"/>
      <c r="J784" s="147"/>
      <c r="K784" s="147"/>
    </row>
    <row r="785">
      <c r="A785" s="147"/>
      <c r="B785" s="147"/>
      <c r="C785" s="147"/>
      <c r="D785" s="147"/>
      <c r="E785" s="147"/>
      <c r="F785" s="147"/>
      <c r="G785" s="147"/>
      <c r="H785" s="147"/>
      <c r="I785" s="147"/>
      <c r="J785" s="147"/>
      <c r="K785" s="147"/>
    </row>
    <row r="786">
      <c r="A786" s="147"/>
      <c r="B786" s="147"/>
      <c r="C786" s="147"/>
      <c r="D786" s="147"/>
      <c r="E786" s="147"/>
      <c r="F786" s="147"/>
      <c r="G786" s="147"/>
      <c r="H786" s="147"/>
      <c r="I786" s="147"/>
      <c r="J786" s="147"/>
      <c r="K786" s="147"/>
    </row>
    <row r="787">
      <c r="A787" s="147"/>
      <c r="B787" s="147"/>
      <c r="C787" s="147"/>
      <c r="D787" s="147"/>
      <c r="E787" s="147"/>
      <c r="F787" s="147"/>
      <c r="G787" s="147"/>
      <c r="H787" s="147"/>
      <c r="I787" s="147"/>
      <c r="J787" s="147"/>
      <c r="K787" s="147"/>
    </row>
    <row r="788">
      <c r="A788" s="147"/>
      <c r="B788" s="147"/>
      <c r="C788" s="147"/>
      <c r="D788" s="147"/>
      <c r="E788" s="147"/>
      <c r="F788" s="147"/>
      <c r="G788" s="147"/>
      <c r="H788" s="147"/>
      <c r="I788" s="147"/>
      <c r="J788" s="147"/>
      <c r="K788" s="147"/>
    </row>
    <row r="789">
      <c r="A789" s="147"/>
      <c r="B789" s="147"/>
      <c r="C789" s="147"/>
      <c r="D789" s="147"/>
      <c r="E789" s="147"/>
      <c r="F789" s="147"/>
      <c r="G789" s="147"/>
      <c r="H789" s="147"/>
      <c r="I789" s="147"/>
      <c r="J789" s="147"/>
      <c r="K789" s="147"/>
    </row>
    <row r="790">
      <c r="A790" s="147"/>
      <c r="B790" s="147"/>
      <c r="C790" s="147"/>
      <c r="D790" s="147"/>
      <c r="E790" s="147"/>
      <c r="F790" s="147"/>
      <c r="G790" s="147"/>
      <c r="H790" s="147"/>
      <c r="I790" s="147"/>
      <c r="J790" s="147"/>
      <c r="K790" s="147"/>
    </row>
    <row r="791">
      <c r="A791" s="147"/>
      <c r="B791" s="147"/>
      <c r="C791" s="147"/>
      <c r="D791" s="147"/>
      <c r="E791" s="147"/>
      <c r="F791" s="147"/>
      <c r="G791" s="147"/>
      <c r="H791" s="147"/>
      <c r="I791" s="147"/>
      <c r="J791" s="147"/>
      <c r="K791" s="147"/>
    </row>
    <row r="792">
      <c r="A792" s="147"/>
      <c r="B792" s="147"/>
      <c r="C792" s="147"/>
      <c r="D792" s="147"/>
      <c r="E792" s="147"/>
      <c r="F792" s="147"/>
      <c r="G792" s="147"/>
      <c r="H792" s="147"/>
      <c r="I792" s="147"/>
      <c r="J792" s="147"/>
      <c r="K792" s="147"/>
    </row>
    <row r="793">
      <c r="A793" s="147"/>
      <c r="B793" s="147"/>
      <c r="C793" s="147"/>
      <c r="D793" s="147"/>
      <c r="E793" s="147"/>
      <c r="F793" s="147"/>
      <c r="G793" s="147"/>
      <c r="H793" s="147"/>
      <c r="I793" s="147"/>
      <c r="J793" s="147"/>
      <c r="K793" s="147"/>
    </row>
    <row r="794">
      <c r="A794" s="147"/>
      <c r="B794" s="147"/>
      <c r="C794" s="147"/>
      <c r="D794" s="147"/>
      <c r="E794" s="147"/>
      <c r="F794" s="147"/>
      <c r="G794" s="147"/>
      <c r="H794" s="147"/>
      <c r="I794" s="147"/>
      <c r="J794" s="147"/>
      <c r="K794" s="147"/>
    </row>
    <row r="795">
      <c r="A795" s="147"/>
      <c r="B795" s="147"/>
      <c r="C795" s="147"/>
      <c r="D795" s="147"/>
      <c r="E795" s="147"/>
      <c r="F795" s="147"/>
      <c r="G795" s="147"/>
      <c r="H795" s="147"/>
      <c r="I795" s="147"/>
      <c r="J795" s="147"/>
      <c r="K795" s="147"/>
    </row>
    <row r="796">
      <c r="A796" s="147"/>
      <c r="B796" s="147"/>
      <c r="C796" s="147"/>
      <c r="D796" s="147"/>
      <c r="E796" s="147"/>
      <c r="F796" s="147"/>
      <c r="G796" s="147"/>
      <c r="H796" s="147"/>
      <c r="I796" s="147"/>
      <c r="J796" s="147"/>
      <c r="K796" s="147"/>
    </row>
    <row r="797">
      <c r="A797" s="147"/>
      <c r="B797" s="147"/>
      <c r="C797" s="147"/>
      <c r="D797" s="147"/>
      <c r="E797" s="147"/>
      <c r="F797" s="147"/>
      <c r="G797" s="147"/>
      <c r="H797" s="147"/>
      <c r="I797" s="147"/>
      <c r="J797" s="147"/>
      <c r="K797" s="147"/>
    </row>
    <row r="798">
      <c r="A798" s="147"/>
      <c r="B798" s="147"/>
      <c r="C798" s="147"/>
      <c r="D798" s="147"/>
      <c r="E798" s="147"/>
      <c r="F798" s="147"/>
      <c r="G798" s="147"/>
      <c r="H798" s="147"/>
      <c r="I798" s="147"/>
      <c r="J798" s="147"/>
      <c r="K798" s="147"/>
    </row>
    <row r="799">
      <c r="A799" s="147"/>
      <c r="B799" s="147"/>
      <c r="C799" s="147"/>
      <c r="D799" s="147"/>
      <c r="E799" s="147"/>
      <c r="F799" s="147"/>
      <c r="G799" s="147"/>
      <c r="H799" s="147"/>
      <c r="I799" s="147"/>
      <c r="J799" s="147"/>
      <c r="K799" s="147"/>
    </row>
    <row r="800">
      <c r="A800" s="147"/>
      <c r="B800" s="147"/>
      <c r="C800" s="147"/>
      <c r="D800" s="147"/>
      <c r="E800" s="147"/>
      <c r="F800" s="147"/>
      <c r="G800" s="147"/>
      <c r="H800" s="147"/>
      <c r="I800" s="147"/>
      <c r="J800" s="147"/>
      <c r="K800" s="147"/>
    </row>
    <row r="801">
      <c r="A801" s="147"/>
      <c r="B801" s="147"/>
      <c r="C801" s="147"/>
      <c r="D801" s="147"/>
      <c r="E801" s="147"/>
      <c r="F801" s="147"/>
      <c r="G801" s="147"/>
      <c r="H801" s="147"/>
      <c r="I801" s="147"/>
      <c r="J801" s="147"/>
      <c r="K801" s="147"/>
    </row>
    <row r="802">
      <c r="A802" s="147"/>
      <c r="B802" s="147"/>
      <c r="C802" s="147"/>
      <c r="D802" s="147"/>
      <c r="E802" s="147"/>
      <c r="F802" s="147"/>
      <c r="G802" s="147"/>
      <c r="H802" s="147"/>
      <c r="I802" s="147"/>
      <c r="J802" s="147"/>
      <c r="K802" s="147"/>
    </row>
    <row r="803">
      <c r="A803" s="147"/>
      <c r="B803" s="147"/>
      <c r="C803" s="147"/>
      <c r="D803" s="147"/>
      <c r="E803" s="147"/>
      <c r="F803" s="147"/>
      <c r="G803" s="147"/>
      <c r="H803" s="147"/>
      <c r="I803" s="147"/>
      <c r="J803" s="147"/>
      <c r="K803" s="147"/>
    </row>
    <row r="804">
      <c r="A804" s="147"/>
      <c r="B804" s="147"/>
      <c r="C804" s="147"/>
      <c r="D804" s="147"/>
      <c r="E804" s="147"/>
      <c r="F804" s="147"/>
      <c r="G804" s="147"/>
      <c r="H804" s="147"/>
      <c r="I804" s="147"/>
      <c r="J804" s="147"/>
      <c r="K804" s="147"/>
    </row>
    <row r="805">
      <c r="A805" s="147"/>
      <c r="B805" s="147"/>
      <c r="C805" s="147"/>
      <c r="D805" s="147"/>
      <c r="E805" s="147"/>
      <c r="F805" s="147"/>
      <c r="G805" s="147"/>
      <c r="H805" s="147"/>
      <c r="I805" s="147"/>
      <c r="J805" s="147"/>
      <c r="K805" s="147"/>
    </row>
    <row r="806">
      <c r="A806" s="147"/>
      <c r="B806" s="147"/>
      <c r="C806" s="147"/>
      <c r="D806" s="147"/>
      <c r="E806" s="147"/>
      <c r="F806" s="147"/>
      <c r="G806" s="147"/>
      <c r="H806" s="147"/>
      <c r="I806" s="147"/>
      <c r="J806" s="147"/>
      <c r="K806" s="147"/>
    </row>
    <row r="807">
      <c r="A807" s="147"/>
      <c r="B807" s="147"/>
      <c r="C807" s="147"/>
      <c r="D807" s="147"/>
      <c r="E807" s="147"/>
      <c r="F807" s="147"/>
      <c r="G807" s="147"/>
      <c r="H807" s="147"/>
      <c r="I807" s="147"/>
      <c r="J807" s="147"/>
      <c r="K807" s="147"/>
    </row>
    <row r="808">
      <c r="A808" s="147"/>
      <c r="B808" s="147"/>
      <c r="C808" s="147"/>
      <c r="D808" s="147"/>
      <c r="E808" s="147"/>
      <c r="F808" s="147"/>
      <c r="G808" s="147"/>
      <c r="H808" s="147"/>
      <c r="I808" s="147"/>
      <c r="J808" s="147"/>
      <c r="K808" s="147"/>
    </row>
    <row r="809">
      <c r="A809" s="147"/>
      <c r="B809" s="147"/>
      <c r="C809" s="147"/>
      <c r="D809" s="147"/>
      <c r="E809" s="147"/>
      <c r="F809" s="147"/>
      <c r="G809" s="147"/>
      <c r="H809" s="147"/>
      <c r="I809" s="147"/>
      <c r="J809" s="147"/>
      <c r="K809" s="147"/>
    </row>
    <row r="810">
      <c r="A810" s="147"/>
      <c r="B810" s="147"/>
      <c r="C810" s="147"/>
      <c r="D810" s="147"/>
      <c r="E810" s="147"/>
      <c r="F810" s="147"/>
      <c r="G810" s="147"/>
      <c r="H810" s="147"/>
      <c r="I810" s="147"/>
      <c r="J810" s="147"/>
      <c r="K810" s="147"/>
    </row>
    <row r="811">
      <c r="A811" s="147"/>
      <c r="B811" s="147"/>
      <c r="C811" s="147"/>
      <c r="D811" s="147"/>
      <c r="E811" s="147"/>
      <c r="F811" s="147"/>
      <c r="G811" s="147"/>
      <c r="H811" s="147"/>
      <c r="I811" s="147"/>
      <c r="J811" s="147"/>
      <c r="K811" s="147"/>
    </row>
    <row r="812">
      <c r="A812" s="147"/>
      <c r="B812" s="147"/>
      <c r="C812" s="147"/>
      <c r="D812" s="147"/>
      <c r="E812" s="147"/>
      <c r="F812" s="147"/>
      <c r="G812" s="147"/>
      <c r="H812" s="147"/>
      <c r="I812" s="147"/>
      <c r="J812" s="147"/>
      <c r="K812" s="147"/>
    </row>
    <row r="813">
      <c r="A813" s="147"/>
      <c r="B813" s="147"/>
      <c r="C813" s="147"/>
      <c r="D813" s="147"/>
      <c r="E813" s="147"/>
      <c r="F813" s="147"/>
      <c r="G813" s="147"/>
      <c r="H813" s="147"/>
      <c r="I813" s="147"/>
      <c r="J813" s="147"/>
      <c r="K813" s="147"/>
    </row>
    <row r="814">
      <c r="A814" s="147"/>
      <c r="B814" s="147"/>
      <c r="C814" s="147"/>
      <c r="D814" s="147"/>
      <c r="E814" s="147"/>
      <c r="F814" s="147"/>
      <c r="G814" s="147"/>
      <c r="H814" s="147"/>
      <c r="I814" s="147"/>
      <c r="J814" s="147"/>
      <c r="K814" s="147"/>
    </row>
    <row r="815">
      <c r="A815" s="147"/>
      <c r="B815" s="147"/>
      <c r="C815" s="147"/>
      <c r="D815" s="147"/>
      <c r="E815" s="147"/>
      <c r="F815" s="147"/>
      <c r="G815" s="147"/>
      <c r="H815" s="147"/>
      <c r="I815" s="147"/>
      <c r="J815" s="147"/>
      <c r="K815" s="147"/>
    </row>
    <row r="816">
      <c r="A816" s="147"/>
      <c r="B816" s="147"/>
      <c r="C816" s="147"/>
      <c r="D816" s="147"/>
      <c r="E816" s="147"/>
      <c r="F816" s="147"/>
      <c r="G816" s="147"/>
      <c r="H816" s="147"/>
      <c r="I816" s="147"/>
      <c r="J816" s="147"/>
      <c r="K816" s="147"/>
    </row>
    <row r="817">
      <c r="A817" s="147"/>
      <c r="B817" s="147"/>
      <c r="C817" s="147"/>
      <c r="D817" s="147"/>
      <c r="E817" s="147"/>
      <c r="F817" s="147"/>
      <c r="G817" s="147"/>
      <c r="H817" s="147"/>
      <c r="I817" s="147"/>
      <c r="J817" s="147"/>
      <c r="K817" s="147"/>
    </row>
    <row r="818">
      <c r="A818" s="147"/>
      <c r="B818" s="147"/>
      <c r="C818" s="147"/>
      <c r="D818" s="147"/>
      <c r="E818" s="147"/>
      <c r="F818" s="147"/>
      <c r="G818" s="147"/>
      <c r="H818" s="147"/>
      <c r="I818" s="147"/>
      <c r="J818" s="147"/>
      <c r="K818" s="147"/>
    </row>
    <row r="819">
      <c r="A819" s="147"/>
      <c r="B819" s="147"/>
      <c r="C819" s="147"/>
      <c r="D819" s="147"/>
      <c r="E819" s="147"/>
      <c r="F819" s="147"/>
      <c r="G819" s="147"/>
      <c r="H819" s="147"/>
      <c r="I819" s="147"/>
      <c r="J819" s="147"/>
      <c r="K819" s="147"/>
    </row>
    <row r="820">
      <c r="A820" s="147"/>
      <c r="B820" s="147"/>
      <c r="C820" s="147"/>
      <c r="D820" s="147"/>
      <c r="E820" s="147"/>
      <c r="F820" s="147"/>
      <c r="G820" s="147"/>
      <c r="H820" s="147"/>
      <c r="I820" s="147"/>
      <c r="J820" s="147"/>
      <c r="K820" s="147"/>
    </row>
    <row r="821">
      <c r="A821" s="147"/>
      <c r="B821" s="147"/>
      <c r="C821" s="147"/>
      <c r="D821" s="147"/>
      <c r="E821" s="147"/>
      <c r="F821" s="147"/>
      <c r="G821" s="147"/>
      <c r="H821" s="147"/>
      <c r="I821" s="147"/>
      <c r="J821" s="147"/>
      <c r="K821" s="147"/>
    </row>
    <row r="822">
      <c r="A822" s="147"/>
      <c r="B822" s="147"/>
      <c r="C822" s="147"/>
      <c r="D822" s="147"/>
      <c r="E822" s="147"/>
      <c r="F822" s="147"/>
      <c r="G822" s="147"/>
      <c r="H822" s="147"/>
      <c r="I822" s="147"/>
      <c r="J822" s="147"/>
      <c r="K822" s="147"/>
    </row>
    <row r="823">
      <c r="A823" s="147"/>
      <c r="B823" s="147"/>
      <c r="C823" s="147"/>
      <c r="D823" s="147"/>
      <c r="E823" s="147"/>
      <c r="F823" s="147"/>
      <c r="G823" s="147"/>
      <c r="H823" s="147"/>
      <c r="I823" s="147"/>
      <c r="J823" s="147"/>
      <c r="K823" s="147"/>
    </row>
    <row r="824">
      <c r="A824" s="147"/>
      <c r="B824" s="147"/>
      <c r="C824" s="147"/>
      <c r="D824" s="147"/>
      <c r="E824" s="147"/>
      <c r="F824" s="147"/>
      <c r="G824" s="147"/>
      <c r="H824" s="147"/>
      <c r="I824" s="147"/>
      <c r="J824" s="147"/>
      <c r="K824" s="147"/>
    </row>
    <row r="825">
      <c r="A825" s="147"/>
      <c r="B825" s="147"/>
      <c r="C825" s="147"/>
      <c r="D825" s="147"/>
      <c r="E825" s="147"/>
      <c r="F825" s="147"/>
      <c r="G825" s="147"/>
      <c r="H825" s="147"/>
      <c r="I825" s="147"/>
      <c r="J825" s="147"/>
      <c r="K825" s="147"/>
    </row>
    <row r="826">
      <c r="A826" s="147"/>
      <c r="B826" s="147"/>
      <c r="C826" s="147"/>
      <c r="D826" s="147"/>
      <c r="E826" s="147"/>
      <c r="F826" s="147"/>
      <c r="G826" s="147"/>
      <c r="H826" s="147"/>
      <c r="I826" s="147"/>
      <c r="J826" s="147"/>
      <c r="K826" s="147"/>
    </row>
    <row r="827">
      <c r="A827" s="147"/>
      <c r="B827" s="147"/>
      <c r="C827" s="147"/>
      <c r="D827" s="147"/>
      <c r="E827" s="147"/>
      <c r="F827" s="147"/>
      <c r="G827" s="147"/>
      <c r="H827" s="147"/>
      <c r="I827" s="147"/>
      <c r="J827" s="147"/>
      <c r="K827" s="147"/>
    </row>
    <row r="828">
      <c r="A828" s="147"/>
      <c r="B828" s="147"/>
      <c r="C828" s="147"/>
      <c r="D828" s="147"/>
      <c r="E828" s="147"/>
      <c r="F828" s="147"/>
      <c r="G828" s="147"/>
      <c r="H828" s="147"/>
      <c r="I828" s="147"/>
      <c r="J828" s="147"/>
      <c r="K828" s="147"/>
    </row>
    <row r="829">
      <c r="A829" s="147"/>
      <c r="B829" s="147"/>
      <c r="C829" s="147"/>
      <c r="D829" s="147"/>
      <c r="E829" s="147"/>
      <c r="F829" s="147"/>
      <c r="G829" s="147"/>
      <c r="H829" s="147"/>
      <c r="I829" s="147"/>
      <c r="J829" s="147"/>
      <c r="K829" s="147"/>
    </row>
    <row r="830">
      <c r="A830" s="147"/>
      <c r="B830" s="147"/>
      <c r="C830" s="147"/>
      <c r="D830" s="147"/>
      <c r="E830" s="147"/>
      <c r="F830" s="147"/>
      <c r="G830" s="147"/>
      <c r="H830" s="147"/>
      <c r="I830" s="147"/>
      <c r="J830" s="147"/>
      <c r="K830" s="147"/>
    </row>
    <row r="831">
      <c r="A831" s="147"/>
      <c r="B831" s="147"/>
      <c r="C831" s="147"/>
      <c r="D831" s="147"/>
      <c r="E831" s="147"/>
      <c r="F831" s="147"/>
      <c r="G831" s="147"/>
      <c r="H831" s="147"/>
      <c r="I831" s="147"/>
      <c r="J831" s="147"/>
      <c r="K831" s="147"/>
    </row>
    <row r="832">
      <c r="A832" s="147"/>
      <c r="B832" s="147"/>
      <c r="C832" s="147"/>
      <c r="D832" s="147"/>
      <c r="E832" s="147"/>
      <c r="F832" s="147"/>
      <c r="G832" s="147"/>
      <c r="H832" s="147"/>
      <c r="I832" s="147"/>
      <c r="J832" s="147"/>
      <c r="K832" s="147"/>
    </row>
    <row r="833">
      <c r="A833" s="147"/>
      <c r="B833" s="147"/>
      <c r="C833" s="147"/>
      <c r="D833" s="147"/>
      <c r="E833" s="147"/>
      <c r="F833" s="147"/>
      <c r="G833" s="147"/>
      <c r="H833" s="147"/>
      <c r="I833" s="147"/>
      <c r="J833" s="147"/>
      <c r="K833" s="147"/>
    </row>
    <row r="834">
      <c r="A834" s="147"/>
      <c r="B834" s="147"/>
      <c r="C834" s="147"/>
      <c r="D834" s="147"/>
      <c r="E834" s="147"/>
      <c r="F834" s="147"/>
      <c r="G834" s="147"/>
      <c r="H834" s="147"/>
      <c r="I834" s="147"/>
      <c r="J834" s="147"/>
      <c r="K834" s="147"/>
    </row>
    <row r="835">
      <c r="A835" s="147"/>
      <c r="B835" s="147"/>
      <c r="C835" s="147"/>
      <c r="D835" s="147"/>
      <c r="E835" s="147"/>
      <c r="F835" s="147"/>
      <c r="G835" s="147"/>
      <c r="H835" s="147"/>
      <c r="I835" s="147"/>
      <c r="J835" s="147"/>
      <c r="K835" s="147"/>
    </row>
    <row r="836">
      <c r="A836" s="147"/>
      <c r="B836" s="147"/>
      <c r="C836" s="147"/>
      <c r="D836" s="147"/>
      <c r="E836" s="147"/>
      <c r="F836" s="147"/>
      <c r="G836" s="147"/>
      <c r="H836" s="147"/>
      <c r="I836" s="147"/>
      <c r="J836" s="147"/>
      <c r="K836" s="147"/>
    </row>
    <row r="837">
      <c r="A837" s="147"/>
      <c r="B837" s="147"/>
      <c r="C837" s="147"/>
      <c r="D837" s="147"/>
      <c r="E837" s="147"/>
      <c r="F837" s="147"/>
      <c r="G837" s="147"/>
      <c r="H837" s="147"/>
      <c r="I837" s="147"/>
      <c r="J837" s="147"/>
      <c r="K837" s="147"/>
    </row>
    <row r="838">
      <c r="A838" s="147"/>
      <c r="B838" s="147"/>
      <c r="C838" s="147"/>
      <c r="D838" s="147"/>
      <c r="E838" s="147"/>
      <c r="F838" s="147"/>
      <c r="G838" s="147"/>
      <c r="H838" s="147"/>
      <c r="I838" s="147"/>
      <c r="J838" s="147"/>
      <c r="K838" s="147"/>
    </row>
    <row r="839">
      <c r="A839" s="147"/>
      <c r="B839" s="147"/>
      <c r="C839" s="147"/>
      <c r="D839" s="147"/>
      <c r="E839" s="147"/>
      <c r="F839" s="147"/>
      <c r="G839" s="147"/>
      <c r="H839" s="147"/>
      <c r="I839" s="147"/>
      <c r="J839" s="147"/>
      <c r="K839" s="147"/>
    </row>
    <row r="840">
      <c r="A840" s="147"/>
      <c r="B840" s="147"/>
      <c r="C840" s="147"/>
      <c r="D840" s="147"/>
      <c r="E840" s="147"/>
      <c r="F840" s="147"/>
      <c r="G840" s="147"/>
      <c r="H840" s="147"/>
      <c r="I840" s="147"/>
      <c r="J840" s="147"/>
      <c r="K840" s="147"/>
    </row>
    <row r="841">
      <c r="A841" s="147"/>
      <c r="B841" s="147"/>
      <c r="C841" s="147"/>
      <c r="D841" s="147"/>
      <c r="E841" s="147"/>
      <c r="F841" s="147"/>
      <c r="G841" s="147"/>
      <c r="H841" s="147"/>
      <c r="I841" s="147"/>
      <c r="J841" s="147"/>
      <c r="K841" s="147"/>
    </row>
    <row r="842">
      <c r="A842" s="147"/>
      <c r="B842" s="147"/>
      <c r="C842" s="147"/>
      <c r="D842" s="147"/>
      <c r="E842" s="147"/>
      <c r="F842" s="147"/>
      <c r="G842" s="147"/>
      <c r="H842" s="147"/>
      <c r="I842" s="147"/>
      <c r="J842" s="147"/>
      <c r="K842" s="147"/>
    </row>
    <row r="843">
      <c r="A843" s="147"/>
      <c r="B843" s="147"/>
      <c r="C843" s="147"/>
      <c r="D843" s="147"/>
      <c r="E843" s="147"/>
      <c r="F843" s="147"/>
      <c r="G843" s="147"/>
      <c r="H843" s="147"/>
      <c r="I843" s="147"/>
      <c r="J843" s="147"/>
      <c r="K843" s="147"/>
    </row>
    <row r="844">
      <c r="A844" s="147"/>
      <c r="B844" s="147"/>
      <c r="C844" s="147"/>
      <c r="D844" s="147"/>
      <c r="E844" s="147"/>
      <c r="F844" s="147"/>
      <c r="G844" s="147"/>
      <c r="H844" s="147"/>
      <c r="I844" s="147"/>
      <c r="J844" s="147"/>
      <c r="K844" s="147"/>
    </row>
    <row r="845">
      <c r="A845" s="147"/>
      <c r="B845" s="147"/>
      <c r="C845" s="147"/>
      <c r="D845" s="147"/>
      <c r="E845" s="147"/>
      <c r="F845" s="147"/>
      <c r="G845" s="147"/>
      <c r="H845" s="147"/>
      <c r="I845" s="147"/>
      <c r="J845" s="147"/>
      <c r="K845" s="147"/>
    </row>
    <row r="846">
      <c r="A846" s="147"/>
      <c r="B846" s="147"/>
      <c r="C846" s="147"/>
      <c r="D846" s="147"/>
      <c r="E846" s="147"/>
      <c r="F846" s="147"/>
      <c r="G846" s="147"/>
      <c r="H846" s="147"/>
      <c r="I846" s="147"/>
      <c r="J846" s="147"/>
      <c r="K846" s="147"/>
    </row>
    <row r="847">
      <c r="A847" s="147"/>
      <c r="B847" s="147"/>
      <c r="C847" s="147"/>
      <c r="D847" s="147"/>
      <c r="E847" s="147"/>
      <c r="F847" s="147"/>
      <c r="G847" s="147"/>
      <c r="H847" s="147"/>
      <c r="I847" s="147"/>
      <c r="J847" s="147"/>
      <c r="K847" s="147"/>
    </row>
    <row r="848">
      <c r="A848" s="147"/>
      <c r="B848" s="147"/>
      <c r="C848" s="147"/>
      <c r="D848" s="147"/>
      <c r="E848" s="147"/>
      <c r="F848" s="147"/>
      <c r="G848" s="147"/>
      <c r="H848" s="147"/>
      <c r="I848" s="147"/>
      <c r="J848" s="147"/>
      <c r="K848" s="147"/>
    </row>
    <row r="849">
      <c r="A849" s="147"/>
      <c r="B849" s="147"/>
      <c r="C849" s="147"/>
      <c r="D849" s="147"/>
      <c r="E849" s="147"/>
      <c r="F849" s="147"/>
      <c r="G849" s="147"/>
      <c r="H849" s="147"/>
      <c r="I849" s="147"/>
      <c r="J849" s="147"/>
      <c r="K849" s="147"/>
    </row>
    <row r="850">
      <c r="A850" s="147"/>
      <c r="B850" s="147"/>
      <c r="C850" s="147"/>
      <c r="D850" s="147"/>
      <c r="E850" s="147"/>
      <c r="F850" s="147"/>
      <c r="G850" s="147"/>
      <c r="H850" s="147"/>
      <c r="I850" s="147"/>
      <c r="J850" s="147"/>
      <c r="K850" s="147"/>
    </row>
    <row r="851">
      <c r="A851" s="147"/>
      <c r="B851" s="147"/>
      <c r="C851" s="147"/>
      <c r="D851" s="147"/>
      <c r="E851" s="147"/>
      <c r="F851" s="147"/>
      <c r="G851" s="147"/>
      <c r="H851" s="147"/>
      <c r="I851" s="147"/>
      <c r="J851" s="147"/>
      <c r="K851" s="147"/>
    </row>
    <row r="852">
      <c r="A852" s="147"/>
      <c r="B852" s="147"/>
      <c r="C852" s="147"/>
      <c r="D852" s="147"/>
      <c r="E852" s="147"/>
      <c r="F852" s="147"/>
      <c r="G852" s="147"/>
      <c r="H852" s="147"/>
      <c r="I852" s="147"/>
      <c r="J852" s="147"/>
      <c r="K852" s="147"/>
    </row>
    <row r="853">
      <c r="A853" s="147"/>
      <c r="B853" s="147"/>
      <c r="C853" s="147"/>
      <c r="D853" s="147"/>
      <c r="E853" s="147"/>
      <c r="F853" s="147"/>
      <c r="G853" s="147"/>
      <c r="H853" s="147"/>
      <c r="I853" s="147"/>
      <c r="J853" s="147"/>
      <c r="K853" s="147"/>
    </row>
    <row r="854">
      <c r="A854" s="147"/>
      <c r="B854" s="147"/>
      <c r="C854" s="147"/>
      <c r="D854" s="147"/>
      <c r="E854" s="147"/>
      <c r="F854" s="147"/>
      <c r="G854" s="147"/>
      <c r="H854" s="147"/>
      <c r="I854" s="147"/>
      <c r="J854" s="147"/>
      <c r="K854" s="147"/>
    </row>
    <row r="855">
      <c r="A855" s="147"/>
      <c r="B855" s="147"/>
      <c r="C855" s="147"/>
      <c r="D855" s="147"/>
      <c r="E855" s="147"/>
      <c r="F855" s="147"/>
      <c r="G855" s="147"/>
      <c r="H855" s="147"/>
      <c r="I855" s="147"/>
      <c r="J855" s="147"/>
      <c r="K855" s="147"/>
    </row>
    <row r="856">
      <c r="A856" s="147"/>
      <c r="B856" s="147"/>
      <c r="C856" s="147"/>
      <c r="D856" s="147"/>
      <c r="E856" s="147"/>
      <c r="F856" s="147"/>
      <c r="G856" s="147"/>
      <c r="H856" s="147"/>
      <c r="I856" s="147"/>
      <c r="J856" s="147"/>
      <c r="K856" s="147"/>
    </row>
    <row r="857">
      <c r="A857" s="147"/>
      <c r="B857" s="147"/>
      <c r="C857" s="147"/>
      <c r="D857" s="147"/>
      <c r="E857" s="147"/>
      <c r="F857" s="147"/>
      <c r="G857" s="147"/>
      <c r="H857" s="147"/>
      <c r="I857" s="147"/>
      <c r="J857" s="147"/>
      <c r="K857" s="147"/>
    </row>
    <row r="858">
      <c r="A858" s="147"/>
      <c r="B858" s="147"/>
      <c r="C858" s="147"/>
      <c r="D858" s="147"/>
      <c r="E858" s="147"/>
      <c r="F858" s="147"/>
      <c r="G858" s="147"/>
      <c r="H858" s="147"/>
      <c r="I858" s="147"/>
      <c r="J858" s="147"/>
      <c r="K858" s="147"/>
    </row>
    <row r="859">
      <c r="A859" s="147"/>
      <c r="B859" s="147"/>
      <c r="C859" s="147"/>
      <c r="D859" s="147"/>
      <c r="E859" s="147"/>
      <c r="F859" s="147"/>
      <c r="G859" s="147"/>
      <c r="H859" s="147"/>
      <c r="I859" s="147"/>
      <c r="J859" s="147"/>
      <c r="K859" s="147"/>
    </row>
    <row r="860">
      <c r="A860" s="147"/>
      <c r="B860" s="147"/>
      <c r="C860" s="147"/>
      <c r="D860" s="147"/>
      <c r="E860" s="147"/>
      <c r="F860" s="147"/>
      <c r="G860" s="147"/>
      <c r="H860" s="147"/>
      <c r="I860" s="147"/>
      <c r="J860" s="147"/>
      <c r="K860" s="147"/>
    </row>
    <row r="861">
      <c r="A861" s="147"/>
      <c r="B861" s="147"/>
      <c r="C861" s="147"/>
      <c r="D861" s="147"/>
      <c r="E861" s="147"/>
      <c r="F861" s="147"/>
      <c r="G861" s="147"/>
      <c r="H861" s="147"/>
      <c r="I861" s="147"/>
      <c r="J861" s="147"/>
      <c r="K861" s="147"/>
    </row>
    <row r="862">
      <c r="A862" s="147"/>
      <c r="B862" s="147"/>
      <c r="C862" s="147"/>
      <c r="D862" s="147"/>
      <c r="E862" s="147"/>
      <c r="F862" s="147"/>
      <c r="G862" s="147"/>
      <c r="H862" s="147"/>
      <c r="I862" s="147"/>
      <c r="J862" s="147"/>
      <c r="K862" s="147"/>
    </row>
    <row r="863">
      <c r="A863" s="147"/>
      <c r="B863" s="147"/>
      <c r="C863" s="147"/>
      <c r="D863" s="147"/>
      <c r="E863" s="147"/>
      <c r="F863" s="147"/>
      <c r="G863" s="147"/>
      <c r="H863" s="147"/>
      <c r="I863" s="147"/>
      <c r="J863" s="147"/>
      <c r="K863" s="147"/>
    </row>
    <row r="864">
      <c r="A864" s="147"/>
      <c r="B864" s="147"/>
      <c r="C864" s="147"/>
      <c r="D864" s="147"/>
      <c r="E864" s="147"/>
      <c r="F864" s="147"/>
      <c r="G864" s="147"/>
      <c r="H864" s="147"/>
      <c r="I864" s="147"/>
      <c r="J864" s="147"/>
      <c r="K864" s="147"/>
    </row>
    <row r="865">
      <c r="A865" s="147"/>
      <c r="B865" s="147"/>
      <c r="C865" s="147"/>
      <c r="D865" s="147"/>
      <c r="E865" s="147"/>
      <c r="F865" s="147"/>
      <c r="G865" s="147"/>
      <c r="H865" s="147"/>
      <c r="I865" s="147"/>
      <c r="J865" s="147"/>
      <c r="K865" s="147"/>
    </row>
    <row r="866">
      <c r="A866" s="147"/>
      <c r="B866" s="147"/>
      <c r="C866" s="147"/>
      <c r="D866" s="147"/>
      <c r="E866" s="147"/>
      <c r="F866" s="147"/>
      <c r="G866" s="147"/>
      <c r="H866" s="147"/>
      <c r="I866" s="147"/>
      <c r="J866" s="147"/>
      <c r="K866" s="147"/>
    </row>
    <row r="867">
      <c r="A867" s="147"/>
      <c r="B867" s="147"/>
      <c r="C867" s="147"/>
      <c r="D867" s="147"/>
      <c r="E867" s="147"/>
      <c r="F867" s="147"/>
      <c r="G867" s="147"/>
      <c r="H867" s="147"/>
      <c r="I867" s="147"/>
      <c r="J867" s="147"/>
      <c r="K867" s="147"/>
    </row>
    <row r="868">
      <c r="A868" s="147"/>
      <c r="B868" s="147"/>
      <c r="C868" s="147"/>
      <c r="D868" s="147"/>
      <c r="E868" s="147"/>
      <c r="F868" s="147"/>
      <c r="G868" s="147"/>
      <c r="H868" s="147"/>
      <c r="I868" s="147"/>
      <c r="J868" s="147"/>
      <c r="K868" s="147"/>
    </row>
    <row r="869">
      <c r="A869" s="147"/>
      <c r="B869" s="147"/>
      <c r="C869" s="147"/>
      <c r="D869" s="147"/>
      <c r="E869" s="147"/>
      <c r="F869" s="147"/>
      <c r="G869" s="147"/>
      <c r="H869" s="147"/>
      <c r="I869" s="147"/>
      <c r="J869" s="147"/>
      <c r="K869" s="147"/>
    </row>
    <row r="870">
      <c r="A870" s="147"/>
      <c r="B870" s="147"/>
      <c r="C870" s="147"/>
      <c r="D870" s="147"/>
      <c r="E870" s="147"/>
      <c r="F870" s="147"/>
      <c r="G870" s="147"/>
      <c r="H870" s="147"/>
      <c r="I870" s="147"/>
      <c r="J870" s="147"/>
      <c r="K870" s="147"/>
    </row>
    <row r="871">
      <c r="A871" s="147"/>
      <c r="B871" s="147"/>
      <c r="C871" s="147"/>
      <c r="D871" s="147"/>
      <c r="E871" s="147"/>
      <c r="F871" s="147"/>
      <c r="G871" s="147"/>
      <c r="H871" s="147"/>
      <c r="I871" s="147"/>
      <c r="J871" s="147"/>
      <c r="K871" s="147"/>
    </row>
    <row r="872">
      <c r="A872" s="147"/>
      <c r="B872" s="147"/>
      <c r="C872" s="147"/>
      <c r="D872" s="147"/>
      <c r="E872" s="147"/>
      <c r="F872" s="147"/>
      <c r="G872" s="147"/>
      <c r="H872" s="147"/>
      <c r="I872" s="147"/>
      <c r="J872" s="147"/>
      <c r="K872" s="147"/>
    </row>
    <row r="873">
      <c r="A873" s="147"/>
      <c r="B873" s="147"/>
      <c r="C873" s="147"/>
      <c r="D873" s="147"/>
      <c r="E873" s="147"/>
      <c r="F873" s="147"/>
      <c r="G873" s="147"/>
      <c r="H873" s="147"/>
      <c r="I873" s="147"/>
      <c r="J873" s="147"/>
      <c r="K873" s="147"/>
    </row>
    <row r="874">
      <c r="A874" s="147"/>
      <c r="B874" s="147"/>
      <c r="C874" s="147"/>
      <c r="D874" s="147"/>
      <c r="E874" s="147"/>
      <c r="F874" s="147"/>
      <c r="G874" s="147"/>
      <c r="H874" s="147"/>
      <c r="I874" s="147"/>
      <c r="J874" s="147"/>
      <c r="K874" s="147"/>
    </row>
    <row r="875">
      <c r="A875" s="147"/>
      <c r="B875" s="147"/>
      <c r="C875" s="147"/>
      <c r="D875" s="147"/>
      <c r="E875" s="147"/>
      <c r="F875" s="147"/>
      <c r="G875" s="147"/>
      <c r="H875" s="147"/>
      <c r="I875" s="147"/>
      <c r="J875" s="147"/>
      <c r="K875" s="147"/>
    </row>
    <row r="876">
      <c r="A876" s="147"/>
      <c r="B876" s="147"/>
      <c r="C876" s="147"/>
      <c r="D876" s="147"/>
      <c r="E876" s="147"/>
      <c r="F876" s="147"/>
      <c r="G876" s="147"/>
      <c r="H876" s="147"/>
      <c r="I876" s="147"/>
      <c r="J876" s="147"/>
      <c r="K876" s="147"/>
    </row>
    <row r="877">
      <c r="A877" s="147"/>
      <c r="B877" s="147"/>
      <c r="C877" s="147"/>
      <c r="D877" s="147"/>
      <c r="E877" s="147"/>
      <c r="F877" s="147"/>
      <c r="G877" s="147"/>
      <c r="H877" s="147"/>
      <c r="I877" s="147"/>
      <c r="J877" s="147"/>
      <c r="K877" s="147"/>
    </row>
    <row r="878">
      <c r="A878" s="147"/>
      <c r="B878" s="147"/>
      <c r="C878" s="147"/>
      <c r="D878" s="147"/>
      <c r="E878" s="147"/>
      <c r="F878" s="147"/>
      <c r="G878" s="147"/>
      <c r="H878" s="147"/>
      <c r="I878" s="147"/>
      <c r="J878" s="147"/>
      <c r="K878" s="147"/>
    </row>
    <row r="879">
      <c r="A879" s="147"/>
      <c r="B879" s="147"/>
      <c r="C879" s="147"/>
      <c r="D879" s="147"/>
      <c r="E879" s="147"/>
      <c r="F879" s="147"/>
      <c r="G879" s="147"/>
      <c r="H879" s="147"/>
      <c r="I879" s="147"/>
      <c r="J879" s="147"/>
      <c r="K879" s="147"/>
    </row>
    <row r="880">
      <c r="A880" s="147"/>
      <c r="B880" s="147"/>
      <c r="C880" s="147"/>
      <c r="D880" s="147"/>
      <c r="E880" s="147"/>
      <c r="F880" s="147"/>
      <c r="G880" s="147"/>
      <c r="H880" s="147"/>
      <c r="I880" s="147"/>
      <c r="J880" s="147"/>
      <c r="K880" s="147"/>
    </row>
    <row r="881">
      <c r="A881" s="147"/>
      <c r="B881" s="147"/>
      <c r="C881" s="147"/>
      <c r="D881" s="147"/>
      <c r="E881" s="147"/>
      <c r="F881" s="147"/>
      <c r="G881" s="147"/>
      <c r="H881" s="147"/>
      <c r="I881" s="147"/>
      <c r="J881" s="147"/>
      <c r="K881" s="147"/>
    </row>
    <row r="882">
      <c r="A882" s="147"/>
      <c r="B882" s="147"/>
      <c r="C882" s="147"/>
      <c r="D882" s="147"/>
      <c r="E882" s="147"/>
      <c r="F882" s="147"/>
      <c r="G882" s="147"/>
      <c r="H882" s="147"/>
      <c r="I882" s="147"/>
      <c r="J882" s="147"/>
      <c r="K882" s="147"/>
    </row>
    <row r="883">
      <c r="A883" s="147"/>
      <c r="B883" s="147"/>
      <c r="C883" s="147"/>
      <c r="D883" s="147"/>
      <c r="E883" s="147"/>
      <c r="F883" s="147"/>
      <c r="G883" s="147"/>
      <c r="H883" s="147"/>
      <c r="I883" s="147"/>
      <c r="J883" s="147"/>
      <c r="K883" s="147"/>
    </row>
    <row r="884">
      <c r="A884" s="147"/>
      <c r="B884" s="147"/>
      <c r="C884" s="147"/>
      <c r="D884" s="147"/>
      <c r="E884" s="147"/>
      <c r="F884" s="147"/>
      <c r="G884" s="147"/>
      <c r="H884" s="147"/>
      <c r="I884" s="147"/>
      <c r="J884" s="147"/>
      <c r="K884" s="147"/>
    </row>
    <row r="885">
      <c r="A885" s="147"/>
      <c r="B885" s="147"/>
      <c r="C885" s="147"/>
      <c r="D885" s="147"/>
      <c r="E885" s="147"/>
      <c r="F885" s="147"/>
      <c r="G885" s="147"/>
      <c r="H885" s="147"/>
      <c r="I885" s="147"/>
      <c r="J885" s="147"/>
      <c r="K885" s="147"/>
    </row>
    <row r="886">
      <c r="A886" s="147"/>
      <c r="B886" s="147"/>
      <c r="C886" s="147"/>
      <c r="D886" s="147"/>
      <c r="E886" s="147"/>
      <c r="F886" s="147"/>
      <c r="G886" s="147"/>
      <c r="H886" s="147"/>
      <c r="I886" s="147"/>
      <c r="J886" s="147"/>
      <c r="K886" s="147"/>
    </row>
    <row r="887">
      <c r="A887" s="147"/>
      <c r="B887" s="147"/>
      <c r="C887" s="147"/>
      <c r="D887" s="147"/>
      <c r="E887" s="147"/>
      <c r="F887" s="147"/>
      <c r="G887" s="147"/>
      <c r="H887" s="147"/>
      <c r="I887" s="147"/>
      <c r="J887" s="147"/>
      <c r="K887" s="147"/>
    </row>
    <row r="888">
      <c r="A888" s="147"/>
      <c r="B888" s="147"/>
      <c r="C888" s="147"/>
      <c r="D888" s="147"/>
      <c r="E888" s="147"/>
      <c r="F888" s="147"/>
      <c r="G888" s="147"/>
      <c r="H888" s="147"/>
      <c r="I888" s="147"/>
      <c r="J888" s="147"/>
      <c r="K888" s="147"/>
    </row>
    <row r="889">
      <c r="A889" s="147"/>
      <c r="B889" s="147"/>
      <c r="C889" s="147"/>
      <c r="D889" s="147"/>
      <c r="E889" s="147"/>
      <c r="F889" s="147"/>
      <c r="G889" s="147"/>
      <c r="H889" s="147"/>
      <c r="I889" s="147"/>
      <c r="J889" s="147"/>
      <c r="K889" s="147"/>
    </row>
    <row r="890">
      <c r="A890" s="147"/>
      <c r="B890" s="147"/>
      <c r="C890" s="147"/>
      <c r="D890" s="147"/>
      <c r="E890" s="147"/>
      <c r="F890" s="147"/>
      <c r="G890" s="147"/>
      <c r="H890" s="147"/>
      <c r="I890" s="147"/>
      <c r="J890" s="147"/>
      <c r="K890" s="147"/>
    </row>
    <row r="891">
      <c r="A891" s="147"/>
      <c r="B891" s="147"/>
      <c r="C891" s="147"/>
      <c r="D891" s="147"/>
      <c r="E891" s="147"/>
      <c r="F891" s="147"/>
      <c r="G891" s="147"/>
      <c r="H891" s="147"/>
      <c r="I891" s="147"/>
      <c r="J891" s="147"/>
      <c r="K891" s="147"/>
    </row>
    <row r="892">
      <c r="A892" s="147"/>
      <c r="B892" s="147"/>
      <c r="C892" s="147"/>
      <c r="D892" s="147"/>
      <c r="E892" s="147"/>
      <c r="F892" s="147"/>
      <c r="G892" s="147"/>
      <c r="H892" s="147"/>
      <c r="I892" s="147"/>
      <c r="J892" s="147"/>
      <c r="K892" s="147"/>
    </row>
    <row r="893">
      <c r="A893" s="147"/>
      <c r="B893" s="147"/>
      <c r="C893" s="147"/>
      <c r="D893" s="147"/>
      <c r="E893" s="147"/>
      <c r="F893" s="147"/>
      <c r="G893" s="147"/>
      <c r="H893" s="147"/>
      <c r="I893" s="147"/>
      <c r="J893" s="147"/>
      <c r="K893" s="147"/>
    </row>
    <row r="894">
      <c r="A894" s="147"/>
      <c r="B894" s="147"/>
      <c r="C894" s="147"/>
      <c r="D894" s="147"/>
      <c r="E894" s="147"/>
      <c r="F894" s="147"/>
      <c r="G894" s="147"/>
      <c r="H894" s="147"/>
      <c r="I894" s="147"/>
      <c r="J894" s="147"/>
      <c r="K894" s="147"/>
    </row>
    <row r="895">
      <c r="A895" s="147"/>
      <c r="B895" s="147"/>
      <c r="C895" s="147"/>
      <c r="D895" s="147"/>
      <c r="E895" s="147"/>
      <c r="F895" s="147"/>
      <c r="G895" s="147"/>
      <c r="H895" s="147"/>
      <c r="I895" s="147"/>
      <c r="J895" s="147"/>
      <c r="K895" s="147"/>
    </row>
    <row r="896">
      <c r="A896" s="147"/>
      <c r="B896" s="147"/>
      <c r="C896" s="147"/>
      <c r="D896" s="147"/>
      <c r="E896" s="147"/>
      <c r="F896" s="147"/>
      <c r="G896" s="147"/>
      <c r="H896" s="147"/>
      <c r="I896" s="147"/>
      <c r="J896" s="147"/>
      <c r="K896" s="147"/>
    </row>
    <row r="897">
      <c r="A897" s="147"/>
      <c r="B897" s="147"/>
      <c r="C897" s="147"/>
      <c r="D897" s="147"/>
      <c r="E897" s="147"/>
      <c r="F897" s="147"/>
      <c r="G897" s="147"/>
      <c r="H897" s="147"/>
      <c r="I897" s="147"/>
      <c r="J897" s="147"/>
      <c r="K897" s="147"/>
    </row>
    <row r="898">
      <c r="A898" s="147"/>
      <c r="B898" s="147"/>
      <c r="C898" s="147"/>
      <c r="D898" s="147"/>
      <c r="E898" s="147"/>
      <c r="F898" s="147"/>
      <c r="G898" s="147"/>
      <c r="H898" s="147"/>
      <c r="I898" s="147"/>
      <c r="J898" s="147"/>
      <c r="K898" s="147"/>
    </row>
    <row r="899">
      <c r="A899" s="147"/>
      <c r="B899" s="147"/>
      <c r="C899" s="147"/>
      <c r="D899" s="147"/>
      <c r="E899" s="147"/>
      <c r="F899" s="147"/>
      <c r="G899" s="147"/>
      <c r="H899" s="147"/>
      <c r="I899" s="147"/>
      <c r="J899" s="147"/>
      <c r="K899" s="147"/>
    </row>
    <row r="900">
      <c r="A900" s="147"/>
      <c r="B900" s="147"/>
      <c r="C900" s="147"/>
      <c r="D900" s="147"/>
      <c r="E900" s="147"/>
      <c r="F900" s="147"/>
      <c r="G900" s="147"/>
      <c r="H900" s="147"/>
      <c r="I900" s="147"/>
      <c r="J900" s="147"/>
      <c r="K900" s="147"/>
    </row>
    <row r="901">
      <c r="A901" s="147"/>
      <c r="B901" s="147"/>
      <c r="C901" s="147"/>
      <c r="D901" s="147"/>
      <c r="E901" s="147"/>
      <c r="F901" s="147"/>
      <c r="G901" s="147"/>
      <c r="H901" s="147"/>
      <c r="I901" s="147"/>
      <c r="J901" s="147"/>
      <c r="K901" s="147"/>
    </row>
    <row r="902">
      <c r="A902" s="147"/>
      <c r="B902" s="147"/>
      <c r="C902" s="147"/>
      <c r="D902" s="147"/>
      <c r="E902" s="147"/>
      <c r="F902" s="147"/>
      <c r="G902" s="147"/>
      <c r="H902" s="147"/>
      <c r="I902" s="147"/>
      <c r="J902" s="147"/>
      <c r="K902" s="147"/>
    </row>
    <row r="903">
      <c r="A903" s="147"/>
      <c r="B903" s="147"/>
      <c r="C903" s="147"/>
      <c r="D903" s="147"/>
      <c r="E903" s="147"/>
      <c r="F903" s="147"/>
      <c r="G903" s="147"/>
      <c r="H903" s="147"/>
      <c r="I903" s="147"/>
      <c r="J903" s="147"/>
      <c r="K903" s="147"/>
    </row>
    <row r="904">
      <c r="A904" s="147"/>
      <c r="B904" s="147"/>
      <c r="C904" s="147"/>
      <c r="D904" s="147"/>
      <c r="E904" s="147"/>
      <c r="F904" s="147"/>
      <c r="G904" s="147"/>
      <c r="H904" s="147"/>
      <c r="I904" s="147"/>
      <c r="J904" s="147"/>
      <c r="K904" s="147"/>
    </row>
    <row r="905">
      <c r="A905" s="147"/>
      <c r="B905" s="147"/>
      <c r="C905" s="147"/>
      <c r="D905" s="147"/>
      <c r="E905" s="147"/>
      <c r="F905" s="147"/>
      <c r="G905" s="147"/>
      <c r="H905" s="147"/>
      <c r="I905" s="147"/>
      <c r="J905" s="147"/>
      <c r="K905" s="147"/>
    </row>
    <row r="906">
      <c r="A906" s="147"/>
      <c r="B906" s="147"/>
      <c r="C906" s="147"/>
      <c r="D906" s="147"/>
      <c r="E906" s="147"/>
      <c r="F906" s="147"/>
      <c r="G906" s="147"/>
      <c r="H906" s="147"/>
      <c r="I906" s="147"/>
      <c r="J906" s="147"/>
      <c r="K906" s="147"/>
    </row>
    <row r="907">
      <c r="A907" s="147"/>
      <c r="B907" s="147"/>
      <c r="C907" s="147"/>
      <c r="D907" s="147"/>
      <c r="E907" s="147"/>
      <c r="F907" s="147"/>
      <c r="G907" s="147"/>
      <c r="H907" s="147"/>
      <c r="I907" s="147"/>
      <c r="J907" s="147"/>
      <c r="K907" s="147"/>
    </row>
    <row r="908">
      <c r="A908" s="147"/>
      <c r="B908" s="147"/>
      <c r="C908" s="147"/>
      <c r="D908" s="147"/>
      <c r="E908" s="147"/>
      <c r="F908" s="147"/>
      <c r="G908" s="147"/>
      <c r="H908" s="147"/>
      <c r="I908" s="147"/>
      <c r="J908" s="147"/>
      <c r="K908" s="147"/>
    </row>
    <row r="909">
      <c r="A909" s="147"/>
      <c r="B909" s="147"/>
      <c r="C909" s="147"/>
      <c r="D909" s="147"/>
      <c r="E909" s="147"/>
      <c r="F909" s="147"/>
      <c r="G909" s="147"/>
      <c r="H909" s="147"/>
      <c r="I909" s="147"/>
      <c r="J909" s="147"/>
      <c r="K909" s="147"/>
    </row>
    <row r="910">
      <c r="A910" s="147"/>
      <c r="B910" s="147"/>
      <c r="C910" s="147"/>
      <c r="D910" s="147"/>
      <c r="E910" s="147"/>
      <c r="F910" s="147"/>
      <c r="G910" s="147"/>
      <c r="H910" s="147"/>
      <c r="I910" s="147"/>
      <c r="J910" s="147"/>
      <c r="K910" s="147"/>
    </row>
    <row r="911">
      <c r="A911" s="147"/>
      <c r="B911" s="147"/>
      <c r="C911" s="147"/>
      <c r="D911" s="147"/>
      <c r="E911" s="147"/>
      <c r="F911" s="147"/>
      <c r="G911" s="147"/>
      <c r="H911" s="147"/>
      <c r="I911" s="147"/>
      <c r="J911" s="147"/>
      <c r="K911" s="147"/>
    </row>
    <row r="912">
      <c r="A912" s="147"/>
      <c r="B912" s="147"/>
      <c r="C912" s="147"/>
      <c r="D912" s="147"/>
      <c r="E912" s="147"/>
      <c r="F912" s="147"/>
      <c r="G912" s="147"/>
      <c r="H912" s="147"/>
      <c r="I912" s="147"/>
      <c r="J912" s="147"/>
      <c r="K912" s="147"/>
    </row>
    <row r="913">
      <c r="A913" s="147"/>
      <c r="B913" s="147"/>
      <c r="C913" s="147"/>
      <c r="D913" s="147"/>
      <c r="E913" s="147"/>
      <c r="F913" s="147"/>
      <c r="G913" s="147"/>
      <c r="H913" s="147"/>
      <c r="I913" s="147"/>
      <c r="J913" s="147"/>
      <c r="K913" s="147"/>
    </row>
    <row r="914">
      <c r="A914" s="147"/>
      <c r="B914" s="147"/>
      <c r="C914" s="147"/>
      <c r="D914" s="147"/>
      <c r="E914" s="147"/>
      <c r="F914" s="147"/>
      <c r="G914" s="147"/>
      <c r="H914" s="147"/>
      <c r="I914" s="147"/>
      <c r="J914" s="147"/>
      <c r="K914" s="147"/>
    </row>
    <row r="915">
      <c r="A915" s="147"/>
      <c r="B915" s="147"/>
      <c r="C915" s="147"/>
      <c r="D915" s="147"/>
      <c r="E915" s="147"/>
      <c r="F915" s="147"/>
      <c r="G915" s="147"/>
      <c r="H915" s="147"/>
      <c r="I915" s="147"/>
      <c r="J915" s="147"/>
      <c r="K915" s="147"/>
    </row>
    <row r="916">
      <c r="A916" s="147"/>
      <c r="B916" s="147"/>
      <c r="C916" s="147"/>
      <c r="D916" s="147"/>
      <c r="E916" s="147"/>
      <c r="F916" s="147"/>
      <c r="G916" s="147"/>
      <c r="H916" s="147"/>
      <c r="I916" s="147"/>
      <c r="J916" s="147"/>
      <c r="K916" s="147"/>
    </row>
    <row r="917">
      <c r="A917" s="147"/>
      <c r="B917" s="147"/>
      <c r="C917" s="147"/>
      <c r="D917" s="147"/>
      <c r="E917" s="147"/>
      <c r="F917" s="147"/>
      <c r="G917" s="147"/>
      <c r="H917" s="147"/>
      <c r="I917" s="147"/>
      <c r="J917" s="147"/>
      <c r="K917" s="147"/>
    </row>
    <row r="918">
      <c r="A918" s="147"/>
      <c r="B918" s="147"/>
      <c r="C918" s="147"/>
      <c r="D918" s="147"/>
      <c r="E918" s="147"/>
      <c r="F918" s="147"/>
      <c r="G918" s="147"/>
      <c r="H918" s="147"/>
      <c r="I918" s="147"/>
      <c r="J918" s="147"/>
      <c r="K918" s="147"/>
    </row>
    <row r="919">
      <c r="A919" s="147"/>
      <c r="B919" s="147"/>
      <c r="C919" s="147"/>
      <c r="D919" s="147"/>
      <c r="E919" s="147"/>
      <c r="F919" s="147"/>
      <c r="G919" s="147"/>
      <c r="H919" s="147"/>
      <c r="I919" s="147"/>
      <c r="J919" s="147"/>
      <c r="K919" s="147"/>
    </row>
    <row r="920">
      <c r="A920" s="147"/>
      <c r="B920" s="147"/>
      <c r="C920" s="147"/>
      <c r="D920" s="147"/>
      <c r="E920" s="147"/>
      <c r="F920" s="147"/>
      <c r="G920" s="147"/>
      <c r="H920" s="147"/>
      <c r="I920" s="147"/>
      <c r="J920" s="147"/>
      <c r="K920" s="147"/>
    </row>
    <row r="921">
      <c r="A921" s="147"/>
      <c r="B921" s="147"/>
      <c r="C921" s="147"/>
      <c r="D921" s="147"/>
      <c r="E921" s="147"/>
      <c r="F921" s="147"/>
      <c r="G921" s="147"/>
      <c r="H921" s="147"/>
      <c r="I921" s="147"/>
      <c r="J921" s="147"/>
      <c r="K921" s="147"/>
    </row>
    <row r="922">
      <c r="A922" s="147"/>
      <c r="B922" s="147"/>
      <c r="C922" s="147"/>
      <c r="D922" s="147"/>
      <c r="E922" s="147"/>
      <c r="F922" s="147"/>
      <c r="G922" s="147"/>
      <c r="H922" s="147"/>
      <c r="I922" s="147"/>
      <c r="J922" s="147"/>
      <c r="K922" s="147"/>
    </row>
    <row r="923">
      <c r="A923" s="147"/>
      <c r="B923" s="147"/>
      <c r="C923" s="147"/>
      <c r="D923" s="147"/>
      <c r="E923" s="147"/>
      <c r="F923" s="147"/>
      <c r="G923" s="147"/>
      <c r="H923" s="147"/>
      <c r="I923" s="147"/>
      <c r="J923" s="147"/>
      <c r="K923" s="147"/>
    </row>
    <row r="924">
      <c r="A924" s="147"/>
      <c r="B924" s="147"/>
      <c r="C924" s="147"/>
      <c r="D924" s="147"/>
      <c r="E924" s="147"/>
      <c r="F924" s="147"/>
      <c r="G924" s="147"/>
      <c r="H924" s="147"/>
      <c r="I924" s="147"/>
      <c r="J924" s="147"/>
      <c r="K924" s="147"/>
    </row>
    <row r="925">
      <c r="A925" s="147"/>
      <c r="B925" s="147"/>
      <c r="C925" s="147"/>
      <c r="D925" s="147"/>
      <c r="E925" s="147"/>
      <c r="F925" s="147"/>
      <c r="G925" s="147"/>
      <c r="H925" s="147"/>
      <c r="I925" s="147"/>
      <c r="J925" s="147"/>
      <c r="K925" s="147"/>
    </row>
    <row r="926">
      <c r="A926" s="147"/>
      <c r="B926" s="147"/>
      <c r="C926" s="147"/>
      <c r="D926" s="147"/>
      <c r="E926" s="147"/>
      <c r="F926" s="147"/>
      <c r="G926" s="147"/>
      <c r="H926" s="147"/>
      <c r="I926" s="147"/>
      <c r="J926" s="147"/>
      <c r="K926" s="147"/>
    </row>
    <row r="927">
      <c r="A927" s="147"/>
      <c r="B927" s="147"/>
      <c r="C927" s="147"/>
      <c r="D927" s="147"/>
      <c r="E927" s="147"/>
      <c r="F927" s="147"/>
      <c r="G927" s="147"/>
      <c r="H927" s="147"/>
      <c r="I927" s="147"/>
      <c r="J927" s="147"/>
      <c r="K927" s="147"/>
    </row>
    <row r="928">
      <c r="A928" s="147"/>
      <c r="B928" s="147"/>
      <c r="C928" s="147"/>
      <c r="D928" s="147"/>
      <c r="E928" s="147"/>
      <c r="F928" s="147"/>
      <c r="G928" s="147"/>
      <c r="H928" s="147"/>
      <c r="I928" s="147"/>
      <c r="J928" s="147"/>
      <c r="K928" s="147"/>
    </row>
    <row r="929">
      <c r="A929" s="147"/>
      <c r="B929" s="147"/>
      <c r="C929" s="147"/>
      <c r="D929" s="147"/>
      <c r="E929" s="147"/>
      <c r="F929" s="147"/>
      <c r="G929" s="147"/>
      <c r="H929" s="147"/>
      <c r="I929" s="147"/>
      <c r="J929" s="147"/>
      <c r="K929" s="147"/>
    </row>
    <row r="930">
      <c r="A930" s="147"/>
      <c r="B930" s="147"/>
      <c r="C930" s="147"/>
      <c r="D930" s="147"/>
      <c r="E930" s="147"/>
      <c r="F930" s="147"/>
      <c r="G930" s="147"/>
      <c r="H930" s="147"/>
      <c r="I930" s="147"/>
      <c r="J930" s="147"/>
      <c r="K930" s="147"/>
    </row>
    <row r="931">
      <c r="A931" s="147"/>
      <c r="B931" s="147"/>
      <c r="C931" s="147"/>
      <c r="D931" s="147"/>
      <c r="E931" s="147"/>
      <c r="F931" s="147"/>
      <c r="G931" s="147"/>
      <c r="H931" s="147"/>
      <c r="I931" s="147"/>
      <c r="J931" s="147"/>
      <c r="K931" s="147"/>
    </row>
    <row r="932">
      <c r="A932" s="147"/>
      <c r="B932" s="147"/>
      <c r="C932" s="147"/>
      <c r="D932" s="147"/>
      <c r="E932" s="147"/>
      <c r="F932" s="147"/>
      <c r="G932" s="147"/>
      <c r="H932" s="147"/>
      <c r="I932" s="147"/>
      <c r="J932" s="147"/>
      <c r="K932" s="147"/>
    </row>
    <row r="933">
      <c r="A933" s="147"/>
      <c r="B933" s="147"/>
      <c r="C933" s="147"/>
      <c r="D933" s="147"/>
      <c r="E933" s="147"/>
      <c r="F933" s="147"/>
      <c r="G933" s="147"/>
      <c r="H933" s="147"/>
      <c r="I933" s="147"/>
      <c r="J933" s="147"/>
      <c r="K933" s="147"/>
    </row>
    <row r="934">
      <c r="A934" s="147"/>
      <c r="B934" s="147"/>
      <c r="C934" s="147"/>
      <c r="D934" s="147"/>
      <c r="E934" s="147"/>
      <c r="F934" s="147"/>
      <c r="G934" s="147"/>
      <c r="H934" s="147"/>
      <c r="I934" s="147"/>
      <c r="J934" s="147"/>
      <c r="K934" s="147"/>
    </row>
    <row r="935">
      <c r="A935" s="147"/>
      <c r="B935" s="147"/>
      <c r="C935" s="147"/>
      <c r="D935" s="147"/>
      <c r="E935" s="147"/>
      <c r="F935" s="147"/>
      <c r="G935" s="147"/>
      <c r="H935" s="147"/>
      <c r="I935" s="147"/>
      <c r="J935" s="147"/>
      <c r="K935" s="147"/>
    </row>
    <row r="936">
      <c r="A936" s="147"/>
      <c r="B936" s="147"/>
      <c r="C936" s="147"/>
      <c r="D936" s="147"/>
      <c r="E936" s="147"/>
      <c r="F936" s="147"/>
      <c r="G936" s="147"/>
      <c r="H936" s="147"/>
      <c r="I936" s="147"/>
      <c r="J936" s="147"/>
      <c r="K936" s="147"/>
    </row>
    <row r="937">
      <c r="A937" s="147"/>
      <c r="B937" s="147"/>
      <c r="C937" s="147"/>
      <c r="D937" s="147"/>
      <c r="E937" s="147"/>
      <c r="F937" s="147"/>
      <c r="G937" s="147"/>
      <c r="H937" s="147"/>
      <c r="I937" s="147"/>
      <c r="J937" s="147"/>
      <c r="K937" s="147"/>
    </row>
    <row r="938">
      <c r="A938" s="147"/>
      <c r="B938" s="147"/>
      <c r="C938" s="147"/>
      <c r="D938" s="147"/>
      <c r="E938" s="147"/>
      <c r="F938" s="147"/>
      <c r="G938" s="147"/>
      <c r="H938" s="147"/>
      <c r="I938" s="147"/>
      <c r="J938" s="147"/>
      <c r="K938" s="147"/>
    </row>
    <row r="939">
      <c r="A939" s="147"/>
      <c r="B939" s="147"/>
      <c r="C939" s="147"/>
      <c r="D939" s="147"/>
      <c r="E939" s="147"/>
      <c r="F939" s="147"/>
      <c r="G939" s="147"/>
      <c r="H939" s="147"/>
      <c r="I939" s="147"/>
      <c r="J939" s="147"/>
      <c r="K939" s="147"/>
    </row>
    <row r="940">
      <c r="A940" s="147"/>
      <c r="B940" s="147"/>
      <c r="C940" s="147"/>
      <c r="D940" s="147"/>
      <c r="E940" s="147"/>
      <c r="F940" s="147"/>
      <c r="G940" s="147"/>
      <c r="H940" s="147"/>
      <c r="I940" s="147"/>
      <c r="J940" s="147"/>
      <c r="K940" s="147"/>
    </row>
    <row r="941">
      <c r="A941" s="147"/>
      <c r="B941" s="147"/>
      <c r="C941" s="147"/>
      <c r="D941" s="147"/>
      <c r="E941" s="147"/>
      <c r="F941" s="147"/>
      <c r="G941" s="147"/>
      <c r="H941" s="147"/>
      <c r="I941" s="147"/>
      <c r="J941" s="147"/>
      <c r="K941" s="147"/>
    </row>
    <row r="942">
      <c r="A942" s="147"/>
      <c r="B942" s="147"/>
      <c r="C942" s="147"/>
      <c r="D942" s="147"/>
      <c r="E942" s="147"/>
      <c r="F942" s="147"/>
      <c r="G942" s="147"/>
      <c r="H942" s="147"/>
      <c r="I942" s="147"/>
      <c r="J942" s="147"/>
      <c r="K942" s="147"/>
    </row>
    <row r="943">
      <c r="A943" s="147"/>
      <c r="B943" s="147"/>
      <c r="C943" s="147"/>
      <c r="D943" s="147"/>
      <c r="E943" s="147"/>
      <c r="F943" s="147"/>
      <c r="G943" s="147"/>
      <c r="H943" s="147"/>
      <c r="I943" s="147"/>
      <c r="J943" s="147"/>
      <c r="K943" s="147"/>
    </row>
    <row r="944">
      <c r="A944" s="147"/>
      <c r="B944" s="147"/>
      <c r="C944" s="147"/>
      <c r="D944" s="147"/>
      <c r="E944" s="147"/>
      <c r="F944" s="147"/>
      <c r="G944" s="147"/>
      <c r="H944" s="147"/>
      <c r="I944" s="147"/>
      <c r="J944" s="147"/>
      <c r="K944" s="147"/>
    </row>
    <row r="945">
      <c r="A945" s="147"/>
      <c r="B945" s="147"/>
      <c r="C945" s="147"/>
      <c r="D945" s="147"/>
      <c r="E945" s="147"/>
      <c r="F945" s="147"/>
      <c r="G945" s="147"/>
      <c r="H945" s="147"/>
      <c r="I945" s="147"/>
      <c r="J945" s="147"/>
      <c r="K945" s="147"/>
    </row>
    <row r="946">
      <c r="A946" s="147"/>
      <c r="B946" s="147"/>
      <c r="C946" s="147"/>
      <c r="D946" s="147"/>
      <c r="E946" s="147"/>
      <c r="F946" s="147"/>
      <c r="G946" s="147"/>
      <c r="H946" s="147"/>
      <c r="I946" s="147"/>
      <c r="J946" s="147"/>
      <c r="K946" s="147"/>
    </row>
    <row r="947">
      <c r="A947" s="147"/>
      <c r="B947" s="147"/>
      <c r="C947" s="147"/>
      <c r="D947" s="147"/>
      <c r="E947" s="147"/>
      <c r="F947" s="147"/>
      <c r="G947" s="147"/>
      <c r="H947" s="147"/>
      <c r="I947" s="147"/>
      <c r="J947" s="147"/>
      <c r="K947" s="147"/>
    </row>
    <row r="948">
      <c r="A948" s="147"/>
      <c r="B948" s="147"/>
      <c r="C948" s="147"/>
      <c r="D948" s="147"/>
      <c r="E948" s="147"/>
      <c r="F948" s="147"/>
      <c r="G948" s="147"/>
      <c r="H948" s="147"/>
      <c r="I948" s="147"/>
      <c r="J948" s="147"/>
      <c r="K948" s="147"/>
    </row>
    <row r="949">
      <c r="A949" s="147"/>
      <c r="B949" s="147"/>
      <c r="C949" s="147"/>
      <c r="D949" s="147"/>
      <c r="E949" s="147"/>
      <c r="F949" s="147"/>
      <c r="G949" s="147"/>
      <c r="H949" s="147"/>
      <c r="I949" s="147"/>
      <c r="J949" s="147"/>
      <c r="K949" s="147"/>
    </row>
    <row r="950">
      <c r="A950" s="147"/>
      <c r="B950" s="147"/>
      <c r="C950" s="147"/>
      <c r="D950" s="147"/>
      <c r="E950" s="147"/>
      <c r="F950" s="147"/>
      <c r="G950" s="147"/>
      <c r="H950" s="147"/>
      <c r="I950" s="147"/>
      <c r="J950" s="147"/>
      <c r="K950" s="147"/>
    </row>
    <row r="951">
      <c r="A951" s="147"/>
      <c r="B951" s="147"/>
      <c r="C951" s="147"/>
      <c r="D951" s="147"/>
      <c r="E951" s="147"/>
      <c r="F951" s="147"/>
      <c r="G951" s="147"/>
      <c r="H951" s="147"/>
      <c r="I951" s="147"/>
      <c r="J951" s="147"/>
      <c r="K951" s="147"/>
    </row>
    <row r="952">
      <c r="A952" s="147"/>
      <c r="B952" s="147"/>
      <c r="C952" s="147"/>
      <c r="D952" s="147"/>
      <c r="E952" s="147"/>
      <c r="F952" s="147"/>
      <c r="G952" s="147"/>
      <c r="H952" s="147"/>
      <c r="I952" s="147"/>
      <c r="J952" s="147"/>
      <c r="K952" s="147"/>
    </row>
    <row r="953">
      <c r="A953" s="147"/>
      <c r="B953" s="147"/>
      <c r="C953" s="147"/>
      <c r="D953" s="147"/>
      <c r="E953" s="147"/>
      <c r="F953" s="147"/>
      <c r="G953" s="147"/>
      <c r="H953" s="147"/>
      <c r="I953" s="147"/>
      <c r="J953" s="147"/>
      <c r="K953" s="147"/>
    </row>
    <row r="954">
      <c r="A954" s="147"/>
      <c r="B954" s="147"/>
      <c r="C954" s="147"/>
      <c r="D954" s="147"/>
      <c r="E954" s="147"/>
      <c r="F954" s="147"/>
      <c r="G954" s="147"/>
      <c r="H954" s="147"/>
      <c r="I954" s="147"/>
      <c r="J954" s="147"/>
      <c r="K954" s="147"/>
    </row>
    <row r="955">
      <c r="A955" s="147"/>
      <c r="B955" s="147"/>
      <c r="C955" s="147"/>
      <c r="D955" s="147"/>
      <c r="E955" s="147"/>
      <c r="F955" s="147"/>
      <c r="G955" s="147"/>
      <c r="H955" s="147"/>
      <c r="I955" s="147"/>
      <c r="J955" s="147"/>
      <c r="K955" s="147"/>
    </row>
    <row r="956">
      <c r="A956" s="147"/>
      <c r="B956" s="147"/>
      <c r="C956" s="147"/>
      <c r="D956" s="147"/>
      <c r="E956" s="147"/>
      <c r="F956" s="147"/>
      <c r="G956" s="147"/>
      <c r="H956" s="147"/>
      <c r="I956" s="147"/>
      <c r="J956" s="147"/>
      <c r="K956" s="147"/>
    </row>
    <row r="957">
      <c r="A957" s="147"/>
      <c r="B957" s="147"/>
      <c r="C957" s="147"/>
      <c r="D957" s="147"/>
      <c r="E957" s="147"/>
      <c r="F957" s="147"/>
      <c r="G957" s="147"/>
      <c r="H957" s="147"/>
      <c r="I957" s="147"/>
      <c r="J957" s="147"/>
      <c r="K957" s="147"/>
    </row>
    <row r="958">
      <c r="A958" s="147"/>
      <c r="B958" s="147"/>
      <c r="C958" s="147"/>
      <c r="D958" s="147"/>
      <c r="E958" s="147"/>
      <c r="F958" s="147"/>
      <c r="G958" s="147"/>
      <c r="H958" s="147"/>
      <c r="I958" s="147"/>
      <c r="J958" s="147"/>
      <c r="K958" s="147"/>
    </row>
    <row r="959">
      <c r="A959" s="147"/>
      <c r="B959" s="147"/>
      <c r="C959" s="147"/>
      <c r="D959" s="147"/>
      <c r="E959" s="147"/>
      <c r="F959" s="147"/>
      <c r="G959" s="147"/>
      <c r="H959" s="147"/>
      <c r="I959" s="147"/>
      <c r="J959" s="147"/>
      <c r="K959" s="147"/>
    </row>
    <row r="960">
      <c r="A960" s="147"/>
      <c r="B960" s="147"/>
      <c r="C960" s="147"/>
      <c r="D960" s="147"/>
      <c r="E960" s="147"/>
      <c r="F960" s="147"/>
      <c r="G960" s="147"/>
      <c r="H960" s="147"/>
      <c r="I960" s="147"/>
      <c r="J960" s="147"/>
      <c r="K960" s="147"/>
    </row>
    <row r="961">
      <c r="A961" s="147"/>
      <c r="B961" s="147"/>
      <c r="C961" s="147"/>
      <c r="D961" s="147"/>
      <c r="E961" s="147"/>
      <c r="F961" s="147"/>
      <c r="G961" s="147"/>
      <c r="H961" s="147"/>
      <c r="I961" s="147"/>
      <c r="J961" s="147"/>
      <c r="K961" s="147"/>
    </row>
    <row r="962">
      <c r="A962" s="147"/>
      <c r="B962" s="147"/>
      <c r="C962" s="147"/>
      <c r="D962" s="147"/>
      <c r="E962" s="147"/>
      <c r="F962" s="147"/>
      <c r="G962" s="147"/>
      <c r="H962" s="147"/>
      <c r="I962" s="147"/>
      <c r="J962" s="147"/>
      <c r="K962" s="147"/>
    </row>
    <row r="963">
      <c r="A963" s="147"/>
      <c r="B963" s="147"/>
      <c r="C963" s="147"/>
      <c r="D963" s="147"/>
      <c r="E963" s="147"/>
      <c r="F963" s="147"/>
      <c r="G963" s="147"/>
      <c r="H963" s="147"/>
      <c r="I963" s="147"/>
      <c r="J963" s="147"/>
      <c r="K963" s="147"/>
    </row>
    <row r="964">
      <c r="A964" s="147"/>
      <c r="B964" s="147"/>
      <c r="C964" s="147"/>
      <c r="D964" s="147"/>
      <c r="E964" s="147"/>
      <c r="F964" s="147"/>
      <c r="G964" s="147"/>
      <c r="H964" s="147"/>
      <c r="I964" s="147"/>
      <c r="J964" s="147"/>
      <c r="K964" s="147"/>
    </row>
    <row r="965">
      <c r="A965" s="147"/>
      <c r="B965" s="147"/>
      <c r="C965" s="147"/>
      <c r="D965" s="147"/>
      <c r="E965" s="147"/>
      <c r="F965" s="147"/>
      <c r="G965" s="147"/>
      <c r="H965" s="147"/>
      <c r="I965" s="147"/>
      <c r="J965" s="147"/>
      <c r="K965" s="147"/>
    </row>
    <row r="966">
      <c r="A966" s="147"/>
      <c r="B966" s="147"/>
      <c r="C966" s="147"/>
      <c r="D966" s="147"/>
      <c r="E966" s="147"/>
      <c r="F966" s="147"/>
      <c r="G966" s="147"/>
      <c r="H966" s="147"/>
      <c r="I966" s="147"/>
      <c r="J966" s="147"/>
      <c r="K966" s="147"/>
    </row>
    <row r="967">
      <c r="A967" s="147"/>
      <c r="B967" s="147"/>
      <c r="C967" s="147"/>
      <c r="D967" s="147"/>
      <c r="E967" s="147"/>
      <c r="F967" s="147"/>
      <c r="G967" s="147"/>
      <c r="H967" s="147"/>
      <c r="I967" s="147"/>
      <c r="J967" s="147"/>
      <c r="K967" s="147"/>
    </row>
    <row r="968">
      <c r="A968" s="147"/>
      <c r="B968" s="147"/>
      <c r="C968" s="147"/>
      <c r="D968" s="147"/>
      <c r="E968" s="147"/>
      <c r="F968" s="147"/>
      <c r="G968" s="147"/>
      <c r="H968" s="147"/>
      <c r="I968" s="147"/>
      <c r="J968" s="147"/>
      <c r="K968" s="147"/>
    </row>
    <row r="969">
      <c r="A969" s="147"/>
      <c r="B969" s="147"/>
      <c r="C969" s="147"/>
      <c r="D969" s="147"/>
      <c r="E969" s="147"/>
      <c r="F969" s="147"/>
      <c r="G969" s="147"/>
      <c r="H969" s="147"/>
      <c r="I969" s="147"/>
      <c r="J969" s="147"/>
      <c r="K969" s="147"/>
    </row>
    <row r="970">
      <c r="A970" s="147"/>
      <c r="B970" s="147"/>
      <c r="C970" s="147"/>
      <c r="D970" s="147"/>
      <c r="E970" s="147"/>
      <c r="F970" s="147"/>
      <c r="G970" s="147"/>
      <c r="H970" s="147"/>
      <c r="I970" s="147"/>
      <c r="J970" s="147"/>
      <c r="K970" s="147"/>
    </row>
    <row r="971">
      <c r="A971" s="147"/>
      <c r="B971" s="147"/>
      <c r="C971" s="147"/>
      <c r="D971" s="147"/>
      <c r="E971" s="147"/>
      <c r="F971" s="147"/>
      <c r="G971" s="147"/>
      <c r="H971" s="147"/>
      <c r="I971" s="147"/>
      <c r="J971" s="147"/>
      <c r="K971" s="147"/>
    </row>
    <row r="972">
      <c r="A972" s="147"/>
      <c r="B972" s="147"/>
      <c r="C972" s="147"/>
      <c r="D972" s="147"/>
      <c r="E972" s="147"/>
      <c r="F972" s="147"/>
      <c r="G972" s="147"/>
      <c r="H972" s="147"/>
      <c r="I972" s="147"/>
      <c r="J972" s="147"/>
      <c r="K972" s="147"/>
    </row>
    <row r="973">
      <c r="A973" s="147"/>
      <c r="B973" s="147"/>
      <c r="C973" s="147"/>
      <c r="D973" s="147"/>
      <c r="E973" s="147"/>
      <c r="F973" s="147"/>
      <c r="G973" s="147"/>
      <c r="H973" s="147"/>
      <c r="I973" s="147"/>
      <c r="J973" s="147"/>
      <c r="K973" s="147"/>
    </row>
    <row r="974">
      <c r="A974" s="147"/>
      <c r="B974" s="147"/>
      <c r="C974" s="147"/>
      <c r="D974" s="147"/>
      <c r="E974" s="147"/>
      <c r="F974" s="147"/>
      <c r="G974" s="147"/>
      <c r="H974" s="147"/>
      <c r="I974" s="147"/>
      <c r="J974" s="147"/>
      <c r="K974" s="147"/>
    </row>
    <row r="975">
      <c r="A975" s="147"/>
      <c r="B975" s="147"/>
      <c r="C975" s="147"/>
      <c r="D975" s="147"/>
      <c r="E975" s="147"/>
      <c r="F975" s="147"/>
      <c r="G975" s="147"/>
      <c r="H975" s="147"/>
      <c r="I975" s="147"/>
      <c r="J975" s="147"/>
      <c r="K975" s="147"/>
    </row>
    <row r="976">
      <c r="A976" s="147"/>
      <c r="B976" s="147"/>
      <c r="C976" s="147"/>
      <c r="D976" s="147"/>
      <c r="E976" s="147"/>
      <c r="F976" s="147"/>
      <c r="G976" s="147"/>
      <c r="H976" s="147"/>
      <c r="I976" s="147"/>
      <c r="J976" s="147"/>
      <c r="K976" s="147"/>
    </row>
    <row r="977">
      <c r="A977" s="147"/>
      <c r="B977" s="147"/>
      <c r="C977" s="147"/>
      <c r="D977" s="147"/>
      <c r="E977" s="147"/>
      <c r="F977" s="147"/>
      <c r="G977" s="147"/>
      <c r="H977" s="147"/>
      <c r="I977" s="147"/>
      <c r="J977" s="147"/>
      <c r="K977" s="147"/>
    </row>
    <row r="978">
      <c r="A978" s="147"/>
      <c r="B978" s="147"/>
      <c r="C978" s="147"/>
      <c r="D978" s="147"/>
      <c r="E978" s="147"/>
      <c r="F978" s="147"/>
      <c r="G978" s="147"/>
      <c r="H978" s="147"/>
      <c r="I978" s="147"/>
      <c r="J978" s="147"/>
      <c r="K978" s="147"/>
    </row>
    <row r="979">
      <c r="A979" s="147"/>
      <c r="B979" s="147"/>
      <c r="C979" s="147"/>
      <c r="D979" s="147"/>
      <c r="E979" s="147"/>
      <c r="F979" s="147"/>
      <c r="G979" s="147"/>
      <c r="H979" s="147"/>
      <c r="I979" s="147"/>
      <c r="J979" s="147"/>
      <c r="K979" s="147"/>
    </row>
    <row r="980">
      <c r="A980" s="147"/>
      <c r="B980" s="147"/>
      <c r="C980" s="147"/>
      <c r="D980" s="147"/>
      <c r="E980" s="147"/>
      <c r="F980" s="147"/>
      <c r="G980" s="147"/>
      <c r="H980" s="147"/>
      <c r="I980" s="147"/>
      <c r="J980" s="147"/>
      <c r="K980" s="147"/>
    </row>
    <row r="981">
      <c r="A981" s="147"/>
      <c r="B981" s="147"/>
      <c r="C981" s="147"/>
      <c r="D981" s="147"/>
      <c r="E981" s="147"/>
      <c r="F981" s="147"/>
      <c r="G981" s="147"/>
      <c r="H981" s="147"/>
      <c r="I981" s="147"/>
      <c r="J981" s="147"/>
      <c r="K981" s="147"/>
    </row>
    <row r="982">
      <c r="A982" s="147"/>
      <c r="B982" s="147"/>
      <c r="C982" s="147"/>
      <c r="D982" s="147"/>
      <c r="E982" s="147"/>
      <c r="F982" s="147"/>
      <c r="G982" s="147"/>
      <c r="H982" s="147"/>
      <c r="I982" s="147"/>
      <c r="J982" s="147"/>
      <c r="K982" s="147"/>
    </row>
    <row r="983">
      <c r="A983" s="147"/>
      <c r="B983" s="147"/>
      <c r="C983" s="147"/>
      <c r="D983" s="147"/>
      <c r="E983" s="147"/>
      <c r="F983" s="147"/>
      <c r="G983" s="147"/>
      <c r="H983" s="147"/>
      <c r="I983" s="147"/>
      <c r="J983" s="147"/>
      <c r="K983" s="147"/>
    </row>
    <row r="984">
      <c r="A984" s="147"/>
      <c r="B984" s="147"/>
      <c r="C984" s="147"/>
      <c r="D984" s="147"/>
      <c r="E984" s="147"/>
      <c r="F984" s="147"/>
      <c r="G984" s="147"/>
      <c r="H984" s="147"/>
      <c r="I984" s="147"/>
      <c r="J984" s="147"/>
      <c r="K984" s="147"/>
    </row>
    <row r="985">
      <c r="A985" s="147"/>
      <c r="B985" s="147"/>
      <c r="C985" s="147"/>
      <c r="D985" s="147"/>
      <c r="E985" s="147"/>
      <c r="F985" s="147"/>
      <c r="G985" s="147"/>
      <c r="H985" s="147"/>
      <c r="I985" s="147"/>
      <c r="J985" s="147"/>
      <c r="K985" s="147"/>
    </row>
    <row r="986">
      <c r="A986" s="147"/>
      <c r="B986" s="147"/>
      <c r="C986" s="147"/>
      <c r="D986" s="147"/>
      <c r="E986" s="147"/>
      <c r="F986" s="147"/>
      <c r="G986" s="147"/>
      <c r="H986" s="147"/>
      <c r="I986" s="147"/>
      <c r="J986" s="147"/>
      <c r="K986" s="147"/>
    </row>
    <row r="987">
      <c r="A987" s="147"/>
      <c r="B987" s="147"/>
      <c r="C987" s="147"/>
      <c r="D987" s="147"/>
      <c r="E987" s="147"/>
      <c r="F987" s="147"/>
      <c r="G987" s="147"/>
      <c r="H987" s="147"/>
      <c r="I987" s="147"/>
      <c r="J987" s="147"/>
      <c r="K987" s="147"/>
    </row>
    <row r="988">
      <c r="A988" s="147"/>
      <c r="B988" s="147"/>
      <c r="C988" s="147"/>
      <c r="D988" s="147"/>
      <c r="E988" s="147"/>
      <c r="F988" s="147"/>
      <c r="G988" s="147"/>
      <c r="H988" s="147"/>
      <c r="I988" s="147"/>
      <c r="J988" s="147"/>
      <c r="K988" s="147"/>
    </row>
    <row r="989">
      <c r="A989" s="147"/>
      <c r="B989" s="147"/>
      <c r="C989" s="147"/>
      <c r="D989" s="147"/>
      <c r="E989" s="147"/>
      <c r="F989" s="147"/>
      <c r="G989" s="147"/>
      <c r="H989" s="147"/>
      <c r="I989" s="147"/>
      <c r="J989" s="147"/>
      <c r="K989" s="147"/>
    </row>
    <row r="990">
      <c r="A990" s="147"/>
      <c r="B990" s="147"/>
      <c r="C990" s="147"/>
      <c r="D990" s="147"/>
      <c r="E990" s="147"/>
      <c r="F990" s="147"/>
      <c r="G990" s="147"/>
      <c r="H990" s="147"/>
      <c r="I990" s="147"/>
      <c r="J990" s="147"/>
      <c r="K990" s="147"/>
    </row>
    <row r="991">
      <c r="A991" s="147"/>
      <c r="B991" s="147"/>
      <c r="C991" s="147"/>
      <c r="D991" s="147"/>
      <c r="E991" s="147"/>
      <c r="F991" s="147"/>
      <c r="G991" s="147"/>
      <c r="H991" s="147"/>
      <c r="I991" s="147"/>
      <c r="J991" s="147"/>
      <c r="K991" s="147"/>
    </row>
    <row r="992">
      <c r="A992" s="147"/>
      <c r="B992" s="147"/>
      <c r="C992" s="147"/>
      <c r="D992" s="147"/>
      <c r="E992" s="147"/>
      <c r="F992" s="147"/>
      <c r="G992" s="147"/>
      <c r="H992" s="147"/>
      <c r="I992" s="147"/>
      <c r="J992" s="147"/>
      <c r="K992" s="147"/>
    </row>
    <row r="993">
      <c r="A993" s="147"/>
      <c r="B993" s="147"/>
      <c r="C993" s="147"/>
      <c r="D993" s="147"/>
      <c r="E993" s="147"/>
      <c r="F993" s="147"/>
      <c r="G993" s="147"/>
      <c r="H993" s="147"/>
      <c r="I993" s="147"/>
      <c r="J993" s="147"/>
      <c r="K993" s="147"/>
    </row>
    <row r="994">
      <c r="A994" s="147"/>
      <c r="B994" s="147"/>
      <c r="C994" s="147"/>
      <c r="D994" s="147"/>
      <c r="E994" s="147"/>
      <c r="F994" s="147"/>
      <c r="G994" s="147"/>
      <c r="H994" s="147"/>
      <c r="I994" s="147"/>
      <c r="J994" s="147"/>
      <c r="K994" s="147"/>
    </row>
    <row r="995">
      <c r="A995" s="147"/>
      <c r="B995" s="147"/>
      <c r="C995" s="147"/>
      <c r="D995" s="147"/>
      <c r="E995" s="147"/>
      <c r="F995" s="147"/>
      <c r="G995" s="147"/>
      <c r="H995" s="147"/>
      <c r="I995" s="147"/>
      <c r="J995" s="147"/>
      <c r="K995" s="147"/>
    </row>
    <row r="996">
      <c r="A996" s="147"/>
      <c r="B996" s="147"/>
      <c r="C996" s="147"/>
      <c r="D996" s="147"/>
      <c r="E996" s="147"/>
      <c r="F996" s="147"/>
      <c r="G996" s="147"/>
      <c r="H996" s="147"/>
      <c r="I996" s="147"/>
      <c r="J996" s="147"/>
      <c r="K996" s="147"/>
    </row>
    <row r="997">
      <c r="A997" s="147"/>
      <c r="B997" s="147"/>
      <c r="C997" s="147"/>
      <c r="D997" s="147"/>
      <c r="E997" s="147"/>
      <c r="F997" s="147"/>
      <c r="G997" s="147"/>
      <c r="H997" s="147"/>
      <c r="I997" s="147"/>
      <c r="J997" s="147"/>
      <c r="K997" s="147"/>
    </row>
    <row r="998">
      <c r="A998" s="147"/>
      <c r="B998" s="147"/>
      <c r="C998" s="147"/>
      <c r="D998" s="147"/>
      <c r="E998" s="147"/>
      <c r="F998" s="147"/>
      <c r="G998" s="147"/>
      <c r="H998" s="147"/>
      <c r="I998" s="147"/>
      <c r="J998" s="147"/>
      <c r="K998" s="147"/>
    </row>
    <row r="999">
      <c r="A999" s="147"/>
      <c r="B999" s="147"/>
      <c r="C999" s="147"/>
      <c r="D999" s="147"/>
      <c r="E999" s="147"/>
      <c r="F999" s="147"/>
      <c r="G999" s="147"/>
      <c r="H999" s="147"/>
      <c r="I999" s="147"/>
      <c r="J999" s="147"/>
      <c r="K999" s="147"/>
    </row>
    <row r="1000">
      <c r="A1000" s="147"/>
      <c r="B1000" s="147"/>
      <c r="C1000" s="147"/>
      <c r="D1000" s="147"/>
      <c r="E1000" s="147"/>
      <c r="F1000" s="147"/>
      <c r="G1000" s="147"/>
      <c r="H1000" s="147"/>
      <c r="I1000" s="147"/>
      <c r="J1000" s="147"/>
      <c r="K1000" s="147"/>
    </row>
    <row r="1001">
      <c r="A1001" s="147"/>
      <c r="B1001" s="147"/>
      <c r="C1001" s="147"/>
      <c r="D1001" s="147"/>
      <c r="E1001" s="147"/>
      <c r="F1001" s="147"/>
      <c r="G1001" s="147"/>
      <c r="H1001" s="147"/>
      <c r="I1001" s="147"/>
      <c r="J1001" s="147"/>
      <c r="K1001" s="147"/>
    </row>
    <row r="1002">
      <c r="A1002" s="147"/>
      <c r="B1002" s="147"/>
      <c r="C1002" s="147"/>
      <c r="D1002" s="147"/>
      <c r="E1002" s="147"/>
      <c r="F1002" s="147"/>
      <c r="G1002" s="147"/>
      <c r="H1002" s="147"/>
      <c r="I1002" s="147"/>
      <c r="J1002" s="147"/>
      <c r="K1002" s="147"/>
    </row>
    <row r="1003">
      <c r="A1003" s="147"/>
      <c r="B1003" s="147"/>
      <c r="C1003" s="147"/>
      <c r="D1003" s="147"/>
      <c r="E1003" s="147"/>
      <c r="F1003" s="147"/>
      <c r="G1003" s="147"/>
      <c r="H1003" s="147"/>
      <c r="I1003" s="147"/>
      <c r="J1003" s="147"/>
      <c r="K1003" s="147"/>
    </row>
    <row r="1004">
      <c r="A1004" s="147"/>
      <c r="B1004" s="147"/>
      <c r="C1004" s="147"/>
      <c r="D1004" s="147"/>
      <c r="E1004" s="147"/>
      <c r="F1004" s="147"/>
      <c r="G1004" s="147"/>
      <c r="H1004" s="147"/>
      <c r="I1004" s="147"/>
      <c r="J1004" s="147"/>
      <c r="K1004" s="147"/>
    </row>
    <row r="1005">
      <c r="A1005" s="147"/>
      <c r="B1005" s="147"/>
      <c r="C1005" s="147"/>
      <c r="D1005" s="147"/>
      <c r="E1005" s="147"/>
      <c r="F1005" s="147"/>
      <c r="G1005" s="147"/>
      <c r="H1005" s="147"/>
      <c r="I1005" s="147"/>
      <c r="J1005" s="147"/>
      <c r="K1005" s="147"/>
    </row>
    <row r="1006">
      <c r="A1006" s="147"/>
      <c r="B1006" s="147"/>
      <c r="C1006" s="147"/>
      <c r="D1006" s="147"/>
      <c r="E1006" s="147"/>
      <c r="F1006" s="147"/>
      <c r="G1006" s="147"/>
      <c r="H1006" s="147"/>
      <c r="I1006" s="147"/>
      <c r="J1006" s="147"/>
      <c r="K1006" s="147"/>
    </row>
    <row r="1007">
      <c r="A1007" s="147"/>
      <c r="B1007" s="147"/>
      <c r="C1007" s="147"/>
      <c r="D1007" s="147"/>
      <c r="E1007" s="147"/>
      <c r="F1007" s="147"/>
      <c r="G1007" s="147"/>
      <c r="H1007" s="147"/>
      <c r="I1007" s="147"/>
      <c r="J1007" s="147"/>
      <c r="K1007" s="147"/>
    </row>
    <row r="1008">
      <c r="A1008" s="147"/>
      <c r="B1008" s="147"/>
      <c r="C1008" s="147"/>
      <c r="D1008" s="147"/>
      <c r="E1008" s="147"/>
      <c r="F1008" s="147"/>
      <c r="G1008" s="147"/>
      <c r="H1008" s="147"/>
      <c r="I1008" s="147"/>
      <c r="J1008" s="147"/>
      <c r="K1008" s="147"/>
    </row>
    <row r="1009">
      <c r="A1009" s="147"/>
      <c r="B1009" s="147"/>
      <c r="C1009" s="147"/>
      <c r="D1009" s="147"/>
      <c r="E1009" s="147"/>
      <c r="F1009" s="147"/>
      <c r="G1009" s="147"/>
      <c r="H1009" s="147"/>
      <c r="I1009" s="147"/>
      <c r="J1009" s="147"/>
      <c r="K1009" s="147"/>
    </row>
    <row r="1010">
      <c r="A1010" s="147"/>
      <c r="B1010" s="147"/>
      <c r="C1010" s="147"/>
      <c r="D1010" s="147"/>
      <c r="E1010" s="147"/>
      <c r="F1010" s="147"/>
      <c r="G1010" s="147"/>
      <c r="H1010" s="147"/>
      <c r="I1010" s="147"/>
      <c r="J1010" s="147"/>
      <c r="K1010" s="147"/>
    </row>
    <row r="1011">
      <c r="A1011" s="147"/>
      <c r="B1011" s="147"/>
      <c r="C1011" s="147"/>
      <c r="D1011" s="147"/>
      <c r="E1011" s="147"/>
      <c r="F1011" s="147"/>
      <c r="G1011" s="147"/>
      <c r="H1011" s="147"/>
      <c r="I1011" s="147"/>
      <c r="J1011" s="147"/>
      <c r="K1011" s="147"/>
    </row>
    <row r="1012">
      <c r="A1012" s="147"/>
      <c r="B1012" s="147"/>
      <c r="C1012" s="147"/>
      <c r="D1012" s="147"/>
      <c r="E1012" s="147"/>
      <c r="F1012" s="147"/>
      <c r="G1012" s="147"/>
      <c r="H1012" s="147"/>
      <c r="I1012" s="147"/>
      <c r="J1012" s="147"/>
      <c r="K1012" s="147"/>
    </row>
    <row r="1013">
      <c r="A1013" s="147"/>
      <c r="B1013" s="147"/>
      <c r="C1013" s="147"/>
      <c r="D1013" s="147"/>
      <c r="E1013" s="147"/>
      <c r="F1013" s="147"/>
      <c r="G1013" s="147"/>
      <c r="H1013" s="147"/>
      <c r="I1013" s="147"/>
      <c r="J1013" s="147"/>
      <c r="K1013" s="147"/>
    </row>
    <row r="1014">
      <c r="A1014" s="147"/>
      <c r="B1014" s="147"/>
      <c r="C1014" s="147"/>
      <c r="D1014" s="147"/>
      <c r="E1014" s="147"/>
      <c r="F1014" s="147"/>
      <c r="G1014" s="147"/>
      <c r="H1014" s="147"/>
      <c r="I1014" s="147"/>
      <c r="J1014" s="147"/>
      <c r="K1014" s="147"/>
    </row>
    <row r="1015">
      <c r="A1015" s="147"/>
      <c r="B1015" s="147"/>
      <c r="C1015" s="147"/>
      <c r="D1015" s="147"/>
      <c r="E1015" s="147"/>
      <c r="F1015" s="147"/>
      <c r="G1015" s="147"/>
      <c r="H1015" s="147"/>
      <c r="I1015" s="147"/>
      <c r="J1015" s="147"/>
      <c r="K1015" s="147"/>
    </row>
    <row r="1016">
      <c r="A1016" s="147"/>
      <c r="B1016" s="147"/>
      <c r="C1016" s="147"/>
      <c r="D1016" s="147"/>
      <c r="E1016" s="147"/>
      <c r="F1016" s="147"/>
      <c r="G1016" s="147"/>
      <c r="H1016" s="147"/>
      <c r="I1016" s="147"/>
      <c r="J1016" s="147"/>
      <c r="K1016" s="147"/>
    </row>
    <row r="1017">
      <c r="A1017" s="147"/>
      <c r="B1017" s="147"/>
      <c r="C1017" s="147"/>
      <c r="D1017" s="147"/>
      <c r="E1017" s="147"/>
      <c r="F1017" s="147"/>
      <c r="G1017" s="147"/>
      <c r="H1017" s="147"/>
      <c r="I1017" s="147"/>
      <c r="J1017" s="147"/>
      <c r="K1017" s="147"/>
    </row>
    <row r="1018">
      <c r="A1018" s="147"/>
      <c r="B1018" s="147"/>
      <c r="C1018" s="147"/>
      <c r="D1018" s="147"/>
      <c r="E1018" s="147"/>
      <c r="F1018" s="147"/>
      <c r="G1018" s="147"/>
      <c r="H1018" s="147"/>
      <c r="I1018" s="147"/>
      <c r="J1018" s="147"/>
      <c r="K1018" s="147"/>
    </row>
    <row r="1019">
      <c r="A1019" s="147"/>
      <c r="B1019" s="147"/>
      <c r="C1019" s="147"/>
      <c r="D1019" s="147"/>
      <c r="E1019" s="147"/>
      <c r="F1019" s="147"/>
      <c r="G1019" s="147"/>
      <c r="H1019" s="147"/>
      <c r="I1019" s="147"/>
      <c r="J1019" s="147"/>
      <c r="K1019" s="147"/>
    </row>
    <row r="1020">
      <c r="A1020" s="147"/>
      <c r="B1020" s="147"/>
      <c r="C1020" s="147"/>
      <c r="D1020" s="147"/>
      <c r="E1020" s="147"/>
      <c r="F1020" s="147"/>
      <c r="G1020" s="147"/>
      <c r="H1020" s="147"/>
      <c r="I1020" s="147"/>
      <c r="J1020" s="147"/>
      <c r="K1020" s="147"/>
    </row>
    <row r="1021">
      <c r="A1021" s="147"/>
      <c r="B1021" s="147"/>
      <c r="C1021" s="147"/>
      <c r="D1021" s="147"/>
      <c r="E1021" s="147"/>
      <c r="F1021" s="147"/>
      <c r="G1021" s="147"/>
      <c r="H1021" s="147"/>
      <c r="I1021" s="147"/>
      <c r="J1021" s="147"/>
      <c r="K1021" s="147"/>
    </row>
    <row r="1022">
      <c r="A1022" s="147"/>
      <c r="B1022" s="147"/>
      <c r="C1022" s="147"/>
      <c r="D1022" s="147"/>
      <c r="E1022" s="147"/>
      <c r="F1022" s="147"/>
      <c r="G1022" s="147"/>
      <c r="H1022" s="147"/>
      <c r="I1022" s="147"/>
      <c r="J1022" s="147"/>
      <c r="K1022" s="147"/>
    </row>
    <row r="1023">
      <c r="A1023" s="147"/>
      <c r="B1023" s="147"/>
      <c r="C1023" s="147"/>
      <c r="D1023" s="147"/>
      <c r="E1023" s="147"/>
      <c r="F1023" s="147"/>
      <c r="G1023" s="147"/>
      <c r="H1023" s="147"/>
      <c r="I1023" s="147"/>
      <c r="J1023" s="147"/>
      <c r="K1023" s="147"/>
    </row>
    <row r="1024">
      <c r="A1024" s="147"/>
      <c r="B1024" s="147"/>
      <c r="C1024" s="147"/>
      <c r="D1024" s="147"/>
      <c r="E1024" s="147"/>
      <c r="F1024" s="147"/>
      <c r="G1024" s="147"/>
      <c r="H1024" s="147"/>
      <c r="I1024" s="147"/>
      <c r="J1024" s="147"/>
      <c r="K1024" s="147"/>
    </row>
    <row r="1025">
      <c r="A1025" s="147"/>
      <c r="B1025" s="147"/>
      <c r="C1025" s="147"/>
      <c r="D1025" s="147"/>
      <c r="E1025" s="147"/>
      <c r="F1025" s="147"/>
      <c r="G1025" s="147"/>
      <c r="H1025" s="147"/>
      <c r="I1025" s="147"/>
      <c r="J1025" s="147"/>
      <c r="K1025" s="147"/>
    </row>
    <row r="1026">
      <c r="A1026" s="147"/>
      <c r="B1026" s="147"/>
      <c r="C1026" s="147"/>
      <c r="D1026" s="147"/>
      <c r="E1026" s="147"/>
      <c r="F1026" s="147"/>
      <c r="G1026" s="147"/>
      <c r="H1026" s="147"/>
      <c r="I1026" s="147"/>
      <c r="J1026" s="147"/>
      <c r="K1026" s="147"/>
    </row>
    <row r="1027">
      <c r="A1027" s="147"/>
      <c r="B1027" s="147"/>
      <c r="C1027" s="147"/>
      <c r="D1027" s="147"/>
      <c r="E1027" s="147"/>
      <c r="F1027" s="147"/>
      <c r="G1027" s="147"/>
      <c r="H1027" s="147"/>
      <c r="I1027" s="147"/>
      <c r="J1027" s="147"/>
      <c r="K1027" s="147"/>
    </row>
    <row r="1028">
      <c r="A1028" s="147"/>
      <c r="B1028" s="147"/>
      <c r="C1028" s="147"/>
      <c r="D1028" s="147"/>
      <c r="E1028" s="147"/>
      <c r="F1028" s="147"/>
      <c r="G1028" s="147"/>
      <c r="H1028" s="147"/>
      <c r="I1028" s="147"/>
      <c r="J1028" s="147"/>
      <c r="K1028" s="147"/>
    </row>
    <row r="1029">
      <c r="A1029" s="147"/>
      <c r="B1029" s="147"/>
      <c r="C1029" s="147"/>
      <c r="D1029" s="147"/>
      <c r="E1029" s="147"/>
      <c r="F1029" s="147"/>
      <c r="G1029" s="147"/>
      <c r="H1029" s="147"/>
      <c r="I1029" s="147"/>
      <c r="J1029" s="147"/>
      <c r="K1029" s="147"/>
    </row>
    <row r="1030">
      <c r="A1030" s="147"/>
      <c r="B1030" s="147"/>
      <c r="C1030" s="147"/>
      <c r="D1030" s="147"/>
      <c r="E1030" s="147"/>
      <c r="F1030" s="147"/>
      <c r="G1030" s="147"/>
      <c r="H1030" s="147"/>
      <c r="I1030" s="147"/>
      <c r="J1030" s="147"/>
      <c r="K1030" s="147"/>
    </row>
    <row r="1031">
      <c r="A1031" s="147"/>
      <c r="B1031" s="147"/>
      <c r="C1031" s="147"/>
      <c r="D1031" s="147"/>
      <c r="E1031" s="147"/>
      <c r="F1031" s="147"/>
      <c r="G1031" s="147"/>
      <c r="H1031" s="147"/>
      <c r="I1031" s="147"/>
      <c r="J1031" s="147"/>
      <c r="K1031" s="147"/>
    </row>
    <row r="1032">
      <c r="A1032" s="147"/>
      <c r="B1032" s="147"/>
      <c r="C1032" s="147"/>
      <c r="D1032" s="147"/>
      <c r="E1032" s="147"/>
      <c r="F1032" s="147"/>
      <c r="G1032" s="147"/>
      <c r="H1032" s="147"/>
      <c r="I1032" s="147"/>
      <c r="J1032" s="147"/>
      <c r="K1032" s="147"/>
    </row>
    <row r="1033">
      <c r="A1033" s="147"/>
      <c r="B1033" s="147"/>
      <c r="C1033" s="147"/>
      <c r="D1033" s="147"/>
      <c r="E1033" s="147"/>
      <c r="F1033" s="147"/>
      <c r="G1033" s="147"/>
      <c r="H1033" s="147"/>
      <c r="I1033" s="147"/>
      <c r="J1033" s="147"/>
      <c r="K1033" s="147"/>
    </row>
    <row r="1034">
      <c r="A1034" s="147"/>
      <c r="B1034" s="147"/>
      <c r="C1034" s="147"/>
      <c r="D1034" s="147"/>
      <c r="E1034" s="147"/>
      <c r="F1034" s="147"/>
      <c r="G1034" s="147"/>
      <c r="H1034" s="147"/>
      <c r="I1034" s="147"/>
      <c r="J1034" s="147"/>
      <c r="K1034" s="147"/>
    </row>
    <row r="1035">
      <c r="A1035" s="147"/>
      <c r="B1035" s="147"/>
      <c r="C1035" s="147"/>
      <c r="D1035" s="147"/>
      <c r="E1035" s="147"/>
      <c r="F1035" s="147"/>
      <c r="G1035" s="147"/>
      <c r="H1035" s="147"/>
      <c r="I1035" s="147"/>
      <c r="J1035" s="147"/>
      <c r="K1035" s="147"/>
    </row>
    <row r="1036">
      <c r="A1036" s="147"/>
      <c r="B1036" s="147"/>
      <c r="C1036" s="147"/>
      <c r="D1036" s="147"/>
      <c r="E1036" s="147"/>
      <c r="F1036" s="147"/>
      <c r="G1036" s="147"/>
      <c r="H1036" s="147"/>
      <c r="I1036" s="147"/>
      <c r="J1036" s="147"/>
      <c r="K1036" s="147"/>
    </row>
    <row r="1037">
      <c r="A1037" s="147"/>
      <c r="B1037" s="147"/>
      <c r="C1037" s="147"/>
      <c r="D1037" s="147"/>
      <c r="E1037" s="147"/>
      <c r="F1037" s="147"/>
      <c r="G1037" s="147"/>
      <c r="H1037" s="147"/>
      <c r="I1037" s="147"/>
      <c r="J1037" s="147"/>
      <c r="K1037" s="147"/>
    </row>
    <row r="1038">
      <c r="A1038" s="147"/>
      <c r="B1038" s="147"/>
      <c r="C1038" s="147"/>
      <c r="D1038" s="147"/>
      <c r="E1038" s="147"/>
      <c r="F1038" s="147"/>
      <c r="G1038" s="147"/>
      <c r="H1038" s="147"/>
      <c r="I1038" s="147"/>
      <c r="J1038" s="147"/>
      <c r="K1038" s="147"/>
    </row>
    <row r="1039">
      <c r="A1039" s="147"/>
      <c r="B1039" s="147"/>
      <c r="C1039" s="147"/>
      <c r="D1039" s="147"/>
      <c r="E1039" s="147"/>
      <c r="F1039" s="147"/>
      <c r="G1039" s="147"/>
      <c r="H1039" s="147"/>
      <c r="I1039" s="147"/>
      <c r="J1039" s="147"/>
      <c r="K1039" s="147"/>
    </row>
    <row r="1040">
      <c r="A1040" s="147"/>
      <c r="B1040" s="147"/>
      <c r="C1040" s="147"/>
      <c r="D1040" s="147"/>
      <c r="E1040" s="147"/>
      <c r="F1040" s="147"/>
      <c r="G1040" s="147"/>
      <c r="H1040" s="147"/>
      <c r="I1040" s="147"/>
      <c r="J1040" s="147"/>
      <c r="K1040" s="147"/>
    </row>
    <row r="1041">
      <c r="A1041" s="147"/>
      <c r="B1041" s="147"/>
      <c r="C1041" s="147"/>
      <c r="D1041" s="147"/>
      <c r="E1041" s="147"/>
      <c r="F1041" s="147"/>
      <c r="G1041" s="147"/>
      <c r="H1041" s="147"/>
      <c r="I1041" s="147"/>
      <c r="J1041" s="147"/>
      <c r="K1041" s="147"/>
    </row>
    <row r="1042">
      <c r="A1042" s="147"/>
      <c r="B1042" s="147"/>
      <c r="C1042" s="147"/>
      <c r="D1042" s="147"/>
      <c r="E1042" s="147"/>
      <c r="F1042" s="147"/>
      <c r="G1042" s="147"/>
      <c r="H1042" s="147"/>
      <c r="I1042" s="147"/>
      <c r="J1042" s="147"/>
      <c r="K1042" s="147"/>
    </row>
    <row r="1043">
      <c r="A1043" s="147"/>
      <c r="B1043" s="147"/>
      <c r="C1043" s="147"/>
      <c r="D1043" s="147"/>
      <c r="E1043" s="147"/>
      <c r="F1043" s="147"/>
      <c r="G1043" s="147"/>
      <c r="H1043" s="147"/>
      <c r="I1043" s="147"/>
      <c r="J1043" s="147"/>
      <c r="K1043" s="147"/>
    </row>
    <row r="1044">
      <c r="A1044" s="147"/>
      <c r="B1044" s="147"/>
      <c r="C1044" s="147"/>
      <c r="D1044" s="147"/>
      <c r="E1044" s="147"/>
      <c r="F1044" s="147"/>
      <c r="G1044" s="147"/>
      <c r="H1044" s="147"/>
      <c r="I1044" s="147"/>
      <c r="J1044" s="147"/>
      <c r="K1044" s="147"/>
    </row>
    <row r="1045">
      <c r="A1045" s="147"/>
      <c r="B1045" s="147"/>
      <c r="C1045" s="147"/>
      <c r="D1045" s="147"/>
      <c r="E1045" s="147"/>
      <c r="F1045" s="147"/>
      <c r="G1045" s="147"/>
      <c r="H1045" s="147"/>
      <c r="I1045" s="147"/>
      <c r="J1045" s="147"/>
      <c r="K1045" s="147"/>
    </row>
    <row r="1046">
      <c r="A1046" s="147"/>
      <c r="B1046" s="147"/>
      <c r="C1046" s="147"/>
      <c r="D1046" s="147"/>
      <c r="E1046" s="147"/>
      <c r="F1046" s="147"/>
      <c r="G1046" s="147"/>
      <c r="H1046" s="147"/>
      <c r="I1046" s="147"/>
      <c r="J1046" s="147"/>
      <c r="K1046" s="147"/>
    </row>
    <row r="1047">
      <c r="A1047" s="147"/>
      <c r="B1047" s="147"/>
      <c r="C1047" s="147"/>
      <c r="D1047" s="147"/>
      <c r="E1047" s="147"/>
      <c r="F1047" s="147"/>
      <c r="G1047" s="147"/>
      <c r="H1047" s="147"/>
      <c r="I1047" s="147"/>
      <c r="J1047" s="147"/>
      <c r="K1047" s="147"/>
    </row>
    <row r="1048">
      <c r="A1048" s="147"/>
      <c r="B1048" s="147"/>
      <c r="C1048" s="147"/>
      <c r="D1048" s="147"/>
      <c r="E1048" s="147"/>
      <c r="F1048" s="147"/>
      <c r="G1048" s="147"/>
      <c r="H1048" s="147"/>
      <c r="I1048" s="147"/>
      <c r="J1048" s="147"/>
      <c r="K1048" s="147"/>
    </row>
    <row r="1049">
      <c r="A1049" s="147"/>
      <c r="B1049" s="147"/>
      <c r="C1049" s="147"/>
      <c r="D1049" s="147"/>
      <c r="E1049" s="147"/>
      <c r="F1049" s="147"/>
      <c r="G1049" s="147"/>
      <c r="H1049" s="147"/>
      <c r="I1049" s="147"/>
      <c r="J1049" s="147"/>
      <c r="K1049" s="147"/>
    </row>
    <row r="1050">
      <c r="A1050" s="147"/>
      <c r="B1050" s="147"/>
      <c r="C1050" s="147"/>
      <c r="D1050" s="147"/>
      <c r="E1050" s="147"/>
      <c r="F1050" s="147"/>
      <c r="G1050" s="147"/>
      <c r="H1050" s="147"/>
      <c r="I1050" s="147"/>
      <c r="J1050" s="147"/>
      <c r="K1050" s="147"/>
    </row>
    <row r="1051">
      <c r="A1051" s="147"/>
      <c r="B1051" s="147"/>
      <c r="C1051" s="147"/>
      <c r="D1051" s="147"/>
      <c r="E1051" s="147"/>
      <c r="F1051" s="147"/>
      <c r="G1051" s="147"/>
      <c r="H1051" s="147"/>
      <c r="I1051" s="147"/>
      <c r="J1051" s="147"/>
      <c r="K1051" s="147"/>
    </row>
    <row r="1052">
      <c r="A1052" s="147"/>
      <c r="B1052" s="147"/>
      <c r="C1052" s="147"/>
      <c r="D1052" s="147"/>
      <c r="E1052" s="147"/>
      <c r="F1052" s="147"/>
      <c r="G1052" s="147"/>
      <c r="H1052" s="147"/>
      <c r="I1052" s="147"/>
      <c r="J1052" s="147"/>
      <c r="K1052" s="147"/>
    </row>
    <row r="1053">
      <c r="A1053" s="147"/>
      <c r="B1053" s="147"/>
      <c r="C1053" s="147"/>
      <c r="D1053" s="147"/>
      <c r="E1053" s="147"/>
      <c r="F1053" s="147"/>
      <c r="G1053" s="147"/>
      <c r="H1053" s="147"/>
      <c r="I1053" s="147"/>
      <c r="J1053" s="147"/>
      <c r="K1053" s="147"/>
    </row>
    <row r="1054">
      <c r="A1054" s="147"/>
      <c r="B1054" s="147"/>
      <c r="C1054" s="147"/>
      <c r="D1054" s="147"/>
      <c r="E1054" s="147"/>
      <c r="F1054" s="147"/>
      <c r="G1054" s="147"/>
      <c r="H1054" s="147"/>
      <c r="I1054" s="147"/>
      <c r="J1054" s="147"/>
      <c r="K1054" s="147"/>
    </row>
    <row r="1055">
      <c r="A1055" s="147"/>
      <c r="B1055" s="147"/>
      <c r="C1055" s="147"/>
      <c r="D1055" s="147"/>
      <c r="E1055" s="147"/>
      <c r="F1055" s="147"/>
      <c r="G1055" s="147"/>
      <c r="H1055" s="147"/>
      <c r="I1055" s="147"/>
      <c r="J1055" s="147"/>
      <c r="K1055" s="147"/>
    </row>
    <row r="1056">
      <c r="A1056" s="147"/>
      <c r="B1056" s="147"/>
      <c r="C1056" s="147"/>
      <c r="D1056" s="147"/>
      <c r="E1056" s="147"/>
      <c r="F1056" s="147"/>
      <c r="G1056" s="147"/>
      <c r="H1056" s="147"/>
      <c r="I1056" s="147"/>
      <c r="J1056" s="147"/>
      <c r="K1056" s="147"/>
    </row>
    <row r="1057">
      <c r="A1057" s="147"/>
      <c r="B1057" s="147"/>
      <c r="C1057" s="147"/>
      <c r="D1057" s="147"/>
      <c r="E1057" s="147"/>
      <c r="F1057" s="147"/>
      <c r="G1057" s="147"/>
      <c r="H1057" s="147"/>
      <c r="I1057" s="147"/>
      <c r="J1057" s="147"/>
      <c r="K1057" s="147"/>
    </row>
    <row r="1058">
      <c r="A1058" s="147"/>
      <c r="B1058" s="147"/>
      <c r="C1058" s="147"/>
      <c r="D1058" s="147"/>
      <c r="E1058" s="147"/>
      <c r="F1058" s="147"/>
      <c r="G1058" s="147"/>
      <c r="H1058" s="147"/>
      <c r="I1058" s="147"/>
      <c r="J1058" s="147"/>
      <c r="K1058" s="147"/>
    </row>
    <row r="1059">
      <c r="A1059" s="147"/>
      <c r="B1059" s="147"/>
      <c r="C1059" s="147"/>
      <c r="D1059" s="147"/>
      <c r="E1059" s="147"/>
      <c r="F1059" s="147"/>
      <c r="G1059" s="147"/>
      <c r="H1059" s="147"/>
      <c r="I1059" s="147"/>
      <c r="J1059" s="147"/>
      <c r="K1059" s="147"/>
    </row>
    <row r="1060">
      <c r="A1060" s="147"/>
      <c r="B1060" s="147"/>
      <c r="C1060" s="147"/>
      <c r="D1060" s="147"/>
      <c r="E1060" s="147"/>
      <c r="F1060" s="147"/>
      <c r="G1060" s="147"/>
      <c r="H1060" s="147"/>
      <c r="I1060" s="147"/>
      <c r="J1060" s="147"/>
      <c r="K1060" s="147"/>
    </row>
    <row r="1061">
      <c r="A1061" s="147"/>
      <c r="B1061" s="147"/>
      <c r="C1061" s="147"/>
      <c r="D1061" s="147"/>
      <c r="E1061" s="147"/>
      <c r="F1061" s="147"/>
      <c r="G1061" s="147"/>
      <c r="H1061" s="147"/>
      <c r="I1061" s="147"/>
      <c r="J1061" s="147"/>
      <c r="K1061" s="147"/>
    </row>
    <row r="1062">
      <c r="A1062" s="147"/>
      <c r="B1062" s="147"/>
      <c r="C1062" s="147"/>
      <c r="D1062" s="147"/>
      <c r="E1062" s="147"/>
      <c r="F1062" s="147"/>
      <c r="G1062" s="147"/>
      <c r="H1062" s="147"/>
      <c r="I1062" s="147"/>
      <c r="J1062" s="147"/>
      <c r="K1062" s="147"/>
    </row>
    <row r="1063">
      <c r="A1063" s="147"/>
      <c r="B1063" s="147"/>
      <c r="C1063" s="147"/>
      <c r="D1063" s="147"/>
      <c r="E1063" s="147"/>
      <c r="F1063" s="147"/>
      <c r="G1063" s="147"/>
      <c r="H1063" s="147"/>
      <c r="I1063" s="147"/>
      <c r="J1063" s="147"/>
      <c r="K1063" s="147"/>
    </row>
    <row r="1064">
      <c r="A1064" s="147"/>
      <c r="B1064" s="147"/>
      <c r="C1064" s="147"/>
      <c r="D1064" s="147"/>
      <c r="E1064" s="147"/>
      <c r="F1064" s="147"/>
      <c r="G1064" s="147"/>
      <c r="H1064" s="147"/>
      <c r="I1064" s="147"/>
      <c r="J1064" s="147"/>
      <c r="K1064" s="147"/>
    </row>
    <row r="1065">
      <c r="A1065" s="147"/>
      <c r="B1065" s="147"/>
      <c r="C1065" s="147"/>
      <c r="D1065" s="147"/>
      <c r="E1065" s="147"/>
      <c r="F1065" s="147"/>
      <c r="G1065" s="147"/>
      <c r="H1065" s="147"/>
      <c r="I1065" s="147"/>
      <c r="J1065" s="147"/>
      <c r="K1065" s="147"/>
    </row>
    <row r="1066">
      <c r="A1066" s="147"/>
      <c r="B1066" s="147"/>
      <c r="C1066" s="147"/>
      <c r="D1066" s="147"/>
      <c r="E1066" s="147"/>
      <c r="F1066" s="147"/>
      <c r="G1066" s="147"/>
      <c r="H1066" s="147"/>
      <c r="I1066" s="147"/>
      <c r="J1066" s="147"/>
      <c r="K1066" s="147"/>
    </row>
    <row r="1067">
      <c r="A1067" s="147"/>
      <c r="B1067" s="147"/>
      <c r="C1067" s="147"/>
      <c r="D1067" s="147"/>
      <c r="E1067" s="147"/>
      <c r="F1067" s="147"/>
      <c r="G1067" s="147"/>
      <c r="H1067" s="147"/>
      <c r="I1067" s="147"/>
      <c r="J1067" s="147"/>
      <c r="K1067" s="147"/>
    </row>
    <row r="1068">
      <c r="A1068" s="147"/>
      <c r="B1068" s="147"/>
      <c r="C1068" s="147"/>
      <c r="D1068" s="147"/>
      <c r="E1068" s="147"/>
      <c r="F1068" s="147"/>
      <c r="G1068" s="147"/>
      <c r="H1068" s="147"/>
      <c r="I1068" s="147"/>
      <c r="J1068" s="147"/>
      <c r="K1068" s="147"/>
    </row>
    <row r="1069">
      <c r="A1069" s="147"/>
      <c r="B1069" s="147"/>
      <c r="C1069" s="147"/>
      <c r="D1069" s="147"/>
      <c r="E1069" s="147"/>
      <c r="F1069" s="147"/>
      <c r="G1069" s="147"/>
      <c r="H1069" s="147"/>
      <c r="I1069" s="147"/>
      <c r="J1069" s="147"/>
      <c r="K1069" s="147"/>
    </row>
    <row r="1070">
      <c r="A1070" s="147"/>
      <c r="B1070" s="147"/>
      <c r="C1070" s="147"/>
      <c r="D1070" s="147"/>
      <c r="E1070" s="147"/>
      <c r="F1070" s="147"/>
      <c r="G1070" s="147"/>
      <c r="H1070" s="147"/>
      <c r="I1070" s="147"/>
      <c r="J1070" s="147"/>
      <c r="K1070" s="147"/>
    </row>
    <row r="1071">
      <c r="A1071" s="147"/>
      <c r="B1071" s="147"/>
      <c r="C1071" s="147"/>
      <c r="D1071" s="147"/>
      <c r="E1071" s="147"/>
      <c r="F1071" s="147"/>
      <c r="G1071" s="147"/>
      <c r="H1071" s="147"/>
      <c r="I1071" s="147"/>
      <c r="J1071" s="147"/>
      <c r="K1071" s="147"/>
    </row>
    <row r="1072">
      <c r="A1072" s="147"/>
      <c r="B1072" s="147"/>
      <c r="C1072" s="147"/>
      <c r="D1072" s="147"/>
      <c r="E1072" s="147"/>
      <c r="F1072" s="147"/>
      <c r="G1072" s="147"/>
      <c r="H1072" s="147"/>
      <c r="I1072" s="147"/>
      <c r="J1072" s="147"/>
      <c r="K1072" s="147"/>
    </row>
    <row r="1073">
      <c r="A1073" s="147"/>
      <c r="B1073" s="147"/>
      <c r="C1073" s="147"/>
      <c r="D1073" s="147"/>
      <c r="E1073" s="147"/>
      <c r="F1073" s="147"/>
      <c r="G1073" s="147"/>
      <c r="H1073" s="147"/>
      <c r="I1073" s="147"/>
      <c r="J1073" s="147"/>
      <c r="K1073" s="147"/>
    </row>
    <row r="1074">
      <c r="A1074" s="147"/>
      <c r="B1074" s="147"/>
      <c r="C1074" s="147"/>
      <c r="D1074" s="147"/>
      <c r="E1074" s="147"/>
      <c r="F1074" s="147"/>
      <c r="G1074" s="147"/>
      <c r="H1074" s="147"/>
      <c r="I1074" s="147"/>
      <c r="J1074" s="147"/>
      <c r="K1074" s="147"/>
    </row>
    <row r="1075">
      <c r="A1075" s="147"/>
      <c r="B1075" s="147"/>
      <c r="C1075" s="147"/>
      <c r="D1075" s="147"/>
      <c r="E1075" s="147"/>
      <c r="F1075" s="147"/>
      <c r="G1075" s="147"/>
      <c r="H1075" s="147"/>
      <c r="I1075" s="147"/>
      <c r="J1075" s="147"/>
      <c r="K1075" s="147"/>
    </row>
    <row r="1076">
      <c r="A1076" s="147"/>
      <c r="B1076" s="147"/>
      <c r="C1076" s="147"/>
      <c r="D1076" s="147"/>
      <c r="E1076" s="147"/>
      <c r="F1076" s="147"/>
      <c r="G1076" s="147"/>
      <c r="H1076" s="147"/>
      <c r="I1076" s="147"/>
      <c r="J1076" s="147"/>
      <c r="K1076" s="147"/>
    </row>
    <row r="1077">
      <c r="A1077" s="147"/>
      <c r="B1077" s="147"/>
      <c r="C1077" s="147"/>
      <c r="D1077" s="147"/>
      <c r="E1077" s="147"/>
      <c r="F1077" s="147"/>
      <c r="G1077" s="147"/>
      <c r="H1077" s="147"/>
      <c r="I1077" s="147"/>
      <c r="J1077" s="147"/>
      <c r="K1077" s="147"/>
    </row>
    <row r="1078">
      <c r="A1078" s="147"/>
      <c r="B1078" s="147"/>
      <c r="C1078" s="147"/>
      <c r="D1078" s="147"/>
      <c r="E1078" s="147"/>
      <c r="F1078" s="147"/>
      <c r="G1078" s="147"/>
      <c r="H1078" s="147"/>
      <c r="I1078" s="147"/>
      <c r="J1078" s="147"/>
      <c r="K1078" s="147"/>
    </row>
    <row r="1079">
      <c r="A1079" s="147"/>
      <c r="B1079" s="147"/>
      <c r="C1079" s="147"/>
      <c r="D1079" s="147"/>
      <c r="E1079" s="147"/>
      <c r="F1079" s="147"/>
      <c r="G1079" s="147"/>
      <c r="H1079" s="147"/>
      <c r="I1079" s="147"/>
      <c r="J1079" s="147"/>
      <c r="K1079" s="147"/>
    </row>
    <row r="1080">
      <c r="A1080" s="147"/>
      <c r="B1080" s="147"/>
      <c r="C1080" s="147"/>
      <c r="D1080" s="147"/>
      <c r="E1080" s="147"/>
      <c r="F1080" s="147"/>
      <c r="G1080" s="147"/>
      <c r="H1080" s="147"/>
      <c r="I1080" s="147"/>
      <c r="J1080" s="147"/>
      <c r="K1080" s="147"/>
    </row>
    <row r="1081">
      <c r="A1081" s="147"/>
      <c r="B1081" s="147"/>
      <c r="C1081" s="147"/>
      <c r="D1081" s="147"/>
      <c r="E1081" s="147"/>
      <c r="F1081" s="147"/>
      <c r="G1081" s="147"/>
      <c r="H1081" s="147"/>
      <c r="I1081" s="147"/>
      <c r="J1081" s="147"/>
      <c r="K1081" s="147"/>
    </row>
    <row r="1082">
      <c r="A1082" s="147"/>
      <c r="B1082" s="147"/>
      <c r="C1082" s="147"/>
      <c r="D1082" s="147"/>
      <c r="E1082" s="147"/>
      <c r="F1082" s="147"/>
      <c r="G1082" s="147"/>
      <c r="H1082" s="147"/>
      <c r="I1082" s="147"/>
      <c r="J1082" s="147"/>
      <c r="K1082" s="147"/>
    </row>
    <row r="1083">
      <c r="A1083" s="147"/>
      <c r="B1083" s="147"/>
      <c r="C1083" s="147"/>
      <c r="D1083" s="147"/>
      <c r="E1083" s="147"/>
      <c r="F1083" s="147"/>
      <c r="G1083" s="147"/>
      <c r="H1083" s="147"/>
      <c r="I1083" s="147"/>
      <c r="J1083" s="147"/>
      <c r="K1083" s="147"/>
    </row>
    <row r="1084">
      <c r="A1084" s="147"/>
      <c r="B1084" s="147"/>
      <c r="C1084" s="147"/>
      <c r="D1084" s="147"/>
      <c r="E1084" s="147"/>
      <c r="F1084" s="147"/>
      <c r="G1084" s="147"/>
      <c r="H1084" s="147"/>
      <c r="I1084" s="147"/>
      <c r="J1084" s="147"/>
      <c r="K1084" s="147"/>
    </row>
    <row r="1085">
      <c r="A1085" s="147"/>
      <c r="B1085" s="147"/>
      <c r="C1085" s="147"/>
      <c r="D1085" s="147"/>
      <c r="E1085" s="147"/>
      <c r="F1085" s="147"/>
      <c r="G1085" s="147"/>
      <c r="H1085" s="147"/>
      <c r="I1085" s="147"/>
      <c r="J1085" s="147"/>
      <c r="K1085" s="147"/>
    </row>
    <row r="1086">
      <c r="A1086" s="147"/>
      <c r="B1086" s="147"/>
      <c r="C1086" s="147"/>
      <c r="D1086" s="147"/>
      <c r="E1086" s="147"/>
      <c r="F1086" s="147"/>
      <c r="G1086" s="147"/>
      <c r="H1086" s="147"/>
      <c r="I1086" s="147"/>
      <c r="J1086" s="147"/>
      <c r="K1086" s="147"/>
    </row>
    <row r="1087">
      <c r="A1087" s="147"/>
      <c r="B1087" s="147"/>
      <c r="C1087" s="147"/>
      <c r="D1087" s="147"/>
      <c r="E1087" s="147"/>
      <c r="F1087" s="147"/>
      <c r="G1087" s="147"/>
      <c r="H1087" s="147"/>
      <c r="I1087" s="147"/>
      <c r="J1087" s="147"/>
      <c r="K1087" s="147"/>
    </row>
    <row r="1088">
      <c r="A1088" s="147"/>
      <c r="B1088" s="147"/>
      <c r="C1088" s="147"/>
      <c r="D1088" s="147"/>
      <c r="E1088" s="147"/>
      <c r="F1088" s="147"/>
      <c r="G1088" s="147"/>
      <c r="H1088" s="147"/>
      <c r="I1088" s="147"/>
      <c r="J1088" s="147"/>
      <c r="K1088" s="147"/>
    </row>
    <row r="1089">
      <c r="A1089" s="147"/>
      <c r="B1089" s="147"/>
      <c r="C1089" s="147"/>
      <c r="D1089" s="147"/>
      <c r="E1089" s="147"/>
      <c r="F1089" s="147"/>
      <c r="G1089" s="147"/>
      <c r="H1089" s="147"/>
      <c r="I1089" s="147"/>
      <c r="J1089" s="147"/>
      <c r="K1089" s="147"/>
    </row>
    <row r="1090">
      <c r="A1090" s="147"/>
      <c r="B1090" s="147"/>
      <c r="C1090" s="147"/>
      <c r="D1090" s="147"/>
      <c r="E1090" s="147"/>
      <c r="F1090" s="147"/>
      <c r="G1090" s="147"/>
      <c r="H1090" s="147"/>
      <c r="I1090" s="147"/>
      <c r="J1090" s="147"/>
      <c r="K1090" s="147"/>
    </row>
    <row r="1091">
      <c r="A1091" s="147"/>
      <c r="B1091" s="147"/>
      <c r="C1091" s="147"/>
      <c r="D1091" s="147"/>
      <c r="E1091" s="147"/>
      <c r="F1091" s="147"/>
      <c r="G1091" s="147"/>
      <c r="H1091" s="147"/>
      <c r="I1091" s="147"/>
      <c r="J1091" s="147"/>
      <c r="K1091" s="147"/>
    </row>
    <row r="1092">
      <c r="A1092" s="147"/>
      <c r="B1092" s="147"/>
      <c r="C1092" s="147"/>
      <c r="D1092" s="147"/>
      <c r="E1092" s="147"/>
      <c r="F1092" s="147"/>
      <c r="G1092" s="147"/>
      <c r="H1092" s="147"/>
      <c r="I1092" s="147"/>
      <c r="J1092" s="147"/>
      <c r="K1092" s="147"/>
    </row>
    <row r="1093">
      <c r="A1093" s="147"/>
      <c r="B1093" s="147"/>
      <c r="C1093" s="147"/>
      <c r="D1093" s="147"/>
      <c r="E1093" s="147"/>
      <c r="F1093" s="147"/>
      <c r="G1093" s="147"/>
      <c r="H1093" s="147"/>
      <c r="I1093" s="147"/>
      <c r="J1093" s="147"/>
      <c r="K1093" s="147"/>
    </row>
    <row r="1094">
      <c r="A1094" s="147"/>
      <c r="B1094" s="147"/>
      <c r="C1094" s="147"/>
      <c r="D1094" s="147"/>
      <c r="E1094" s="147"/>
      <c r="F1094" s="147"/>
      <c r="G1094" s="147"/>
      <c r="H1094" s="147"/>
      <c r="I1094" s="147"/>
      <c r="J1094" s="147"/>
      <c r="K1094" s="147"/>
    </row>
    <row r="1095">
      <c r="A1095" s="147"/>
      <c r="B1095" s="147"/>
      <c r="C1095" s="147"/>
      <c r="D1095" s="147"/>
      <c r="E1095" s="147"/>
      <c r="F1095" s="147"/>
      <c r="G1095" s="147"/>
      <c r="H1095" s="147"/>
      <c r="I1095" s="147"/>
      <c r="J1095" s="147"/>
      <c r="K1095" s="147"/>
    </row>
    <row r="1096">
      <c r="A1096" s="147"/>
      <c r="B1096" s="147"/>
      <c r="C1096" s="147"/>
      <c r="D1096" s="147"/>
      <c r="E1096" s="147"/>
      <c r="F1096" s="147"/>
      <c r="G1096" s="147"/>
      <c r="H1096" s="147"/>
      <c r="I1096" s="147"/>
      <c r="J1096" s="147"/>
      <c r="K1096" s="147"/>
    </row>
    <row r="1097">
      <c r="A1097" s="147"/>
      <c r="B1097" s="147"/>
      <c r="C1097" s="147"/>
      <c r="D1097" s="147"/>
      <c r="E1097" s="147"/>
      <c r="F1097" s="147"/>
      <c r="G1097" s="147"/>
      <c r="H1097" s="147"/>
      <c r="I1097" s="147"/>
      <c r="J1097" s="147"/>
      <c r="K1097" s="147"/>
    </row>
    <row r="1098">
      <c r="A1098" s="147"/>
      <c r="B1098" s="147"/>
      <c r="C1098" s="147"/>
      <c r="D1098" s="147"/>
      <c r="E1098" s="147"/>
      <c r="F1098" s="147"/>
      <c r="G1098" s="147"/>
      <c r="H1098" s="147"/>
      <c r="I1098" s="147"/>
      <c r="J1098" s="147"/>
      <c r="K1098" s="147"/>
    </row>
    <row r="1099">
      <c r="A1099" s="147"/>
      <c r="B1099" s="147"/>
      <c r="C1099" s="147"/>
      <c r="D1099" s="147"/>
      <c r="E1099" s="147"/>
      <c r="F1099" s="147"/>
      <c r="G1099" s="147"/>
      <c r="H1099" s="147"/>
      <c r="I1099" s="147"/>
      <c r="J1099" s="147"/>
      <c r="K1099" s="147"/>
    </row>
    <row r="1100">
      <c r="A1100" s="147"/>
      <c r="B1100" s="147"/>
      <c r="C1100" s="147"/>
      <c r="D1100" s="147"/>
      <c r="E1100" s="147"/>
      <c r="F1100" s="147"/>
      <c r="G1100" s="147"/>
      <c r="H1100" s="147"/>
      <c r="I1100" s="147"/>
      <c r="J1100" s="147"/>
      <c r="K1100" s="147"/>
    </row>
    <row r="1101">
      <c r="A1101" s="147"/>
      <c r="B1101" s="147"/>
      <c r="C1101" s="147"/>
      <c r="D1101" s="147"/>
      <c r="E1101" s="147"/>
      <c r="F1101" s="147"/>
      <c r="G1101" s="147"/>
      <c r="H1101" s="147"/>
      <c r="I1101" s="147"/>
      <c r="J1101" s="147"/>
      <c r="K1101" s="147"/>
    </row>
    <row r="1102">
      <c r="A1102" s="147"/>
      <c r="B1102" s="147"/>
      <c r="C1102" s="147"/>
      <c r="D1102" s="147"/>
      <c r="E1102" s="147"/>
      <c r="F1102" s="147"/>
      <c r="G1102" s="147"/>
      <c r="H1102" s="147"/>
      <c r="I1102" s="147"/>
      <c r="J1102" s="147"/>
      <c r="K1102" s="147"/>
    </row>
    <row r="1103">
      <c r="A1103" s="147"/>
      <c r="B1103" s="147"/>
      <c r="C1103" s="147"/>
      <c r="D1103" s="147"/>
      <c r="E1103" s="147"/>
      <c r="F1103" s="147"/>
      <c r="G1103" s="147"/>
      <c r="H1103" s="147"/>
      <c r="I1103" s="147"/>
      <c r="J1103" s="147"/>
      <c r="K1103" s="147"/>
    </row>
    <row r="1104">
      <c r="A1104" s="147"/>
      <c r="B1104" s="147"/>
      <c r="C1104" s="147"/>
      <c r="D1104" s="147"/>
      <c r="E1104" s="147"/>
      <c r="F1104" s="147"/>
      <c r="G1104" s="147"/>
      <c r="H1104" s="147"/>
      <c r="I1104" s="147"/>
      <c r="J1104" s="147"/>
      <c r="K1104" s="147"/>
    </row>
    <row r="1105">
      <c r="A1105" s="147"/>
      <c r="B1105" s="147"/>
      <c r="C1105" s="147"/>
      <c r="D1105" s="147"/>
      <c r="E1105" s="147"/>
      <c r="F1105" s="147"/>
      <c r="G1105" s="147"/>
      <c r="H1105" s="147"/>
      <c r="I1105" s="147"/>
      <c r="J1105" s="147"/>
      <c r="K1105" s="147"/>
    </row>
    <row r="1106">
      <c r="A1106" s="147"/>
      <c r="B1106" s="147"/>
      <c r="C1106" s="147"/>
      <c r="D1106" s="147"/>
      <c r="E1106" s="147"/>
      <c r="F1106" s="147"/>
      <c r="G1106" s="147"/>
      <c r="H1106" s="147"/>
      <c r="I1106" s="147"/>
      <c r="J1106" s="147"/>
      <c r="K1106" s="147"/>
    </row>
    <row r="1107">
      <c r="A1107" s="147"/>
      <c r="B1107" s="147"/>
      <c r="C1107" s="147"/>
      <c r="D1107" s="147"/>
      <c r="E1107" s="147"/>
      <c r="F1107" s="147"/>
      <c r="G1107" s="147"/>
      <c r="H1107" s="147"/>
      <c r="I1107" s="147"/>
      <c r="J1107" s="147"/>
      <c r="K1107" s="147"/>
    </row>
    <row r="1108">
      <c r="A1108" s="147"/>
      <c r="B1108" s="147"/>
      <c r="C1108" s="147"/>
      <c r="D1108" s="147"/>
      <c r="E1108" s="147"/>
      <c r="F1108" s="147"/>
      <c r="G1108" s="147"/>
      <c r="H1108" s="147"/>
      <c r="I1108" s="147"/>
      <c r="J1108" s="147"/>
      <c r="K1108" s="147"/>
    </row>
    <row r="1109">
      <c r="A1109" s="147"/>
      <c r="B1109" s="147"/>
      <c r="C1109" s="147"/>
      <c r="D1109" s="147"/>
      <c r="E1109" s="147"/>
      <c r="F1109" s="147"/>
      <c r="G1109" s="147"/>
      <c r="H1109" s="147"/>
      <c r="I1109" s="147"/>
      <c r="J1109" s="147"/>
      <c r="K1109" s="147"/>
    </row>
    <row r="1110">
      <c r="A1110" s="147"/>
      <c r="B1110" s="147"/>
      <c r="C1110" s="147"/>
      <c r="D1110" s="147"/>
      <c r="E1110" s="147"/>
      <c r="F1110" s="147"/>
      <c r="G1110" s="147"/>
      <c r="H1110" s="147"/>
      <c r="I1110" s="147"/>
      <c r="J1110" s="147"/>
      <c r="K1110" s="147"/>
    </row>
    <row r="1111">
      <c r="A1111" s="147"/>
      <c r="B1111" s="147"/>
      <c r="C1111" s="147"/>
      <c r="D1111" s="147"/>
      <c r="E1111" s="147"/>
      <c r="F1111" s="147"/>
      <c r="G1111" s="147"/>
      <c r="H1111" s="147"/>
      <c r="I1111" s="147"/>
      <c r="J1111" s="147"/>
      <c r="K1111" s="147"/>
    </row>
    <row r="1112">
      <c r="A1112" s="147"/>
      <c r="B1112" s="147"/>
      <c r="C1112" s="147"/>
      <c r="D1112" s="147"/>
      <c r="E1112" s="147"/>
      <c r="F1112" s="147"/>
      <c r="G1112" s="147"/>
      <c r="H1112" s="147"/>
      <c r="I1112" s="147"/>
      <c r="J1112" s="147"/>
      <c r="K1112" s="147"/>
    </row>
    <row r="1113">
      <c r="A1113" s="147"/>
      <c r="B1113" s="147"/>
      <c r="C1113" s="147"/>
      <c r="D1113" s="147"/>
      <c r="E1113" s="147"/>
      <c r="F1113" s="147"/>
      <c r="G1113" s="147"/>
      <c r="H1113" s="147"/>
      <c r="I1113" s="147"/>
      <c r="J1113" s="147"/>
      <c r="K1113" s="147"/>
    </row>
    <row r="1114">
      <c r="A1114" s="147"/>
      <c r="B1114" s="147"/>
      <c r="C1114" s="147"/>
      <c r="D1114" s="147"/>
      <c r="E1114" s="147"/>
      <c r="F1114" s="147"/>
      <c r="G1114" s="147"/>
      <c r="H1114" s="147"/>
      <c r="I1114" s="147"/>
      <c r="J1114" s="147"/>
      <c r="K1114" s="147"/>
    </row>
    <row r="1115">
      <c r="A1115" s="147"/>
      <c r="B1115" s="147"/>
      <c r="C1115" s="147"/>
      <c r="D1115" s="147"/>
      <c r="E1115" s="147"/>
      <c r="F1115" s="147"/>
      <c r="G1115" s="147"/>
      <c r="H1115" s="147"/>
      <c r="I1115" s="147"/>
      <c r="J1115" s="147"/>
      <c r="K1115" s="147"/>
    </row>
    <row r="1116">
      <c r="A1116" s="147"/>
      <c r="B1116" s="147"/>
      <c r="C1116" s="147"/>
      <c r="D1116" s="147"/>
      <c r="E1116" s="147"/>
      <c r="F1116" s="147"/>
      <c r="G1116" s="147"/>
      <c r="H1116" s="147"/>
      <c r="I1116" s="147"/>
      <c r="J1116" s="147"/>
      <c r="K1116" s="147"/>
    </row>
    <row r="1117">
      <c r="A1117" s="147"/>
      <c r="B1117" s="147"/>
      <c r="C1117" s="147"/>
      <c r="D1117" s="147"/>
      <c r="E1117" s="147"/>
      <c r="F1117" s="147"/>
      <c r="G1117" s="147"/>
      <c r="H1117" s="147"/>
      <c r="I1117" s="147"/>
      <c r="J1117" s="147"/>
      <c r="K1117" s="147"/>
    </row>
    <row r="1118">
      <c r="A1118" s="147"/>
      <c r="B1118" s="147"/>
      <c r="C1118" s="147"/>
      <c r="D1118" s="147"/>
      <c r="E1118" s="147"/>
      <c r="F1118" s="147"/>
      <c r="G1118" s="147"/>
      <c r="H1118" s="147"/>
      <c r="I1118" s="147"/>
      <c r="J1118" s="147"/>
      <c r="K1118" s="147"/>
    </row>
    <row r="1119">
      <c r="A1119" s="147"/>
      <c r="B1119" s="147"/>
      <c r="C1119" s="147"/>
      <c r="D1119" s="147"/>
      <c r="E1119" s="147"/>
      <c r="F1119" s="147"/>
      <c r="G1119" s="147"/>
      <c r="H1119" s="147"/>
      <c r="I1119" s="147"/>
      <c r="J1119" s="147"/>
      <c r="K1119" s="147"/>
    </row>
    <row r="1120">
      <c r="A1120" s="147"/>
      <c r="B1120" s="147"/>
      <c r="C1120" s="147"/>
      <c r="D1120" s="147"/>
      <c r="E1120" s="147"/>
      <c r="F1120" s="147"/>
      <c r="G1120" s="147"/>
      <c r="H1120" s="147"/>
      <c r="I1120" s="147"/>
      <c r="J1120" s="147"/>
      <c r="K1120" s="147"/>
    </row>
    <row r="1121">
      <c r="A1121" s="147"/>
      <c r="B1121" s="147"/>
      <c r="C1121" s="147"/>
      <c r="D1121" s="147"/>
      <c r="E1121" s="147"/>
      <c r="F1121" s="147"/>
      <c r="G1121" s="147"/>
      <c r="H1121" s="147"/>
      <c r="I1121" s="147"/>
      <c r="J1121" s="147"/>
      <c r="K1121" s="147"/>
    </row>
    <row r="1122">
      <c r="A1122" s="147"/>
      <c r="B1122" s="147"/>
      <c r="C1122" s="147"/>
      <c r="D1122" s="147"/>
      <c r="E1122" s="147"/>
      <c r="F1122" s="147"/>
      <c r="G1122" s="147"/>
      <c r="H1122" s="147"/>
      <c r="I1122" s="147"/>
      <c r="J1122" s="147"/>
      <c r="K1122" s="147"/>
    </row>
    <row r="1123">
      <c r="A1123" s="147"/>
      <c r="B1123" s="147"/>
      <c r="C1123" s="147"/>
      <c r="D1123" s="147"/>
      <c r="E1123" s="147"/>
      <c r="F1123" s="147"/>
      <c r="G1123" s="147"/>
      <c r="H1123" s="147"/>
      <c r="I1123" s="147"/>
      <c r="J1123" s="147"/>
      <c r="K1123" s="147"/>
    </row>
    <row r="1124">
      <c r="A1124" s="147"/>
      <c r="B1124" s="147"/>
      <c r="C1124" s="147"/>
      <c r="D1124" s="147"/>
      <c r="E1124" s="147"/>
      <c r="F1124" s="147"/>
      <c r="G1124" s="147"/>
      <c r="H1124" s="147"/>
      <c r="I1124" s="147"/>
      <c r="J1124" s="147"/>
      <c r="K1124" s="147"/>
    </row>
    <row r="1125">
      <c r="A1125" s="147"/>
      <c r="B1125" s="147"/>
      <c r="C1125" s="147"/>
      <c r="D1125" s="147"/>
      <c r="E1125" s="147"/>
      <c r="F1125" s="147"/>
      <c r="G1125" s="147"/>
      <c r="H1125" s="147"/>
      <c r="I1125" s="147"/>
      <c r="J1125" s="147"/>
      <c r="K1125" s="147"/>
    </row>
    <row r="1126">
      <c r="A1126" s="147"/>
      <c r="B1126" s="147"/>
      <c r="C1126" s="147"/>
      <c r="D1126" s="147"/>
      <c r="E1126" s="147"/>
      <c r="F1126" s="147"/>
      <c r="G1126" s="147"/>
      <c r="H1126" s="147"/>
      <c r="I1126" s="147"/>
      <c r="J1126" s="147"/>
      <c r="K1126" s="147"/>
    </row>
    <row r="1127">
      <c r="A1127" s="147"/>
      <c r="B1127" s="147"/>
      <c r="C1127" s="147"/>
      <c r="D1127" s="147"/>
      <c r="E1127" s="147"/>
      <c r="F1127" s="147"/>
      <c r="G1127" s="147"/>
      <c r="H1127" s="147"/>
      <c r="I1127" s="147"/>
      <c r="J1127" s="147"/>
      <c r="K1127" s="147"/>
    </row>
    <row r="1128">
      <c r="A1128" s="147"/>
      <c r="B1128" s="147"/>
      <c r="C1128" s="147"/>
      <c r="D1128" s="147"/>
      <c r="E1128" s="147"/>
      <c r="F1128" s="147"/>
      <c r="G1128" s="147"/>
      <c r="H1128" s="147"/>
      <c r="I1128" s="147"/>
      <c r="J1128" s="147"/>
      <c r="K1128" s="147"/>
    </row>
    <row r="1129">
      <c r="A1129" s="147"/>
      <c r="B1129" s="147"/>
      <c r="C1129" s="147"/>
      <c r="D1129" s="147"/>
      <c r="E1129" s="147"/>
      <c r="F1129" s="147"/>
      <c r="G1129" s="147"/>
      <c r="H1129" s="147"/>
      <c r="I1129" s="147"/>
      <c r="J1129" s="147"/>
      <c r="K1129" s="147"/>
    </row>
    <row r="1130">
      <c r="A1130" s="147"/>
      <c r="B1130" s="147"/>
      <c r="C1130" s="147"/>
      <c r="D1130" s="147"/>
      <c r="E1130" s="147"/>
      <c r="F1130" s="147"/>
      <c r="G1130" s="147"/>
      <c r="H1130" s="147"/>
      <c r="I1130" s="147"/>
      <c r="J1130" s="147"/>
      <c r="K1130" s="147"/>
    </row>
    <row r="1131">
      <c r="A1131" s="147"/>
      <c r="B1131" s="147"/>
      <c r="C1131" s="147"/>
      <c r="D1131" s="147"/>
      <c r="E1131" s="147"/>
      <c r="F1131" s="147"/>
      <c r="G1131" s="147"/>
      <c r="H1131" s="147"/>
      <c r="I1131" s="147"/>
      <c r="J1131" s="147"/>
      <c r="K1131" s="147"/>
    </row>
    <row r="1132">
      <c r="A1132" s="147"/>
      <c r="B1132" s="147"/>
      <c r="C1132" s="147"/>
      <c r="D1132" s="147"/>
      <c r="E1132" s="147"/>
      <c r="F1132" s="147"/>
      <c r="G1132" s="147"/>
      <c r="H1132" s="147"/>
      <c r="I1132" s="147"/>
      <c r="J1132" s="147"/>
      <c r="K1132" s="147"/>
    </row>
    <row r="1133">
      <c r="A1133" s="147"/>
      <c r="B1133" s="147"/>
      <c r="C1133" s="147"/>
      <c r="D1133" s="147"/>
      <c r="E1133" s="147"/>
      <c r="F1133" s="147"/>
      <c r="G1133" s="147"/>
      <c r="H1133" s="147"/>
      <c r="I1133" s="147"/>
      <c r="J1133" s="147"/>
      <c r="K1133" s="147"/>
    </row>
    <row r="1134">
      <c r="A1134" s="147"/>
      <c r="B1134" s="147"/>
      <c r="C1134" s="147"/>
      <c r="D1134" s="147"/>
      <c r="E1134" s="147"/>
      <c r="F1134" s="147"/>
      <c r="G1134" s="147"/>
      <c r="H1134" s="147"/>
      <c r="I1134" s="147"/>
      <c r="J1134" s="147"/>
      <c r="K1134" s="147"/>
    </row>
    <row r="1135">
      <c r="A1135" s="147"/>
      <c r="B1135" s="147"/>
      <c r="C1135" s="147"/>
      <c r="D1135" s="147"/>
      <c r="E1135" s="147"/>
      <c r="F1135" s="147"/>
      <c r="G1135" s="147"/>
      <c r="H1135" s="147"/>
      <c r="I1135" s="147"/>
      <c r="J1135" s="147"/>
      <c r="K1135" s="147"/>
    </row>
    <row r="1136">
      <c r="A1136" s="147"/>
      <c r="B1136" s="147"/>
      <c r="C1136" s="147"/>
      <c r="D1136" s="147"/>
      <c r="E1136" s="147"/>
      <c r="F1136" s="147"/>
      <c r="G1136" s="147"/>
      <c r="H1136" s="147"/>
      <c r="I1136" s="147"/>
      <c r="J1136" s="147"/>
      <c r="K1136" s="147"/>
    </row>
    <row r="1137">
      <c r="A1137" s="147"/>
      <c r="B1137" s="147"/>
      <c r="C1137" s="147"/>
      <c r="D1137" s="147"/>
      <c r="E1137" s="147"/>
      <c r="F1137" s="147"/>
      <c r="G1137" s="147"/>
      <c r="H1137" s="147"/>
      <c r="I1137" s="147"/>
      <c r="J1137" s="147"/>
      <c r="K1137" s="147"/>
    </row>
    <row r="1138">
      <c r="A1138" s="147"/>
      <c r="B1138" s="147"/>
      <c r="C1138" s="147"/>
      <c r="D1138" s="147"/>
      <c r="E1138" s="147"/>
      <c r="F1138" s="147"/>
      <c r="G1138" s="147"/>
      <c r="H1138" s="147"/>
      <c r="I1138" s="147"/>
      <c r="J1138" s="147"/>
      <c r="K1138" s="147"/>
    </row>
    <row r="1139">
      <c r="A1139" s="147"/>
      <c r="B1139" s="147"/>
      <c r="C1139" s="147"/>
      <c r="D1139" s="147"/>
      <c r="E1139" s="147"/>
      <c r="F1139" s="147"/>
      <c r="G1139" s="147"/>
      <c r="H1139" s="147"/>
      <c r="I1139" s="147"/>
      <c r="J1139" s="147"/>
      <c r="K1139" s="147"/>
    </row>
    <row r="1140">
      <c r="A1140" s="147"/>
      <c r="B1140" s="147"/>
      <c r="C1140" s="147"/>
      <c r="D1140" s="147"/>
      <c r="E1140" s="147"/>
      <c r="F1140" s="147"/>
      <c r="G1140" s="147"/>
      <c r="H1140" s="147"/>
      <c r="I1140" s="147"/>
      <c r="J1140" s="147"/>
      <c r="K1140" s="147"/>
    </row>
    <row r="1141">
      <c r="A1141" s="147"/>
      <c r="B1141" s="147"/>
      <c r="C1141" s="147"/>
      <c r="D1141" s="147"/>
      <c r="E1141" s="147"/>
      <c r="F1141" s="147"/>
      <c r="G1141" s="147"/>
      <c r="H1141" s="147"/>
      <c r="I1141" s="147"/>
      <c r="J1141" s="147"/>
      <c r="K1141" s="147"/>
    </row>
    <row r="1142">
      <c r="A1142" s="147"/>
      <c r="B1142" s="147"/>
      <c r="C1142" s="147"/>
      <c r="D1142" s="147"/>
      <c r="E1142" s="147"/>
      <c r="F1142" s="147"/>
      <c r="G1142" s="147"/>
      <c r="H1142" s="147"/>
      <c r="I1142" s="147"/>
      <c r="J1142" s="147"/>
      <c r="K1142" s="147"/>
    </row>
    <row r="1143">
      <c r="A1143" s="147"/>
      <c r="B1143" s="147"/>
      <c r="C1143" s="147"/>
      <c r="D1143" s="147"/>
      <c r="E1143" s="147"/>
      <c r="F1143" s="147"/>
      <c r="G1143" s="147"/>
      <c r="H1143" s="147"/>
      <c r="I1143" s="147"/>
      <c r="J1143" s="147"/>
      <c r="K1143" s="147"/>
    </row>
    <row r="1144">
      <c r="A1144" s="147"/>
      <c r="B1144" s="147"/>
      <c r="C1144" s="147"/>
      <c r="D1144" s="147"/>
      <c r="E1144" s="147"/>
      <c r="F1144" s="147"/>
      <c r="G1144" s="147"/>
      <c r="H1144" s="147"/>
      <c r="I1144" s="147"/>
      <c r="J1144" s="147"/>
      <c r="K1144" s="147"/>
    </row>
    <row r="1145">
      <c r="A1145" s="147"/>
      <c r="B1145" s="147"/>
      <c r="C1145" s="147"/>
      <c r="D1145" s="147"/>
      <c r="E1145" s="147"/>
      <c r="F1145" s="147"/>
      <c r="G1145" s="147"/>
      <c r="H1145" s="147"/>
      <c r="I1145" s="147"/>
      <c r="J1145" s="147"/>
      <c r="K1145" s="147"/>
    </row>
    <row r="1146">
      <c r="A1146" s="147"/>
      <c r="B1146" s="147"/>
      <c r="C1146" s="147"/>
      <c r="D1146" s="147"/>
      <c r="E1146" s="147"/>
      <c r="F1146" s="147"/>
      <c r="G1146" s="147"/>
      <c r="H1146" s="147"/>
      <c r="I1146" s="147"/>
      <c r="J1146" s="147"/>
      <c r="K1146" s="147"/>
    </row>
    <row r="1147">
      <c r="A1147" s="147"/>
      <c r="B1147" s="147"/>
      <c r="C1147" s="147"/>
      <c r="D1147" s="147"/>
      <c r="E1147" s="147"/>
      <c r="F1147" s="147"/>
      <c r="G1147" s="147"/>
      <c r="H1147" s="147"/>
      <c r="I1147" s="147"/>
      <c r="J1147" s="147"/>
      <c r="K1147" s="147"/>
    </row>
    <row r="1148">
      <c r="A1148" s="147"/>
      <c r="B1148" s="147"/>
      <c r="C1148" s="147"/>
      <c r="D1148" s="147"/>
      <c r="E1148" s="147"/>
      <c r="F1148" s="147"/>
      <c r="G1148" s="147"/>
      <c r="H1148" s="147"/>
      <c r="I1148" s="147"/>
      <c r="J1148" s="147"/>
      <c r="K1148" s="147"/>
    </row>
    <row r="1149">
      <c r="A1149" s="147"/>
      <c r="B1149" s="147"/>
      <c r="C1149" s="147"/>
      <c r="D1149" s="147"/>
      <c r="E1149" s="147"/>
      <c r="F1149" s="147"/>
      <c r="G1149" s="147"/>
      <c r="H1149" s="147"/>
      <c r="I1149" s="147"/>
      <c r="J1149" s="147"/>
      <c r="K1149" s="147"/>
    </row>
    <row r="1150">
      <c r="A1150" s="147"/>
      <c r="B1150" s="147"/>
      <c r="C1150" s="147"/>
      <c r="D1150" s="147"/>
      <c r="E1150" s="147"/>
      <c r="F1150" s="147"/>
      <c r="G1150" s="147"/>
      <c r="H1150" s="147"/>
      <c r="I1150" s="147"/>
      <c r="J1150" s="147"/>
      <c r="K1150" s="147"/>
    </row>
    <row r="1151">
      <c r="A1151" s="147"/>
      <c r="B1151" s="147"/>
      <c r="C1151" s="147"/>
      <c r="D1151" s="147"/>
      <c r="E1151" s="147"/>
      <c r="F1151" s="147"/>
      <c r="G1151" s="147"/>
      <c r="H1151" s="147"/>
      <c r="I1151" s="147"/>
      <c r="J1151" s="147"/>
      <c r="K1151" s="147"/>
    </row>
    <row r="1152">
      <c r="A1152" s="147"/>
      <c r="B1152" s="147"/>
      <c r="C1152" s="147"/>
      <c r="D1152" s="147"/>
      <c r="E1152" s="147"/>
      <c r="F1152" s="147"/>
      <c r="G1152" s="147"/>
      <c r="H1152" s="147"/>
      <c r="I1152" s="147"/>
      <c r="J1152" s="147"/>
      <c r="K1152" s="147"/>
    </row>
    <row r="1153">
      <c r="A1153" s="147"/>
      <c r="B1153" s="147"/>
      <c r="C1153" s="147"/>
      <c r="D1153" s="147"/>
      <c r="E1153" s="147"/>
      <c r="F1153" s="147"/>
      <c r="G1153" s="147"/>
      <c r="H1153" s="147"/>
      <c r="I1153" s="147"/>
      <c r="J1153" s="147"/>
      <c r="K1153" s="147"/>
    </row>
    <row r="1154">
      <c r="A1154" s="147"/>
      <c r="B1154" s="147"/>
      <c r="C1154" s="147"/>
      <c r="D1154" s="147"/>
      <c r="E1154" s="147"/>
      <c r="F1154" s="147"/>
      <c r="G1154" s="147"/>
      <c r="H1154" s="147"/>
      <c r="I1154" s="147"/>
      <c r="J1154" s="147"/>
      <c r="K1154" s="147"/>
    </row>
    <row r="1155">
      <c r="A1155" s="147"/>
      <c r="B1155" s="147"/>
      <c r="C1155" s="147"/>
      <c r="D1155" s="147"/>
      <c r="E1155" s="147"/>
      <c r="F1155" s="147"/>
      <c r="G1155" s="147"/>
      <c r="H1155" s="147"/>
      <c r="I1155" s="147"/>
      <c r="J1155" s="147"/>
      <c r="K1155" s="147"/>
    </row>
    <row r="1156">
      <c r="A1156" s="147"/>
      <c r="B1156" s="147"/>
      <c r="C1156" s="147"/>
      <c r="D1156" s="147"/>
      <c r="E1156" s="147"/>
      <c r="F1156" s="147"/>
      <c r="G1156" s="147"/>
      <c r="H1156" s="147"/>
      <c r="I1156" s="147"/>
      <c r="J1156" s="147"/>
      <c r="K1156" s="147"/>
    </row>
    <row r="1157">
      <c r="A1157" s="147"/>
      <c r="B1157" s="147"/>
      <c r="C1157" s="147"/>
      <c r="D1157" s="147"/>
      <c r="E1157" s="147"/>
      <c r="F1157" s="147"/>
      <c r="G1157" s="147"/>
      <c r="H1157" s="147"/>
      <c r="I1157" s="147"/>
      <c r="J1157" s="147"/>
      <c r="K1157" s="147"/>
    </row>
    <row r="1158">
      <c r="A1158" s="147"/>
      <c r="B1158" s="147"/>
      <c r="C1158" s="147"/>
      <c r="D1158" s="147"/>
      <c r="E1158" s="147"/>
      <c r="F1158" s="147"/>
      <c r="G1158" s="147"/>
      <c r="H1158" s="147"/>
      <c r="I1158" s="147"/>
      <c r="J1158" s="147"/>
      <c r="K1158" s="147"/>
    </row>
    <row r="1159">
      <c r="A1159" s="147"/>
      <c r="B1159" s="147"/>
      <c r="C1159" s="147"/>
      <c r="D1159" s="147"/>
      <c r="E1159" s="147"/>
      <c r="F1159" s="147"/>
      <c r="G1159" s="147"/>
      <c r="H1159" s="147"/>
      <c r="I1159" s="147"/>
      <c r="J1159" s="147"/>
      <c r="K1159" s="147"/>
    </row>
    <row r="1160">
      <c r="A1160" s="147"/>
      <c r="B1160" s="147"/>
      <c r="C1160" s="147"/>
      <c r="D1160" s="147"/>
      <c r="E1160" s="147"/>
      <c r="F1160" s="147"/>
      <c r="G1160" s="147"/>
      <c r="H1160" s="147"/>
      <c r="I1160" s="147"/>
      <c r="J1160" s="147"/>
      <c r="K1160" s="147"/>
    </row>
    <row r="1161">
      <c r="A1161" s="147"/>
      <c r="B1161" s="147"/>
      <c r="C1161" s="147"/>
      <c r="D1161" s="147"/>
      <c r="E1161" s="147"/>
      <c r="F1161" s="147"/>
      <c r="G1161" s="147"/>
      <c r="H1161" s="147"/>
      <c r="I1161" s="147"/>
      <c r="J1161" s="147"/>
      <c r="K1161" s="147"/>
    </row>
    <row r="1162">
      <c r="A1162" s="147"/>
      <c r="B1162" s="147"/>
      <c r="C1162" s="147"/>
      <c r="D1162" s="147"/>
      <c r="E1162" s="147"/>
      <c r="F1162" s="147"/>
      <c r="G1162" s="147"/>
      <c r="H1162" s="147"/>
      <c r="I1162" s="147"/>
      <c r="J1162" s="147"/>
      <c r="K1162" s="147"/>
    </row>
    <row r="1163">
      <c r="A1163" s="147"/>
      <c r="B1163" s="147"/>
      <c r="C1163" s="147"/>
      <c r="D1163" s="147"/>
      <c r="E1163" s="147"/>
      <c r="F1163" s="147"/>
      <c r="G1163" s="147"/>
      <c r="H1163" s="147"/>
      <c r="I1163" s="147"/>
      <c r="J1163" s="147"/>
      <c r="K1163" s="147"/>
    </row>
    <row r="1164">
      <c r="A1164" s="147"/>
      <c r="B1164" s="147"/>
      <c r="C1164" s="147"/>
      <c r="D1164" s="147"/>
      <c r="E1164" s="147"/>
      <c r="F1164" s="147"/>
      <c r="G1164" s="147"/>
      <c r="H1164" s="147"/>
      <c r="I1164" s="147"/>
      <c r="J1164" s="147"/>
      <c r="K1164" s="147"/>
    </row>
    <row r="1165">
      <c r="A1165" s="147"/>
      <c r="B1165" s="147"/>
      <c r="C1165" s="147"/>
      <c r="D1165" s="147"/>
      <c r="E1165" s="147"/>
      <c r="F1165" s="147"/>
      <c r="G1165" s="147"/>
      <c r="H1165" s="147"/>
      <c r="I1165" s="147"/>
      <c r="J1165" s="147"/>
      <c r="K1165" s="147"/>
    </row>
    <row r="1166">
      <c r="A1166" s="147"/>
      <c r="B1166" s="147"/>
      <c r="C1166" s="147"/>
      <c r="D1166" s="147"/>
      <c r="E1166" s="147"/>
      <c r="F1166" s="147"/>
      <c r="G1166" s="147"/>
      <c r="H1166" s="147"/>
      <c r="I1166" s="147"/>
      <c r="J1166" s="147"/>
      <c r="K1166" s="147"/>
    </row>
    <row r="1167">
      <c r="A1167" s="147"/>
      <c r="B1167" s="147"/>
      <c r="C1167" s="147"/>
      <c r="D1167" s="147"/>
      <c r="E1167" s="147"/>
      <c r="F1167" s="147"/>
      <c r="G1167" s="147"/>
      <c r="H1167" s="147"/>
      <c r="I1167" s="147"/>
      <c r="J1167" s="147"/>
      <c r="K1167" s="147"/>
    </row>
    <row r="1168">
      <c r="A1168" s="147"/>
      <c r="B1168" s="147"/>
      <c r="C1168" s="147"/>
      <c r="D1168" s="147"/>
      <c r="E1168" s="147"/>
      <c r="F1168" s="147"/>
      <c r="G1168" s="147"/>
      <c r="H1168" s="147"/>
      <c r="I1168" s="147"/>
      <c r="J1168" s="147"/>
      <c r="K1168" s="147"/>
    </row>
    <row r="1169">
      <c r="A1169" s="147"/>
      <c r="B1169" s="147"/>
      <c r="C1169" s="147"/>
      <c r="D1169" s="147"/>
      <c r="E1169" s="147"/>
      <c r="F1169" s="147"/>
      <c r="G1169" s="147"/>
      <c r="H1169" s="147"/>
      <c r="I1169" s="147"/>
      <c r="J1169" s="147"/>
      <c r="K1169" s="147"/>
    </row>
    <row r="1170">
      <c r="A1170" s="147"/>
      <c r="B1170" s="147"/>
      <c r="C1170" s="147"/>
      <c r="D1170" s="147"/>
      <c r="E1170" s="147"/>
      <c r="F1170" s="147"/>
      <c r="G1170" s="147"/>
      <c r="H1170" s="147"/>
      <c r="I1170" s="147"/>
      <c r="J1170" s="147"/>
      <c r="K1170" s="147"/>
    </row>
    <row r="1171">
      <c r="A1171" s="147"/>
      <c r="B1171" s="147"/>
      <c r="C1171" s="147"/>
      <c r="D1171" s="147"/>
      <c r="E1171" s="147"/>
      <c r="F1171" s="147"/>
      <c r="G1171" s="147"/>
      <c r="H1171" s="147"/>
      <c r="I1171" s="147"/>
      <c r="J1171" s="147"/>
      <c r="K1171" s="147"/>
    </row>
    <row r="1172">
      <c r="A1172" s="147"/>
      <c r="B1172" s="147"/>
      <c r="C1172" s="147"/>
      <c r="D1172" s="147"/>
      <c r="E1172" s="147"/>
      <c r="F1172" s="147"/>
      <c r="G1172" s="147"/>
      <c r="H1172" s="147"/>
      <c r="I1172" s="147"/>
      <c r="J1172" s="147"/>
      <c r="K1172" s="147"/>
    </row>
    <row r="1173">
      <c r="A1173" s="147"/>
      <c r="B1173" s="147"/>
      <c r="C1173" s="147"/>
      <c r="D1173" s="147"/>
      <c r="E1173" s="147"/>
      <c r="F1173" s="147"/>
      <c r="G1173" s="147"/>
      <c r="H1173" s="147"/>
      <c r="I1173" s="147"/>
      <c r="J1173" s="147"/>
      <c r="K1173" s="147"/>
    </row>
    <row r="1174">
      <c r="A1174" s="147"/>
      <c r="B1174" s="147"/>
      <c r="C1174" s="147"/>
      <c r="D1174" s="147"/>
      <c r="E1174" s="147"/>
      <c r="F1174" s="147"/>
      <c r="G1174" s="147"/>
      <c r="H1174" s="147"/>
      <c r="I1174" s="147"/>
      <c r="J1174" s="147"/>
      <c r="K1174" s="147"/>
    </row>
    <row r="1175">
      <c r="A1175" s="147"/>
      <c r="B1175" s="147"/>
      <c r="C1175" s="147"/>
      <c r="D1175" s="147"/>
      <c r="E1175" s="147"/>
      <c r="F1175" s="147"/>
      <c r="G1175" s="147"/>
      <c r="H1175" s="147"/>
      <c r="I1175" s="147"/>
      <c r="J1175" s="147"/>
      <c r="K1175" s="147"/>
    </row>
    <row r="1176">
      <c r="A1176" s="147"/>
      <c r="B1176" s="147"/>
      <c r="C1176" s="147"/>
      <c r="D1176" s="147"/>
      <c r="E1176" s="147"/>
      <c r="F1176" s="147"/>
      <c r="G1176" s="147"/>
      <c r="H1176" s="147"/>
      <c r="I1176" s="147"/>
      <c r="J1176" s="147"/>
      <c r="K1176" s="147"/>
    </row>
    <row r="1177">
      <c r="A1177" s="147"/>
      <c r="B1177" s="147"/>
      <c r="C1177" s="147"/>
      <c r="D1177" s="147"/>
      <c r="E1177" s="147"/>
      <c r="F1177" s="147"/>
      <c r="G1177" s="147"/>
      <c r="H1177" s="147"/>
      <c r="I1177" s="147"/>
      <c r="J1177" s="147"/>
      <c r="K1177" s="147"/>
    </row>
    <row r="1178">
      <c r="A1178" s="147"/>
      <c r="B1178" s="147"/>
      <c r="C1178" s="147"/>
      <c r="D1178" s="147"/>
      <c r="E1178" s="147"/>
      <c r="F1178" s="147"/>
      <c r="G1178" s="147"/>
      <c r="H1178" s="147"/>
      <c r="I1178" s="147"/>
      <c r="J1178" s="147"/>
      <c r="K1178" s="147"/>
    </row>
    <row r="1179">
      <c r="A1179" s="147"/>
      <c r="B1179" s="147"/>
      <c r="C1179" s="147"/>
      <c r="D1179" s="147"/>
      <c r="E1179" s="147"/>
      <c r="F1179" s="147"/>
      <c r="G1179" s="147"/>
      <c r="H1179" s="147"/>
      <c r="I1179" s="147"/>
      <c r="J1179" s="147"/>
      <c r="K1179" s="147"/>
    </row>
    <row r="1180">
      <c r="A1180" s="147"/>
      <c r="B1180" s="147"/>
      <c r="C1180" s="147"/>
      <c r="D1180" s="147"/>
      <c r="E1180" s="147"/>
      <c r="F1180" s="147"/>
      <c r="G1180" s="147"/>
      <c r="H1180" s="147"/>
      <c r="I1180" s="147"/>
      <c r="J1180" s="147"/>
      <c r="K1180" s="147"/>
    </row>
    <row r="1181">
      <c r="A1181" s="147"/>
      <c r="B1181" s="147"/>
      <c r="C1181" s="147"/>
      <c r="D1181" s="147"/>
      <c r="E1181" s="147"/>
      <c r="F1181" s="147"/>
      <c r="G1181" s="147"/>
      <c r="H1181" s="147"/>
      <c r="I1181" s="147"/>
      <c r="J1181" s="147"/>
      <c r="K1181" s="147"/>
    </row>
    <row r="1182">
      <c r="A1182" s="147"/>
      <c r="B1182" s="147"/>
      <c r="C1182" s="147"/>
      <c r="D1182" s="147"/>
      <c r="E1182" s="147"/>
      <c r="F1182" s="147"/>
      <c r="G1182" s="147"/>
      <c r="H1182" s="147"/>
      <c r="I1182" s="147"/>
      <c r="J1182" s="147"/>
      <c r="K1182" s="147"/>
    </row>
    <row r="1183">
      <c r="A1183" s="147"/>
      <c r="B1183" s="147"/>
      <c r="C1183" s="147"/>
      <c r="D1183" s="147"/>
      <c r="E1183" s="147"/>
      <c r="F1183" s="147"/>
      <c r="G1183" s="147"/>
      <c r="H1183" s="147"/>
      <c r="I1183" s="147"/>
      <c r="J1183" s="147"/>
      <c r="K1183" s="147"/>
    </row>
    <row r="1184">
      <c r="A1184" s="147"/>
      <c r="B1184" s="147"/>
      <c r="C1184" s="147"/>
      <c r="D1184" s="147"/>
      <c r="E1184" s="147"/>
      <c r="F1184" s="147"/>
      <c r="G1184" s="147"/>
      <c r="H1184" s="147"/>
      <c r="I1184" s="147"/>
      <c r="J1184" s="147"/>
      <c r="K1184" s="147"/>
    </row>
    <row r="1185">
      <c r="A1185" s="147"/>
      <c r="B1185" s="147"/>
      <c r="C1185" s="147"/>
      <c r="D1185" s="147"/>
      <c r="E1185" s="147"/>
      <c r="F1185" s="147"/>
      <c r="G1185" s="147"/>
      <c r="H1185" s="147"/>
      <c r="I1185" s="147"/>
      <c r="J1185" s="147"/>
      <c r="K1185" s="147"/>
    </row>
    <row r="1186">
      <c r="A1186" s="147"/>
      <c r="B1186" s="147"/>
      <c r="C1186" s="147"/>
      <c r="D1186" s="147"/>
      <c r="E1186" s="147"/>
      <c r="F1186" s="147"/>
      <c r="G1186" s="147"/>
      <c r="H1186" s="147"/>
      <c r="I1186" s="147"/>
      <c r="J1186" s="147"/>
      <c r="K1186" s="147"/>
    </row>
    <row r="1187">
      <c r="A1187" s="147"/>
      <c r="B1187" s="147"/>
      <c r="C1187" s="147"/>
      <c r="D1187" s="147"/>
      <c r="E1187" s="147"/>
      <c r="F1187" s="147"/>
      <c r="G1187" s="147"/>
      <c r="H1187" s="147"/>
      <c r="I1187" s="147"/>
      <c r="J1187" s="147"/>
      <c r="K1187" s="147"/>
    </row>
    <row r="1188">
      <c r="A1188" s="147"/>
      <c r="B1188" s="147"/>
      <c r="C1188" s="147"/>
      <c r="D1188" s="147"/>
      <c r="E1188" s="147"/>
      <c r="F1188" s="147"/>
      <c r="G1188" s="147"/>
      <c r="H1188" s="147"/>
      <c r="I1188" s="147"/>
      <c r="J1188" s="147"/>
      <c r="K1188" s="147"/>
    </row>
    <row r="1189">
      <c r="A1189" s="147"/>
      <c r="B1189" s="147"/>
      <c r="C1189" s="147"/>
      <c r="D1189" s="147"/>
      <c r="E1189" s="147"/>
      <c r="F1189" s="147"/>
      <c r="G1189" s="147"/>
      <c r="H1189" s="147"/>
      <c r="I1189" s="147"/>
      <c r="J1189" s="147"/>
      <c r="K1189" s="147"/>
    </row>
    <row r="1190">
      <c r="A1190" s="147"/>
      <c r="B1190" s="147"/>
      <c r="C1190" s="147"/>
      <c r="D1190" s="147"/>
      <c r="E1190" s="147"/>
      <c r="F1190" s="147"/>
      <c r="G1190" s="147"/>
      <c r="H1190" s="147"/>
      <c r="I1190" s="147"/>
      <c r="J1190" s="147"/>
      <c r="K1190" s="147"/>
    </row>
    <row r="1191">
      <c r="A1191" s="147"/>
      <c r="B1191" s="147"/>
      <c r="C1191" s="147"/>
      <c r="D1191" s="147"/>
      <c r="E1191" s="147"/>
      <c r="F1191" s="147"/>
      <c r="G1191" s="147"/>
      <c r="H1191" s="147"/>
      <c r="I1191" s="147"/>
      <c r="J1191" s="147"/>
      <c r="K1191" s="147"/>
    </row>
    <row r="1192">
      <c r="A1192" s="147"/>
      <c r="B1192" s="147"/>
      <c r="C1192" s="147"/>
      <c r="D1192" s="147"/>
      <c r="E1192" s="147"/>
      <c r="F1192" s="147"/>
      <c r="G1192" s="147"/>
      <c r="H1192" s="147"/>
      <c r="I1192" s="147"/>
      <c r="J1192" s="147"/>
      <c r="K1192" s="147"/>
    </row>
    <row r="1193">
      <c r="A1193" s="147"/>
      <c r="B1193" s="147"/>
      <c r="C1193" s="147"/>
      <c r="D1193" s="147"/>
      <c r="E1193" s="147"/>
      <c r="F1193" s="147"/>
      <c r="G1193" s="147"/>
      <c r="H1193" s="147"/>
      <c r="I1193" s="147"/>
      <c r="J1193" s="147"/>
      <c r="K1193" s="147"/>
    </row>
    <row r="1194">
      <c r="A1194" s="147"/>
      <c r="B1194" s="147"/>
      <c r="C1194" s="147"/>
      <c r="D1194" s="147"/>
      <c r="E1194" s="147"/>
      <c r="F1194" s="147"/>
      <c r="G1194" s="147"/>
      <c r="H1194" s="147"/>
      <c r="I1194" s="147"/>
      <c r="J1194" s="147"/>
      <c r="K1194" s="147"/>
    </row>
    <row r="1195">
      <c r="A1195" s="147"/>
      <c r="B1195" s="147"/>
      <c r="C1195" s="147"/>
      <c r="D1195" s="147"/>
      <c r="E1195" s="147"/>
      <c r="F1195" s="147"/>
      <c r="G1195" s="147"/>
      <c r="H1195" s="147"/>
      <c r="I1195" s="147"/>
      <c r="J1195" s="147"/>
      <c r="K1195" s="147"/>
    </row>
    <row r="1196">
      <c r="A1196" s="147"/>
      <c r="B1196" s="147"/>
      <c r="C1196" s="147"/>
      <c r="D1196" s="147"/>
      <c r="E1196" s="147"/>
      <c r="F1196" s="147"/>
      <c r="G1196" s="147"/>
      <c r="H1196" s="147"/>
      <c r="I1196" s="147"/>
      <c r="J1196" s="147"/>
      <c r="K1196" s="147"/>
    </row>
    <row r="1197">
      <c r="A1197" s="147"/>
      <c r="B1197" s="147"/>
      <c r="C1197" s="147"/>
      <c r="D1197" s="147"/>
      <c r="E1197" s="147"/>
      <c r="F1197" s="147"/>
      <c r="G1197" s="147"/>
      <c r="H1197" s="147"/>
      <c r="I1197" s="147"/>
      <c r="J1197" s="147"/>
      <c r="K1197" s="147"/>
    </row>
    <row r="1198">
      <c r="A1198" s="147"/>
      <c r="B1198" s="147"/>
      <c r="C1198" s="147"/>
      <c r="D1198" s="147"/>
      <c r="E1198" s="147"/>
      <c r="F1198" s="147"/>
      <c r="G1198" s="147"/>
      <c r="H1198" s="147"/>
      <c r="I1198" s="147"/>
      <c r="J1198" s="147"/>
      <c r="K1198" s="147"/>
    </row>
    <row r="1199">
      <c r="A1199" s="147"/>
      <c r="B1199" s="147"/>
      <c r="C1199" s="147"/>
      <c r="D1199" s="147"/>
      <c r="E1199" s="147"/>
      <c r="F1199" s="147"/>
      <c r="G1199" s="147"/>
      <c r="H1199" s="147"/>
      <c r="I1199" s="147"/>
      <c r="J1199" s="147"/>
      <c r="K1199" s="147"/>
    </row>
    <row r="1200">
      <c r="A1200" s="147"/>
      <c r="B1200" s="147"/>
      <c r="C1200" s="147"/>
      <c r="D1200" s="147"/>
      <c r="E1200" s="147"/>
      <c r="F1200" s="147"/>
      <c r="G1200" s="147"/>
      <c r="H1200" s="147"/>
      <c r="I1200" s="147"/>
      <c r="J1200" s="147"/>
      <c r="K1200" s="147"/>
    </row>
    <row r="1201">
      <c r="A1201" s="147"/>
      <c r="B1201" s="147"/>
      <c r="C1201" s="147"/>
      <c r="D1201" s="147"/>
      <c r="E1201" s="147"/>
      <c r="F1201" s="147"/>
      <c r="G1201" s="147"/>
      <c r="H1201" s="147"/>
      <c r="I1201" s="147"/>
      <c r="J1201" s="147"/>
      <c r="K1201" s="147"/>
    </row>
    <row r="1202">
      <c r="A1202" s="147"/>
      <c r="B1202" s="147"/>
      <c r="C1202" s="147"/>
      <c r="D1202" s="147"/>
      <c r="E1202" s="147"/>
      <c r="F1202" s="147"/>
      <c r="G1202" s="147"/>
      <c r="H1202" s="147"/>
      <c r="I1202" s="147"/>
      <c r="J1202" s="147"/>
      <c r="K1202" s="147"/>
    </row>
    <row r="1203">
      <c r="A1203" s="147"/>
      <c r="B1203" s="147"/>
      <c r="C1203" s="147"/>
      <c r="D1203" s="147"/>
      <c r="E1203" s="147"/>
      <c r="F1203" s="147"/>
      <c r="G1203" s="147"/>
      <c r="H1203" s="147"/>
      <c r="I1203" s="147"/>
      <c r="J1203" s="147"/>
      <c r="K1203" s="147"/>
    </row>
    <row r="1204">
      <c r="A1204" s="147"/>
      <c r="B1204" s="147"/>
      <c r="C1204" s="147"/>
      <c r="D1204" s="147"/>
      <c r="E1204" s="147"/>
      <c r="F1204" s="147"/>
      <c r="G1204" s="147"/>
      <c r="H1204" s="147"/>
      <c r="I1204" s="147"/>
      <c r="J1204" s="147"/>
      <c r="K1204" s="147"/>
    </row>
    <row r="1205">
      <c r="A1205" s="147"/>
      <c r="B1205" s="147"/>
      <c r="C1205" s="147"/>
      <c r="D1205" s="147"/>
      <c r="E1205" s="147"/>
      <c r="F1205" s="147"/>
      <c r="G1205" s="147"/>
      <c r="H1205" s="147"/>
      <c r="I1205" s="147"/>
      <c r="J1205" s="147"/>
      <c r="K1205" s="147"/>
    </row>
    <row r="1206">
      <c r="A1206" s="147"/>
      <c r="B1206" s="147"/>
      <c r="C1206" s="147"/>
      <c r="D1206" s="147"/>
      <c r="E1206" s="147"/>
      <c r="F1206" s="147"/>
      <c r="G1206" s="147"/>
      <c r="H1206" s="147"/>
      <c r="I1206" s="147"/>
      <c r="J1206" s="147"/>
      <c r="K1206" s="147"/>
    </row>
    <row r="1207">
      <c r="A1207" s="147"/>
      <c r="B1207" s="147"/>
      <c r="C1207" s="147"/>
      <c r="D1207" s="147"/>
      <c r="E1207" s="147"/>
      <c r="F1207" s="147"/>
      <c r="G1207" s="147"/>
      <c r="H1207" s="147"/>
      <c r="I1207" s="147"/>
      <c r="J1207" s="147"/>
      <c r="K1207" s="147"/>
    </row>
    <row r="1208">
      <c r="A1208" s="147"/>
      <c r="B1208" s="147"/>
      <c r="C1208" s="147"/>
      <c r="D1208" s="147"/>
      <c r="E1208" s="147"/>
      <c r="F1208" s="147"/>
      <c r="G1208" s="147"/>
      <c r="H1208" s="147"/>
      <c r="I1208" s="147"/>
      <c r="J1208" s="147"/>
      <c r="K1208" s="147"/>
    </row>
    <row r="1209">
      <c r="A1209" s="147"/>
      <c r="B1209" s="147"/>
      <c r="C1209" s="147"/>
      <c r="D1209" s="147"/>
      <c r="E1209" s="147"/>
      <c r="F1209" s="147"/>
      <c r="G1209" s="147"/>
      <c r="H1209" s="147"/>
      <c r="I1209" s="147"/>
      <c r="J1209" s="147"/>
      <c r="K1209" s="147"/>
    </row>
    <row r="1210">
      <c r="A1210" s="147"/>
      <c r="B1210" s="147"/>
      <c r="C1210" s="147"/>
      <c r="D1210" s="147"/>
      <c r="E1210" s="147"/>
      <c r="F1210" s="147"/>
      <c r="G1210" s="147"/>
      <c r="H1210" s="147"/>
      <c r="I1210" s="147"/>
      <c r="J1210" s="147"/>
      <c r="K1210" s="147"/>
    </row>
    <row r="1211">
      <c r="A1211" s="147"/>
      <c r="B1211" s="147"/>
      <c r="C1211" s="147"/>
      <c r="D1211" s="147"/>
      <c r="E1211" s="147"/>
      <c r="F1211" s="147"/>
      <c r="G1211" s="147"/>
      <c r="H1211" s="147"/>
      <c r="I1211" s="147"/>
      <c r="J1211" s="147"/>
      <c r="K1211" s="147"/>
    </row>
    <row r="1212">
      <c r="A1212" s="147"/>
      <c r="B1212" s="147"/>
      <c r="C1212" s="147"/>
      <c r="D1212" s="147"/>
      <c r="E1212" s="147"/>
      <c r="F1212" s="147"/>
      <c r="G1212" s="147"/>
      <c r="H1212" s="147"/>
      <c r="I1212" s="147"/>
      <c r="J1212" s="147"/>
      <c r="K1212" s="147"/>
    </row>
    <row r="1213">
      <c r="A1213" s="147"/>
      <c r="B1213" s="147"/>
      <c r="C1213" s="147"/>
      <c r="D1213" s="147"/>
      <c r="E1213" s="147"/>
      <c r="F1213" s="147"/>
      <c r="G1213" s="147"/>
      <c r="H1213" s="147"/>
      <c r="I1213" s="147"/>
      <c r="J1213" s="147"/>
      <c r="K1213" s="147"/>
    </row>
    <row r="1214">
      <c r="A1214" s="147"/>
      <c r="B1214" s="147"/>
      <c r="C1214" s="147"/>
      <c r="D1214" s="147"/>
      <c r="E1214" s="147"/>
      <c r="F1214" s="147"/>
      <c r="G1214" s="147"/>
      <c r="H1214" s="147"/>
      <c r="I1214" s="147"/>
      <c r="J1214" s="147"/>
      <c r="K1214" s="147"/>
    </row>
    <row r="1215">
      <c r="A1215" s="147"/>
      <c r="B1215" s="147"/>
      <c r="C1215" s="147"/>
      <c r="D1215" s="147"/>
      <c r="E1215" s="147"/>
      <c r="F1215" s="147"/>
      <c r="G1215" s="147"/>
      <c r="H1215" s="147"/>
      <c r="I1215" s="147"/>
      <c r="J1215" s="147"/>
      <c r="K1215" s="147"/>
    </row>
    <row r="1216">
      <c r="A1216" s="147"/>
      <c r="B1216" s="147"/>
      <c r="C1216" s="147"/>
      <c r="D1216" s="147"/>
      <c r="E1216" s="147"/>
      <c r="F1216" s="147"/>
      <c r="G1216" s="147"/>
      <c r="H1216" s="147"/>
      <c r="I1216" s="147"/>
      <c r="J1216" s="147"/>
      <c r="K1216" s="147"/>
    </row>
    <row r="1217">
      <c r="A1217" s="147"/>
      <c r="B1217" s="147"/>
      <c r="C1217" s="147"/>
      <c r="D1217" s="147"/>
      <c r="E1217" s="147"/>
      <c r="F1217" s="147"/>
      <c r="G1217" s="147"/>
      <c r="H1217" s="147"/>
      <c r="I1217" s="147"/>
      <c r="J1217" s="147"/>
      <c r="K1217" s="147"/>
    </row>
    <row r="1218">
      <c r="A1218" s="147"/>
      <c r="B1218" s="147"/>
      <c r="C1218" s="147"/>
      <c r="D1218" s="147"/>
      <c r="E1218" s="147"/>
      <c r="F1218" s="147"/>
      <c r="G1218" s="147"/>
      <c r="H1218" s="147"/>
      <c r="I1218" s="147"/>
      <c r="J1218" s="147"/>
      <c r="K1218" s="147"/>
    </row>
    <row r="1219">
      <c r="A1219" s="147"/>
      <c r="B1219" s="147"/>
      <c r="C1219" s="147"/>
      <c r="D1219" s="147"/>
      <c r="E1219" s="147"/>
      <c r="F1219" s="147"/>
      <c r="G1219" s="147"/>
      <c r="H1219" s="147"/>
      <c r="I1219" s="147"/>
      <c r="J1219" s="147"/>
      <c r="K1219" s="147"/>
    </row>
    <row r="1220">
      <c r="A1220" s="147"/>
      <c r="B1220" s="147"/>
      <c r="C1220" s="147"/>
      <c r="D1220" s="147"/>
      <c r="E1220" s="147"/>
      <c r="F1220" s="147"/>
      <c r="G1220" s="147"/>
      <c r="H1220" s="147"/>
      <c r="I1220" s="147"/>
      <c r="J1220" s="147"/>
      <c r="K1220" s="147"/>
    </row>
    <row r="1221">
      <c r="A1221" s="147"/>
      <c r="B1221" s="147"/>
      <c r="C1221" s="147"/>
      <c r="D1221" s="147"/>
      <c r="E1221" s="147"/>
      <c r="F1221" s="147"/>
      <c r="G1221" s="147"/>
      <c r="H1221" s="147"/>
      <c r="I1221" s="147"/>
      <c r="J1221" s="147"/>
      <c r="K1221" s="147"/>
    </row>
    <row r="1222">
      <c r="A1222" s="147"/>
      <c r="B1222" s="147"/>
      <c r="C1222" s="147"/>
      <c r="D1222" s="147"/>
      <c r="E1222" s="147"/>
      <c r="F1222" s="147"/>
      <c r="G1222" s="147"/>
      <c r="H1222" s="147"/>
      <c r="I1222" s="147"/>
      <c r="J1222" s="147"/>
      <c r="K1222" s="147"/>
    </row>
    <row r="1223">
      <c r="A1223" s="147"/>
      <c r="B1223" s="147"/>
      <c r="C1223" s="147"/>
      <c r="D1223" s="147"/>
      <c r="E1223" s="147"/>
      <c r="F1223" s="147"/>
      <c r="G1223" s="147"/>
      <c r="H1223" s="147"/>
      <c r="I1223" s="147"/>
      <c r="J1223" s="147"/>
      <c r="K1223" s="147"/>
    </row>
    <row r="1224">
      <c r="A1224" s="147"/>
      <c r="B1224" s="147"/>
      <c r="C1224" s="147"/>
      <c r="D1224" s="147"/>
      <c r="E1224" s="147"/>
      <c r="F1224" s="147"/>
      <c r="G1224" s="147"/>
      <c r="H1224" s="147"/>
      <c r="I1224" s="147"/>
      <c r="J1224" s="147"/>
      <c r="K1224" s="147"/>
    </row>
    <row r="1225">
      <c r="A1225" s="147"/>
      <c r="B1225" s="147"/>
      <c r="C1225" s="147"/>
      <c r="D1225" s="147"/>
      <c r="E1225" s="147"/>
      <c r="F1225" s="147"/>
      <c r="G1225" s="147"/>
      <c r="H1225" s="147"/>
      <c r="I1225" s="147"/>
      <c r="J1225" s="147"/>
      <c r="K1225" s="147"/>
    </row>
    <row r="1226">
      <c r="A1226" s="147"/>
      <c r="B1226" s="147"/>
      <c r="C1226" s="147"/>
      <c r="D1226" s="147"/>
      <c r="E1226" s="147"/>
      <c r="F1226" s="147"/>
      <c r="G1226" s="147"/>
      <c r="H1226" s="147"/>
      <c r="I1226" s="147"/>
      <c r="J1226" s="147"/>
      <c r="K1226" s="147"/>
    </row>
    <row r="1227">
      <c r="A1227" s="147"/>
      <c r="B1227" s="147"/>
      <c r="C1227" s="147"/>
      <c r="D1227" s="147"/>
      <c r="E1227" s="147"/>
      <c r="F1227" s="147"/>
      <c r="G1227" s="147"/>
      <c r="H1227" s="147"/>
      <c r="I1227" s="147"/>
      <c r="J1227" s="147"/>
      <c r="K1227" s="147"/>
    </row>
    <row r="1228">
      <c r="A1228" s="147"/>
      <c r="B1228" s="147"/>
      <c r="C1228" s="147"/>
      <c r="D1228" s="147"/>
      <c r="E1228" s="147"/>
      <c r="F1228" s="147"/>
      <c r="G1228" s="147"/>
      <c r="H1228" s="147"/>
      <c r="I1228" s="147"/>
      <c r="J1228" s="147"/>
      <c r="K1228" s="147"/>
    </row>
    <row r="1229">
      <c r="A1229" s="147"/>
      <c r="B1229" s="147"/>
      <c r="C1229" s="147"/>
      <c r="D1229" s="147"/>
      <c r="E1229" s="147"/>
      <c r="F1229" s="147"/>
      <c r="G1229" s="147"/>
      <c r="H1229" s="147"/>
      <c r="I1229" s="147"/>
      <c r="J1229" s="147"/>
      <c r="K1229" s="147"/>
    </row>
    <row r="1230">
      <c r="A1230" s="147"/>
      <c r="B1230" s="147"/>
      <c r="C1230" s="147"/>
      <c r="D1230" s="147"/>
      <c r="E1230" s="147"/>
      <c r="F1230" s="147"/>
      <c r="G1230" s="147"/>
      <c r="H1230" s="147"/>
      <c r="I1230" s="147"/>
      <c r="J1230" s="147"/>
      <c r="K1230" s="147"/>
    </row>
    <row r="1231">
      <c r="A1231" s="147"/>
      <c r="B1231" s="147"/>
      <c r="C1231" s="147"/>
      <c r="D1231" s="147"/>
      <c r="E1231" s="147"/>
      <c r="F1231" s="147"/>
      <c r="G1231" s="147"/>
      <c r="H1231" s="147"/>
      <c r="I1231" s="147"/>
      <c r="J1231" s="147"/>
      <c r="K1231" s="147"/>
    </row>
    <row r="1232">
      <c r="A1232" s="147"/>
      <c r="B1232" s="147"/>
      <c r="C1232" s="147"/>
      <c r="D1232" s="147"/>
      <c r="E1232" s="147"/>
      <c r="F1232" s="147"/>
      <c r="G1232" s="147"/>
      <c r="H1232" s="147"/>
      <c r="I1232" s="147"/>
      <c r="J1232" s="147"/>
      <c r="K1232" s="147"/>
    </row>
    <row r="1233">
      <c r="A1233" s="147"/>
      <c r="B1233" s="147"/>
      <c r="C1233" s="147"/>
      <c r="D1233" s="147"/>
      <c r="E1233" s="147"/>
      <c r="F1233" s="147"/>
      <c r="G1233" s="147"/>
      <c r="H1233" s="147"/>
      <c r="I1233" s="147"/>
      <c r="J1233" s="147"/>
      <c r="K1233" s="147"/>
    </row>
    <row r="1234">
      <c r="A1234" s="147"/>
      <c r="B1234" s="147"/>
      <c r="C1234" s="147"/>
      <c r="D1234" s="147"/>
      <c r="E1234" s="147"/>
      <c r="F1234" s="147"/>
      <c r="G1234" s="147"/>
      <c r="H1234" s="147"/>
      <c r="I1234" s="147"/>
      <c r="J1234" s="147"/>
      <c r="K1234" s="147"/>
    </row>
    <row r="1235">
      <c r="A1235" s="147"/>
      <c r="B1235" s="147"/>
      <c r="C1235" s="147"/>
      <c r="D1235" s="147"/>
      <c r="E1235" s="147"/>
      <c r="F1235" s="147"/>
      <c r="G1235" s="147"/>
      <c r="H1235" s="147"/>
      <c r="I1235" s="147"/>
      <c r="J1235" s="147"/>
      <c r="K1235" s="147"/>
    </row>
    <row r="1236">
      <c r="A1236" s="147"/>
      <c r="B1236" s="147"/>
      <c r="C1236" s="147"/>
      <c r="D1236" s="147"/>
      <c r="E1236" s="147"/>
      <c r="F1236" s="147"/>
      <c r="G1236" s="147"/>
      <c r="H1236" s="147"/>
      <c r="I1236" s="147"/>
      <c r="J1236" s="147"/>
      <c r="K1236" s="147"/>
    </row>
    <row r="1237">
      <c r="A1237" s="147"/>
      <c r="B1237" s="147"/>
      <c r="C1237" s="147"/>
      <c r="D1237" s="147"/>
      <c r="E1237" s="147"/>
      <c r="F1237" s="147"/>
      <c r="G1237" s="147"/>
      <c r="H1237" s="147"/>
      <c r="I1237" s="147"/>
      <c r="J1237" s="147"/>
      <c r="K1237" s="147"/>
    </row>
    <row r="1238">
      <c r="A1238" s="147"/>
      <c r="B1238" s="147"/>
      <c r="C1238" s="147"/>
      <c r="D1238" s="147"/>
      <c r="E1238" s="147"/>
      <c r="F1238" s="147"/>
      <c r="G1238" s="147"/>
      <c r="H1238" s="147"/>
      <c r="I1238" s="147"/>
      <c r="J1238" s="147"/>
      <c r="K1238" s="147"/>
    </row>
    <row r="1239">
      <c r="A1239" s="147"/>
      <c r="B1239" s="147"/>
      <c r="C1239" s="147"/>
      <c r="D1239" s="147"/>
      <c r="E1239" s="147"/>
      <c r="F1239" s="147"/>
      <c r="G1239" s="147"/>
      <c r="H1239" s="147"/>
      <c r="I1239" s="147"/>
      <c r="J1239" s="147"/>
      <c r="K1239" s="147"/>
    </row>
    <row r="1240">
      <c r="A1240" s="147"/>
      <c r="B1240" s="147"/>
      <c r="C1240" s="147"/>
      <c r="D1240" s="147"/>
      <c r="E1240" s="147"/>
      <c r="F1240" s="147"/>
      <c r="G1240" s="147"/>
      <c r="H1240" s="147"/>
      <c r="I1240" s="147"/>
      <c r="J1240" s="147"/>
      <c r="K1240" s="147"/>
    </row>
    <row r="1241">
      <c r="A1241" s="147"/>
      <c r="B1241" s="147"/>
      <c r="C1241" s="147"/>
      <c r="D1241" s="147"/>
      <c r="E1241" s="147"/>
      <c r="F1241" s="147"/>
      <c r="G1241" s="147"/>
      <c r="H1241" s="147"/>
      <c r="I1241" s="147"/>
      <c r="J1241" s="147"/>
      <c r="K1241" s="147"/>
    </row>
    <row r="1242">
      <c r="A1242" s="147"/>
      <c r="B1242" s="147"/>
      <c r="C1242" s="147"/>
      <c r="D1242" s="147"/>
      <c r="E1242" s="147"/>
      <c r="F1242" s="147"/>
      <c r="G1242" s="147"/>
      <c r="H1242" s="147"/>
      <c r="I1242" s="147"/>
      <c r="J1242" s="147"/>
      <c r="K1242" s="147"/>
    </row>
    <row r="1243">
      <c r="A1243" s="147"/>
      <c r="B1243" s="147"/>
      <c r="C1243" s="147"/>
      <c r="D1243" s="147"/>
      <c r="E1243" s="147"/>
      <c r="F1243" s="147"/>
      <c r="G1243" s="147"/>
      <c r="H1243" s="147"/>
      <c r="I1243" s="147"/>
      <c r="J1243" s="147"/>
      <c r="K1243" s="147"/>
    </row>
    <row r="1244">
      <c r="A1244" s="147"/>
      <c r="B1244" s="147"/>
      <c r="C1244" s="147"/>
      <c r="D1244" s="147"/>
      <c r="E1244" s="147"/>
      <c r="F1244" s="147"/>
      <c r="G1244" s="147"/>
      <c r="H1244" s="147"/>
      <c r="I1244" s="147"/>
      <c r="J1244" s="147"/>
      <c r="K1244" s="147"/>
    </row>
    <row r="1245">
      <c r="A1245" s="147"/>
      <c r="B1245" s="147"/>
      <c r="C1245" s="147"/>
      <c r="D1245" s="147"/>
      <c r="E1245" s="147"/>
      <c r="F1245" s="147"/>
      <c r="G1245" s="147"/>
      <c r="H1245" s="147"/>
      <c r="I1245" s="147"/>
      <c r="J1245" s="147"/>
      <c r="K1245" s="147"/>
    </row>
    <row r="1246">
      <c r="A1246" s="147"/>
      <c r="B1246" s="147"/>
      <c r="C1246" s="147"/>
      <c r="D1246" s="147"/>
      <c r="E1246" s="147"/>
      <c r="F1246" s="147"/>
      <c r="G1246" s="147"/>
      <c r="H1246" s="147"/>
      <c r="I1246" s="147"/>
      <c r="J1246" s="147"/>
      <c r="K1246" s="147"/>
    </row>
    <row r="1247">
      <c r="A1247" s="147"/>
      <c r="B1247" s="147"/>
      <c r="C1247" s="147"/>
      <c r="D1247" s="147"/>
      <c r="E1247" s="147"/>
      <c r="F1247" s="147"/>
      <c r="G1247" s="147"/>
      <c r="H1247" s="147"/>
      <c r="I1247" s="147"/>
      <c r="J1247" s="147"/>
      <c r="K1247" s="147"/>
    </row>
    <row r="1248">
      <c r="A1248" s="147"/>
      <c r="B1248" s="147"/>
      <c r="C1248" s="147"/>
      <c r="D1248" s="147"/>
      <c r="E1248" s="147"/>
      <c r="F1248" s="147"/>
      <c r="G1248" s="147"/>
      <c r="H1248" s="147"/>
      <c r="I1248" s="147"/>
      <c r="J1248" s="147"/>
      <c r="K1248" s="147"/>
    </row>
    <row r="1249">
      <c r="A1249" s="147"/>
      <c r="B1249" s="147"/>
      <c r="C1249" s="147"/>
      <c r="D1249" s="147"/>
      <c r="E1249" s="147"/>
      <c r="F1249" s="147"/>
      <c r="G1249" s="147"/>
      <c r="H1249" s="147"/>
      <c r="I1249" s="147"/>
      <c r="J1249" s="147"/>
      <c r="K1249" s="147"/>
    </row>
    <row r="1250">
      <c r="A1250" s="147"/>
      <c r="B1250" s="147"/>
      <c r="C1250" s="147"/>
      <c r="D1250" s="147"/>
      <c r="E1250" s="147"/>
      <c r="F1250" s="147"/>
      <c r="G1250" s="147"/>
      <c r="H1250" s="147"/>
      <c r="I1250" s="147"/>
      <c r="J1250" s="147"/>
      <c r="K1250" s="147"/>
    </row>
    <row r="1251">
      <c r="A1251" s="147"/>
      <c r="B1251" s="147"/>
      <c r="C1251" s="147"/>
      <c r="D1251" s="147"/>
      <c r="E1251" s="147"/>
      <c r="F1251" s="147"/>
      <c r="G1251" s="147"/>
      <c r="H1251" s="147"/>
      <c r="I1251" s="147"/>
      <c r="J1251" s="147"/>
      <c r="K1251" s="147"/>
    </row>
    <row r="1252">
      <c r="A1252" s="147"/>
      <c r="B1252" s="147"/>
      <c r="C1252" s="147"/>
      <c r="D1252" s="147"/>
      <c r="E1252" s="147"/>
      <c r="F1252" s="147"/>
      <c r="G1252" s="147"/>
      <c r="H1252" s="147"/>
      <c r="I1252" s="147"/>
      <c r="J1252" s="147"/>
      <c r="K1252" s="147"/>
    </row>
    <row r="1253">
      <c r="A1253" s="147"/>
      <c r="B1253" s="147"/>
      <c r="C1253" s="147"/>
      <c r="D1253" s="147"/>
      <c r="E1253" s="147"/>
      <c r="F1253" s="147"/>
      <c r="G1253" s="147"/>
      <c r="H1253" s="147"/>
      <c r="I1253" s="147"/>
      <c r="J1253" s="147"/>
      <c r="K1253" s="147"/>
    </row>
    <row r="1254">
      <c r="A1254" s="147"/>
      <c r="B1254" s="147"/>
      <c r="C1254" s="147"/>
      <c r="D1254" s="147"/>
      <c r="E1254" s="147"/>
      <c r="F1254" s="147"/>
      <c r="G1254" s="147"/>
      <c r="H1254" s="147"/>
      <c r="I1254" s="147"/>
      <c r="J1254" s="147"/>
      <c r="K1254" s="147"/>
    </row>
    <row r="1255">
      <c r="A1255" s="147"/>
      <c r="B1255" s="147"/>
      <c r="C1255" s="147"/>
      <c r="D1255" s="147"/>
      <c r="E1255" s="147"/>
      <c r="F1255" s="147"/>
      <c r="G1255" s="147"/>
      <c r="H1255" s="147"/>
      <c r="I1255" s="147"/>
      <c r="J1255" s="147"/>
      <c r="K1255" s="147"/>
    </row>
    <row r="1256">
      <c r="A1256" s="147"/>
      <c r="B1256" s="147"/>
      <c r="C1256" s="147"/>
      <c r="D1256" s="147"/>
      <c r="E1256" s="147"/>
      <c r="F1256" s="147"/>
      <c r="G1256" s="147"/>
      <c r="H1256" s="147"/>
      <c r="I1256" s="147"/>
      <c r="J1256" s="147"/>
      <c r="K1256" s="147"/>
    </row>
    <row r="1257">
      <c r="A1257" s="147"/>
      <c r="B1257" s="147"/>
      <c r="C1257" s="147"/>
      <c r="D1257" s="147"/>
      <c r="E1257" s="147"/>
      <c r="F1257" s="147"/>
      <c r="G1257" s="147"/>
      <c r="H1257" s="147"/>
      <c r="I1257" s="147"/>
      <c r="J1257" s="147"/>
      <c r="K1257" s="147"/>
    </row>
    <row r="1258">
      <c r="A1258" s="147"/>
      <c r="B1258" s="147"/>
      <c r="C1258" s="147"/>
      <c r="D1258" s="147"/>
      <c r="E1258" s="147"/>
      <c r="F1258" s="147"/>
      <c r="G1258" s="147"/>
      <c r="H1258" s="147"/>
      <c r="I1258" s="147"/>
      <c r="J1258" s="147"/>
      <c r="K1258" s="147"/>
    </row>
    <row r="1259">
      <c r="A1259" s="147"/>
      <c r="B1259" s="147"/>
      <c r="C1259" s="147"/>
      <c r="D1259" s="147"/>
      <c r="E1259" s="147"/>
      <c r="F1259" s="147"/>
      <c r="G1259" s="147"/>
      <c r="H1259" s="147"/>
      <c r="I1259" s="147"/>
      <c r="J1259" s="147"/>
      <c r="K1259" s="147"/>
    </row>
    <row r="1260">
      <c r="A1260" s="147"/>
      <c r="B1260" s="147"/>
      <c r="C1260" s="147"/>
      <c r="D1260" s="147"/>
      <c r="E1260" s="147"/>
      <c r="F1260" s="147"/>
      <c r="G1260" s="147"/>
      <c r="H1260" s="147"/>
      <c r="I1260" s="147"/>
      <c r="J1260" s="147"/>
      <c r="K1260" s="147"/>
    </row>
    <row r="1261">
      <c r="A1261" s="147"/>
      <c r="B1261" s="147"/>
      <c r="C1261" s="147"/>
      <c r="D1261" s="147"/>
      <c r="E1261" s="147"/>
      <c r="F1261" s="147"/>
      <c r="G1261" s="147"/>
      <c r="H1261" s="147"/>
      <c r="I1261" s="147"/>
      <c r="J1261" s="147"/>
      <c r="K1261" s="147"/>
    </row>
    <row r="1262">
      <c r="A1262" s="147"/>
      <c r="B1262" s="147"/>
      <c r="C1262" s="147"/>
      <c r="D1262" s="147"/>
      <c r="E1262" s="147"/>
      <c r="F1262" s="147"/>
      <c r="G1262" s="147"/>
      <c r="H1262" s="147"/>
      <c r="I1262" s="147"/>
      <c r="J1262" s="147"/>
      <c r="K1262" s="147"/>
    </row>
    <row r="1263">
      <c r="A1263" s="147"/>
      <c r="B1263" s="147"/>
      <c r="C1263" s="147"/>
      <c r="D1263" s="147"/>
      <c r="E1263" s="147"/>
      <c r="F1263" s="147"/>
      <c r="G1263" s="147"/>
      <c r="H1263" s="147"/>
      <c r="I1263" s="147"/>
      <c r="J1263" s="147"/>
      <c r="K1263" s="147"/>
    </row>
    <row r="1264">
      <c r="A1264" s="147"/>
      <c r="B1264" s="147"/>
      <c r="C1264" s="147"/>
      <c r="D1264" s="147"/>
      <c r="E1264" s="147"/>
      <c r="F1264" s="147"/>
      <c r="G1264" s="147"/>
      <c r="H1264" s="147"/>
      <c r="I1264" s="147"/>
      <c r="J1264" s="147"/>
      <c r="K1264" s="147"/>
    </row>
    <row r="1265">
      <c r="A1265" s="147"/>
      <c r="B1265" s="147"/>
      <c r="C1265" s="147"/>
      <c r="D1265" s="147"/>
      <c r="E1265" s="147"/>
      <c r="F1265" s="147"/>
      <c r="G1265" s="147"/>
      <c r="H1265" s="147"/>
      <c r="I1265" s="147"/>
      <c r="J1265" s="147"/>
      <c r="K1265" s="147"/>
    </row>
    <row r="1266">
      <c r="A1266" s="147"/>
      <c r="B1266" s="147"/>
      <c r="C1266" s="147"/>
      <c r="D1266" s="147"/>
      <c r="E1266" s="147"/>
      <c r="F1266" s="147"/>
      <c r="G1266" s="147"/>
      <c r="H1266" s="147"/>
      <c r="I1266" s="147"/>
      <c r="J1266" s="147"/>
      <c r="K1266" s="147"/>
    </row>
    <row r="1267">
      <c r="A1267" s="147"/>
      <c r="B1267" s="147"/>
      <c r="C1267" s="147"/>
      <c r="D1267" s="147"/>
      <c r="E1267" s="147"/>
      <c r="F1267" s="147"/>
      <c r="G1267" s="147"/>
      <c r="H1267" s="147"/>
      <c r="I1267" s="147"/>
      <c r="J1267" s="147"/>
      <c r="K1267" s="147"/>
    </row>
    <row r="1268">
      <c r="A1268" s="147"/>
      <c r="B1268" s="147"/>
      <c r="C1268" s="147"/>
      <c r="D1268" s="147"/>
      <c r="E1268" s="147"/>
      <c r="F1268" s="147"/>
      <c r="G1268" s="147"/>
      <c r="H1268" s="147"/>
      <c r="I1268" s="147"/>
      <c r="J1268" s="147"/>
      <c r="K1268" s="147"/>
    </row>
    <row r="1269">
      <c r="A1269" s="147"/>
      <c r="B1269" s="147"/>
      <c r="C1269" s="147"/>
      <c r="D1269" s="147"/>
      <c r="E1269" s="147"/>
      <c r="F1269" s="147"/>
      <c r="G1269" s="147"/>
      <c r="H1269" s="147"/>
      <c r="I1269" s="147"/>
      <c r="J1269" s="147"/>
      <c r="K1269" s="147"/>
    </row>
    <row r="1270">
      <c r="A1270" s="147"/>
      <c r="B1270" s="147"/>
      <c r="C1270" s="147"/>
      <c r="D1270" s="147"/>
      <c r="E1270" s="147"/>
      <c r="F1270" s="147"/>
      <c r="G1270" s="147"/>
      <c r="H1270" s="147"/>
      <c r="I1270" s="147"/>
      <c r="J1270" s="147"/>
      <c r="K1270" s="147"/>
    </row>
    <row r="1271">
      <c r="A1271" s="147"/>
      <c r="B1271" s="147"/>
      <c r="C1271" s="147"/>
      <c r="D1271" s="147"/>
      <c r="E1271" s="147"/>
      <c r="F1271" s="147"/>
      <c r="G1271" s="147"/>
      <c r="H1271" s="147"/>
      <c r="I1271" s="147"/>
      <c r="J1271" s="147"/>
      <c r="K1271" s="147"/>
    </row>
    <row r="1272">
      <c r="A1272" s="147"/>
      <c r="B1272" s="147"/>
      <c r="C1272" s="147"/>
      <c r="D1272" s="147"/>
      <c r="E1272" s="147"/>
      <c r="F1272" s="147"/>
      <c r="G1272" s="147"/>
      <c r="H1272" s="147"/>
      <c r="I1272" s="147"/>
      <c r="J1272" s="147"/>
      <c r="K1272" s="147"/>
    </row>
    <row r="1273">
      <c r="A1273" s="147"/>
      <c r="B1273" s="147"/>
      <c r="C1273" s="147"/>
      <c r="D1273" s="147"/>
      <c r="E1273" s="147"/>
      <c r="F1273" s="147"/>
      <c r="G1273" s="147"/>
      <c r="H1273" s="147"/>
      <c r="I1273" s="147"/>
      <c r="J1273" s="147"/>
      <c r="K1273" s="147"/>
    </row>
    <row r="1274">
      <c r="A1274" s="147"/>
      <c r="B1274" s="147"/>
      <c r="C1274" s="147"/>
      <c r="D1274" s="147"/>
      <c r="E1274" s="147"/>
      <c r="F1274" s="147"/>
      <c r="G1274" s="147"/>
      <c r="H1274" s="147"/>
      <c r="I1274" s="147"/>
      <c r="J1274" s="147"/>
      <c r="K1274" s="147"/>
    </row>
    <row r="1275">
      <c r="A1275" s="147"/>
      <c r="B1275" s="147"/>
      <c r="C1275" s="147"/>
      <c r="D1275" s="147"/>
      <c r="E1275" s="147"/>
      <c r="F1275" s="147"/>
      <c r="G1275" s="147"/>
      <c r="H1275" s="147"/>
      <c r="I1275" s="147"/>
      <c r="J1275" s="147"/>
      <c r="K1275" s="147"/>
    </row>
    <row r="1276">
      <c r="A1276" s="147"/>
      <c r="B1276" s="147"/>
      <c r="C1276" s="147"/>
      <c r="D1276" s="147"/>
      <c r="E1276" s="147"/>
      <c r="F1276" s="147"/>
      <c r="G1276" s="147"/>
      <c r="H1276" s="147"/>
      <c r="I1276" s="147"/>
      <c r="J1276" s="147"/>
      <c r="K1276" s="147"/>
    </row>
    <row r="1277">
      <c r="A1277" s="147"/>
      <c r="B1277" s="147"/>
      <c r="C1277" s="147"/>
      <c r="D1277" s="147"/>
      <c r="E1277" s="147"/>
      <c r="F1277" s="147"/>
      <c r="G1277" s="147"/>
      <c r="H1277" s="147"/>
      <c r="I1277" s="147"/>
      <c r="J1277" s="147"/>
      <c r="K1277" s="147"/>
    </row>
    <row r="1278">
      <c r="A1278" s="147"/>
      <c r="B1278" s="147"/>
      <c r="C1278" s="147"/>
      <c r="D1278" s="147"/>
      <c r="E1278" s="147"/>
      <c r="F1278" s="147"/>
      <c r="G1278" s="147"/>
      <c r="H1278" s="147"/>
      <c r="I1278" s="147"/>
      <c r="J1278" s="147"/>
      <c r="K1278" s="147"/>
    </row>
    <row r="1279">
      <c r="A1279" s="147"/>
      <c r="B1279" s="147"/>
      <c r="C1279" s="147"/>
      <c r="D1279" s="147"/>
      <c r="E1279" s="147"/>
      <c r="F1279" s="147"/>
      <c r="G1279" s="147"/>
      <c r="H1279" s="147"/>
      <c r="I1279" s="147"/>
      <c r="J1279" s="147"/>
      <c r="K1279" s="147"/>
    </row>
    <row r="1280">
      <c r="A1280" s="147"/>
      <c r="B1280" s="147"/>
      <c r="C1280" s="147"/>
      <c r="D1280" s="147"/>
      <c r="E1280" s="147"/>
      <c r="F1280" s="147"/>
      <c r="G1280" s="147"/>
      <c r="H1280" s="147"/>
      <c r="I1280" s="147"/>
      <c r="J1280" s="147"/>
      <c r="K1280" s="147"/>
    </row>
    <row r="1281">
      <c r="A1281" s="147"/>
      <c r="B1281" s="147"/>
      <c r="C1281" s="147"/>
      <c r="D1281" s="147"/>
      <c r="E1281" s="147"/>
      <c r="F1281" s="147"/>
      <c r="G1281" s="147"/>
      <c r="H1281" s="147"/>
      <c r="I1281" s="147"/>
      <c r="J1281" s="147"/>
      <c r="K1281" s="147"/>
    </row>
    <row r="1282">
      <c r="A1282" s="147"/>
      <c r="B1282" s="147"/>
      <c r="C1282" s="147"/>
      <c r="D1282" s="147"/>
      <c r="E1282" s="147"/>
      <c r="F1282" s="147"/>
      <c r="G1282" s="147"/>
      <c r="H1282" s="147"/>
      <c r="I1282" s="147"/>
      <c r="J1282" s="147"/>
      <c r="K1282" s="147"/>
    </row>
    <row r="1283">
      <c r="A1283" s="147"/>
      <c r="B1283" s="147"/>
      <c r="C1283" s="147"/>
      <c r="D1283" s="147"/>
      <c r="E1283" s="147"/>
      <c r="F1283" s="147"/>
      <c r="G1283" s="147"/>
      <c r="H1283" s="147"/>
      <c r="I1283" s="147"/>
      <c r="J1283" s="147"/>
      <c r="K1283" s="147"/>
    </row>
    <row r="1284">
      <c r="A1284" s="147"/>
      <c r="B1284" s="147"/>
      <c r="C1284" s="147"/>
      <c r="D1284" s="147"/>
      <c r="E1284" s="147"/>
      <c r="F1284" s="147"/>
      <c r="G1284" s="147"/>
      <c r="H1284" s="147"/>
      <c r="I1284" s="147"/>
      <c r="J1284" s="147"/>
      <c r="K1284" s="147"/>
    </row>
    <row r="1285">
      <c r="A1285" s="147"/>
      <c r="B1285" s="147"/>
      <c r="C1285" s="147"/>
      <c r="D1285" s="147"/>
      <c r="E1285" s="147"/>
      <c r="F1285" s="147"/>
      <c r="G1285" s="147"/>
      <c r="H1285" s="147"/>
      <c r="I1285" s="147"/>
      <c r="J1285" s="147"/>
      <c r="K1285" s="147"/>
    </row>
    <row r="1286">
      <c r="A1286" s="147"/>
      <c r="B1286" s="147"/>
      <c r="C1286" s="147"/>
      <c r="D1286" s="147"/>
      <c r="E1286" s="147"/>
      <c r="F1286" s="147"/>
      <c r="G1286" s="147"/>
      <c r="H1286" s="147"/>
      <c r="I1286" s="147"/>
      <c r="J1286" s="147"/>
      <c r="K1286" s="147"/>
    </row>
    <row r="1287">
      <c r="A1287" s="147"/>
      <c r="B1287" s="147"/>
      <c r="C1287" s="147"/>
      <c r="D1287" s="147"/>
      <c r="E1287" s="147"/>
      <c r="F1287" s="147"/>
      <c r="G1287" s="147"/>
      <c r="H1287" s="147"/>
      <c r="I1287" s="147"/>
      <c r="J1287" s="147"/>
      <c r="K1287" s="147"/>
    </row>
    <row r="1288">
      <c r="A1288" s="147"/>
      <c r="B1288" s="147"/>
      <c r="C1288" s="147"/>
      <c r="D1288" s="147"/>
      <c r="E1288" s="147"/>
      <c r="F1288" s="147"/>
      <c r="G1288" s="147"/>
      <c r="H1288" s="147"/>
      <c r="I1288" s="147"/>
      <c r="J1288" s="147"/>
      <c r="K1288" s="147"/>
    </row>
    <row r="1289">
      <c r="A1289" s="147"/>
      <c r="B1289" s="147"/>
      <c r="C1289" s="147"/>
      <c r="D1289" s="147"/>
      <c r="E1289" s="147"/>
      <c r="F1289" s="147"/>
      <c r="G1289" s="147"/>
      <c r="H1289" s="147"/>
      <c r="I1289" s="147"/>
      <c r="J1289" s="147"/>
      <c r="K1289" s="147"/>
    </row>
    <row r="1290">
      <c r="A1290" s="147"/>
      <c r="B1290" s="147"/>
      <c r="C1290" s="147"/>
      <c r="D1290" s="147"/>
      <c r="E1290" s="147"/>
      <c r="F1290" s="147"/>
      <c r="G1290" s="147"/>
      <c r="H1290" s="147"/>
      <c r="I1290" s="147"/>
      <c r="J1290" s="147"/>
      <c r="K1290" s="147"/>
    </row>
    <row r="1291">
      <c r="A1291" s="147"/>
      <c r="B1291" s="147"/>
      <c r="C1291" s="147"/>
      <c r="D1291" s="147"/>
      <c r="E1291" s="147"/>
      <c r="F1291" s="147"/>
      <c r="G1291" s="147"/>
      <c r="H1291" s="147"/>
      <c r="I1291" s="147"/>
      <c r="J1291" s="147"/>
      <c r="K1291" s="147"/>
    </row>
    <row r="1292">
      <c r="A1292" s="147"/>
      <c r="B1292" s="147"/>
      <c r="C1292" s="147"/>
      <c r="D1292" s="147"/>
      <c r="E1292" s="147"/>
      <c r="F1292" s="147"/>
      <c r="G1292" s="147"/>
      <c r="H1292" s="147"/>
      <c r="I1292" s="147"/>
      <c r="J1292" s="147"/>
      <c r="K1292" s="147"/>
    </row>
    <row r="1293">
      <c r="A1293" s="147"/>
      <c r="B1293" s="147"/>
      <c r="C1293" s="147"/>
      <c r="D1293" s="147"/>
      <c r="E1293" s="147"/>
      <c r="F1293" s="147"/>
      <c r="G1293" s="147"/>
      <c r="H1293" s="147"/>
      <c r="I1293" s="147"/>
      <c r="J1293" s="147"/>
      <c r="K1293" s="147"/>
    </row>
    <row r="1294">
      <c r="A1294" s="147"/>
      <c r="B1294" s="147"/>
      <c r="C1294" s="147"/>
      <c r="D1294" s="147"/>
      <c r="E1294" s="147"/>
      <c r="F1294" s="147"/>
      <c r="G1294" s="147"/>
      <c r="H1294" s="147"/>
      <c r="I1294" s="147"/>
      <c r="J1294" s="147"/>
      <c r="K1294" s="147"/>
    </row>
    <row r="1295">
      <c r="A1295" s="147"/>
      <c r="B1295" s="147"/>
      <c r="C1295" s="147"/>
      <c r="D1295" s="147"/>
      <c r="E1295" s="147"/>
      <c r="F1295" s="147"/>
      <c r="G1295" s="147"/>
      <c r="H1295" s="147"/>
      <c r="I1295" s="147"/>
      <c r="J1295" s="147"/>
      <c r="K1295" s="147"/>
    </row>
    <row r="1296">
      <c r="A1296" s="147"/>
      <c r="B1296" s="147"/>
      <c r="C1296" s="147"/>
      <c r="D1296" s="147"/>
      <c r="E1296" s="147"/>
      <c r="F1296" s="147"/>
      <c r="G1296" s="147"/>
      <c r="H1296" s="147"/>
      <c r="I1296" s="147"/>
      <c r="J1296" s="147"/>
      <c r="K1296" s="147"/>
    </row>
    <row r="1297">
      <c r="A1297" s="147"/>
      <c r="B1297" s="147"/>
      <c r="C1297" s="147"/>
      <c r="D1297" s="147"/>
      <c r="E1297" s="147"/>
      <c r="F1297" s="147"/>
      <c r="G1297" s="147"/>
      <c r="H1297" s="147"/>
      <c r="I1297" s="147"/>
      <c r="J1297" s="147"/>
      <c r="K1297" s="147"/>
    </row>
    <row r="1298">
      <c r="A1298" s="147"/>
      <c r="B1298" s="147"/>
      <c r="C1298" s="147"/>
      <c r="D1298" s="147"/>
      <c r="E1298" s="147"/>
      <c r="F1298" s="147"/>
      <c r="G1298" s="147"/>
      <c r="H1298" s="147"/>
      <c r="I1298" s="147"/>
      <c r="J1298" s="147"/>
      <c r="K1298" s="147"/>
    </row>
    <row r="1299">
      <c r="A1299" s="147"/>
      <c r="B1299" s="147"/>
      <c r="C1299" s="147"/>
      <c r="D1299" s="147"/>
      <c r="E1299" s="147"/>
      <c r="F1299" s="147"/>
      <c r="G1299" s="147"/>
      <c r="H1299" s="147"/>
      <c r="I1299" s="147"/>
      <c r="J1299" s="147"/>
      <c r="K1299" s="147"/>
    </row>
    <row r="1300">
      <c r="A1300" s="147"/>
      <c r="B1300" s="147"/>
      <c r="C1300" s="147"/>
      <c r="D1300" s="147"/>
      <c r="E1300" s="147"/>
      <c r="F1300" s="147"/>
      <c r="G1300" s="147"/>
      <c r="H1300" s="147"/>
      <c r="I1300" s="147"/>
      <c r="J1300" s="147"/>
      <c r="K1300" s="147"/>
    </row>
    <row r="1301">
      <c r="A1301" s="147"/>
      <c r="B1301" s="147"/>
      <c r="C1301" s="147"/>
      <c r="D1301" s="147"/>
      <c r="E1301" s="147"/>
      <c r="F1301" s="147"/>
      <c r="G1301" s="147"/>
      <c r="H1301" s="147"/>
      <c r="I1301" s="147"/>
      <c r="J1301" s="147"/>
      <c r="K1301" s="147"/>
    </row>
    <row r="1302">
      <c r="A1302" s="147"/>
      <c r="B1302" s="147"/>
      <c r="C1302" s="147"/>
      <c r="D1302" s="147"/>
      <c r="E1302" s="147"/>
      <c r="F1302" s="147"/>
      <c r="G1302" s="147"/>
      <c r="H1302" s="147"/>
      <c r="I1302" s="147"/>
      <c r="J1302" s="147"/>
      <c r="K1302" s="147"/>
    </row>
    <row r="1303">
      <c r="A1303" s="147"/>
      <c r="B1303" s="147"/>
      <c r="C1303" s="147"/>
      <c r="D1303" s="147"/>
      <c r="E1303" s="147"/>
      <c r="F1303" s="147"/>
      <c r="G1303" s="147"/>
      <c r="H1303" s="147"/>
      <c r="I1303" s="147"/>
      <c r="J1303" s="147"/>
      <c r="K1303" s="147"/>
    </row>
    <row r="1304">
      <c r="A1304" s="147"/>
      <c r="B1304" s="147"/>
      <c r="C1304" s="147"/>
      <c r="D1304" s="147"/>
      <c r="E1304" s="147"/>
      <c r="F1304" s="147"/>
      <c r="G1304" s="147"/>
      <c r="H1304" s="147"/>
      <c r="I1304" s="147"/>
      <c r="J1304" s="147"/>
      <c r="K1304" s="147"/>
    </row>
    <row r="1305">
      <c r="A1305" s="147"/>
      <c r="B1305" s="147"/>
      <c r="C1305" s="147"/>
      <c r="D1305" s="147"/>
      <c r="E1305" s="147"/>
      <c r="F1305" s="147"/>
      <c r="G1305" s="147"/>
      <c r="H1305" s="147"/>
      <c r="I1305" s="147"/>
      <c r="J1305" s="147"/>
      <c r="K1305" s="147"/>
    </row>
    <row r="1306">
      <c r="A1306" s="147"/>
      <c r="B1306" s="147"/>
      <c r="C1306" s="147"/>
      <c r="D1306" s="147"/>
      <c r="E1306" s="147"/>
      <c r="F1306" s="147"/>
      <c r="G1306" s="147"/>
      <c r="H1306" s="147"/>
      <c r="I1306" s="147"/>
      <c r="J1306" s="147"/>
      <c r="K1306" s="147"/>
    </row>
    <row r="1307">
      <c r="A1307" s="147"/>
      <c r="B1307" s="147"/>
      <c r="C1307" s="147"/>
      <c r="D1307" s="147"/>
      <c r="E1307" s="147"/>
      <c r="F1307" s="147"/>
      <c r="G1307" s="147"/>
      <c r="H1307" s="147"/>
      <c r="I1307" s="147"/>
      <c r="J1307" s="147"/>
      <c r="K1307" s="147"/>
    </row>
    <row r="1308">
      <c r="A1308" s="147"/>
      <c r="B1308" s="147"/>
      <c r="C1308" s="147"/>
      <c r="D1308" s="147"/>
      <c r="E1308" s="147"/>
      <c r="F1308" s="147"/>
      <c r="G1308" s="147"/>
      <c r="H1308" s="147"/>
      <c r="I1308" s="147"/>
      <c r="J1308" s="147"/>
      <c r="K1308" s="147"/>
    </row>
    <row r="1309">
      <c r="A1309" s="147"/>
      <c r="B1309" s="147"/>
      <c r="C1309" s="147"/>
      <c r="D1309" s="147"/>
      <c r="E1309" s="147"/>
      <c r="F1309" s="147"/>
      <c r="G1309" s="147"/>
      <c r="H1309" s="147"/>
      <c r="I1309" s="147"/>
      <c r="J1309" s="147"/>
      <c r="K1309" s="147"/>
    </row>
    <row r="1310">
      <c r="A1310" s="147"/>
      <c r="B1310" s="147"/>
      <c r="C1310" s="147"/>
      <c r="D1310" s="147"/>
      <c r="E1310" s="147"/>
      <c r="F1310" s="147"/>
      <c r="G1310" s="147"/>
      <c r="H1310" s="147"/>
      <c r="I1310" s="147"/>
      <c r="J1310" s="147"/>
      <c r="K1310" s="147"/>
    </row>
    <row r="1311">
      <c r="A1311" s="147"/>
      <c r="B1311" s="147"/>
      <c r="C1311" s="147"/>
      <c r="D1311" s="147"/>
      <c r="E1311" s="147"/>
      <c r="F1311" s="147"/>
      <c r="G1311" s="147"/>
      <c r="H1311" s="147"/>
      <c r="I1311" s="147"/>
      <c r="J1311" s="147"/>
      <c r="K1311" s="147"/>
    </row>
    <row r="1312">
      <c r="A1312" s="147"/>
      <c r="B1312" s="147"/>
      <c r="C1312" s="147"/>
      <c r="D1312" s="147"/>
      <c r="E1312" s="147"/>
      <c r="F1312" s="147"/>
      <c r="G1312" s="147"/>
      <c r="H1312" s="147"/>
      <c r="I1312" s="147"/>
      <c r="J1312" s="147"/>
      <c r="K1312" s="147"/>
    </row>
    <row r="1313">
      <c r="A1313" s="147"/>
      <c r="B1313" s="147"/>
      <c r="C1313" s="147"/>
      <c r="D1313" s="147"/>
      <c r="E1313" s="147"/>
      <c r="F1313" s="147"/>
      <c r="G1313" s="147"/>
      <c r="H1313" s="147"/>
      <c r="I1313" s="147"/>
      <c r="J1313" s="147"/>
      <c r="K1313" s="147"/>
    </row>
    <row r="1314">
      <c r="A1314" s="147"/>
      <c r="B1314" s="147"/>
      <c r="C1314" s="147"/>
      <c r="D1314" s="147"/>
      <c r="E1314" s="147"/>
      <c r="F1314" s="147"/>
      <c r="G1314" s="147"/>
      <c r="H1314" s="147"/>
      <c r="I1314" s="147"/>
      <c r="J1314" s="147"/>
      <c r="K1314" s="147"/>
    </row>
    <row r="1315">
      <c r="A1315" s="147"/>
      <c r="B1315" s="147"/>
      <c r="C1315" s="147"/>
      <c r="D1315" s="147"/>
      <c r="E1315" s="147"/>
      <c r="F1315" s="147"/>
      <c r="G1315" s="147"/>
      <c r="H1315" s="147"/>
      <c r="I1315" s="147"/>
      <c r="J1315" s="147"/>
      <c r="K1315" s="147"/>
    </row>
    <row r="1316">
      <c r="A1316" s="147"/>
      <c r="B1316" s="147"/>
      <c r="C1316" s="147"/>
      <c r="D1316" s="147"/>
      <c r="E1316" s="147"/>
      <c r="F1316" s="147"/>
      <c r="G1316" s="147"/>
      <c r="H1316" s="147"/>
      <c r="I1316" s="147"/>
      <c r="J1316" s="147"/>
      <c r="K1316" s="147"/>
    </row>
    <row r="1317">
      <c r="A1317" s="147"/>
      <c r="B1317" s="147"/>
      <c r="C1317" s="147"/>
      <c r="D1317" s="147"/>
      <c r="E1317" s="147"/>
      <c r="F1317" s="147"/>
      <c r="G1317" s="147"/>
      <c r="H1317" s="147"/>
      <c r="I1317" s="147"/>
      <c r="J1317" s="147"/>
      <c r="K1317" s="147"/>
    </row>
    <row r="1318">
      <c r="A1318" s="147"/>
      <c r="B1318" s="147"/>
      <c r="C1318" s="147"/>
      <c r="D1318" s="147"/>
      <c r="E1318" s="147"/>
      <c r="F1318" s="147"/>
      <c r="G1318" s="147"/>
      <c r="H1318" s="147"/>
      <c r="I1318" s="147"/>
      <c r="J1318" s="147"/>
      <c r="K1318" s="147"/>
    </row>
    <row r="1319">
      <c r="A1319" s="147"/>
      <c r="B1319" s="147"/>
      <c r="C1319" s="147"/>
      <c r="D1319" s="147"/>
      <c r="E1319" s="147"/>
      <c r="F1319" s="147"/>
      <c r="G1319" s="147"/>
      <c r="H1319" s="147"/>
      <c r="I1319" s="147"/>
      <c r="J1319" s="147"/>
      <c r="K1319" s="147"/>
    </row>
    <row r="1320">
      <c r="A1320" s="147"/>
      <c r="B1320" s="147"/>
      <c r="C1320" s="147"/>
      <c r="D1320" s="147"/>
      <c r="E1320" s="147"/>
      <c r="F1320" s="147"/>
      <c r="G1320" s="147"/>
      <c r="H1320" s="147"/>
      <c r="I1320" s="147"/>
      <c r="J1320" s="147"/>
      <c r="K1320" s="147"/>
    </row>
    <row r="1321">
      <c r="A1321" s="147"/>
      <c r="B1321" s="147"/>
      <c r="C1321" s="147"/>
      <c r="D1321" s="147"/>
      <c r="E1321" s="147"/>
      <c r="F1321" s="147"/>
      <c r="G1321" s="147"/>
      <c r="H1321" s="147"/>
      <c r="I1321" s="147"/>
      <c r="J1321" s="147"/>
      <c r="K1321" s="147"/>
    </row>
    <row r="1322">
      <c r="A1322" s="147"/>
      <c r="B1322" s="147"/>
      <c r="C1322" s="147"/>
      <c r="D1322" s="147"/>
      <c r="E1322" s="147"/>
      <c r="F1322" s="147"/>
      <c r="G1322" s="147"/>
      <c r="H1322" s="147"/>
      <c r="I1322" s="147"/>
      <c r="J1322" s="147"/>
      <c r="K1322" s="147"/>
    </row>
    <row r="1323">
      <c r="A1323" s="147"/>
      <c r="B1323" s="147"/>
      <c r="C1323" s="147"/>
      <c r="D1323" s="147"/>
      <c r="E1323" s="147"/>
      <c r="F1323" s="147"/>
      <c r="G1323" s="147"/>
      <c r="H1323" s="147"/>
      <c r="I1323" s="147"/>
      <c r="J1323" s="147"/>
      <c r="K1323" s="147"/>
    </row>
    <row r="1324">
      <c r="A1324" s="147"/>
      <c r="B1324" s="147"/>
      <c r="C1324" s="147"/>
      <c r="D1324" s="147"/>
      <c r="E1324" s="147"/>
      <c r="F1324" s="147"/>
      <c r="G1324" s="147"/>
      <c r="H1324" s="147"/>
      <c r="I1324" s="147"/>
      <c r="J1324" s="147"/>
      <c r="K1324" s="147"/>
    </row>
    <row r="1325">
      <c r="A1325" s="147"/>
      <c r="B1325" s="147"/>
      <c r="C1325" s="147"/>
      <c r="D1325" s="147"/>
      <c r="E1325" s="147"/>
      <c r="F1325" s="147"/>
      <c r="G1325" s="147"/>
      <c r="H1325" s="147"/>
      <c r="I1325" s="147"/>
      <c r="J1325" s="147"/>
      <c r="K1325" s="147"/>
    </row>
    <row r="1326">
      <c r="A1326" s="147"/>
      <c r="B1326" s="147"/>
      <c r="C1326" s="147"/>
      <c r="D1326" s="147"/>
      <c r="E1326" s="147"/>
      <c r="F1326" s="147"/>
      <c r="G1326" s="147"/>
      <c r="H1326" s="147"/>
      <c r="I1326" s="147"/>
      <c r="J1326" s="147"/>
      <c r="K1326" s="147"/>
    </row>
    <row r="1327">
      <c r="A1327" s="147"/>
      <c r="B1327" s="147"/>
      <c r="C1327" s="147"/>
      <c r="D1327" s="147"/>
      <c r="E1327" s="147"/>
      <c r="F1327" s="147"/>
      <c r="G1327" s="147"/>
      <c r="H1327" s="147"/>
      <c r="I1327" s="147"/>
      <c r="J1327" s="147"/>
      <c r="K1327" s="147"/>
    </row>
    <row r="1328">
      <c r="A1328" s="147"/>
      <c r="B1328" s="147"/>
      <c r="C1328" s="147"/>
      <c r="D1328" s="147"/>
      <c r="E1328" s="147"/>
      <c r="F1328" s="147"/>
      <c r="G1328" s="147"/>
      <c r="H1328" s="147"/>
      <c r="I1328" s="147"/>
      <c r="J1328" s="147"/>
      <c r="K1328" s="147"/>
    </row>
    <row r="1329">
      <c r="A1329" s="147"/>
      <c r="B1329" s="147"/>
      <c r="C1329" s="147"/>
      <c r="D1329" s="147"/>
      <c r="E1329" s="147"/>
      <c r="F1329" s="147"/>
      <c r="G1329" s="147"/>
      <c r="H1329" s="147"/>
      <c r="I1329" s="147"/>
      <c r="J1329" s="147"/>
      <c r="K1329" s="147"/>
    </row>
    <row r="1330">
      <c r="A1330" s="147"/>
      <c r="B1330" s="147"/>
      <c r="C1330" s="147"/>
      <c r="D1330" s="147"/>
      <c r="E1330" s="147"/>
      <c r="F1330" s="147"/>
      <c r="G1330" s="147"/>
      <c r="H1330" s="147"/>
      <c r="I1330" s="147"/>
      <c r="J1330" s="147"/>
      <c r="K1330" s="147"/>
    </row>
    <row r="1331">
      <c r="A1331" s="147"/>
      <c r="B1331" s="147"/>
      <c r="C1331" s="147"/>
      <c r="D1331" s="147"/>
      <c r="E1331" s="147"/>
      <c r="F1331" s="147"/>
      <c r="G1331" s="147"/>
      <c r="H1331" s="147"/>
      <c r="I1331" s="147"/>
      <c r="J1331" s="147"/>
      <c r="K1331" s="147"/>
    </row>
    <row r="1332">
      <c r="A1332" s="147"/>
      <c r="B1332" s="147"/>
      <c r="C1332" s="147"/>
      <c r="D1332" s="147"/>
      <c r="E1332" s="147"/>
      <c r="F1332" s="147"/>
      <c r="G1332" s="147"/>
      <c r="H1332" s="147"/>
      <c r="I1332" s="147"/>
      <c r="J1332" s="147"/>
      <c r="K1332" s="147"/>
    </row>
    <row r="1333">
      <c r="A1333" s="147"/>
      <c r="B1333" s="147"/>
      <c r="C1333" s="147"/>
      <c r="D1333" s="147"/>
      <c r="E1333" s="147"/>
      <c r="F1333" s="147"/>
      <c r="G1333" s="147"/>
      <c r="H1333" s="147"/>
      <c r="I1333" s="147"/>
      <c r="J1333" s="147"/>
      <c r="K1333" s="147"/>
    </row>
    <row r="1334">
      <c r="A1334" s="147"/>
      <c r="B1334" s="147"/>
      <c r="C1334" s="147"/>
      <c r="D1334" s="147"/>
      <c r="E1334" s="147"/>
      <c r="F1334" s="147"/>
      <c r="G1334" s="147"/>
      <c r="H1334" s="147"/>
      <c r="I1334" s="147"/>
      <c r="J1334" s="147"/>
      <c r="K1334" s="147"/>
    </row>
    <row r="1335">
      <c r="A1335" s="147"/>
      <c r="B1335" s="147"/>
      <c r="C1335" s="147"/>
      <c r="D1335" s="147"/>
      <c r="E1335" s="147"/>
      <c r="F1335" s="147"/>
      <c r="G1335" s="147"/>
      <c r="H1335" s="147"/>
      <c r="I1335" s="147"/>
      <c r="J1335" s="147"/>
      <c r="K1335" s="147"/>
    </row>
    <row r="1336">
      <c r="A1336" s="147"/>
      <c r="B1336" s="147"/>
      <c r="C1336" s="147"/>
      <c r="D1336" s="147"/>
      <c r="E1336" s="147"/>
      <c r="F1336" s="147"/>
      <c r="G1336" s="147"/>
      <c r="H1336" s="147"/>
      <c r="I1336" s="147"/>
      <c r="J1336" s="147"/>
      <c r="K1336" s="147"/>
    </row>
    <row r="1337">
      <c r="A1337" s="147"/>
      <c r="B1337" s="147"/>
      <c r="C1337" s="147"/>
      <c r="D1337" s="147"/>
      <c r="E1337" s="147"/>
      <c r="F1337" s="147"/>
      <c r="G1337" s="147"/>
      <c r="H1337" s="147"/>
      <c r="I1337" s="147"/>
      <c r="J1337" s="147"/>
      <c r="K1337" s="147"/>
    </row>
    <row r="1338">
      <c r="A1338" s="147"/>
      <c r="B1338" s="147"/>
      <c r="C1338" s="147"/>
      <c r="D1338" s="147"/>
      <c r="E1338" s="147"/>
      <c r="F1338" s="147"/>
      <c r="G1338" s="147"/>
      <c r="H1338" s="147"/>
      <c r="I1338" s="147"/>
      <c r="J1338" s="147"/>
      <c r="K1338" s="147"/>
    </row>
    <row r="1339">
      <c r="A1339" s="147"/>
      <c r="B1339" s="147"/>
      <c r="C1339" s="147"/>
      <c r="D1339" s="147"/>
      <c r="E1339" s="147"/>
      <c r="F1339" s="147"/>
      <c r="G1339" s="147"/>
      <c r="H1339" s="147"/>
      <c r="I1339" s="147"/>
      <c r="J1339" s="147"/>
      <c r="K1339" s="147"/>
    </row>
    <row r="1340">
      <c r="A1340" s="147"/>
      <c r="B1340" s="147"/>
      <c r="C1340" s="147"/>
      <c r="D1340" s="147"/>
      <c r="E1340" s="147"/>
      <c r="F1340" s="147"/>
      <c r="G1340" s="147"/>
      <c r="H1340" s="147"/>
      <c r="I1340" s="147"/>
      <c r="J1340" s="147"/>
      <c r="K1340" s="147"/>
    </row>
    <row r="1341">
      <c r="A1341" s="147"/>
      <c r="B1341" s="147"/>
      <c r="C1341" s="147"/>
      <c r="D1341" s="147"/>
      <c r="E1341" s="147"/>
      <c r="F1341" s="147"/>
      <c r="G1341" s="147"/>
      <c r="H1341" s="147"/>
      <c r="I1341" s="147"/>
      <c r="J1341" s="147"/>
      <c r="K1341" s="147"/>
    </row>
    <row r="1342">
      <c r="A1342" s="147"/>
      <c r="B1342" s="147"/>
      <c r="C1342" s="147"/>
      <c r="D1342" s="147"/>
      <c r="E1342" s="147"/>
      <c r="F1342" s="147"/>
      <c r="G1342" s="147"/>
      <c r="H1342" s="147"/>
      <c r="I1342" s="147"/>
      <c r="J1342" s="147"/>
      <c r="K1342" s="147"/>
    </row>
    <row r="1343">
      <c r="A1343" s="147"/>
      <c r="B1343" s="147"/>
      <c r="C1343" s="147"/>
      <c r="D1343" s="147"/>
      <c r="E1343" s="147"/>
      <c r="F1343" s="147"/>
      <c r="G1343" s="147"/>
      <c r="H1343" s="147"/>
      <c r="I1343" s="147"/>
      <c r="J1343" s="147"/>
      <c r="K1343" s="147"/>
    </row>
    <row r="1344">
      <c r="A1344" s="147"/>
      <c r="B1344" s="147"/>
      <c r="C1344" s="147"/>
      <c r="D1344" s="147"/>
      <c r="E1344" s="147"/>
      <c r="F1344" s="147"/>
      <c r="G1344" s="147"/>
      <c r="H1344" s="147"/>
      <c r="I1344" s="147"/>
      <c r="J1344" s="147"/>
      <c r="K1344" s="147"/>
    </row>
    <row r="1345">
      <c r="A1345" s="147"/>
      <c r="B1345" s="147"/>
      <c r="C1345" s="147"/>
      <c r="D1345" s="147"/>
      <c r="E1345" s="147"/>
      <c r="F1345" s="147"/>
      <c r="G1345" s="147"/>
      <c r="H1345" s="147"/>
      <c r="I1345" s="147"/>
      <c r="J1345" s="147"/>
      <c r="K1345" s="147"/>
    </row>
    <row r="1346">
      <c r="A1346" s="147"/>
      <c r="B1346" s="147"/>
      <c r="C1346" s="147"/>
      <c r="D1346" s="147"/>
      <c r="E1346" s="147"/>
      <c r="F1346" s="147"/>
      <c r="G1346" s="147"/>
      <c r="H1346" s="147"/>
      <c r="I1346" s="147"/>
      <c r="J1346" s="147"/>
      <c r="K1346" s="147"/>
    </row>
    <row r="1347">
      <c r="A1347" s="147"/>
      <c r="B1347" s="147"/>
      <c r="C1347" s="147"/>
      <c r="D1347" s="147"/>
      <c r="E1347" s="147"/>
      <c r="F1347" s="147"/>
      <c r="G1347" s="147"/>
      <c r="H1347" s="147"/>
      <c r="I1347" s="147"/>
      <c r="J1347" s="147"/>
      <c r="K1347" s="147"/>
    </row>
    <row r="1348">
      <c r="A1348" s="147"/>
      <c r="B1348" s="147"/>
      <c r="C1348" s="147"/>
      <c r="D1348" s="147"/>
      <c r="E1348" s="147"/>
      <c r="F1348" s="147"/>
      <c r="G1348" s="147"/>
      <c r="H1348" s="147"/>
      <c r="I1348" s="147"/>
      <c r="J1348" s="147"/>
      <c r="K1348" s="147"/>
    </row>
    <row r="1349">
      <c r="A1349" s="147"/>
      <c r="B1349" s="147"/>
      <c r="C1349" s="147"/>
      <c r="D1349" s="147"/>
      <c r="E1349" s="147"/>
      <c r="F1349" s="147"/>
      <c r="G1349" s="147"/>
      <c r="H1349" s="147"/>
      <c r="I1349" s="147"/>
      <c r="J1349" s="147"/>
      <c r="K1349" s="147"/>
    </row>
    <row r="1350">
      <c r="A1350" s="147"/>
      <c r="B1350" s="147"/>
      <c r="C1350" s="147"/>
      <c r="D1350" s="147"/>
      <c r="E1350" s="147"/>
      <c r="F1350" s="147"/>
      <c r="G1350" s="147"/>
      <c r="H1350" s="147"/>
      <c r="I1350" s="147"/>
      <c r="J1350" s="147"/>
      <c r="K1350" s="147"/>
    </row>
    <row r="1351">
      <c r="A1351" s="147"/>
      <c r="B1351" s="147"/>
      <c r="C1351" s="147"/>
      <c r="D1351" s="147"/>
      <c r="E1351" s="147"/>
      <c r="F1351" s="147"/>
      <c r="G1351" s="147"/>
      <c r="H1351" s="147"/>
      <c r="I1351" s="147"/>
      <c r="J1351" s="147"/>
      <c r="K1351" s="147"/>
    </row>
    <row r="1352">
      <c r="A1352" s="147"/>
      <c r="B1352" s="147"/>
      <c r="C1352" s="147"/>
      <c r="D1352" s="147"/>
      <c r="E1352" s="147"/>
      <c r="F1352" s="147"/>
      <c r="G1352" s="147"/>
      <c r="H1352" s="147"/>
      <c r="I1352" s="147"/>
      <c r="J1352" s="147"/>
      <c r="K1352" s="147"/>
    </row>
    <row r="1353">
      <c r="A1353" s="147"/>
      <c r="B1353" s="147"/>
      <c r="C1353" s="147"/>
      <c r="D1353" s="147"/>
      <c r="E1353" s="147"/>
      <c r="F1353" s="147"/>
      <c r="G1353" s="147"/>
      <c r="H1353" s="147"/>
      <c r="I1353" s="147"/>
      <c r="J1353" s="147"/>
      <c r="K1353" s="147"/>
    </row>
    <row r="1354">
      <c r="A1354" s="147"/>
      <c r="B1354" s="147"/>
      <c r="C1354" s="147"/>
      <c r="D1354" s="147"/>
      <c r="E1354" s="147"/>
      <c r="F1354" s="147"/>
      <c r="G1354" s="147"/>
      <c r="H1354" s="147"/>
      <c r="I1354" s="147"/>
      <c r="J1354" s="147"/>
      <c r="K1354" s="147"/>
    </row>
    <row r="1355">
      <c r="A1355" s="147"/>
      <c r="B1355" s="147"/>
      <c r="C1355" s="147"/>
      <c r="D1355" s="147"/>
      <c r="E1355" s="147"/>
      <c r="F1355" s="147"/>
      <c r="G1355" s="147"/>
      <c r="H1355" s="147"/>
      <c r="I1355" s="147"/>
      <c r="J1355" s="147"/>
      <c r="K1355" s="147"/>
    </row>
    <row r="1356">
      <c r="A1356" s="147"/>
      <c r="B1356" s="147"/>
      <c r="C1356" s="147"/>
      <c r="D1356" s="147"/>
      <c r="E1356" s="147"/>
      <c r="F1356" s="147"/>
      <c r="G1356" s="147"/>
      <c r="H1356" s="147"/>
      <c r="I1356" s="147"/>
      <c r="J1356" s="147"/>
      <c r="K1356" s="147"/>
    </row>
    <row r="1357">
      <c r="A1357" s="147"/>
      <c r="B1357" s="147"/>
      <c r="C1357" s="147"/>
      <c r="D1357" s="147"/>
      <c r="E1357" s="147"/>
      <c r="F1357" s="147"/>
      <c r="G1357" s="147"/>
      <c r="H1357" s="147"/>
      <c r="I1357" s="147"/>
      <c r="J1357" s="147"/>
      <c r="K1357" s="147"/>
    </row>
    <row r="1358">
      <c r="A1358" s="147"/>
      <c r="B1358" s="147"/>
      <c r="C1358" s="147"/>
      <c r="D1358" s="147"/>
      <c r="E1358" s="147"/>
      <c r="F1358" s="147"/>
      <c r="G1358" s="147"/>
      <c r="H1358" s="147"/>
      <c r="I1358" s="147"/>
      <c r="J1358" s="147"/>
      <c r="K1358" s="147"/>
    </row>
    <row r="1359">
      <c r="A1359" s="147"/>
      <c r="B1359" s="147"/>
      <c r="C1359" s="147"/>
      <c r="D1359" s="147"/>
      <c r="E1359" s="147"/>
      <c r="F1359" s="147"/>
      <c r="G1359" s="147"/>
      <c r="H1359" s="147"/>
      <c r="I1359" s="147"/>
      <c r="J1359" s="147"/>
      <c r="K1359" s="147"/>
    </row>
    <row r="1360">
      <c r="A1360" s="147"/>
      <c r="B1360" s="147"/>
      <c r="C1360" s="147"/>
      <c r="D1360" s="147"/>
      <c r="E1360" s="147"/>
      <c r="F1360" s="147"/>
      <c r="G1360" s="147"/>
      <c r="H1360" s="147"/>
      <c r="I1360" s="147"/>
      <c r="J1360" s="147"/>
      <c r="K1360" s="147"/>
    </row>
    <row r="1361">
      <c r="A1361" s="147"/>
      <c r="B1361" s="147"/>
      <c r="C1361" s="147"/>
      <c r="D1361" s="147"/>
      <c r="E1361" s="147"/>
      <c r="F1361" s="147"/>
      <c r="G1361" s="147"/>
      <c r="H1361" s="147"/>
      <c r="I1361" s="147"/>
      <c r="J1361" s="147"/>
      <c r="K1361" s="147"/>
    </row>
    <row r="1362">
      <c r="A1362" s="147"/>
      <c r="B1362" s="147"/>
      <c r="C1362" s="147"/>
      <c r="D1362" s="147"/>
      <c r="E1362" s="147"/>
      <c r="F1362" s="147"/>
      <c r="G1362" s="147"/>
      <c r="H1362" s="147"/>
      <c r="I1362" s="147"/>
      <c r="J1362" s="147"/>
      <c r="K1362" s="147"/>
    </row>
    <row r="1363">
      <c r="A1363" s="147"/>
      <c r="B1363" s="147"/>
      <c r="C1363" s="147"/>
      <c r="D1363" s="147"/>
      <c r="E1363" s="147"/>
      <c r="F1363" s="147"/>
      <c r="G1363" s="147"/>
      <c r="H1363" s="147"/>
      <c r="I1363" s="147"/>
      <c r="J1363" s="147"/>
      <c r="K1363" s="147"/>
    </row>
    <row r="1364">
      <c r="A1364" s="147"/>
      <c r="B1364" s="147"/>
      <c r="C1364" s="147"/>
      <c r="D1364" s="147"/>
      <c r="E1364" s="147"/>
      <c r="F1364" s="147"/>
      <c r="G1364" s="147"/>
      <c r="H1364" s="147"/>
      <c r="I1364" s="147"/>
      <c r="J1364" s="147"/>
      <c r="K1364" s="147"/>
    </row>
    <row r="1365">
      <c r="A1365" s="147"/>
      <c r="B1365" s="147"/>
      <c r="C1365" s="147"/>
      <c r="D1365" s="147"/>
      <c r="E1365" s="147"/>
      <c r="F1365" s="147"/>
      <c r="G1365" s="147"/>
      <c r="H1365" s="147"/>
      <c r="I1365" s="147"/>
      <c r="J1365" s="147"/>
      <c r="K1365" s="147"/>
    </row>
    <row r="1366">
      <c r="A1366" s="147"/>
      <c r="B1366" s="147"/>
      <c r="C1366" s="147"/>
      <c r="D1366" s="147"/>
      <c r="E1366" s="147"/>
      <c r="F1366" s="147"/>
      <c r="G1366" s="147"/>
      <c r="H1366" s="147"/>
      <c r="I1366" s="147"/>
      <c r="J1366" s="147"/>
      <c r="K1366" s="147"/>
    </row>
    <row r="1367">
      <c r="A1367" s="147"/>
      <c r="B1367" s="147"/>
      <c r="C1367" s="147"/>
      <c r="D1367" s="147"/>
      <c r="E1367" s="147"/>
      <c r="F1367" s="147"/>
      <c r="G1367" s="147"/>
      <c r="H1367" s="147"/>
      <c r="I1367" s="147"/>
      <c r="J1367" s="147"/>
      <c r="K1367" s="147"/>
    </row>
    <row r="1368">
      <c r="A1368" s="147"/>
      <c r="B1368" s="147"/>
      <c r="C1368" s="147"/>
      <c r="D1368" s="147"/>
      <c r="E1368" s="147"/>
      <c r="F1368" s="147"/>
      <c r="G1368" s="147"/>
      <c r="H1368" s="147"/>
      <c r="I1368" s="147"/>
      <c r="J1368" s="147"/>
      <c r="K1368" s="147"/>
    </row>
    <row r="1369">
      <c r="A1369" s="147"/>
      <c r="B1369" s="147"/>
      <c r="C1369" s="147"/>
      <c r="D1369" s="147"/>
      <c r="E1369" s="147"/>
      <c r="F1369" s="147"/>
      <c r="G1369" s="147"/>
      <c r="H1369" s="147"/>
      <c r="I1369" s="147"/>
      <c r="J1369" s="147"/>
      <c r="K1369" s="147"/>
    </row>
    <row r="1370">
      <c r="A1370" s="147"/>
      <c r="B1370" s="147"/>
      <c r="C1370" s="147"/>
      <c r="D1370" s="147"/>
      <c r="E1370" s="147"/>
      <c r="F1370" s="147"/>
      <c r="G1370" s="147"/>
      <c r="H1370" s="147"/>
      <c r="I1370" s="147"/>
      <c r="J1370" s="147"/>
      <c r="K1370" s="147"/>
    </row>
    <row r="1371">
      <c r="A1371" s="147"/>
      <c r="B1371" s="147"/>
      <c r="C1371" s="147"/>
      <c r="D1371" s="147"/>
      <c r="E1371" s="147"/>
      <c r="F1371" s="147"/>
      <c r="G1371" s="147"/>
      <c r="H1371" s="147"/>
      <c r="I1371" s="147"/>
      <c r="J1371" s="147"/>
      <c r="K1371" s="147"/>
    </row>
    <row r="1372">
      <c r="A1372" s="147"/>
      <c r="B1372" s="147"/>
      <c r="C1372" s="147"/>
      <c r="D1372" s="147"/>
      <c r="E1372" s="147"/>
      <c r="F1372" s="147"/>
      <c r="G1372" s="147"/>
      <c r="H1372" s="147"/>
      <c r="I1372" s="147"/>
      <c r="J1372" s="147"/>
      <c r="K1372" s="147"/>
    </row>
    <row r="1373">
      <c r="A1373" s="147"/>
      <c r="B1373" s="147"/>
      <c r="C1373" s="147"/>
      <c r="D1373" s="147"/>
      <c r="E1373" s="147"/>
      <c r="F1373" s="147"/>
      <c r="G1373" s="147"/>
      <c r="H1373" s="147"/>
      <c r="I1373" s="147"/>
      <c r="J1373" s="147"/>
      <c r="K1373" s="147"/>
    </row>
    <row r="1374">
      <c r="A1374" s="147"/>
      <c r="B1374" s="147"/>
      <c r="C1374" s="147"/>
      <c r="D1374" s="147"/>
      <c r="E1374" s="147"/>
      <c r="F1374" s="147"/>
      <c r="G1374" s="147"/>
      <c r="H1374" s="147"/>
      <c r="I1374" s="147"/>
      <c r="J1374" s="147"/>
      <c r="K1374" s="147"/>
    </row>
    <row r="1375">
      <c r="A1375" s="147"/>
      <c r="B1375" s="147"/>
      <c r="C1375" s="147"/>
      <c r="D1375" s="147"/>
      <c r="E1375" s="147"/>
      <c r="F1375" s="147"/>
      <c r="G1375" s="147"/>
      <c r="H1375" s="147"/>
      <c r="I1375" s="147"/>
      <c r="J1375" s="147"/>
      <c r="K1375" s="147"/>
    </row>
    <row r="1376">
      <c r="A1376" s="147"/>
      <c r="B1376" s="147"/>
      <c r="C1376" s="147"/>
      <c r="D1376" s="147"/>
      <c r="E1376" s="147"/>
      <c r="F1376" s="147"/>
      <c r="G1376" s="147"/>
      <c r="H1376" s="147"/>
      <c r="I1376" s="147"/>
      <c r="J1376" s="147"/>
      <c r="K1376" s="147"/>
    </row>
    <row r="1377">
      <c r="A1377" s="147"/>
      <c r="B1377" s="147"/>
      <c r="C1377" s="147"/>
      <c r="D1377" s="147"/>
      <c r="E1377" s="147"/>
      <c r="F1377" s="147"/>
      <c r="G1377" s="147"/>
      <c r="H1377" s="147"/>
      <c r="I1377" s="147"/>
      <c r="J1377" s="147"/>
      <c r="K1377" s="147"/>
    </row>
    <row r="1378">
      <c r="A1378" s="147"/>
      <c r="B1378" s="147"/>
      <c r="C1378" s="147"/>
      <c r="D1378" s="147"/>
      <c r="E1378" s="147"/>
      <c r="F1378" s="147"/>
      <c r="G1378" s="147"/>
      <c r="H1378" s="147"/>
      <c r="I1378" s="147"/>
      <c r="J1378" s="147"/>
      <c r="K1378" s="147"/>
    </row>
    <row r="1379">
      <c r="A1379" s="147"/>
      <c r="B1379" s="147"/>
      <c r="C1379" s="147"/>
      <c r="D1379" s="147"/>
      <c r="E1379" s="147"/>
      <c r="F1379" s="147"/>
      <c r="G1379" s="147"/>
      <c r="H1379" s="147"/>
      <c r="I1379" s="147"/>
      <c r="J1379" s="147"/>
      <c r="K1379" s="147"/>
    </row>
    <row r="1380">
      <c r="A1380" s="147"/>
      <c r="B1380" s="147"/>
      <c r="C1380" s="147"/>
      <c r="D1380" s="147"/>
      <c r="E1380" s="147"/>
      <c r="F1380" s="147"/>
      <c r="G1380" s="147"/>
      <c r="H1380" s="147"/>
      <c r="I1380" s="147"/>
      <c r="J1380" s="147"/>
      <c r="K1380" s="147"/>
    </row>
    <row r="1381">
      <c r="A1381" s="147"/>
      <c r="B1381" s="147"/>
      <c r="C1381" s="147"/>
      <c r="D1381" s="147"/>
      <c r="E1381" s="147"/>
      <c r="F1381" s="147"/>
      <c r="G1381" s="147"/>
      <c r="H1381" s="147"/>
      <c r="I1381" s="147"/>
      <c r="J1381" s="147"/>
      <c r="K1381" s="147"/>
    </row>
    <row r="1382">
      <c r="A1382" s="147"/>
      <c r="B1382" s="147"/>
      <c r="C1382" s="147"/>
      <c r="D1382" s="147"/>
      <c r="E1382" s="147"/>
      <c r="F1382" s="147"/>
      <c r="G1382" s="147"/>
      <c r="H1382" s="147"/>
      <c r="I1382" s="147"/>
      <c r="J1382" s="147"/>
      <c r="K1382" s="147"/>
    </row>
    <row r="1383">
      <c r="A1383" s="147"/>
      <c r="B1383" s="147"/>
      <c r="C1383" s="147"/>
      <c r="D1383" s="147"/>
      <c r="E1383" s="147"/>
      <c r="F1383" s="147"/>
      <c r="G1383" s="147"/>
      <c r="H1383" s="147"/>
      <c r="I1383" s="147"/>
      <c r="J1383" s="147"/>
      <c r="K1383" s="147"/>
    </row>
    <row r="1384">
      <c r="A1384" s="147"/>
      <c r="B1384" s="147"/>
      <c r="C1384" s="147"/>
      <c r="D1384" s="147"/>
      <c r="E1384" s="147"/>
      <c r="F1384" s="147"/>
      <c r="G1384" s="147"/>
      <c r="H1384" s="147"/>
      <c r="I1384" s="147"/>
      <c r="J1384" s="147"/>
      <c r="K1384" s="147"/>
    </row>
    <row r="1385">
      <c r="A1385" s="147"/>
      <c r="B1385" s="147"/>
      <c r="C1385" s="147"/>
      <c r="D1385" s="147"/>
      <c r="E1385" s="147"/>
      <c r="F1385" s="147"/>
      <c r="G1385" s="147"/>
      <c r="H1385" s="147"/>
      <c r="I1385" s="147"/>
      <c r="J1385" s="147"/>
      <c r="K1385" s="147"/>
    </row>
    <row r="1386">
      <c r="A1386" s="147"/>
      <c r="B1386" s="147"/>
      <c r="C1386" s="147"/>
      <c r="D1386" s="147"/>
      <c r="E1386" s="147"/>
      <c r="F1386" s="147"/>
      <c r="G1386" s="147"/>
      <c r="H1386" s="147"/>
      <c r="I1386" s="147"/>
      <c r="J1386" s="147"/>
      <c r="K1386" s="147"/>
    </row>
    <row r="1387">
      <c r="A1387" s="147"/>
      <c r="B1387" s="147"/>
      <c r="C1387" s="147"/>
      <c r="D1387" s="147"/>
      <c r="E1387" s="147"/>
      <c r="F1387" s="147"/>
      <c r="G1387" s="147"/>
      <c r="H1387" s="147"/>
      <c r="I1387" s="147"/>
      <c r="J1387" s="147"/>
      <c r="K1387" s="147"/>
    </row>
    <row r="1388">
      <c r="A1388" s="147"/>
      <c r="B1388" s="147"/>
      <c r="C1388" s="147"/>
      <c r="D1388" s="147"/>
      <c r="E1388" s="147"/>
      <c r="F1388" s="147"/>
      <c r="G1388" s="147"/>
      <c r="H1388" s="147"/>
      <c r="I1388" s="147"/>
      <c r="J1388" s="147"/>
      <c r="K1388" s="147"/>
    </row>
    <row r="1389">
      <c r="A1389" s="147"/>
      <c r="B1389" s="147"/>
      <c r="C1389" s="147"/>
      <c r="D1389" s="147"/>
      <c r="E1389" s="147"/>
      <c r="F1389" s="147"/>
      <c r="G1389" s="147"/>
      <c r="H1389" s="147"/>
      <c r="I1389" s="147"/>
      <c r="J1389" s="147"/>
      <c r="K1389" s="147"/>
    </row>
    <row r="1390">
      <c r="A1390" s="147"/>
      <c r="B1390" s="147"/>
      <c r="C1390" s="147"/>
      <c r="D1390" s="147"/>
      <c r="E1390" s="147"/>
      <c r="F1390" s="147"/>
      <c r="G1390" s="147"/>
      <c r="H1390" s="147"/>
      <c r="I1390" s="147"/>
      <c r="J1390" s="147"/>
      <c r="K1390" s="147"/>
    </row>
    <row r="1391">
      <c r="A1391" s="147"/>
      <c r="B1391" s="147"/>
      <c r="C1391" s="147"/>
      <c r="D1391" s="147"/>
      <c r="E1391" s="147"/>
      <c r="F1391" s="147"/>
      <c r="G1391" s="147"/>
      <c r="H1391" s="147"/>
      <c r="I1391" s="147"/>
      <c r="J1391" s="147"/>
      <c r="K1391" s="147"/>
    </row>
    <row r="1392">
      <c r="A1392" s="147"/>
      <c r="B1392" s="147"/>
      <c r="C1392" s="147"/>
      <c r="D1392" s="147"/>
      <c r="E1392" s="147"/>
      <c r="F1392" s="147"/>
      <c r="G1392" s="147"/>
      <c r="H1392" s="147"/>
      <c r="I1392" s="147"/>
      <c r="J1392" s="147"/>
      <c r="K1392" s="147"/>
    </row>
    <row r="1393">
      <c r="A1393" s="147"/>
      <c r="B1393" s="147"/>
      <c r="C1393" s="147"/>
      <c r="D1393" s="147"/>
      <c r="E1393" s="147"/>
      <c r="F1393" s="147"/>
      <c r="G1393" s="147"/>
      <c r="H1393" s="147"/>
      <c r="I1393" s="147"/>
      <c r="J1393" s="147"/>
      <c r="K1393" s="147"/>
    </row>
    <row r="1394">
      <c r="A1394" s="147"/>
      <c r="B1394" s="147"/>
      <c r="C1394" s="147"/>
      <c r="D1394" s="147"/>
      <c r="E1394" s="147"/>
      <c r="F1394" s="147"/>
      <c r="G1394" s="147"/>
      <c r="H1394" s="147"/>
      <c r="I1394" s="147"/>
      <c r="J1394" s="147"/>
      <c r="K1394" s="147"/>
    </row>
    <row r="1395">
      <c r="A1395" s="147"/>
      <c r="B1395" s="147"/>
      <c r="C1395" s="147"/>
      <c r="D1395" s="147"/>
      <c r="E1395" s="147"/>
      <c r="F1395" s="147"/>
      <c r="G1395" s="147"/>
      <c r="H1395" s="147"/>
      <c r="I1395" s="147"/>
      <c r="J1395" s="147"/>
      <c r="K1395" s="147"/>
    </row>
    <row r="1396">
      <c r="A1396" s="147"/>
      <c r="B1396" s="147"/>
      <c r="C1396" s="147"/>
      <c r="D1396" s="147"/>
      <c r="E1396" s="147"/>
      <c r="F1396" s="147"/>
      <c r="G1396" s="147"/>
      <c r="H1396" s="147"/>
      <c r="I1396" s="147"/>
      <c r="J1396" s="147"/>
      <c r="K1396" s="147"/>
    </row>
    <row r="1397">
      <c r="A1397" s="147"/>
      <c r="B1397" s="147"/>
      <c r="C1397" s="147"/>
      <c r="D1397" s="147"/>
      <c r="E1397" s="147"/>
      <c r="F1397" s="147"/>
      <c r="G1397" s="147"/>
      <c r="H1397" s="147"/>
      <c r="I1397" s="147"/>
      <c r="J1397" s="147"/>
      <c r="K1397" s="147"/>
    </row>
    <row r="1398">
      <c r="A1398" s="147"/>
      <c r="B1398" s="147"/>
      <c r="C1398" s="147"/>
      <c r="D1398" s="147"/>
      <c r="E1398" s="147"/>
      <c r="F1398" s="147"/>
      <c r="G1398" s="147"/>
      <c r="H1398" s="147"/>
      <c r="I1398" s="147"/>
      <c r="J1398" s="147"/>
      <c r="K1398" s="147"/>
    </row>
    <row r="1399">
      <c r="A1399" s="147"/>
      <c r="B1399" s="147"/>
      <c r="C1399" s="147"/>
      <c r="D1399" s="147"/>
      <c r="E1399" s="147"/>
      <c r="F1399" s="147"/>
      <c r="G1399" s="147"/>
      <c r="H1399" s="147"/>
      <c r="I1399" s="147"/>
      <c r="J1399" s="147"/>
      <c r="K1399" s="147"/>
    </row>
    <row r="1400">
      <c r="A1400" s="147"/>
      <c r="B1400" s="147"/>
      <c r="C1400" s="147"/>
      <c r="D1400" s="147"/>
      <c r="E1400" s="147"/>
      <c r="F1400" s="147"/>
      <c r="G1400" s="147"/>
      <c r="H1400" s="147"/>
      <c r="I1400" s="147"/>
      <c r="J1400" s="147"/>
      <c r="K1400" s="147"/>
    </row>
    <row r="1401">
      <c r="A1401" s="147"/>
      <c r="B1401" s="147"/>
      <c r="C1401" s="147"/>
      <c r="D1401" s="147"/>
      <c r="E1401" s="147"/>
      <c r="F1401" s="147"/>
      <c r="G1401" s="147"/>
      <c r="H1401" s="147"/>
      <c r="I1401" s="147"/>
      <c r="J1401" s="147"/>
      <c r="K1401" s="147"/>
    </row>
    <row r="1402">
      <c r="A1402" s="147"/>
      <c r="B1402" s="147"/>
      <c r="C1402" s="147"/>
      <c r="D1402" s="147"/>
      <c r="E1402" s="147"/>
      <c r="F1402" s="147"/>
      <c r="G1402" s="147"/>
      <c r="H1402" s="147"/>
      <c r="I1402" s="147"/>
      <c r="J1402" s="147"/>
      <c r="K1402" s="147"/>
    </row>
    <row r="1403">
      <c r="A1403" s="147"/>
      <c r="B1403" s="147"/>
      <c r="C1403" s="147"/>
      <c r="D1403" s="147"/>
      <c r="E1403" s="147"/>
      <c r="F1403" s="147"/>
      <c r="G1403" s="147"/>
      <c r="H1403" s="147"/>
      <c r="I1403" s="147"/>
      <c r="J1403" s="147"/>
      <c r="K1403" s="147"/>
    </row>
    <row r="1404">
      <c r="A1404" s="147"/>
      <c r="B1404" s="147"/>
      <c r="C1404" s="147"/>
      <c r="D1404" s="147"/>
      <c r="E1404" s="147"/>
      <c r="F1404" s="147"/>
      <c r="G1404" s="147"/>
      <c r="H1404" s="147"/>
      <c r="I1404" s="147"/>
      <c r="J1404" s="147"/>
      <c r="K1404" s="147"/>
    </row>
    <row r="1405">
      <c r="A1405" s="147"/>
      <c r="B1405" s="147"/>
      <c r="C1405" s="147"/>
      <c r="D1405" s="147"/>
      <c r="E1405" s="147"/>
      <c r="F1405" s="147"/>
      <c r="G1405" s="147"/>
      <c r="H1405" s="147"/>
      <c r="I1405" s="147"/>
      <c r="J1405" s="147"/>
      <c r="K1405" s="147"/>
    </row>
    <row r="1406">
      <c r="A1406" s="147"/>
      <c r="B1406" s="147"/>
      <c r="C1406" s="147"/>
      <c r="D1406" s="147"/>
      <c r="E1406" s="147"/>
      <c r="F1406" s="147"/>
      <c r="G1406" s="147"/>
      <c r="H1406" s="147"/>
      <c r="I1406" s="147"/>
      <c r="J1406" s="147"/>
      <c r="K1406" s="147"/>
    </row>
    <row r="1407">
      <c r="A1407" s="147"/>
      <c r="B1407" s="147"/>
      <c r="C1407" s="147"/>
      <c r="D1407" s="147"/>
      <c r="E1407" s="147"/>
      <c r="F1407" s="147"/>
      <c r="G1407" s="147"/>
      <c r="H1407" s="147"/>
      <c r="I1407" s="147"/>
      <c r="J1407" s="147"/>
      <c r="K1407" s="147"/>
    </row>
    <row r="1408">
      <c r="A1408" s="147"/>
      <c r="B1408" s="147"/>
      <c r="C1408" s="147"/>
      <c r="D1408" s="147"/>
      <c r="E1408" s="147"/>
      <c r="F1408" s="147"/>
      <c r="G1408" s="147"/>
      <c r="H1408" s="147"/>
      <c r="I1408" s="147"/>
      <c r="J1408" s="147"/>
      <c r="K1408" s="147"/>
    </row>
    <row r="1409">
      <c r="A1409" s="147"/>
      <c r="B1409" s="147"/>
      <c r="C1409" s="147"/>
      <c r="D1409" s="147"/>
      <c r="E1409" s="147"/>
      <c r="F1409" s="147"/>
      <c r="G1409" s="147"/>
      <c r="H1409" s="147"/>
      <c r="I1409" s="147"/>
      <c r="J1409" s="147"/>
      <c r="K1409" s="147"/>
    </row>
    <row r="1410">
      <c r="A1410" s="147"/>
      <c r="B1410" s="147"/>
      <c r="C1410" s="147"/>
      <c r="D1410" s="147"/>
      <c r="E1410" s="147"/>
      <c r="F1410" s="147"/>
      <c r="G1410" s="147"/>
      <c r="H1410" s="147"/>
      <c r="I1410" s="147"/>
      <c r="J1410" s="147"/>
      <c r="K1410" s="147"/>
    </row>
    <row r="1411">
      <c r="A1411" s="147"/>
      <c r="B1411" s="147"/>
      <c r="C1411" s="147"/>
      <c r="D1411" s="147"/>
      <c r="E1411" s="147"/>
      <c r="F1411" s="147"/>
      <c r="G1411" s="147"/>
      <c r="H1411" s="147"/>
      <c r="I1411" s="147"/>
      <c r="J1411" s="147"/>
      <c r="K1411" s="147"/>
    </row>
    <row r="1412">
      <c r="A1412" s="147"/>
      <c r="B1412" s="147"/>
      <c r="C1412" s="147"/>
      <c r="D1412" s="147"/>
      <c r="E1412" s="147"/>
      <c r="F1412" s="147"/>
      <c r="G1412" s="147"/>
      <c r="H1412" s="147"/>
      <c r="I1412" s="147"/>
      <c r="J1412" s="147"/>
      <c r="K1412" s="147"/>
    </row>
    <row r="1413">
      <c r="A1413" s="147"/>
      <c r="B1413" s="147"/>
      <c r="C1413" s="147"/>
      <c r="D1413" s="147"/>
      <c r="E1413" s="147"/>
      <c r="F1413" s="147"/>
      <c r="G1413" s="147"/>
      <c r="H1413" s="147"/>
      <c r="I1413" s="147"/>
      <c r="J1413" s="147"/>
      <c r="K1413" s="147"/>
    </row>
    <row r="1414">
      <c r="A1414" s="147"/>
      <c r="B1414" s="147"/>
      <c r="C1414" s="147"/>
      <c r="D1414" s="147"/>
      <c r="E1414" s="147"/>
      <c r="F1414" s="147"/>
      <c r="G1414" s="147"/>
      <c r="H1414" s="147"/>
      <c r="I1414" s="147"/>
      <c r="J1414" s="147"/>
      <c r="K1414" s="147"/>
    </row>
    <row r="1415">
      <c r="A1415" s="147"/>
      <c r="B1415" s="147"/>
      <c r="C1415" s="147"/>
      <c r="D1415" s="147"/>
      <c r="E1415" s="147"/>
      <c r="F1415" s="147"/>
      <c r="G1415" s="147"/>
      <c r="H1415" s="147"/>
      <c r="I1415" s="147"/>
      <c r="J1415" s="147"/>
      <c r="K1415" s="147"/>
    </row>
    <row r="1416">
      <c r="A1416" s="147"/>
      <c r="B1416" s="147"/>
      <c r="C1416" s="147"/>
      <c r="D1416" s="147"/>
      <c r="E1416" s="147"/>
      <c r="F1416" s="147"/>
      <c r="G1416" s="147"/>
      <c r="H1416" s="147"/>
      <c r="I1416" s="147"/>
      <c r="J1416" s="147"/>
      <c r="K1416" s="147"/>
    </row>
    <row r="1417">
      <c r="A1417" s="147"/>
      <c r="B1417" s="147"/>
      <c r="C1417" s="147"/>
      <c r="D1417" s="147"/>
      <c r="E1417" s="147"/>
      <c r="F1417" s="147"/>
      <c r="G1417" s="147"/>
      <c r="H1417" s="147"/>
      <c r="I1417" s="147"/>
      <c r="J1417" s="147"/>
      <c r="K1417" s="147"/>
    </row>
    <row r="1418">
      <c r="A1418" s="147"/>
      <c r="B1418" s="147"/>
      <c r="C1418" s="147"/>
      <c r="D1418" s="147"/>
      <c r="E1418" s="147"/>
      <c r="F1418" s="147"/>
      <c r="G1418" s="147"/>
      <c r="H1418" s="147"/>
      <c r="I1418" s="147"/>
      <c r="J1418" s="147"/>
      <c r="K1418" s="147"/>
    </row>
    <row r="1419">
      <c r="A1419" s="147"/>
      <c r="B1419" s="147"/>
      <c r="C1419" s="147"/>
      <c r="D1419" s="147"/>
      <c r="E1419" s="147"/>
      <c r="F1419" s="147"/>
      <c r="G1419" s="147"/>
      <c r="H1419" s="147"/>
      <c r="I1419" s="147"/>
      <c r="J1419" s="147"/>
      <c r="K1419" s="147"/>
    </row>
    <row r="1420">
      <c r="A1420" s="147"/>
      <c r="B1420" s="147"/>
      <c r="C1420" s="147"/>
      <c r="D1420" s="147"/>
      <c r="E1420" s="147"/>
      <c r="F1420" s="147"/>
      <c r="G1420" s="147"/>
      <c r="H1420" s="147"/>
      <c r="I1420" s="147"/>
      <c r="J1420" s="147"/>
      <c r="K1420" s="147"/>
    </row>
    <row r="1421">
      <c r="A1421" s="147"/>
      <c r="B1421" s="147"/>
      <c r="C1421" s="147"/>
      <c r="D1421" s="147"/>
      <c r="E1421" s="147"/>
      <c r="F1421" s="147"/>
      <c r="G1421" s="147"/>
      <c r="H1421" s="147"/>
      <c r="I1421" s="147"/>
      <c r="J1421" s="147"/>
      <c r="K1421" s="147"/>
    </row>
    <row r="1422">
      <c r="A1422" s="147"/>
      <c r="B1422" s="147"/>
      <c r="C1422" s="147"/>
      <c r="D1422" s="147"/>
      <c r="E1422" s="147"/>
      <c r="F1422" s="147"/>
      <c r="G1422" s="147"/>
      <c r="H1422" s="147"/>
      <c r="I1422" s="147"/>
      <c r="J1422" s="147"/>
      <c r="K1422" s="147"/>
    </row>
    <row r="1423">
      <c r="A1423" s="147"/>
      <c r="B1423" s="147"/>
      <c r="C1423" s="147"/>
      <c r="D1423" s="147"/>
      <c r="E1423" s="147"/>
      <c r="F1423" s="147"/>
      <c r="G1423" s="147"/>
      <c r="H1423" s="147"/>
      <c r="I1423" s="147"/>
      <c r="J1423" s="147"/>
      <c r="K1423" s="147"/>
    </row>
    <row r="1424">
      <c r="A1424" s="147"/>
      <c r="B1424" s="147"/>
      <c r="C1424" s="147"/>
      <c r="D1424" s="147"/>
      <c r="E1424" s="147"/>
      <c r="F1424" s="147"/>
      <c r="G1424" s="147"/>
      <c r="H1424" s="147"/>
      <c r="I1424" s="147"/>
      <c r="J1424" s="147"/>
      <c r="K1424" s="147"/>
    </row>
    <row r="1425">
      <c r="A1425" s="147"/>
      <c r="B1425" s="147"/>
      <c r="C1425" s="147"/>
      <c r="D1425" s="147"/>
      <c r="E1425" s="147"/>
      <c r="F1425" s="147"/>
      <c r="G1425" s="147"/>
      <c r="H1425" s="147"/>
      <c r="I1425" s="147"/>
      <c r="J1425" s="147"/>
      <c r="K1425" s="147"/>
    </row>
    <row r="1426">
      <c r="A1426" s="147"/>
      <c r="B1426" s="147"/>
      <c r="C1426" s="147"/>
      <c r="D1426" s="147"/>
      <c r="E1426" s="147"/>
      <c r="F1426" s="147"/>
      <c r="G1426" s="147"/>
      <c r="H1426" s="147"/>
      <c r="I1426" s="147"/>
      <c r="J1426" s="147"/>
      <c r="K1426" s="147"/>
    </row>
    <row r="1427">
      <c r="A1427" s="147"/>
      <c r="B1427" s="147"/>
      <c r="C1427" s="147"/>
      <c r="D1427" s="147"/>
      <c r="E1427" s="147"/>
      <c r="F1427" s="147"/>
      <c r="G1427" s="147"/>
      <c r="H1427" s="147"/>
      <c r="I1427" s="147"/>
      <c r="J1427" s="147"/>
      <c r="K1427" s="147"/>
    </row>
    <row r="1428">
      <c r="A1428" s="147"/>
      <c r="B1428" s="147"/>
      <c r="C1428" s="147"/>
      <c r="D1428" s="147"/>
      <c r="E1428" s="147"/>
      <c r="F1428" s="147"/>
      <c r="G1428" s="147"/>
      <c r="H1428" s="147"/>
      <c r="I1428" s="147"/>
      <c r="J1428" s="147"/>
      <c r="K1428" s="147"/>
    </row>
    <row r="1429">
      <c r="A1429" s="147"/>
      <c r="B1429" s="147"/>
      <c r="C1429" s="147"/>
      <c r="D1429" s="147"/>
      <c r="E1429" s="147"/>
      <c r="F1429" s="147"/>
      <c r="G1429" s="147"/>
      <c r="H1429" s="147"/>
      <c r="I1429" s="147"/>
      <c r="J1429" s="147"/>
      <c r="K1429" s="147"/>
    </row>
    <row r="1430">
      <c r="A1430" s="147"/>
      <c r="B1430" s="147"/>
      <c r="C1430" s="147"/>
      <c r="D1430" s="147"/>
      <c r="E1430" s="147"/>
      <c r="F1430" s="147"/>
      <c r="G1430" s="147"/>
      <c r="H1430" s="147"/>
      <c r="I1430" s="147"/>
      <c r="J1430" s="147"/>
      <c r="K1430" s="147"/>
    </row>
    <row r="1431">
      <c r="A1431" s="147"/>
      <c r="B1431" s="147"/>
      <c r="C1431" s="147"/>
      <c r="D1431" s="147"/>
      <c r="E1431" s="147"/>
      <c r="F1431" s="147"/>
      <c r="G1431" s="147"/>
      <c r="H1431" s="147"/>
      <c r="I1431" s="147"/>
      <c r="J1431" s="147"/>
      <c r="K1431" s="147"/>
    </row>
    <row r="1432">
      <c r="A1432" s="147"/>
      <c r="B1432" s="147"/>
      <c r="C1432" s="147"/>
      <c r="D1432" s="147"/>
      <c r="E1432" s="147"/>
      <c r="F1432" s="147"/>
      <c r="G1432" s="147"/>
      <c r="H1432" s="147"/>
      <c r="I1432" s="147"/>
      <c r="J1432" s="147"/>
      <c r="K1432" s="147"/>
    </row>
    <row r="1433">
      <c r="A1433" s="147"/>
      <c r="B1433" s="147"/>
      <c r="C1433" s="147"/>
      <c r="D1433" s="147"/>
      <c r="E1433" s="147"/>
      <c r="F1433" s="147"/>
      <c r="G1433" s="147"/>
      <c r="H1433" s="147"/>
      <c r="I1433" s="147"/>
      <c r="J1433" s="147"/>
      <c r="K1433" s="147"/>
    </row>
    <row r="1434">
      <c r="A1434" s="147"/>
      <c r="B1434" s="147"/>
      <c r="C1434" s="147"/>
      <c r="D1434" s="147"/>
      <c r="E1434" s="147"/>
      <c r="F1434" s="147"/>
      <c r="G1434" s="147"/>
      <c r="H1434" s="147"/>
      <c r="I1434" s="147"/>
      <c r="J1434" s="147"/>
      <c r="K1434" s="147"/>
    </row>
    <row r="1435">
      <c r="A1435" s="147"/>
      <c r="B1435" s="147"/>
      <c r="C1435" s="147"/>
      <c r="D1435" s="147"/>
      <c r="E1435" s="147"/>
      <c r="F1435" s="147"/>
      <c r="G1435" s="147"/>
      <c r="H1435" s="147"/>
      <c r="I1435" s="147"/>
      <c r="J1435" s="147"/>
      <c r="K1435" s="147"/>
    </row>
    <row r="1436">
      <c r="A1436" s="147"/>
      <c r="B1436" s="147"/>
      <c r="C1436" s="147"/>
      <c r="D1436" s="147"/>
      <c r="E1436" s="147"/>
      <c r="F1436" s="147"/>
      <c r="G1436" s="147"/>
      <c r="H1436" s="147"/>
      <c r="I1436" s="147"/>
      <c r="J1436" s="147"/>
      <c r="K1436" s="147"/>
    </row>
    <row r="1437">
      <c r="A1437" s="147"/>
      <c r="B1437" s="147"/>
      <c r="C1437" s="147"/>
      <c r="D1437" s="147"/>
      <c r="E1437" s="147"/>
      <c r="F1437" s="147"/>
      <c r="G1437" s="147"/>
      <c r="H1437" s="147"/>
      <c r="I1437" s="147"/>
      <c r="J1437" s="147"/>
      <c r="K1437" s="147"/>
    </row>
    <row r="1438">
      <c r="A1438" s="147"/>
      <c r="B1438" s="147"/>
      <c r="C1438" s="147"/>
      <c r="D1438" s="147"/>
      <c r="E1438" s="147"/>
      <c r="F1438" s="147"/>
      <c r="G1438" s="147"/>
      <c r="H1438" s="147"/>
      <c r="I1438" s="147"/>
      <c r="J1438" s="147"/>
      <c r="K1438" s="147"/>
    </row>
    <row r="1439">
      <c r="A1439" s="147"/>
      <c r="B1439" s="147"/>
      <c r="C1439" s="147"/>
      <c r="D1439" s="147"/>
      <c r="E1439" s="147"/>
      <c r="F1439" s="147"/>
      <c r="G1439" s="147"/>
      <c r="H1439" s="147"/>
      <c r="I1439" s="147"/>
      <c r="J1439" s="147"/>
      <c r="K1439" s="147"/>
    </row>
    <row r="1440">
      <c r="A1440" s="147"/>
      <c r="B1440" s="147"/>
      <c r="C1440" s="147"/>
      <c r="D1440" s="147"/>
      <c r="E1440" s="147"/>
      <c r="F1440" s="147"/>
      <c r="G1440" s="147"/>
      <c r="H1440" s="147"/>
      <c r="I1440" s="147"/>
      <c r="J1440" s="147"/>
      <c r="K1440" s="147"/>
    </row>
    <row r="1441">
      <c r="A1441" s="147"/>
      <c r="B1441" s="147"/>
      <c r="C1441" s="147"/>
      <c r="D1441" s="147"/>
      <c r="E1441" s="147"/>
      <c r="F1441" s="147"/>
      <c r="G1441" s="147"/>
      <c r="H1441" s="147"/>
      <c r="I1441" s="147"/>
      <c r="J1441" s="147"/>
      <c r="K1441" s="147"/>
    </row>
    <row r="1442">
      <c r="A1442" s="147"/>
      <c r="B1442" s="147"/>
      <c r="C1442" s="147"/>
      <c r="D1442" s="147"/>
      <c r="E1442" s="147"/>
      <c r="F1442" s="147"/>
      <c r="G1442" s="147"/>
      <c r="H1442" s="147"/>
      <c r="I1442" s="147"/>
      <c r="J1442" s="147"/>
      <c r="K1442" s="147"/>
    </row>
    <row r="1443">
      <c r="A1443" s="147"/>
      <c r="B1443" s="147"/>
      <c r="C1443" s="147"/>
      <c r="D1443" s="147"/>
      <c r="E1443" s="147"/>
      <c r="F1443" s="147"/>
      <c r="G1443" s="147"/>
      <c r="H1443" s="147"/>
      <c r="I1443" s="147"/>
      <c r="J1443" s="147"/>
      <c r="K1443" s="147"/>
    </row>
    <row r="1444">
      <c r="A1444" s="147"/>
      <c r="B1444" s="147"/>
      <c r="C1444" s="147"/>
      <c r="D1444" s="147"/>
      <c r="E1444" s="147"/>
      <c r="F1444" s="147"/>
      <c r="G1444" s="147"/>
      <c r="H1444" s="147"/>
      <c r="I1444" s="147"/>
      <c r="J1444" s="147"/>
      <c r="K1444" s="147"/>
    </row>
    <row r="1445">
      <c r="A1445" s="147"/>
      <c r="B1445" s="147"/>
      <c r="C1445" s="147"/>
      <c r="D1445" s="147"/>
      <c r="E1445" s="147"/>
      <c r="F1445" s="147"/>
      <c r="G1445" s="147"/>
      <c r="H1445" s="147"/>
      <c r="I1445" s="147"/>
      <c r="J1445" s="147"/>
      <c r="K1445" s="147"/>
    </row>
    <row r="1446">
      <c r="A1446" s="147"/>
      <c r="B1446" s="147"/>
      <c r="C1446" s="147"/>
      <c r="D1446" s="147"/>
      <c r="E1446" s="147"/>
      <c r="F1446" s="147"/>
      <c r="G1446" s="147"/>
      <c r="H1446" s="147"/>
      <c r="I1446" s="147"/>
      <c r="J1446" s="147"/>
      <c r="K1446" s="147"/>
    </row>
    <row r="1447">
      <c r="A1447" s="147"/>
      <c r="B1447" s="147"/>
      <c r="C1447" s="147"/>
      <c r="D1447" s="147"/>
      <c r="E1447" s="147"/>
      <c r="F1447" s="147"/>
      <c r="G1447" s="147"/>
      <c r="H1447" s="147"/>
      <c r="I1447" s="147"/>
      <c r="J1447" s="147"/>
      <c r="K1447" s="147"/>
    </row>
    <row r="1448">
      <c r="A1448" s="147"/>
      <c r="B1448" s="147"/>
      <c r="C1448" s="147"/>
      <c r="D1448" s="147"/>
      <c r="E1448" s="147"/>
      <c r="F1448" s="147"/>
      <c r="G1448" s="147"/>
      <c r="H1448" s="147"/>
      <c r="I1448" s="147"/>
      <c r="J1448" s="147"/>
      <c r="K1448" s="147"/>
    </row>
    <row r="1449">
      <c r="A1449" s="147"/>
      <c r="B1449" s="147"/>
      <c r="C1449" s="147"/>
      <c r="D1449" s="147"/>
      <c r="E1449" s="147"/>
      <c r="F1449" s="147"/>
      <c r="G1449" s="147"/>
      <c r="H1449" s="147"/>
      <c r="I1449" s="147"/>
      <c r="J1449" s="147"/>
      <c r="K1449" s="147"/>
    </row>
    <row r="1450">
      <c r="A1450" s="147"/>
      <c r="B1450" s="147"/>
      <c r="C1450" s="147"/>
      <c r="D1450" s="147"/>
      <c r="E1450" s="147"/>
      <c r="F1450" s="147"/>
      <c r="G1450" s="147"/>
      <c r="H1450" s="147"/>
      <c r="I1450" s="147"/>
      <c r="J1450" s="147"/>
      <c r="K1450" s="147"/>
    </row>
    <row r="1451">
      <c r="A1451" s="147"/>
      <c r="B1451" s="147"/>
      <c r="C1451" s="147"/>
      <c r="D1451" s="147"/>
      <c r="E1451" s="147"/>
      <c r="F1451" s="147"/>
      <c r="G1451" s="147"/>
      <c r="H1451" s="147"/>
      <c r="I1451" s="147"/>
      <c r="J1451" s="147"/>
      <c r="K1451" s="147"/>
    </row>
    <row r="1452">
      <c r="A1452" s="147"/>
      <c r="B1452" s="147"/>
      <c r="C1452" s="147"/>
      <c r="D1452" s="147"/>
      <c r="E1452" s="147"/>
      <c r="F1452" s="147"/>
      <c r="G1452" s="147"/>
      <c r="H1452" s="147"/>
      <c r="I1452" s="147"/>
      <c r="J1452" s="147"/>
      <c r="K1452" s="147"/>
    </row>
    <row r="1453">
      <c r="A1453" s="147"/>
      <c r="B1453" s="147"/>
      <c r="C1453" s="147"/>
      <c r="D1453" s="147"/>
      <c r="E1453" s="147"/>
      <c r="F1453" s="147"/>
      <c r="G1453" s="147"/>
      <c r="H1453" s="147"/>
      <c r="I1453" s="147"/>
      <c r="J1453" s="147"/>
      <c r="K1453" s="147"/>
    </row>
    <row r="1454">
      <c r="A1454" s="147"/>
      <c r="B1454" s="147"/>
      <c r="C1454" s="147"/>
      <c r="D1454" s="147"/>
      <c r="E1454" s="147"/>
      <c r="F1454" s="147"/>
      <c r="G1454" s="147"/>
      <c r="H1454" s="147"/>
      <c r="I1454" s="147"/>
      <c r="J1454" s="147"/>
      <c r="K1454" s="147"/>
    </row>
    <row r="1455">
      <c r="A1455" s="147"/>
      <c r="B1455" s="147"/>
      <c r="C1455" s="147"/>
      <c r="D1455" s="147"/>
      <c r="E1455" s="147"/>
      <c r="F1455" s="147"/>
      <c r="G1455" s="147"/>
      <c r="H1455" s="147"/>
      <c r="I1455" s="147"/>
      <c r="J1455" s="147"/>
      <c r="K1455" s="147"/>
    </row>
    <row r="1456">
      <c r="A1456" s="147"/>
      <c r="B1456" s="147"/>
      <c r="C1456" s="147"/>
      <c r="D1456" s="147"/>
      <c r="E1456" s="147"/>
      <c r="F1456" s="147"/>
      <c r="G1456" s="147"/>
      <c r="H1456" s="147"/>
      <c r="I1456" s="147"/>
      <c r="J1456" s="147"/>
      <c r="K1456" s="147"/>
    </row>
    <row r="1457">
      <c r="A1457" s="147"/>
      <c r="B1457" s="147"/>
      <c r="C1457" s="147"/>
      <c r="D1457" s="147"/>
      <c r="E1457" s="147"/>
      <c r="F1457" s="147"/>
      <c r="G1457" s="147"/>
      <c r="H1457" s="147"/>
      <c r="I1457" s="147"/>
      <c r="J1457" s="147"/>
      <c r="K1457" s="147"/>
    </row>
    <row r="1458">
      <c r="A1458" s="147"/>
      <c r="B1458" s="147"/>
      <c r="C1458" s="147"/>
      <c r="D1458" s="147"/>
      <c r="E1458" s="147"/>
      <c r="F1458" s="147"/>
      <c r="G1458" s="147"/>
      <c r="H1458" s="147"/>
      <c r="I1458" s="147"/>
      <c r="J1458" s="147"/>
      <c r="K1458" s="147"/>
    </row>
    <row r="1459">
      <c r="A1459" s="147"/>
      <c r="B1459" s="147"/>
      <c r="C1459" s="147"/>
      <c r="D1459" s="147"/>
      <c r="E1459" s="147"/>
      <c r="F1459" s="147"/>
      <c r="G1459" s="147"/>
      <c r="H1459" s="147"/>
      <c r="I1459" s="147"/>
      <c r="J1459" s="147"/>
      <c r="K1459" s="147"/>
    </row>
    <row r="1460">
      <c r="A1460" s="147"/>
      <c r="B1460" s="147"/>
      <c r="C1460" s="147"/>
      <c r="D1460" s="147"/>
      <c r="E1460" s="147"/>
      <c r="F1460" s="147"/>
      <c r="G1460" s="147"/>
      <c r="H1460" s="147"/>
      <c r="I1460" s="147"/>
      <c r="J1460" s="147"/>
      <c r="K1460" s="147"/>
    </row>
    <row r="1461">
      <c r="A1461" s="147"/>
      <c r="B1461" s="147"/>
      <c r="C1461" s="147"/>
      <c r="D1461" s="147"/>
      <c r="E1461" s="147"/>
      <c r="F1461" s="147"/>
      <c r="G1461" s="147"/>
      <c r="H1461" s="147"/>
      <c r="I1461" s="147"/>
      <c r="J1461" s="147"/>
      <c r="K1461" s="147"/>
    </row>
    <row r="1462">
      <c r="A1462" s="147"/>
      <c r="B1462" s="147"/>
      <c r="C1462" s="147"/>
      <c r="D1462" s="147"/>
      <c r="E1462" s="147"/>
      <c r="F1462" s="147"/>
      <c r="G1462" s="147"/>
      <c r="H1462" s="147"/>
      <c r="I1462" s="147"/>
      <c r="J1462" s="147"/>
      <c r="K1462" s="147"/>
    </row>
    <row r="1463">
      <c r="A1463" s="147"/>
      <c r="B1463" s="147"/>
      <c r="C1463" s="147"/>
      <c r="D1463" s="147"/>
      <c r="E1463" s="147"/>
      <c r="F1463" s="147"/>
      <c r="G1463" s="147"/>
      <c r="H1463" s="147"/>
      <c r="I1463" s="147"/>
      <c r="J1463" s="147"/>
      <c r="K1463" s="147"/>
    </row>
    <row r="1464">
      <c r="A1464" s="147"/>
      <c r="B1464" s="147"/>
      <c r="C1464" s="147"/>
      <c r="D1464" s="147"/>
      <c r="E1464" s="147"/>
      <c r="F1464" s="147"/>
      <c r="G1464" s="147"/>
      <c r="H1464" s="147"/>
      <c r="I1464" s="147"/>
      <c r="J1464" s="147"/>
      <c r="K1464" s="147"/>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08.13"/>
    <col customWidth="1" min="3" max="3" width="35.13"/>
    <col customWidth="1" min="4" max="4" width="57.0"/>
    <col customWidth="1" min="5" max="5" width="20.13"/>
  </cols>
  <sheetData>
    <row r="1">
      <c r="A1" s="307" t="s">
        <v>4192</v>
      </c>
      <c r="B1" s="307" t="s">
        <v>2977</v>
      </c>
      <c r="C1" s="171" t="s">
        <v>2843</v>
      </c>
      <c r="D1" s="171" t="s">
        <v>4193</v>
      </c>
      <c r="E1" s="171" t="s">
        <v>2927</v>
      </c>
      <c r="F1" s="171" t="s">
        <v>4194</v>
      </c>
      <c r="G1" s="172"/>
      <c r="H1" s="172"/>
      <c r="I1" s="172"/>
      <c r="J1" s="172"/>
      <c r="K1" s="172"/>
      <c r="L1" s="172"/>
      <c r="M1" s="172"/>
      <c r="N1" s="172"/>
      <c r="O1" s="172"/>
      <c r="P1" s="172"/>
      <c r="Q1" s="172"/>
      <c r="R1" s="172"/>
      <c r="S1" s="172"/>
      <c r="T1" s="172"/>
      <c r="U1" s="172"/>
      <c r="V1" s="172"/>
      <c r="W1" s="172"/>
      <c r="X1" s="172"/>
      <c r="Y1" s="172"/>
      <c r="Z1" s="172"/>
      <c r="AA1" s="172"/>
    </row>
    <row r="2">
      <c r="A2" s="301" t="s">
        <v>2938</v>
      </c>
      <c r="B2" s="301" t="s">
        <v>4032</v>
      </c>
      <c r="C2" s="143" t="s">
        <v>161</v>
      </c>
      <c r="D2" s="143" t="s">
        <v>4195</v>
      </c>
      <c r="E2" s="308" t="s">
        <v>4196</v>
      </c>
      <c r="F2" s="143" t="s">
        <v>4197</v>
      </c>
    </row>
    <row r="3">
      <c r="A3" s="309" t="s">
        <v>2934</v>
      </c>
      <c r="B3" s="309" t="s">
        <v>4034</v>
      </c>
      <c r="C3" s="310" t="s">
        <v>4198</v>
      </c>
      <c r="D3" s="310" t="s">
        <v>4199</v>
      </c>
      <c r="E3" s="311"/>
      <c r="F3" s="311"/>
      <c r="G3" s="311"/>
      <c r="H3" s="311"/>
      <c r="I3" s="311"/>
      <c r="J3" s="311"/>
      <c r="K3" s="311"/>
      <c r="L3" s="311"/>
      <c r="M3" s="311"/>
      <c r="N3" s="311"/>
      <c r="O3" s="311"/>
      <c r="P3" s="311"/>
      <c r="Q3" s="311"/>
      <c r="R3" s="311"/>
      <c r="S3" s="311"/>
      <c r="T3" s="311"/>
      <c r="U3" s="311"/>
      <c r="V3" s="311"/>
      <c r="W3" s="311"/>
      <c r="X3" s="311"/>
      <c r="Y3" s="311"/>
      <c r="Z3" s="311"/>
      <c r="AA3" s="311"/>
    </row>
    <row r="4">
      <c r="A4" s="309" t="s">
        <v>2932</v>
      </c>
      <c r="B4" s="309" t="s">
        <v>4200</v>
      </c>
      <c r="C4" s="310"/>
      <c r="D4" s="310" t="s">
        <v>4201</v>
      </c>
      <c r="E4" s="311"/>
      <c r="F4" s="311"/>
      <c r="G4" s="311"/>
      <c r="H4" s="311"/>
      <c r="I4" s="311"/>
      <c r="J4" s="311"/>
      <c r="K4" s="311"/>
      <c r="L4" s="311"/>
      <c r="M4" s="311"/>
      <c r="N4" s="311"/>
      <c r="O4" s="311"/>
      <c r="P4" s="311"/>
      <c r="Q4" s="311"/>
      <c r="R4" s="311"/>
      <c r="S4" s="311"/>
      <c r="T4" s="311"/>
      <c r="U4" s="311"/>
      <c r="V4" s="311"/>
      <c r="W4" s="311"/>
      <c r="X4" s="311"/>
      <c r="Y4" s="311"/>
      <c r="Z4" s="311"/>
      <c r="AA4" s="311"/>
    </row>
    <row r="5">
      <c r="A5" s="301" t="s">
        <v>2932</v>
      </c>
      <c r="B5" s="301" t="s">
        <v>4036</v>
      </c>
      <c r="C5" s="143" t="s">
        <v>212</v>
      </c>
      <c r="D5" s="143" t="s">
        <v>4202</v>
      </c>
      <c r="E5" s="308" t="s">
        <v>4203</v>
      </c>
      <c r="F5" s="143" t="s">
        <v>4204</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25"/>
    <col customWidth="1" min="3" max="3" width="33.88"/>
  </cols>
  <sheetData>
    <row r="1">
      <c r="A1" s="304" t="s">
        <v>4205</v>
      </c>
      <c r="B1" s="304" t="s">
        <v>4037</v>
      </c>
      <c r="C1" s="304" t="s">
        <v>3176</v>
      </c>
      <c r="D1" s="304" t="s">
        <v>2927</v>
      </c>
      <c r="E1" s="304" t="s">
        <v>4206</v>
      </c>
      <c r="F1" s="304" t="s">
        <v>4207</v>
      </c>
      <c r="G1" s="304" t="s">
        <v>4208</v>
      </c>
      <c r="H1" s="304" t="s">
        <v>4209</v>
      </c>
      <c r="I1" s="304" t="s">
        <v>4210</v>
      </c>
      <c r="J1" s="147"/>
      <c r="K1" s="147"/>
      <c r="L1" s="147"/>
      <c r="M1" s="147"/>
      <c r="N1" s="147"/>
      <c r="O1" s="147"/>
      <c r="P1" s="147"/>
      <c r="Q1" s="147"/>
      <c r="R1" s="147"/>
      <c r="S1" s="147"/>
      <c r="T1" s="147"/>
      <c r="U1" s="147"/>
      <c r="V1" s="147"/>
    </row>
    <row r="2">
      <c r="A2" s="240" t="s">
        <v>4211</v>
      </c>
      <c r="B2" s="240" t="s">
        <v>454</v>
      </c>
      <c r="C2" s="240" t="s">
        <v>93</v>
      </c>
      <c r="D2" s="240" t="s">
        <v>4212</v>
      </c>
      <c r="E2" s="240" t="s">
        <v>4213</v>
      </c>
      <c r="F2" s="240" t="s">
        <v>4214</v>
      </c>
      <c r="G2" s="147"/>
      <c r="H2" s="240" t="s">
        <v>4215</v>
      </c>
      <c r="I2" s="240" t="s">
        <v>4215</v>
      </c>
      <c r="J2" s="147"/>
      <c r="K2" s="147"/>
      <c r="L2" s="147"/>
      <c r="M2" s="147"/>
      <c r="N2" s="147"/>
      <c r="O2" s="147"/>
      <c r="P2" s="147"/>
      <c r="Q2" s="147"/>
      <c r="R2" s="147"/>
      <c r="S2" s="147"/>
      <c r="T2" s="147"/>
      <c r="U2" s="147"/>
      <c r="V2" s="147"/>
    </row>
    <row r="3">
      <c r="A3" s="240" t="s">
        <v>4216</v>
      </c>
      <c r="B3" s="240" t="s">
        <v>455</v>
      </c>
      <c r="C3" s="240" t="s">
        <v>70</v>
      </c>
      <c r="D3" s="240" t="s">
        <v>4217</v>
      </c>
      <c r="E3" s="240" t="s">
        <v>4218</v>
      </c>
      <c r="F3" s="240" t="s">
        <v>4219</v>
      </c>
      <c r="G3" s="147"/>
      <c r="H3" s="240" t="s">
        <v>4215</v>
      </c>
      <c r="I3" s="240" t="s">
        <v>4215</v>
      </c>
      <c r="J3" s="147"/>
      <c r="K3" s="147"/>
      <c r="L3" s="147"/>
      <c r="M3" s="147"/>
      <c r="N3" s="147"/>
      <c r="O3" s="147"/>
      <c r="P3" s="147"/>
      <c r="Q3" s="147"/>
      <c r="R3" s="147"/>
      <c r="S3" s="147"/>
      <c r="T3" s="147"/>
      <c r="U3" s="147"/>
      <c r="V3" s="147"/>
    </row>
    <row r="4">
      <c r="A4" s="240" t="s">
        <v>4220</v>
      </c>
      <c r="B4" s="240" t="s">
        <v>456</v>
      </c>
      <c r="C4" s="240" t="s">
        <v>457</v>
      </c>
      <c r="D4" s="240" t="s">
        <v>4221</v>
      </c>
      <c r="E4" s="240" t="s">
        <v>4222</v>
      </c>
      <c r="F4" s="240" t="s">
        <v>4223</v>
      </c>
      <c r="G4" s="147"/>
      <c r="H4" s="240" t="s">
        <v>4215</v>
      </c>
      <c r="I4" s="240" t="s">
        <v>4215</v>
      </c>
      <c r="J4" s="147"/>
      <c r="K4" s="147"/>
      <c r="L4" s="147"/>
      <c r="M4" s="147"/>
      <c r="N4" s="147"/>
      <c r="O4" s="147"/>
      <c r="P4" s="147"/>
      <c r="Q4" s="147"/>
      <c r="R4" s="147"/>
      <c r="S4" s="147"/>
      <c r="T4" s="147"/>
      <c r="U4" s="147"/>
      <c r="V4" s="147"/>
    </row>
    <row r="5">
      <c r="A5" s="240" t="s">
        <v>4224</v>
      </c>
      <c r="B5" s="240" t="s">
        <v>458</v>
      </c>
      <c r="C5" s="240" t="s">
        <v>459</v>
      </c>
      <c r="D5" s="240" t="s">
        <v>4225</v>
      </c>
      <c r="E5" s="240" t="s">
        <v>4226</v>
      </c>
      <c r="F5" s="240" t="s">
        <v>4227</v>
      </c>
      <c r="G5" s="147"/>
      <c r="H5" s="240" t="s">
        <v>4215</v>
      </c>
      <c r="I5" s="240" t="s">
        <v>4215</v>
      </c>
      <c r="J5" s="147"/>
      <c r="K5" s="147"/>
      <c r="L5" s="147"/>
      <c r="M5" s="147"/>
      <c r="N5" s="147"/>
      <c r="O5" s="147"/>
      <c r="P5" s="147"/>
      <c r="Q5" s="147"/>
      <c r="R5" s="147"/>
      <c r="S5" s="147"/>
      <c r="T5" s="147"/>
      <c r="U5" s="147"/>
      <c r="V5" s="147"/>
    </row>
    <row r="6">
      <c r="A6" s="240" t="s">
        <v>4228</v>
      </c>
      <c r="B6" s="240" t="s">
        <v>460</v>
      </c>
      <c r="C6" s="240" t="s">
        <v>461</v>
      </c>
      <c r="D6" s="240" t="s">
        <v>4229</v>
      </c>
      <c r="E6" s="240" t="s">
        <v>4230</v>
      </c>
      <c r="F6" s="240" t="s">
        <v>4231</v>
      </c>
      <c r="G6" s="147"/>
      <c r="H6" s="147"/>
      <c r="I6" s="147"/>
      <c r="J6" s="147"/>
      <c r="K6" s="147"/>
      <c r="L6" s="147"/>
      <c r="M6" s="147"/>
      <c r="N6" s="147"/>
      <c r="O6" s="147"/>
      <c r="P6" s="147"/>
      <c r="Q6" s="147"/>
      <c r="R6" s="147"/>
      <c r="S6" s="147"/>
      <c r="T6" s="147"/>
      <c r="U6" s="147"/>
      <c r="V6" s="147"/>
    </row>
    <row r="7">
      <c r="A7" s="240" t="s">
        <v>4232</v>
      </c>
      <c r="B7" s="240" t="s">
        <v>462</v>
      </c>
      <c r="C7" s="240" t="s">
        <v>463</v>
      </c>
      <c r="D7" s="240" t="s">
        <v>4233</v>
      </c>
      <c r="E7" s="240" t="s">
        <v>4234</v>
      </c>
      <c r="F7" s="240" t="s">
        <v>4235</v>
      </c>
      <c r="G7" s="147"/>
      <c r="H7" s="240" t="s">
        <v>4215</v>
      </c>
      <c r="I7" s="240" t="s">
        <v>4215</v>
      </c>
      <c r="J7" s="147"/>
      <c r="K7" s="147"/>
      <c r="L7" s="147"/>
      <c r="M7" s="147"/>
      <c r="N7" s="147"/>
      <c r="O7" s="147"/>
      <c r="P7" s="147"/>
      <c r="Q7" s="147"/>
      <c r="R7" s="147"/>
      <c r="S7" s="147"/>
      <c r="T7" s="147"/>
      <c r="U7" s="147"/>
      <c r="V7" s="147"/>
    </row>
    <row r="8">
      <c r="A8" s="240" t="s">
        <v>4236</v>
      </c>
      <c r="B8" s="240" t="s">
        <v>464</v>
      </c>
      <c r="C8" s="240" t="s">
        <v>465</v>
      </c>
      <c r="D8" s="240" t="s">
        <v>4237</v>
      </c>
      <c r="E8" s="240" t="s">
        <v>4238</v>
      </c>
      <c r="F8" s="240" t="s">
        <v>4223</v>
      </c>
      <c r="G8" s="147"/>
      <c r="H8" s="240" t="s">
        <v>4215</v>
      </c>
      <c r="I8" s="240" t="s">
        <v>4215</v>
      </c>
      <c r="J8" s="147"/>
      <c r="K8" s="147"/>
      <c r="L8" s="147"/>
      <c r="M8" s="147"/>
      <c r="N8" s="147"/>
      <c r="O8" s="147"/>
      <c r="P8" s="147"/>
      <c r="Q8" s="147"/>
      <c r="R8" s="147"/>
      <c r="S8" s="147"/>
      <c r="T8" s="147"/>
      <c r="U8" s="147"/>
      <c r="V8" s="147"/>
    </row>
    <row r="9">
      <c r="A9" s="240" t="s">
        <v>4239</v>
      </c>
      <c r="B9" s="240" t="s">
        <v>466</v>
      </c>
      <c r="C9" s="240" t="s">
        <v>467</v>
      </c>
      <c r="D9" s="240" t="s">
        <v>4240</v>
      </c>
      <c r="E9" s="240" t="s">
        <v>4241</v>
      </c>
      <c r="F9" s="240" t="s">
        <v>4223</v>
      </c>
      <c r="G9" s="147"/>
      <c r="H9" s="240" t="s">
        <v>4215</v>
      </c>
      <c r="I9" s="240" t="s">
        <v>4215</v>
      </c>
      <c r="J9" s="147"/>
      <c r="K9" s="147"/>
      <c r="L9" s="147"/>
      <c r="M9" s="147"/>
      <c r="N9" s="147"/>
      <c r="O9" s="147"/>
      <c r="P9" s="147"/>
      <c r="Q9" s="147"/>
      <c r="R9" s="147"/>
      <c r="S9" s="147"/>
      <c r="T9" s="147"/>
      <c r="U9" s="147"/>
      <c r="V9" s="147"/>
    </row>
    <row r="10">
      <c r="A10" s="240" t="s">
        <v>4242</v>
      </c>
      <c r="B10" s="240" t="s">
        <v>468</v>
      </c>
      <c r="C10" s="240" t="s">
        <v>469</v>
      </c>
      <c r="D10" s="240" t="s">
        <v>4243</v>
      </c>
      <c r="E10" s="240" t="s">
        <v>4244</v>
      </c>
      <c r="F10" s="240" t="s">
        <v>4235</v>
      </c>
      <c r="G10" s="147"/>
      <c r="H10" s="240" t="s">
        <v>4215</v>
      </c>
      <c r="I10" s="240" t="s">
        <v>4215</v>
      </c>
      <c r="J10" s="147"/>
      <c r="K10" s="147"/>
      <c r="L10" s="147"/>
      <c r="M10" s="147"/>
      <c r="N10" s="147"/>
      <c r="O10" s="147"/>
      <c r="P10" s="147"/>
      <c r="Q10" s="147"/>
      <c r="R10" s="147"/>
      <c r="S10" s="147"/>
      <c r="T10" s="147"/>
      <c r="U10" s="147"/>
      <c r="V10" s="147"/>
    </row>
    <row r="11">
      <c r="A11" s="240" t="s">
        <v>4245</v>
      </c>
      <c r="B11" s="240" t="s">
        <v>470</v>
      </c>
      <c r="C11" s="240" t="s">
        <v>471</v>
      </c>
      <c r="D11" s="240" t="s">
        <v>4246</v>
      </c>
      <c r="E11" s="240" t="s">
        <v>4247</v>
      </c>
      <c r="F11" s="240" t="s">
        <v>4235</v>
      </c>
      <c r="G11" s="147"/>
      <c r="H11" s="240" t="s">
        <v>4215</v>
      </c>
      <c r="I11" s="240" t="s">
        <v>4215</v>
      </c>
      <c r="J11" s="147"/>
      <c r="K11" s="147"/>
      <c r="L11" s="147"/>
      <c r="M11" s="147"/>
      <c r="N11" s="147"/>
      <c r="O11" s="147"/>
      <c r="P11" s="147"/>
      <c r="Q11" s="147"/>
      <c r="R11" s="147"/>
      <c r="S11" s="147"/>
      <c r="T11" s="147"/>
      <c r="U11" s="147"/>
      <c r="V11" s="147"/>
    </row>
    <row r="12">
      <c r="A12" s="240" t="s">
        <v>4248</v>
      </c>
      <c r="B12" s="240" t="s">
        <v>472</v>
      </c>
      <c r="C12" s="240" t="s">
        <v>473</v>
      </c>
      <c r="D12" s="240" t="s">
        <v>4249</v>
      </c>
      <c r="E12" s="240" t="s">
        <v>4250</v>
      </c>
      <c r="F12" s="240" t="s">
        <v>4219</v>
      </c>
      <c r="G12" s="147"/>
      <c r="H12" s="240" t="s">
        <v>4215</v>
      </c>
      <c r="I12" s="240" t="s">
        <v>4215</v>
      </c>
      <c r="J12" s="147"/>
      <c r="K12" s="147"/>
      <c r="L12" s="147"/>
      <c r="M12" s="147"/>
      <c r="N12" s="147"/>
      <c r="O12" s="147"/>
      <c r="P12" s="147"/>
      <c r="Q12" s="147"/>
      <c r="R12" s="147"/>
      <c r="S12" s="147"/>
      <c r="T12" s="147"/>
      <c r="U12" s="147"/>
      <c r="V12" s="147"/>
    </row>
    <row r="13">
      <c r="A13" s="240" t="s">
        <v>4251</v>
      </c>
      <c r="B13" s="240" t="s">
        <v>474</v>
      </c>
      <c r="C13" s="240" t="s">
        <v>475</v>
      </c>
      <c r="D13" s="240" t="s">
        <v>4252</v>
      </c>
      <c r="E13" s="240" t="s">
        <v>4253</v>
      </c>
      <c r="F13" s="240" t="s">
        <v>4223</v>
      </c>
      <c r="G13" s="147"/>
      <c r="H13" s="240" t="s">
        <v>4215</v>
      </c>
      <c r="I13" s="240" t="s">
        <v>4215</v>
      </c>
      <c r="J13" s="147"/>
      <c r="K13" s="147"/>
      <c r="L13" s="147"/>
      <c r="M13" s="147"/>
      <c r="N13" s="147"/>
      <c r="O13" s="147"/>
      <c r="P13" s="147"/>
      <c r="Q13" s="147"/>
      <c r="R13" s="147"/>
      <c r="S13" s="147"/>
      <c r="T13" s="147"/>
      <c r="U13" s="147"/>
      <c r="V13" s="147"/>
    </row>
    <row r="14">
      <c r="A14" s="240" t="s">
        <v>4254</v>
      </c>
      <c r="B14" s="240" t="s">
        <v>476</v>
      </c>
      <c r="C14" s="240" t="s">
        <v>477</v>
      </c>
      <c r="D14" s="240" t="s">
        <v>4255</v>
      </c>
      <c r="E14" s="240" t="s">
        <v>4256</v>
      </c>
      <c r="F14" s="240" t="s">
        <v>4257</v>
      </c>
      <c r="G14" s="147"/>
      <c r="H14" s="240" t="s">
        <v>4215</v>
      </c>
      <c r="I14" s="240" t="s">
        <v>4215</v>
      </c>
      <c r="J14" s="147"/>
      <c r="K14" s="147"/>
      <c r="L14" s="147"/>
      <c r="M14" s="147"/>
      <c r="N14" s="147"/>
      <c r="O14" s="147"/>
      <c r="P14" s="147"/>
      <c r="Q14" s="147"/>
      <c r="R14" s="147"/>
      <c r="S14" s="147"/>
      <c r="T14" s="147"/>
      <c r="U14" s="147"/>
      <c r="V14" s="147"/>
    </row>
    <row r="15">
      <c r="A15" s="240" t="s">
        <v>4258</v>
      </c>
      <c r="B15" s="240" t="s">
        <v>478</v>
      </c>
      <c r="C15" s="240" t="s">
        <v>479</v>
      </c>
      <c r="D15" s="240" t="s">
        <v>4259</v>
      </c>
      <c r="E15" s="240" t="s">
        <v>4260</v>
      </c>
      <c r="F15" s="240" t="s">
        <v>4219</v>
      </c>
      <c r="G15" s="147"/>
      <c r="H15" s="147"/>
      <c r="I15" s="147"/>
      <c r="J15" s="147"/>
      <c r="K15" s="147"/>
      <c r="L15" s="147"/>
      <c r="M15" s="147"/>
      <c r="N15" s="147"/>
      <c r="O15" s="147"/>
      <c r="P15" s="147"/>
      <c r="Q15" s="147"/>
      <c r="R15" s="147"/>
      <c r="S15" s="147"/>
      <c r="T15" s="147"/>
      <c r="U15" s="147"/>
      <c r="V15" s="147"/>
    </row>
    <row r="16">
      <c r="A16" s="240" t="s">
        <v>4261</v>
      </c>
      <c r="B16" s="240" t="s">
        <v>480</v>
      </c>
      <c r="C16" s="240" t="s">
        <v>481</v>
      </c>
      <c r="D16" s="240" t="s">
        <v>4262</v>
      </c>
      <c r="E16" s="240" t="s">
        <v>4263</v>
      </c>
      <c r="F16" s="240" t="s">
        <v>4264</v>
      </c>
      <c r="G16" s="147"/>
      <c r="H16" s="240" t="s">
        <v>4215</v>
      </c>
      <c r="I16" s="240" t="s">
        <v>4215</v>
      </c>
      <c r="J16" s="147"/>
      <c r="K16" s="147"/>
      <c r="L16" s="147"/>
      <c r="M16" s="147"/>
      <c r="N16" s="147"/>
      <c r="O16" s="147"/>
      <c r="P16" s="147"/>
      <c r="Q16" s="147"/>
      <c r="R16" s="147"/>
      <c r="S16" s="147"/>
      <c r="T16" s="147"/>
      <c r="U16" s="147"/>
      <c r="V16" s="147"/>
    </row>
    <row r="17">
      <c r="A17" s="240" t="s">
        <v>4265</v>
      </c>
      <c r="B17" s="240" t="s">
        <v>482</v>
      </c>
      <c r="C17" s="240" t="s">
        <v>483</v>
      </c>
      <c r="D17" s="240" t="s">
        <v>4266</v>
      </c>
      <c r="E17" s="240" t="s">
        <v>4267</v>
      </c>
      <c r="F17" s="240" t="s">
        <v>4219</v>
      </c>
      <c r="G17" s="147"/>
      <c r="H17" s="240" t="s">
        <v>4215</v>
      </c>
      <c r="I17" s="240" t="s">
        <v>4215</v>
      </c>
      <c r="J17" s="147"/>
      <c r="K17" s="147"/>
      <c r="L17" s="147"/>
      <c r="M17" s="147"/>
      <c r="N17" s="147"/>
      <c r="O17" s="147"/>
      <c r="P17" s="147"/>
      <c r="Q17" s="147"/>
      <c r="R17" s="147"/>
      <c r="S17" s="147"/>
      <c r="T17" s="147"/>
      <c r="U17" s="147"/>
      <c r="V17" s="147"/>
    </row>
    <row r="18">
      <c r="A18" s="240" t="s">
        <v>4268</v>
      </c>
      <c r="B18" s="240" t="s">
        <v>484</v>
      </c>
      <c r="C18" s="240" t="s">
        <v>485</v>
      </c>
      <c r="D18" s="240" t="s">
        <v>4269</v>
      </c>
      <c r="E18" s="240" t="s">
        <v>4270</v>
      </c>
      <c r="F18" s="240" t="s">
        <v>4219</v>
      </c>
      <c r="G18" s="147"/>
      <c r="H18" s="240" t="s">
        <v>4215</v>
      </c>
      <c r="I18" s="240" t="s">
        <v>4215</v>
      </c>
      <c r="J18" s="147"/>
      <c r="K18" s="147"/>
      <c r="L18" s="147"/>
      <c r="M18" s="147"/>
      <c r="N18" s="147"/>
      <c r="O18" s="147"/>
      <c r="P18" s="147"/>
      <c r="Q18" s="147"/>
      <c r="R18" s="147"/>
      <c r="S18" s="147"/>
      <c r="T18" s="147"/>
      <c r="U18" s="147"/>
      <c r="V18" s="147"/>
    </row>
    <row r="19">
      <c r="A19" s="240" t="s">
        <v>4271</v>
      </c>
      <c r="B19" s="240" t="s">
        <v>486</v>
      </c>
      <c r="C19" s="240" t="s">
        <v>487</v>
      </c>
      <c r="D19" s="240" t="s">
        <v>4272</v>
      </c>
      <c r="E19" s="240" t="s">
        <v>4273</v>
      </c>
      <c r="F19" s="240" t="s">
        <v>4235</v>
      </c>
      <c r="G19" s="147"/>
      <c r="H19" s="240" t="s">
        <v>4215</v>
      </c>
      <c r="I19" s="240" t="s">
        <v>4215</v>
      </c>
      <c r="J19" s="147"/>
      <c r="K19" s="147"/>
      <c r="L19" s="147"/>
      <c r="M19" s="147"/>
      <c r="N19" s="147"/>
      <c r="O19" s="147"/>
      <c r="P19" s="147"/>
      <c r="Q19" s="147"/>
      <c r="R19" s="147"/>
      <c r="S19" s="147"/>
      <c r="T19" s="147"/>
      <c r="U19" s="147"/>
      <c r="V19" s="147"/>
    </row>
    <row r="20">
      <c r="A20" s="240" t="s">
        <v>4274</v>
      </c>
      <c r="B20" s="240" t="s">
        <v>488</v>
      </c>
      <c r="C20" s="240" t="s">
        <v>489</v>
      </c>
      <c r="D20" s="240" t="s">
        <v>4275</v>
      </c>
      <c r="E20" s="240" t="s">
        <v>296</v>
      </c>
      <c r="F20" s="240" t="s">
        <v>4223</v>
      </c>
      <c r="G20" s="147"/>
      <c r="H20" s="147"/>
      <c r="I20" s="147"/>
      <c r="J20" s="147"/>
      <c r="K20" s="147"/>
      <c r="L20" s="147"/>
      <c r="M20" s="147"/>
      <c r="N20" s="147"/>
      <c r="O20" s="147"/>
      <c r="P20" s="147"/>
      <c r="Q20" s="147"/>
      <c r="R20" s="147"/>
      <c r="S20" s="147"/>
      <c r="T20" s="147"/>
      <c r="U20" s="147"/>
      <c r="V20" s="147"/>
    </row>
    <row r="21">
      <c r="A21" s="240" t="s">
        <v>4276</v>
      </c>
      <c r="B21" s="240" t="s">
        <v>490</v>
      </c>
      <c r="C21" s="240" t="s">
        <v>491</v>
      </c>
      <c r="D21" s="240" t="s">
        <v>4277</v>
      </c>
      <c r="E21" s="240" t="s">
        <v>4278</v>
      </c>
      <c r="F21" s="240" t="s">
        <v>4264</v>
      </c>
      <c r="G21" s="147"/>
      <c r="H21" s="147"/>
      <c r="I21" s="147"/>
      <c r="J21" s="147"/>
      <c r="K21" s="147"/>
      <c r="L21" s="147"/>
      <c r="M21" s="147"/>
      <c r="N21" s="147"/>
      <c r="O21" s="147"/>
      <c r="P21" s="147"/>
      <c r="Q21" s="147"/>
      <c r="R21" s="147"/>
      <c r="S21" s="147"/>
      <c r="T21" s="147"/>
      <c r="U21" s="147"/>
      <c r="V21" s="147"/>
    </row>
    <row r="22">
      <c r="A22" s="240" t="s">
        <v>4279</v>
      </c>
      <c r="B22" s="240" t="s">
        <v>492</v>
      </c>
      <c r="C22" s="240" t="s">
        <v>493</v>
      </c>
      <c r="D22" s="240" t="s">
        <v>4280</v>
      </c>
      <c r="E22" s="240" t="s">
        <v>4281</v>
      </c>
      <c r="F22" s="240" t="s">
        <v>4264</v>
      </c>
      <c r="G22" s="147"/>
      <c r="H22" s="147"/>
      <c r="I22" s="147"/>
      <c r="J22" s="147"/>
      <c r="K22" s="147"/>
      <c r="L22" s="147"/>
      <c r="M22" s="147"/>
      <c r="N22" s="147"/>
      <c r="O22" s="147"/>
      <c r="P22" s="147"/>
      <c r="Q22" s="147"/>
      <c r="R22" s="147"/>
      <c r="S22" s="147"/>
      <c r="T22" s="147"/>
      <c r="U22" s="147"/>
      <c r="V22" s="147"/>
    </row>
    <row r="23">
      <c r="A23" s="240" t="s">
        <v>4282</v>
      </c>
      <c r="B23" s="240" t="s">
        <v>494</v>
      </c>
      <c r="C23" s="240" t="s">
        <v>495</v>
      </c>
      <c r="D23" s="240" t="s">
        <v>4283</v>
      </c>
      <c r="E23" s="240" t="s">
        <v>4284</v>
      </c>
      <c r="F23" s="240" t="s">
        <v>4219</v>
      </c>
      <c r="G23" s="147"/>
      <c r="H23" s="240" t="s">
        <v>4215</v>
      </c>
      <c r="I23" s="240" t="s">
        <v>4215</v>
      </c>
      <c r="J23" s="147"/>
      <c r="K23" s="147"/>
      <c r="L23" s="147"/>
      <c r="M23" s="147"/>
      <c r="N23" s="147"/>
      <c r="O23" s="147"/>
      <c r="P23" s="147"/>
      <c r="Q23" s="147"/>
      <c r="R23" s="147"/>
      <c r="S23" s="147"/>
      <c r="T23" s="147"/>
      <c r="U23" s="147"/>
      <c r="V23" s="147"/>
    </row>
    <row r="24">
      <c r="A24" s="240" t="s">
        <v>4285</v>
      </c>
      <c r="B24" s="240" t="s">
        <v>496</v>
      </c>
      <c r="C24" s="240" t="s">
        <v>497</v>
      </c>
      <c r="D24" s="240" t="s">
        <v>4286</v>
      </c>
      <c r="E24" s="240" t="s">
        <v>4287</v>
      </c>
      <c r="F24" s="240" t="s">
        <v>4264</v>
      </c>
      <c r="G24" s="147"/>
      <c r="H24" s="147"/>
      <c r="I24" s="147"/>
      <c r="J24" s="147"/>
      <c r="K24" s="147"/>
      <c r="L24" s="147"/>
      <c r="M24" s="147"/>
      <c r="N24" s="147"/>
      <c r="O24" s="147"/>
      <c r="P24" s="147"/>
      <c r="Q24" s="147"/>
      <c r="R24" s="147"/>
      <c r="S24" s="147"/>
      <c r="T24" s="147"/>
      <c r="U24" s="147"/>
      <c r="V24" s="147"/>
    </row>
    <row r="25">
      <c r="A25" s="240" t="s">
        <v>4288</v>
      </c>
      <c r="B25" s="240" t="s">
        <v>498</v>
      </c>
      <c r="C25" s="240" t="s">
        <v>499</v>
      </c>
      <c r="D25" s="240" t="s">
        <v>4289</v>
      </c>
      <c r="E25" s="240" t="s">
        <v>4290</v>
      </c>
      <c r="F25" s="240" t="s">
        <v>4231</v>
      </c>
      <c r="G25" s="147"/>
      <c r="H25" s="240" t="s">
        <v>4215</v>
      </c>
      <c r="I25" s="240" t="s">
        <v>4215</v>
      </c>
      <c r="J25" s="147"/>
      <c r="K25" s="147"/>
      <c r="L25" s="147"/>
      <c r="M25" s="147"/>
      <c r="N25" s="147"/>
      <c r="O25" s="147"/>
      <c r="P25" s="147"/>
      <c r="Q25" s="147"/>
      <c r="R25" s="147"/>
      <c r="S25" s="147"/>
      <c r="T25" s="147"/>
      <c r="U25" s="147"/>
      <c r="V25" s="147"/>
    </row>
    <row r="26">
      <c r="A26" s="240" t="s">
        <v>4291</v>
      </c>
      <c r="B26" s="240" t="s">
        <v>500</v>
      </c>
      <c r="C26" s="240" t="s">
        <v>501</v>
      </c>
      <c r="D26" s="240" t="s">
        <v>4292</v>
      </c>
      <c r="E26" s="240" t="s">
        <v>4293</v>
      </c>
      <c r="F26" s="240" t="s">
        <v>4223</v>
      </c>
      <c r="G26" s="147"/>
      <c r="H26" s="240" t="s">
        <v>4215</v>
      </c>
      <c r="I26" s="240" t="s">
        <v>4215</v>
      </c>
      <c r="J26" s="147"/>
      <c r="K26" s="147"/>
      <c r="L26" s="147"/>
      <c r="M26" s="147"/>
      <c r="N26" s="147"/>
      <c r="O26" s="147"/>
      <c r="P26" s="147"/>
      <c r="Q26" s="147"/>
      <c r="R26" s="147"/>
      <c r="S26" s="147"/>
      <c r="T26" s="147"/>
      <c r="U26" s="147"/>
      <c r="V26" s="147"/>
    </row>
    <row r="27">
      <c r="A27" s="240" t="s">
        <v>4294</v>
      </c>
      <c r="B27" s="240" t="s">
        <v>502</v>
      </c>
      <c r="C27" s="240" t="s">
        <v>503</v>
      </c>
      <c r="D27" s="240" t="s">
        <v>4295</v>
      </c>
      <c r="E27" s="240" t="s">
        <v>4296</v>
      </c>
      <c r="F27" s="240" t="s">
        <v>4297</v>
      </c>
      <c r="G27" s="147"/>
      <c r="H27" s="240" t="s">
        <v>4215</v>
      </c>
      <c r="I27" s="240" t="s">
        <v>4215</v>
      </c>
      <c r="J27" s="147"/>
      <c r="K27" s="147"/>
      <c r="L27" s="147"/>
      <c r="M27" s="147"/>
      <c r="N27" s="147"/>
      <c r="O27" s="147"/>
      <c r="P27" s="147"/>
      <c r="Q27" s="147"/>
      <c r="R27" s="147"/>
      <c r="S27" s="147"/>
      <c r="T27" s="147"/>
      <c r="U27" s="147"/>
      <c r="V27" s="147"/>
    </row>
    <row r="28">
      <c r="A28" s="240" t="s">
        <v>4298</v>
      </c>
      <c r="B28" s="240" t="s">
        <v>504</v>
      </c>
      <c r="C28" s="240" t="s">
        <v>505</v>
      </c>
      <c r="D28" s="240" t="s">
        <v>4299</v>
      </c>
      <c r="E28" s="240" t="s">
        <v>4300</v>
      </c>
      <c r="F28" s="240" t="s">
        <v>4231</v>
      </c>
      <c r="G28" s="147"/>
      <c r="H28" s="240" t="s">
        <v>4215</v>
      </c>
      <c r="I28" s="240" t="s">
        <v>4215</v>
      </c>
      <c r="J28" s="147"/>
      <c r="K28" s="147"/>
      <c r="L28" s="147"/>
      <c r="M28" s="147"/>
      <c r="N28" s="147"/>
      <c r="O28" s="147"/>
      <c r="P28" s="147"/>
      <c r="Q28" s="147"/>
      <c r="R28" s="147"/>
      <c r="S28" s="147"/>
      <c r="T28" s="147"/>
      <c r="U28" s="147"/>
      <c r="V28" s="147"/>
    </row>
    <row r="29">
      <c r="A29" s="240" t="s">
        <v>4301</v>
      </c>
      <c r="B29" s="240" t="s">
        <v>506</v>
      </c>
      <c r="C29" s="240" t="s">
        <v>507</v>
      </c>
      <c r="D29" s="240" t="s">
        <v>4302</v>
      </c>
      <c r="E29" s="240" t="s">
        <v>4303</v>
      </c>
      <c r="F29" s="240" t="s">
        <v>4223</v>
      </c>
      <c r="G29" s="147"/>
      <c r="H29" s="147"/>
      <c r="I29" s="147"/>
      <c r="J29" s="147"/>
      <c r="K29" s="147"/>
      <c r="L29" s="147"/>
      <c r="M29" s="147"/>
      <c r="N29" s="147"/>
      <c r="O29" s="147"/>
      <c r="P29" s="147"/>
      <c r="Q29" s="147"/>
      <c r="R29" s="147"/>
      <c r="S29" s="147"/>
      <c r="T29" s="147"/>
      <c r="U29" s="147"/>
      <c r="V29" s="147"/>
    </row>
    <row r="30">
      <c r="A30" s="240" t="s">
        <v>4304</v>
      </c>
      <c r="B30" s="240" t="s">
        <v>508</v>
      </c>
      <c r="C30" s="240" t="s">
        <v>509</v>
      </c>
      <c r="D30" s="240" t="s">
        <v>4305</v>
      </c>
      <c r="E30" s="240" t="s">
        <v>4306</v>
      </c>
      <c r="F30" s="240" t="s">
        <v>4223</v>
      </c>
      <c r="G30" s="147"/>
      <c r="H30" s="147"/>
      <c r="I30" s="147"/>
      <c r="J30" s="147"/>
      <c r="K30" s="147"/>
      <c r="L30" s="147"/>
      <c r="M30" s="147"/>
      <c r="N30" s="147"/>
      <c r="O30" s="147"/>
      <c r="P30" s="147"/>
      <c r="Q30" s="147"/>
      <c r="R30" s="147"/>
      <c r="S30" s="147"/>
      <c r="T30" s="147"/>
      <c r="U30" s="147"/>
      <c r="V30" s="147"/>
    </row>
    <row r="31">
      <c r="A31" s="240" t="s">
        <v>4307</v>
      </c>
      <c r="B31" s="240" t="s">
        <v>510</v>
      </c>
      <c r="C31" s="240" t="s">
        <v>511</v>
      </c>
      <c r="D31" s="240" t="s">
        <v>4308</v>
      </c>
      <c r="E31" s="240" t="s">
        <v>4309</v>
      </c>
      <c r="F31" s="240" t="s">
        <v>4219</v>
      </c>
      <c r="G31" s="147"/>
      <c r="H31" s="240" t="s">
        <v>4215</v>
      </c>
      <c r="I31" s="240" t="s">
        <v>4215</v>
      </c>
      <c r="J31" s="147"/>
      <c r="K31" s="147"/>
      <c r="L31" s="147"/>
      <c r="M31" s="147"/>
      <c r="N31" s="147"/>
      <c r="O31" s="147"/>
      <c r="P31" s="147"/>
      <c r="Q31" s="147"/>
      <c r="R31" s="147"/>
      <c r="S31" s="147"/>
      <c r="T31" s="147"/>
      <c r="U31" s="147"/>
      <c r="V31" s="147"/>
    </row>
    <row r="32">
      <c r="A32" s="240" t="s">
        <v>4310</v>
      </c>
      <c r="B32" s="240" t="s">
        <v>512</v>
      </c>
      <c r="C32" s="240" t="s">
        <v>513</v>
      </c>
      <c r="D32" s="240" t="s">
        <v>4311</v>
      </c>
      <c r="E32" s="240" t="s">
        <v>4312</v>
      </c>
      <c r="F32" s="240" t="s">
        <v>4264</v>
      </c>
      <c r="G32" s="147"/>
      <c r="H32" s="240" t="s">
        <v>4215</v>
      </c>
      <c r="I32" s="240" t="s">
        <v>4215</v>
      </c>
      <c r="J32" s="147"/>
      <c r="K32" s="147"/>
      <c r="L32" s="147"/>
      <c r="M32" s="147"/>
      <c r="N32" s="147"/>
      <c r="O32" s="147"/>
      <c r="P32" s="147"/>
      <c r="Q32" s="147"/>
      <c r="R32" s="147"/>
      <c r="S32" s="147"/>
      <c r="T32" s="147"/>
      <c r="U32" s="147"/>
      <c r="V32" s="147"/>
    </row>
    <row r="33">
      <c r="A33" s="240" t="s">
        <v>4313</v>
      </c>
      <c r="B33" s="240" t="s">
        <v>514</v>
      </c>
      <c r="C33" s="240" t="s">
        <v>515</v>
      </c>
      <c r="D33" s="240" t="s">
        <v>4314</v>
      </c>
      <c r="E33" s="240" t="s">
        <v>334</v>
      </c>
      <c r="F33" s="240" t="s">
        <v>4264</v>
      </c>
      <c r="G33" s="147"/>
      <c r="H33" s="240" t="s">
        <v>4215</v>
      </c>
      <c r="I33" s="240" t="s">
        <v>4215</v>
      </c>
      <c r="J33" s="147"/>
      <c r="K33" s="147"/>
      <c r="L33" s="147"/>
      <c r="M33" s="147"/>
      <c r="N33" s="147"/>
      <c r="O33" s="147"/>
      <c r="P33" s="147"/>
      <c r="Q33" s="147"/>
      <c r="R33" s="147"/>
      <c r="S33" s="147"/>
      <c r="T33" s="147"/>
      <c r="U33" s="147"/>
      <c r="V33" s="147"/>
    </row>
    <row r="34">
      <c r="A34" s="240" t="s">
        <v>4315</v>
      </c>
      <c r="B34" s="240" t="s">
        <v>516</v>
      </c>
      <c r="C34" s="240" t="s">
        <v>517</v>
      </c>
      <c r="D34" s="240" t="s">
        <v>4316</v>
      </c>
      <c r="E34" s="240" t="s">
        <v>4317</v>
      </c>
      <c r="F34" s="240" t="s">
        <v>4235</v>
      </c>
      <c r="G34" s="147"/>
      <c r="H34" s="240" t="s">
        <v>4215</v>
      </c>
      <c r="I34" s="240" t="s">
        <v>4215</v>
      </c>
      <c r="J34" s="147"/>
      <c r="K34" s="147"/>
      <c r="L34" s="147"/>
      <c r="M34" s="147"/>
      <c r="N34" s="147"/>
      <c r="O34" s="147"/>
      <c r="P34" s="147"/>
      <c r="Q34" s="147"/>
      <c r="R34" s="147"/>
      <c r="S34" s="147"/>
      <c r="T34" s="147"/>
      <c r="U34" s="147"/>
      <c r="V34" s="147"/>
    </row>
    <row r="35">
      <c r="A35" s="240" t="s">
        <v>4318</v>
      </c>
      <c r="B35" s="240" t="s">
        <v>518</v>
      </c>
      <c r="C35" s="240" t="s">
        <v>519</v>
      </c>
      <c r="D35" s="240" t="s">
        <v>4319</v>
      </c>
      <c r="E35" s="240" t="s">
        <v>452</v>
      </c>
      <c r="F35" s="240" t="s">
        <v>4219</v>
      </c>
      <c r="G35" s="147"/>
      <c r="H35" s="240" t="s">
        <v>4215</v>
      </c>
      <c r="I35" s="240" t="s">
        <v>4215</v>
      </c>
      <c r="J35" s="147"/>
      <c r="K35" s="147"/>
      <c r="L35" s="147"/>
      <c r="M35" s="147"/>
      <c r="N35" s="147"/>
      <c r="O35" s="147"/>
      <c r="P35" s="147"/>
      <c r="Q35" s="147"/>
      <c r="R35" s="147"/>
      <c r="S35" s="147"/>
      <c r="T35" s="147"/>
      <c r="U35" s="147"/>
      <c r="V35" s="147"/>
    </row>
    <row r="36">
      <c r="A36" s="240" t="s">
        <v>4320</v>
      </c>
      <c r="B36" s="240" t="s">
        <v>520</v>
      </c>
      <c r="C36" s="240" t="s">
        <v>521</v>
      </c>
      <c r="D36" s="240" t="s">
        <v>4321</v>
      </c>
      <c r="E36" s="240" t="s">
        <v>398</v>
      </c>
      <c r="F36" s="240" t="s">
        <v>4235</v>
      </c>
      <c r="G36" s="147"/>
      <c r="H36" s="240" t="s">
        <v>4215</v>
      </c>
      <c r="I36" s="240" t="s">
        <v>4215</v>
      </c>
      <c r="J36" s="147"/>
      <c r="K36" s="147"/>
      <c r="L36" s="147"/>
      <c r="M36" s="147"/>
      <c r="N36" s="147"/>
      <c r="O36" s="147"/>
      <c r="P36" s="147"/>
      <c r="Q36" s="147"/>
      <c r="R36" s="147"/>
      <c r="S36" s="147"/>
      <c r="T36" s="147"/>
      <c r="U36" s="147"/>
      <c r="V36" s="147"/>
    </row>
    <row r="37">
      <c r="A37" s="240" t="s">
        <v>4322</v>
      </c>
      <c r="B37" s="240" t="s">
        <v>522</v>
      </c>
      <c r="C37" s="240" t="s">
        <v>523</v>
      </c>
      <c r="D37" s="240" t="s">
        <v>4323</v>
      </c>
      <c r="E37" s="240" t="s">
        <v>4324</v>
      </c>
      <c r="F37" s="240" t="s">
        <v>4264</v>
      </c>
      <c r="G37" s="147"/>
      <c r="H37" s="147"/>
      <c r="I37" s="147"/>
      <c r="J37" s="147"/>
      <c r="K37" s="147"/>
      <c r="L37" s="147"/>
      <c r="M37" s="147"/>
      <c r="N37" s="147"/>
      <c r="O37" s="147"/>
      <c r="P37" s="147"/>
      <c r="Q37" s="147"/>
      <c r="R37" s="147"/>
      <c r="S37" s="147"/>
      <c r="T37" s="147"/>
      <c r="U37" s="147"/>
      <c r="V37" s="147"/>
    </row>
    <row r="38">
      <c r="A38" s="240" t="s">
        <v>4325</v>
      </c>
      <c r="B38" s="240" t="s">
        <v>524</v>
      </c>
      <c r="C38" s="240" t="s">
        <v>525</v>
      </c>
      <c r="D38" s="240" t="s">
        <v>4326</v>
      </c>
      <c r="E38" s="240" t="s">
        <v>4327</v>
      </c>
      <c r="F38" s="240" t="s">
        <v>4264</v>
      </c>
      <c r="G38" s="147"/>
      <c r="H38" s="147"/>
      <c r="I38" s="147"/>
      <c r="J38" s="147"/>
      <c r="K38" s="147"/>
      <c r="L38" s="147"/>
      <c r="M38" s="147"/>
      <c r="N38" s="147"/>
      <c r="O38" s="147"/>
      <c r="P38" s="147"/>
      <c r="Q38" s="147"/>
      <c r="R38" s="147"/>
      <c r="S38" s="147"/>
      <c r="T38" s="147"/>
      <c r="U38" s="147"/>
      <c r="V38" s="147"/>
    </row>
    <row r="39">
      <c r="A39" s="240" t="s">
        <v>4328</v>
      </c>
      <c r="B39" s="240" t="s">
        <v>526</v>
      </c>
      <c r="C39" s="240" t="s">
        <v>527</v>
      </c>
      <c r="D39" s="240" t="s">
        <v>4329</v>
      </c>
      <c r="E39" s="240" t="s">
        <v>4330</v>
      </c>
      <c r="F39" s="240" t="s">
        <v>4219</v>
      </c>
      <c r="G39" s="147"/>
      <c r="H39" s="240" t="s">
        <v>4215</v>
      </c>
      <c r="I39" s="240" t="s">
        <v>4215</v>
      </c>
      <c r="J39" s="147"/>
      <c r="K39" s="147"/>
      <c r="L39" s="147"/>
      <c r="M39" s="147"/>
      <c r="N39" s="147"/>
      <c r="O39" s="147"/>
      <c r="P39" s="147"/>
      <c r="Q39" s="147"/>
      <c r="R39" s="147"/>
      <c r="S39" s="147"/>
      <c r="T39" s="147"/>
      <c r="U39" s="147"/>
      <c r="V39" s="147"/>
    </row>
    <row r="40">
      <c r="A40" s="240" t="s">
        <v>4331</v>
      </c>
      <c r="B40" s="240" t="s">
        <v>528</v>
      </c>
      <c r="C40" s="240" t="s">
        <v>529</v>
      </c>
      <c r="D40" s="240" t="s">
        <v>4332</v>
      </c>
      <c r="E40" s="240" t="s">
        <v>4333</v>
      </c>
      <c r="F40" s="240" t="s">
        <v>4235</v>
      </c>
      <c r="G40" s="147"/>
      <c r="H40" s="240" t="s">
        <v>4215</v>
      </c>
      <c r="I40" s="240" t="s">
        <v>4215</v>
      </c>
      <c r="J40" s="147"/>
      <c r="K40" s="147"/>
      <c r="L40" s="147"/>
      <c r="M40" s="147"/>
      <c r="N40" s="147"/>
      <c r="O40" s="147"/>
      <c r="P40" s="147"/>
      <c r="Q40" s="147"/>
      <c r="R40" s="147"/>
      <c r="S40" s="147"/>
      <c r="T40" s="147"/>
      <c r="U40" s="147"/>
      <c r="V40" s="147"/>
    </row>
    <row r="41">
      <c r="A41" s="240" t="s">
        <v>4334</v>
      </c>
      <c r="B41" s="240" t="s">
        <v>530</v>
      </c>
      <c r="C41" s="240" t="s">
        <v>531</v>
      </c>
      <c r="D41" s="240" t="s">
        <v>4335</v>
      </c>
      <c r="E41" s="240" t="s">
        <v>4336</v>
      </c>
      <c r="F41" s="240" t="s">
        <v>4219</v>
      </c>
      <c r="G41" s="147"/>
      <c r="H41" s="147"/>
      <c r="I41" s="147"/>
      <c r="J41" s="147"/>
      <c r="K41" s="147"/>
      <c r="L41" s="147"/>
      <c r="M41" s="147"/>
      <c r="N41" s="147"/>
      <c r="O41" s="147"/>
      <c r="P41" s="147"/>
      <c r="Q41" s="147"/>
      <c r="R41" s="147"/>
      <c r="S41" s="147"/>
      <c r="T41" s="147"/>
      <c r="U41" s="147"/>
      <c r="V41" s="147"/>
    </row>
    <row r="42">
      <c r="A42" s="240" t="s">
        <v>4337</v>
      </c>
      <c r="B42" s="240" t="s">
        <v>532</v>
      </c>
      <c r="C42" s="240" t="s">
        <v>533</v>
      </c>
      <c r="D42" s="240" t="s">
        <v>4338</v>
      </c>
      <c r="E42" s="240" t="s">
        <v>4339</v>
      </c>
      <c r="F42" s="240" t="s">
        <v>4223</v>
      </c>
      <c r="G42" s="147"/>
      <c r="H42" s="240" t="s">
        <v>4215</v>
      </c>
      <c r="I42" s="240" t="s">
        <v>4215</v>
      </c>
      <c r="J42" s="147"/>
      <c r="K42" s="147"/>
      <c r="L42" s="147"/>
      <c r="M42" s="147"/>
      <c r="N42" s="147"/>
      <c r="O42" s="147"/>
      <c r="P42" s="147"/>
      <c r="Q42" s="147"/>
      <c r="R42" s="147"/>
      <c r="S42" s="147"/>
      <c r="T42" s="147"/>
      <c r="U42" s="147"/>
      <c r="V42" s="147"/>
    </row>
    <row r="43">
      <c r="A43" s="240" t="s">
        <v>4340</v>
      </c>
      <c r="B43" s="240" t="s">
        <v>534</v>
      </c>
      <c r="C43" s="240" t="s">
        <v>535</v>
      </c>
      <c r="D43" s="240" t="s">
        <v>4341</v>
      </c>
      <c r="E43" s="240" t="s">
        <v>4342</v>
      </c>
      <c r="F43" s="240" t="s">
        <v>4264</v>
      </c>
      <c r="G43" s="147"/>
      <c r="H43" s="240" t="s">
        <v>4215</v>
      </c>
      <c r="I43" s="240" t="s">
        <v>4215</v>
      </c>
      <c r="J43" s="147"/>
      <c r="K43" s="147"/>
      <c r="L43" s="147"/>
      <c r="M43" s="147"/>
      <c r="N43" s="147"/>
      <c r="O43" s="147"/>
      <c r="P43" s="147"/>
      <c r="Q43" s="147"/>
      <c r="R43" s="147"/>
      <c r="S43" s="147"/>
      <c r="T43" s="147"/>
      <c r="U43" s="147"/>
      <c r="V43" s="147"/>
    </row>
    <row r="44">
      <c r="A44" s="240" t="s">
        <v>4343</v>
      </c>
      <c r="B44" s="240" t="s">
        <v>536</v>
      </c>
      <c r="C44" s="240" t="s">
        <v>537</v>
      </c>
      <c r="D44" s="240" t="s">
        <v>4344</v>
      </c>
      <c r="E44" s="240" t="s">
        <v>4345</v>
      </c>
      <c r="F44" s="240" t="s">
        <v>4264</v>
      </c>
      <c r="G44" s="147"/>
      <c r="H44" s="240" t="s">
        <v>4215</v>
      </c>
      <c r="I44" s="240" t="s">
        <v>4215</v>
      </c>
      <c r="J44" s="147"/>
      <c r="K44" s="147"/>
      <c r="L44" s="147"/>
      <c r="M44" s="147"/>
      <c r="N44" s="147"/>
      <c r="O44" s="147"/>
      <c r="P44" s="147"/>
      <c r="Q44" s="147"/>
      <c r="R44" s="147"/>
      <c r="S44" s="147"/>
      <c r="T44" s="147"/>
      <c r="U44" s="147"/>
      <c r="V44" s="147"/>
    </row>
    <row r="45">
      <c r="A45" s="240" t="s">
        <v>4346</v>
      </c>
      <c r="B45" s="240" t="s">
        <v>538</v>
      </c>
      <c r="C45" s="240" t="s">
        <v>539</v>
      </c>
      <c r="D45" s="240" t="s">
        <v>4347</v>
      </c>
      <c r="E45" s="240" t="s">
        <v>4348</v>
      </c>
      <c r="F45" s="240" t="s">
        <v>4349</v>
      </c>
      <c r="G45" s="147"/>
      <c r="H45" s="147"/>
      <c r="I45" s="147"/>
      <c r="J45" s="147"/>
      <c r="K45" s="147"/>
      <c r="L45" s="147"/>
      <c r="M45" s="147"/>
      <c r="N45" s="147"/>
      <c r="O45" s="147"/>
      <c r="P45" s="147"/>
      <c r="Q45" s="147"/>
      <c r="R45" s="147"/>
      <c r="S45" s="147"/>
      <c r="T45" s="147"/>
      <c r="U45" s="147"/>
      <c r="V45" s="147"/>
    </row>
    <row r="46">
      <c r="A46" s="240" t="s">
        <v>4350</v>
      </c>
      <c r="B46" s="240" t="s">
        <v>540</v>
      </c>
      <c r="C46" s="240" t="s">
        <v>541</v>
      </c>
      <c r="D46" s="240" t="s">
        <v>4351</v>
      </c>
      <c r="E46" s="240" t="s">
        <v>4352</v>
      </c>
      <c r="F46" s="240" t="s">
        <v>4219</v>
      </c>
      <c r="G46" s="147"/>
      <c r="H46" s="240" t="s">
        <v>4215</v>
      </c>
      <c r="I46" s="240" t="s">
        <v>4215</v>
      </c>
      <c r="J46" s="147"/>
      <c r="K46" s="147"/>
      <c r="L46" s="147"/>
      <c r="M46" s="147"/>
      <c r="N46" s="147"/>
      <c r="O46" s="147"/>
      <c r="P46" s="147"/>
      <c r="Q46" s="147"/>
      <c r="R46" s="147"/>
      <c r="S46" s="147"/>
      <c r="T46" s="147"/>
      <c r="U46" s="147"/>
      <c r="V46" s="147"/>
    </row>
    <row r="47">
      <c r="A47" s="240" t="s">
        <v>4353</v>
      </c>
      <c r="B47" s="240" t="s">
        <v>542</v>
      </c>
      <c r="C47" s="240" t="s">
        <v>543</v>
      </c>
      <c r="D47" s="240" t="s">
        <v>4354</v>
      </c>
      <c r="E47" s="240" t="s">
        <v>4348</v>
      </c>
      <c r="F47" s="240" t="s">
        <v>4355</v>
      </c>
      <c r="G47" s="147"/>
      <c r="H47" s="147"/>
      <c r="I47" s="147"/>
      <c r="J47" s="147"/>
      <c r="K47" s="147"/>
      <c r="L47" s="147"/>
      <c r="M47" s="147"/>
      <c r="N47" s="147"/>
      <c r="O47" s="147"/>
      <c r="P47" s="147"/>
      <c r="Q47" s="147"/>
      <c r="R47" s="147"/>
      <c r="S47" s="147"/>
      <c r="T47" s="147"/>
      <c r="U47" s="147"/>
      <c r="V47" s="147"/>
    </row>
    <row r="48">
      <c r="A48" s="240" t="s">
        <v>4356</v>
      </c>
      <c r="B48" s="240" t="s">
        <v>544</v>
      </c>
      <c r="C48" s="240" t="s">
        <v>545</v>
      </c>
      <c r="D48" s="240" t="s">
        <v>4357</v>
      </c>
      <c r="E48" s="240" t="s">
        <v>4358</v>
      </c>
      <c r="F48" s="240" t="s">
        <v>4219</v>
      </c>
      <c r="G48" s="147"/>
      <c r="H48" s="240" t="s">
        <v>4215</v>
      </c>
      <c r="I48" s="240" t="s">
        <v>4215</v>
      </c>
      <c r="J48" s="147"/>
      <c r="K48" s="147"/>
      <c r="L48" s="147"/>
      <c r="M48" s="147"/>
      <c r="N48" s="147"/>
      <c r="O48" s="147"/>
      <c r="P48" s="147"/>
      <c r="Q48" s="147"/>
      <c r="R48" s="147"/>
      <c r="S48" s="147"/>
      <c r="T48" s="147"/>
      <c r="U48" s="147"/>
      <c r="V48" s="147"/>
    </row>
    <row r="49">
      <c r="A49" s="240" t="s">
        <v>4359</v>
      </c>
      <c r="B49" s="240" t="s">
        <v>546</v>
      </c>
      <c r="C49" s="240" t="s">
        <v>547</v>
      </c>
      <c r="D49" s="240" t="s">
        <v>4360</v>
      </c>
      <c r="E49" s="240" t="s">
        <v>4361</v>
      </c>
      <c r="F49" s="240" t="s">
        <v>4223</v>
      </c>
      <c r="G49" s="147"/>
      <c r="H49" s="147"/>
      <c r="I49" s="147"/>
      <c r="J49" s="147"/>
      <c r="K49" s="147"/>
      <c r="L49" s="147"/>
      <c r="M49" s="147"/>
      <c r="N49" s="147"/>
      <c r="O49" s="147"/>
      <c r="P49" s="147"/>
      <c r="Q49" s="147"/>
      <c r="R49" s="147"/>
      <c r="S49" s="147"/>
      <c r="T49" s="147"/>
      <c r="U49" s="147"/>
      <c r="V49" s="147"/>
    </row>
    <row r="50">
      <c r="A50" s="240" t="s">
        <v>4362</v>
      </c>
      <c r="B50" s="240" t="s">
        <v>548</v>
      </c>
      <c r="C50" s="240" t="s">
        <v>549</v>
      </c>
      <c r="D50" s="240" t="s">
        <v>4363</v>
      </c>
      <c r="E50" s="240" t="s">
        <v>4364</v>
      </c>
      <c r="F50" s="240" t="s">
        <v>4223</v>
      </c>
      <c r="G50" s="147"/>
      <c r="H50" s="240" t="s">
        <v>4215</v>
      </c>
      <c r="I50" s="240" t="s">
        <v>4215</v>
      </c>
      <c r="J50" s="147"/>
      <c r="K50" s="147"/>
      <c r="L50" s="147"/>
      <c r="M50" s="147"/>
      <c r="N50" s="147"/>
      <c r="O50" s="147"/>
      <c r="P50" s="147"/>
      <c r="Q50" s="147"/>
      <c r="R50" s="147"/>
      <c r="S50" s="147"/>
      <c r="T50" s="147"/>
      <c r="U50" s="147"/>
      <c r="V50" s="147"/>
    </row>
    <row r="51">
      <c r="A51" s="240" t="s">
        <v>4365</v>
      </c>
      <c r="B51" s="240" t="s">
        <v>550</v>
      </c>
      <c r="C51" s="240" t="s">
        <v>551</v>
      </c>
      <c r="D51" s="240" t="s">
        <v>4366</v>
      </c>
      <c r="E51" s="240" t="s">
        <v>4367</v>
      </c>
      <c r="F51" s="240" t="s">
        <v>4264</v>
      </c>
      <c r="G51" s="147"/>
      <c r="H51" s="240" t="s">
        <v>4215</v>
      </c>
      <c r="I51" s="240" t="s">
        <v>4215</v>
      </c>
      <c r="J51" s="147"/>
      <c r="K51" s="147"/>
      <c r="L51" s="147"/>
      <c r="M51" s="147"/>
      <c r="N51" s="147"/>
      <c r="O51" s="147"/>
      <c r="P51" s="147"/>
      <c r="Q51" s="147"/>
      <c r="R51" s="147"/>
      <c r="S51" s="147"/>
      <c r="T51" s="147"/>
      <c r="U51" s="147"/>
      <c r="V51" s="147"/>
    </row>
    <row r="52">
      <c r="A52" s="240" t="s">
        <v>4368</v>
      </c>
      <c r="B52" s="240" t="s">
        <v>552</v>
      </c>
      <c r="C52" s="240" t="s">
        <v>553</v>
      </c>
      <c r="D52" s="240" t="s">
        <v>4369</v>
      </c>
      <c r="E52" s="240" t="s">
        <v>4370</v>
      </c>
      <c r="F52" s="240" t="s">
        <v>4235</v>
      </c>
      <c r="G52" s="147"/>
      <c r="H52" s="240" t="s">
        <v>4215</v>
      </c>
      <c r="I52" s="240" t="s">
        <v>4215</v>
      </c>
      <c r="J52" s="147"/>
      <c r="K52" s="147"/>
      <c r="L52" s="147"/>
      <c r="M52" s="147"/>
      <c r="N52" s="147"/>
      <c r="O52" s="147"/>
      <c r="P52" s="147"/>
      <c r="Q52" s="147"/>
      <c r="R52" s="147"/>
      <c r="S52" s="147"/>
      <c r="T52" s="147"/>
      <c r="U52" s="147"/>
      <c r="V52" s="147"/>
    </row>
    <row r="53">
      <c r="A53" s="240" t="s">
        <v>4371</v>
      </c>
      <c r="B53" s="240" t="s">
        <v>554</v>
      </c>
      <c r="C53" s="240" t="s">
        <v>555</v>
      </c>
      <c r="D53" s="240" t="s">
        <v>4372</v>
      </c>
      <c r="E53" s="240" t="s">
        <v>4373</v>
      </c>
      <c r="F53" s="240" t="s">
        <v>4235</v>
      </c>
      <c r="G53" s="147"/>
      <c r="H53" s="147"/>
      <c r="I53" s="147"/>
      <c r="J53" s="147"/>
      <c r="K53" s="147"/>
      <c r="L53" s="147"/>
      <c r="M53" s="147"/>
      <c r="N53" s="147"/>
      <c r="O53" s="147"/>
      <c r="P53" s="147"/>
      <c r="Q53" s="147"/>
      <c r="R53" s="147"/>
      <c r="S53" s="147"/>
      <c r="T53" s="147"/>
      <c r="U53" s="147"/>
      <c r="V53" s="147"/>
    </row>
    <row r="54">
      <c r="A54" s="240" t="s">
        <v>4374</v>
      </c>
      <c r="B54" s="240" t="s">
        <v>556</v>
      </c>
      <c r="C54" s="240" t="s">
        <v>557</v>
      </c>
      <c r="D54" s="240" t="s">
        <v>4375</v>
      </c>
      <c r="E54" s="240" t="s">
        <v>4376</v>
      </c>
      <c r="F54" s="240" t="s">
        <v>4227</v>
      </c>
      <c r="G54" s="147"/>
      <c r="H54" s="240" t="s">
        <v>4215</v>
      </c>
      <c r="I54" s="240" t="s">
        <v>4215</v>
      </c>
      <c r="J54" s="147"/>
      <c r="K54" s="147"/>
      <c r="L54" s="147"/>
      <c r="M54" s="147"/>
      <c r="N54" s="147"/>
      <c r="O54" s="147"/>
      <c r="P54" s="147"/>
      <c r="Q54" s="147"/>
      <c r="R54" s="147"/>
      <c r="S54" s="147"/>
      <c r="T54" s="147"/>
      <c r="U54" s="147"/>
      <c r="V54" s="147"/>
    </row>
    <row r="55">
      <c r="A55" s="240" t="s">
        <v>4377</v>
      </c>
      <c r="B55" s="240" t="s">
        <v>558</v>
      </c>
      <c r="C55" s="240" t="s">
        <v>559</v>
      </c>
      <c r="D55" s="240" t="s">
        <v>4378</v>
      </c>
      <c r="E55" s="240" t="s">
        <v>4379</v>
      </c>
      <c r="F55" s="240" t="s">
        <v>4219</v>
      </c>
      <c r="G55" s="147"/>
      <c r="H55" s="240" t="s">
        <v>4215</v>
      </c>
      <c r="I55" s="240" t="s">
        <v>4215</v>
      </c>
      <c r="J55" s="147"/>
      <c r="K55" s="147"/>
      <c r="L55" s="147"/>
      <c r="M55" s="147"/>
      <c r="N55" s="147"/>
      <c r="O55" s="147"/>
      <c r="P55" s="147"/>
      <c r="Q55" s="147"/>
      <c r="R55" s="147"/>
      <c r="S55" s="147"/>
      <c r="T55" s="147"/>
      <c r="U55" s="147"/>
      <c r="V55" s="147"/>
    </row>
    <row r="56">
      <c r="A56" s="240" t="s">
        <v>4380</v>
      </c>
      <c r="B56" s="240" t="s">
        <v>560</v>
      </c>
      <c r="C56" s="240" t="s">
        <v>561</v>
      </c>
      <c r="D56" s="240" t="s">
        <v>4381</v>
      </c>
      <c r="E56" s="240" t="s">
        <v>4382</v>
      </c>
      <c r="F56" s="240" t="s">
        <v>4355</v>
      </c>
      <c r="G56" s="147"/>
      <c r="H56" s="147"/>
      <c r="I56" s="147"/>
      <c r="J56" s="147"/>
      <c r="K56" s="147"/>
      <c r="L56" s="147"/>
      <c r="M56" s="147"/>
      <c r="N56" s="147"/>
      <c r="O56" s="147"/>
      <c r="P56" s="147"/>
      <c r="Q56" s="147"/>
      <c r="R56" s="147"/>
      <c r="S56" s="147"/>
      <c r="T56" s="147"/>
      <c r="U56" s="147"/>
      <c r="V56" s="147"/>
    </row>
    <row r="57">
      <c r="A57" s="240" t="s">
        <v>4383</v>
      </c>
      <c r="B57" s="240" t="s">
        <v>562</v>
      </c>
      <c r="C57" s="240" t="s">
        <v>563</v>
      </c>
      <c r="D57" s="240" t="s">
        <v>4384</v>
      </c>
      <c r="E57" s="240" t="s">
        <v>4385</v>
      </c>
      <c r="F57" s="240" t="s">
        <v>4223</v>
      </c>
      <c r="G57" s="147"/>
      <c r="H57" s="240" t="s">
        <v>4215</v>
      </c>
      <c r="I57" s="240" t="s">
        <v>4215</v>
      </c>
      <c r="J57" s="147"/>
      <c r="K57" s="147"/>
      <c r="L57" s="147"/>
      <c r="M57" s="147"/>
      <c r="N57" s="147"/>
      <c r="O57" s="147"/>
      <c r="P57" s="147"/>
      <c r="Q57" s="147"/>
      <c r="R57" s="147"/>
      <c r="S57" s="147"/>
      <c r="T57" s="147"/>
      <c r="U57" s="147"/>
      <c r="V57" s="147"/>
    </row>
    <row r="58">
      <c r="A58" s="240" t="s">
        <v>4386</v>
      </c>
      <c r="B58" s="240" t="s">
        <v>564</v>
      </c>
      <c r="C58" s="240" t="s">
        <v>565</v>
      </c>
      <c r="D58" s="240" t="s">
        <v>4387</v>
      </c>
      <c r="E58" s="240" t="s">
        <v>4388</v>
      </c>
      <c r="F58" s="240" t="s">
        <v>4227</v>
      </c>
      <c r="G58" s="147"/>
      <c r="H58" s="240" t="s">
        <v>4215</v>
      </c>
      <c r="I58" s="240" t="s">
        <v>4215</v>
      </c>
      <c r="J58" s="147"/>
      <c r="K58" s="147"/>
      <c r="L58" s="147"/>
      <c r="M58" s="147"/>
      <c r="N58" s="147"/>
      <c r="O58" s="147"/>
      <c r="P58" s="147"/>
      <c r="Q58" s="147"/>
      <c r="R58" s="147"/>
      <c r="S58" s="147"/>
      <c r="T58" s="147"/>
      <c r="U58" s="147"/>
      <c r="V58" s="147"/>
    </row>
    <row r="59">
      <c r="A59" s="240" t="s">
        <v>4389</v>
      </c>
      <c r="B59" s="240" t="s">
        <v>566</v>
      </c>
      <c r="C59" s="240" t="s">
        <v>567</v>
      </c>
      <c r="D59" s="240" t="s">
        <v>4390</v>
      </c>
      <c r="E59" s="240" t="s">
        <v>4391</v>
      </c>
      <c r="F59" s="240" t="s">
        <v>4235</v>
      </c>
      <c r="G59" s="147"/>
      <c r="H59" s="240" t="s">
        <v>4215</v>
      </c>
      <c r="I59" s="240" t="s">
        <v>4215</v>
      </c>
      <c r="J59" s="147"/>
      <c r="K59" s="147"/>
      <c r="L59" s="147"/>
      <c r="M59" s="147"/>
      <c r="N59" s="147"/>
      <c r="O59" s="147"/>
      <c r="P59" s="147"/>
      <c r="Q59" s="147"/>
      <c r="R59" s="147"/>
      <c r="S59" s="147"/>
      <c r="T59" s="147"/>
      <c r="U59" s="147"/>
      <c r="V59" s="147"/>
    </row>
    <row r="60">
      <c r="A60" s="240" t="s">
        <v>4392</v>
      </c>
      <c r="B60" s="240" t="s">
        <v>568</v>
      </c>
      <c r="C60" s="240" t="s">
        <v>569</v>
      </c>
      <c r="D60" s="240" t="s">
        <v>4393</v>
      </c>
      <c r="E60" s="240" t="s">
        <v>4290</v>
      </c>
      <c r="F60" s="240" t="s">
        <v>4235</v>
      </c>
      <c r="G60" s="147"/>
      <c r="H60" s="240" t="s">
        <v>4215</v>
      </c>
      <c r="I60" s="240" t="s">
        <v>4215</v>
      </c>
      <c r="J60" s="147"/>
      <c r="K60" s="147"/>
      <c r="L60" s="147"/>
      <c r="M60" s="147"/>
      <c r="N60" s="147"/>
      <c r="O60" s="147"/>
      <c r="P60" s="147"/>
      <c r="Q60" s="147"/>
      <c r="R60" s="147"/>
      <c r="S60" s="147"/>
      <c r="T60" s="147"/>
      <c r="U60" s="147"/>
      <c r="V60" s="147"/>
    </row>
    <row r="61">
      <c r="A61" s="240" t="s">
        <v>4394</v>
      </c>
      <c r="B61" s="240" t="s">
        <v>570</v>
      </c>
      <c r="C61" s="240" t="s">
        <v>571</v>
      </c>
      <c r="D61" s="240" t="s">
        <v>4395</v>
      </c>
      <c r="E61" s="240" t="s">
        <v>4396</v>
      </c>
      <c r="F61" s="240" t="s">
        <v>4349</v>
      </c>
      <c r="G61" s="147"/>
      <c r="H61" s="240" t="s">
        <v>4215</v>
      </c>
      <c r="I61" s="240" t="s">
        <v>4215</v>
      </c>
      <c r="J61" s="147"/>
      <c r="K61" s="147"/>
      <c r="L61" s="147"/>
      <c r="M61" s="147"/>
      <c r="N61" s="147"/>
      <c r="O61" s="147"/>
      <c r="P61" s="147"/>
      <c r="Q61" s="147"/>
      <c r="R61" s="147"/>
      <c r="S61" s="147"/>
      <c r="T61" s="147"/>
      <c r="U61" s="147"/>
      <c r="V61" s="147"/>
    </row>
    <row r="62">
      <c r="A62" s="240" t="s">
        <v>4397</v>
      </c>
      <c r="B62" s="240" t="s">
        <v>572</v>
      </c>
      <c r="C62" s="240" t="s">
        <v>573</v>
      </c>
      <c r="D62" s="240" t="s">
        <v>4398</v>
      </c>
      <c r="E62" s="240" t="s">
        <v>4399</v>
      </c>
      <c r="F62" s="240" t="s">
        <v>4231</v>
      </c>
      <c r="G62" s="147"/>
      <c r="H62" s="240" t="s">
        <v>4215</v>
      </c>
      <c r="I62" s="240" t="s">
        <v>4215</v>
      </c>
      <c r="J62" s="147"/>
      <c r="K62" s="147"/>
      <c r="L62" s="147"/>
      <c r="M62" s="147"/>
      <c r="N62" s="147"/>
      <c r="O62" s="147"/>
      <c r="P62" s="147"/>
      <c r="Q62" s="147"/>
      <c r="R62" s="147"/>
      <c r="S62" s="147"/>
      <c r="T62" s="147"/>
      <c r="U62" s="147"/>
      <c r="V62" s="147"/>
    </row>
    <row r="63">
      <c r="A63" s="240" t="s">
        <v>4400</v>
      </c>
      <c r="B63" s="240" t="s">
        <v>574</v>
      </c>
      <c r="C63" s="240" t="s">
        <v>575</v>
      </c>
      <c r="D63" s="240" t="s">
        <v>4401</v>
      </c>
      <c r="E63" s="240" t="s">
        <v>4402</v>
      </c>
      <c r="F63" s="240" t="s">
        <v>4297</v>
      </c>
      <c r="G63" s="147"/>
      <c r="H63" s="240" t="s">
        <v>4215</v>
      </c>
      <c r="I63" s="240" t="s">
        <v>4215</v>
      </c>
      <c r="J63" s="147"/>
      <c r="K63" s="147"/>
      <c r="L63" s="147"/>
      <c r="M63" s="147"/>
      <c r="N63" s="147"/>
      <c r="O63" s="147"/>
      <c r="P63" s="147"/>
      <c r="Q63" s="147"/>
      <c r="R63" s="147"/>
      <c r="S63" s="147"/>
      <c r="T63" s="147"/>
      <c r="U63" s="147"/>
      <c r="V63" s="147"/>
    </row>
    <row r="64">
      <c r="A64" s="240" t="s">
        <v>4403</v>
      </c>
      <c r="B64" s="240" t="s">
        <v>576</v>
      </c>
      <c r="C64" s="240" t="s">
        <v>577</v>
      </c>
      <c r="D64" s="240" t="s">
        <v>4404</v>
      </c>
      <c r="E64" s="240" t="s">
        <v>4405</v>
      </c>
      <c r="F64" s="240" t="s">
        <v>4223</v>
      </c>
      <c r="G64" s="147"/>
      <c r="H64" s="147"/>
      <c r="I64" s="147"/>
      <c r="J64" s="147"/>
      <c r="K64" s="147"/>
      <c r="L64" s="147"/>
      <c r="M64" s="147"/>
      <c r="N64" s="147"/>
      <c r="O64" s="147"/>
      <c r="P64" s="147"/>
      <c r="Q64" s="147"/>
      <c r="R64" s="147"/>
      <c r="S64" s="147"/>
      <c r="T64" s="147"/>
      <c r="U64" s="147"/>
      <c r="V64" s="147"/>
    </row>
    <row r="65">
      <c r="A65" s="240" t="s">
        <v>4406</v>
      </c>
      <c r="B65" s="240" t="s">
        <v>578</v>
      </c>
      <c r="C65" s="240" t="s">
        <v>579</v>
      </c>
      <c r="D65" s="240" t="s">
        <v>4407</v>
      </c>
      <c r="E65" s="240" t="s">
        <v>4408</v>
      </c>
      <c r="F65" s="240" t="s">
        <v>4355</v>
      </c>
      <c r="G65" s="147"/>
      <c r="H65" s="240" t="s">
        <v>4215</v>
      </c>
      <c r="I65" s="240" t="s">
        <v>4215</v>
      </c>
      <c r="J65" s="147"/>
      <c r="K65" s="147"/>
      <c r="L65" s="147"/>
      <c r="M65" s="147"/>
      <c r="N65" s="147"/>
      <c r="O65" s="147"/>
      <c r="P65" s="147"/>
      <c r="Q65" s="147"/>
      <c r="R65" s="147"/>
      <c r="S65" s="147"/>
      <c r="T65" s="147"/>
      <c r="U65" s="147"/>
      <c r="V65" s="147"/>
    </row>
    <row r="66">
      <c r="A66" s="240" t="s">
        <v>4409</v>
      </c>
      <c r="B66" s="240" t="s">
        <v>580</v>
      </c>
      <c r="C66" s="240" t="s">
        <v>581</v>
      </c>
      <c r="D66" s="240" t="s">
        <v>4410</v>
      </c>
      <c r="E66" s="240" t="s">
        <v>4411</v>
      </c>
      <c r="F66" s="240" t="s">
        <v>4223</v>
      </c>
      <c r="G66" s="147"/>
      <c r="H66" s="240" t="s">
        <v>4215</v>
      </c>
      <c r="I66" s="240" t="s">
        <v>4215</v>
      </c>
      <c r="J66" s="147"/>
      <c r="K66" s="147"/>
      <c r="L66" s="147"/>
      <c r="M66" s="147"/>
      <c r="N66" s="147"/>
      <c r="O66" s="147"/>
      <c r="P66" s="147"/>
      <c r="Q66" s="147"/>
      <c r="R66" s="147"/>
      <c r="S66" s="147"/>
      <c r="T66" s="147"/>
      <c r="U66" s="147"/>
      <c r="V66" s="147"/>
    </row>
    <row r="67">
      <c r="A67" s="240" t="s">
        <v>4412</v>
      </c>
      <c r="B67" s="240" t="s">
        <v>582</v>
      </c>
      <c r="C67" s="240" t="s">
        <v>583</v>
      </c>
      <c r="D67" s="240" t="s">
        <v>4413</v>
      </c>
      <c r="E67" s="240" t="s">
        <v>4414</v>
      </c>
      <c r="F67" s="240" t="s">
        <v>4219</v>
      </c>
      <c r="G67" s="147"/>
      <c r="H67" s="240" t="s">
        <v>4215</v>
      </c>
      <c r="I67" s="240" t="s">
        <v>4215</v>
      </c>
      <c r="J67" s="147"/>
      <c r="K67" s="147"/>
      <c r="L67" s="147"/>
      <c r="M67" s="147"/>
      <c r="N67" s="147"/>
      <c r="O67" s="147"/>
      <c r="P67" s="147"/>
      <c r="Q67" s="147"/>
      <c r="R67" s="147"/>
      <c r="S67" s="147"/>
      <c r="T67" s="147"/>
      <c r="U67" s="147"/>
      <c r="V67" s="147"/>
    </row>
    <row r="68">
      <c r="A68" s="240" t="s">
        <v>4415</v>
      </c>
      <c r="B68" s="240" t="s">
        <v>584</v>
      </c>
      <c r="C68" s="240" t="s">
        <v>585</v>
      </c>
      <c r="D68" s="240" t="s">
        <v>4416</v>
      </c>
      <c r="E68" s="240" t="s">
        <v>4417</v>
      </c>
      <c r="F68" s="240" t="s">
        <v>4264</v>
      </c>
      <c r="G68" s="147"/>
      <c r="H68" s="147"/>
      <c r="I68" s="147"/>
      <c r="J68" s="147"/>
      <c r="K68" s="147"/>
      <c r="L68" s="147"/>
      <c r="M68" s="147"/>
      <c r="N68" s="147"/>
      <c r="O68" s="147"/>
      <c r="P68" s="147"/>
      <c r="Q68" s="147"/>
      <c r="R68" s="147"/>
      <c r="S68" s="147"/>
      <c r="T68" s="147"/>
      <c r="U68" s="147"/>
      <c r="V68" s="147"/>
    </row>
    <row r="69">
      <c r="A69" s="240" t="s">
        <v>4418</v>
      </c>
      <c r="B69" s="240" t="s">
        <v>586</v>
      </c>
      <c r="C69" s="240" t="s">
        <v>587</v>
      </c>
      <c r="D69" s="240" t="s">
        <v>4419</v>
      </c>
      <c r="E69" s="240" t="s">
        <v>4420</v>
      </c>
      <c r="F69" s="240" t="s">
        <v>4231</v>
      </c>
      <c r="G69" s="147"/>
      <c r="H69" s="240" t="s">
        <v>4215</v>
      </c>
      <c r="I69" s="240" t="s">
        <v>4215</v>
      </c>
      <c r="J69" s="147"/>
      <c r="K69" s="147"/>
      <c r="L69" s="147"/>
      <c r="M69" s="147"/>
      <c r="N69" s="147"/>
      <c r="O69" s="147"/>
      <c r="P69" s="147"/>
      <c r="Q69" s="147"/>
      <c r="R69" s="147"/>
      <c r="S69" s="147"/>
      <c r="T69" s="147"/>
      <c r="U69" s="147"/>
      <c r="V69" s="147"/>
    </row>
    <row r="70">
      <c r="A70" s="240" t="s">
        <v>4421</v>
      </c>
      <c r="B70" s="240" t="s">
        <v>588</v>
      </c>
      <c r="C70" s="240" t="s">
        <v>589</v>
      </c>
      <c r="D70" s="240" t="s">
        <v>4422</v>
      </c>
      <c r="E70" s="240" t="s">
        <v>4423</v>
      </c>
      <c r="F70" s="240" t="s">
        <v>4235</v>
      </c>
      <c r="G70" s="147"/>
      <c r="H70" s="240" t="s">
        <v>4215</v>
      </c>
      <c r="I70" s="240" t="s">
        <v>4215</v>
      </c>
      <c r="J70" s="147"/>
      <c r="K70" s="147"/>
      <c r="L70" s="147"/>
      <c r="M70" s="147"/>
      <c r="N70" s="147"/>
      <c r="O70" s="147"/>
      <c r="P70" s="147"/>
      <c r="Q70" s="147"/>
      <c r="R70" s="147"/>
      <c r="S70" s="147"/>
      <c r="T70" s="147"/>
      <c r="U70" s="147"/>
      <c r="V70" s="147"/>
    </row>
    <row r="71">
      <c r="A71" s="240" t="s">
        <v>4424</v>
      </c>
      <c r="B71" s="240" t="s">
        <v>590</v>
      </c>
      <c r="C71" s="240" t="s">
        <v>591</v>
      </c>
      <c r="D71" s="240" t="s">
        <v>4425</v>
      </c>
      <c r="E71" s="240" t="s">
        <v>4426</v>
      </c>
      <c r="F71" s="240" t="s">
        <v>4264</v>
      </c>
      <c r="G71" s="147"/>
      <c r="H71" s="240" t="s">
        <v>4215</v>
      </c>
      <c r="I71" s="240" t="s">
        <v>4215</v>
      </c>
      <c r="J71" s="147"/>
      <c r="K71" s="147"/>
      <c r="L71" s="147"/>
      <c r="M71" s="147"/>
      <c r="N71" s="147"/>
      <c r="O71" s="147"/>
      <c r="P71" s="147"/>
      <c r="Q71" s="147"/>
      <c r="R71" s="147"/>
      <c r="S71" s="147"/>
      <c r="T71" s="147"/>
      <c r="U71" s="147"/>
      <c r="V71" s="147"/>
    </row>
    <row r="72">
      <c r="A72" s="240" t="s">
        <v>4427</v>
      </c>
      <c r="B72" s="240" t="s">
        <v>592</v>
      </c>
      <c r="C72" s="240" t="s">
        <v>593</v>
      </c>
      <c r="D72" s="240" t="s">
        <v>4428</v>
      </c>
      <c r="E72" s="240" t="s">
        <v>4429</v>
      </c>
      <c r="F72" s="240" t="s">
        <v>4219</v>
      </c>
      <c r="G72" s="147"/>
      <c r="H72" s="240" t="s">
        <v>4215</v>
      </c>
      <c r="I72" s="240" t="s">
        <v>4215</v>
      </c>
      <c r="J72" s="147"/>
      <c r="K72" s="147"/>
      <c r="L72" s="147"/>
      <c r="M72" s="147"/>
      <c r="N72" s="147"/>
      <c r="O72" s="147"/>
      <c r="P72" s="147"/>
      <c r="Q72" s="147"/>
      <c r="R72" s="147"/>
      <c r="S72" s="147"/>
      <c r="T72" s="147"/>
      <c r="U72" s="147"/>
      <c r="V72" s="147"/>
    </row>
    <row r="73">
      <c r="A73" s="240" t="s">
        <v>4430</v>
      </c>
      <c r="B73" s="240" t="s">
        <v>594</v>
      </c>
      <c r="C73" s="240" t="s">
        <v>595</v>
      </c>
      <c r="D73" s="240" t="s">
        <v>4431</v>
      </c>
      <c r="E73" s="240" t="s">
        <v>311</v>
      </c>
      <c r="F73" s="240" t="s">
        <v>4223</v>
      </c>
      <c r="G73" s="147"/>
      <c r="H73" s="240" t="s">
        <v>4215</v>
      </c>
      <c r="I73" s="240" t="s">
        <v>4215</v>
      </c>
      <c r="J73" s="147"/>
      <c r="K73" s="147"/>
      <c r="L73" s="147"/>
      <c r="M73" s="147"/>
      <c r="N73" s="147"/>
      <c r="O73" s="147"/>
      <c r="P73" s="147"/>
      <c r="Q73" s="147"/>
      <c r="R73" s="147"/>
      <c r="S73" s="147"/>
      <c r="T73" s="147"/>
      <c r="U73" s="147"/>
      <c r="V73" s="147"/>
    </row>
    <row r="74">
      <c r="A74" s="240" t="s">
        <v>4432</v>
      </c>
      <c r="B74" s="240" t="s">
        <v>596</v>
      </c>
      <c r="C74" s="240" t="s">
        <v>597</v>
      </c>
      <c r="D74" s="240" t="s">
        <v>4433</v>
      </c>
      <c r="E74" s="240" t="s">
        <v>4345</v>
      </c>
      <c r="F74" s="240" t="s">
        <v>4219</v>
      </c>
      <c r="G74" s="147"/>
      <c r="H74" s="240" t="s">
        <v>4215</v>
      </c>
      <c r="I74" s="240" t="s">
        <v>4215</v>
      </c>
      <c r="J74" s="147"/>
      <c r="K74" s="147"/>
      <c r="L74" s="147"/>
      <c r="M74" s="147"/>
      <c r="N74" s="147"/>
      <c r="O74" s="147"/>
      <c r="P74" s="147"/>
      <c r="Q74" s="147"/>
      <c r="R74" s="147"/>
      <c r="S74" s="147"/>
      <c r="T74" s="147"/>
      <c r="U74" s="147"/>
      <c r="V74" s="147"/>
    </row>
    <row r="75">
      <c r="A75" s="240" t="s">
        <v>4434</v>
      </c>
      <c r="B75" s="240" t="s">
        <v>598</v>
      </c>
      <c r="C75" s="240" t="s">
        <v>599</v>
      </c>
      <c r="D75" s="240" t="s">
        <v>4435</v>
      </c>
      <c r="E75" s="240" t="s">
        <v>4436</v>
      </c>
      <c r="F75" s="240" t="s">
        <v>4264</v>
      </c>
      <c r="G75" s="147"/>
      <c r="H75" s="147"/>
      <c r="I75" s="147"/>
      <c r="J75" s="147"/>
      <c r="K75" s="147"/>
      <c r="L75" s="147"/>
      <c r="M75" s="147"/>
      <c r="N75" s="147"/>
      <c r="O75" s="147"/>
      <c r="P75" s="147"/>
      <c r="Q75" s="147"/>
      <c r="R75" s="147"/>
      <c r="S75" s="147"/>
      <c r="T75" s="147"/>
      <c r="U75" s="147"/>
      <c r="V75" s="147"/>
    </row>
    <row r="76">
      <c r="A76" s="240" t="s">
        <v>4437</v>
      </c>
      <c r="B76" s="240" t="s">
        <v>600</v>
      </c>
      <c r="C76" s="240" t="s">
        <v>601</v>
      </c>
      <c r="D76" s="240" t="s">
        <v>4438</v>
      </c>
      <c r="E76" s="240" t="s">
        <v>4439</v>
      </c>
      <c r="F76" s="240" t="s">
        <v>4223</v>
      </c>
      <c r="G76" s="147"/>
      <c r="H76" s="240" t="s">
        <v>4215</v>
      </c>
      <c r="I76" s="147"/>
      <c r="J76" s="147"/>
      <c r="K76" s="147"/>
      <c r="L76" s="147"/>
      <c r="M76" s="147"/>
      <c r="N76" s="147"/>
      <c r="O76" s="147"/>
      <c r="P76" s="147"/>
      <c r="Q76" s="147"/>
      <c r="R76" s="147"/>
      <c r="S76" s="147"/>
      <c r="T76" s="147"/>
      <c r="U76" s="147"/>
      <c r="V76" s="147"/>
    </row>
    <row r="77">
      <c r="A77" s="240" t="s">
        <v>4440</v>
      </c>
      <c r="B77" s="240" t="s">
        <v>602</v>
      </c>
      <c r="C77" s="240" t="s">
        <v>603</v>
      </c>
      <c r="D77" s="240" t="s">
        <v>4441</v>
      </c>
      <c r="E77" s="240" t="s">
        <v>4442</v>
      </c>
      <c r="F77" s="240" t="s">
        <v>4231</v>
      </c>
      <c r="G77" s="147"/>
      <c r="H77" s="240" t="s">
        <v>4215</v>
      </c>
      <c r="I77" s="240" t="s">
        <v>4215</v>
      </c>
      <c r="J77" s="147"/>
      <c r="K77" s="147"/>
      <c r="L77" s="147"/>
      <c r="M77" s="147"/>
      <c r="N77" s="147"/>
      <c r="O77" s="147"/>
      <c r="P77" s="147"/>
      <c r="Q77" s="147"/>
      <c r="R77" s="147"/>
      <c r="S77" s="147"/>
      <c r="T77" s="147"/>
      <c r="U77" s="147"/>
      <c r="V77" s="147"/>
    </row>
    <row r="78">
      <c r="A78" s="240" t="s">
        <v>4443</v>
      </c>
      <c r="B78" s="240" t="s">
        <v>604</v>
      </c>
      <c r="C78" s="240" t="s">
        <v>605</v>
      </c>
      <c r="D78" s="240" t="s">
        <v>4444</v>
      </c>
      <c r="E78" s="240" t="s">
        <v>4445</v>
      </c>
      <c r="F78" s="240" t="s">
        <v>4223</v>
      </c>
      <c r="G78" s="147"/>
      <c r="H78" s="240" t="s">
        <v>4215</v>
      </c>
      <c r="I78" s="240" t="s">
        <v>4215</v>
      </c>
      <c r="J78" s="147"/>
      <c r="K78" s="147"/>
      <c r="L78" s="147"/>
      <c r="M78" s="147"/>
      <c r="N78" s="147"/>
      <c r="O78" s="147"/>
      <c r="P78" s="147"/>
      <c r="Q78" s="147"/>
      <c r="R78" s="147"/>
      <c r="S78" s="147"/>
      <c r="T78" s="147"/>
      <c r="U78" s="147"/>
      <c r="V78" s="147"/>
    </row>
    <row r="79">
      <c r="A79" s="240" t="s">
        <v>4446</v>
      </c>
      <c r="B79" s="240" t="s">
        <v>606</v>
      </c>
      <c r="C79" s="240" t="s">
        <v>607</v>
      </c>
      <c r="D79" s="240" t="s">
        <v>4447</v>
      </c>
      <c r="E79" s="240" t="s">
        <v>4448</v>
      </c>
      <c r="F79" s="240" t="s">
        <v>4219</v>
      </c>
      <c r="G79" s="147"/>
      <c r="H79" s="240" t="s">
        <v>4215</v>
      </c>
      <c r="I79" s="240" t="s">
        <v>4215</v>
      </c>
      <c r="J79" s="147"/>
      <c r="K79" s="147"/>
      <c r="L79" s="147"/>
      <c r="M79" s="147"/>
      <c r="N79" s="147"/>
      <c r="O79" s="147"/>
      <c r="P79" s="147"/>
      <c r="Q79" s="147"/>
      <c r="R79" s="147"/>
      <c r="S79" s="147"/>
      <c r="T79" s="147"/>
      <c r="U79" s="147"/>
      <c r="V79" s="147"/>
    </row>
    <row r="80">
      <c r="A80" s="240" t="s">
        <v>4449</v>
      </c>
      <c r="B80" s="240" t="s">
        <v>608</v>
      </c>
      <c r="C80" s="240" t="s">
        <v>609</v>
      </c>
      <c r="D80" s="240" t="s">
        <v>4450</v>
      </c>
      <c r="E80" s="240" t="s">
        <v>4451</v>
      </c>
      <c r="F80" s="240" t="s">
        <v>4219</v>
      </c>
      <c r="G80" s="147"/>
      <c r="H80" s="147"/>
      <c r="I80" s="147"/>
      <c r="J80" s="147"/>
      <c r="K80" s="147"/>
      <c r="L80" s="147"/>
      <c r="M80" s="147"/>
      <c r="N80" s="147"/>
      <c r="O80" s="147"/>
      <c r="P80" s="147"/>
      <c r="Q80" s="147"/>
      <c r="R80" s="147"/>
      <c r="S80" s="147"/>
      <c r="T80" s="147"/>
      <c r="U80" s="147"/>
      <c r="V80" s="147"/>
    </row>
    <row r="81">
      <c r="A81" s="240" t="s">
        <v>4452</v>
      </c>
      <c r="B81" s="240" t="s">
        <v>610</v>
      </c>
      <c r="C81" s="240" t="s">
        <v>611</v>
      </c>
      <c r="D81" s="240" t="s">
        <v>4453</v>
      </c>
      <c r="E81" s="240" t="s">
        <v>4454</v>
      </c>
      <c r="F81" s="240" t="s">
        <v>4223</v>
      </c>
      <c r="G81" s="147"/>
      <c r="H81" s="147"/>
      <c r="I81" s="147"/>
      <c r="J81" s="147"/>
      <c r="K81" s="147"/>
      <c r="L81" s="147"/>
      <c r="M81" s="147"/>
      <c r="N81" s="147"/>
      <c r="O81" s="147"/>
      <c r="P81" s="147"/>
      <c r="Q81" s="147"/>
      <c r="R81" s="147"/>
      <c r="S81" s="147"/>
      <c r="T81" s="147"/>
      <c r="U81" s="147"/>
      <c r="V81" s="147"/>
    </row>
    <row r="82">
      <c r="A82" s="240" t="s">
        <v>4455</v>
      </c>
      <c r="B82" s="240" t="s">
        <v>612</v>
      </c>
      <c r="C82" s="240" t="s">
        <v>613</v>
      </c>
      <c r="D82" s="240" t="s">
        <v>4456</v>
      </c>
      <c r="E82" s="240" t="s">
        <v>4457</v>
      </c>
      <c r="F82" s="240" t="s">
        <v>4219</v>
      </c>
      <c r="G82" s="147"/>
      <c r="H82" s="147"/>
      <c r="I82" s="147"/>
      <c r="J82" s="147"/>
      <c r="K82" s="147"/>
      <c r="L82" s="147"/>
      <c r="M82" s="147"/>
      <c r="N82" s="147"/>
      <c r="O82" s="147"/>
      <c r="P82" s="147"/>
      <c r="Q82" s="147"/>
      <c r="R82" s="147"/>
      <c r="S82" s="147"/>
      <c r="T82" s="147"/>
      <c r="U82" s="147"/>
      <c r="V82" s="147"/>
    </row>
    <row r="83">
      <c r="A83" s="240" t="s">
        <v>4458</v>
      </c>
      <c r="B83" s="240" t="s">
        <v>614</v>
      </c>
      <c r="C83" s="240" t="s">
        <v>615</v>
      </c>
      <c r="D83" s="240" t="s">
        <v>4459</v>
      </c>
      <c r="E83" s="240" t="s">
        <v>4460</v>
      </c>
      <c r="F83" s="240" t="s">
        <v>4219</v>
      </c>
      <c r="G83" s="147"/>
      <c r="H83" s="240" t="s">
        <v>4215</v>
      </c>
      <c r="I83" s="240" t="s">
        <v>4215</v>
      </c>
      <c r="J83" s="147"/>
      <c r="K83" s="147"/>
      <c r="L83" s="147"/>
      <c r="M83" s="147"/>
      <c r="N83" s="147"/>
      <c r="O83" s="147"/>
      <c r="P83" s="147"/>
      <c r="Q83" s="147"/>
      <c r="R83" s="147"/>
      <c r="S83" s="147"/>
      <c r="T83" s="147"/>
      <c r="U83" s="147"/>
      <c r="V83" s="147"/>
    </row>
    <row r="84">
      <c r="A84" s="240" t="s">
        <v>4461</v>
      </c>
      <c r="B84" s="240" t="s">
        <v>616</v>
      </c>
      <c r="C84" s="240" t="s">
        <v>617</v>
      </c>
      <c r="D84" s="240" t="s">
        <v>4462</v>
      </c>
      <c r="E84" s="240" t="s">
        <v>4463</v>
      </c>
      <c r="F84" s="240" t="s">
        <v>4223</v>
      </c>
      <c r="G84" s="147"/>
      <c r="H84" s="147"/>
      <c r="I84" s="147"/>
      <c r="J84" s="147"/>
      <c r="K84" s="147"/>
      <c r="L84" s="147"/>
      <c r="M84" s="147"/>
      <c r="N84" s="147"/>
      <c r="O84" s="147"/>
      <c r="P84" s="147"/>
      <c r="Q84" s="147"/>
      <c r="R84" s="147"/>
      <c r="S84" s="147"/>
      <c r="T84" s="147"/>
      <c r="U84" s="147"/>
      <c r="V84" s="147"/>
    </row>
    <row r="85">
      <c r="A85" s="240" t="s">
        <v>4464</v>
      </c>
      <c r="B85" s="240" t="s">
        <v>618</v>
      </c>
      <c r="C85" s="240" t="s">
        <v>619</v>
      </c>
      <c r="D85" s="240" t="s">
        <v>4465</v>
      </c>
      <c r="E85" s="240" t="s">
        <v>4466</v>
      </c>
      <c r="F85" s="240" t="s">
        <v>4235</v>
      </c>
      <c r="G85" s="147"/>
      <c r="H85" s="240" t="s">
        <v>4215</v>
      </c>
      <c r="I85" s="240" t="s">
        <v>4215</v>
      </c>
      <c r="J85" s="147"/>
      <c r="K85" s="147"/>
      <c r="L85" s="147"/>
      <c r="M85" s="147"/>
      <c r="N85" s="147"/>
      <c r="O85" s="147"/>
      <c r="P85" s="147"/>
      <c r="Q85" s="147"/>
      <c r="R85" s="147"/>
      <c r="S85" s="147"/>
      <c r="T85" s="147"/>
      <c r="U85" s="147"/>
      <c r="V85" s="147"/>
    </row>
    <row r="86">
      <c r="A86" s="240" t="s">
        <v>4467</v>
      </c>
      <c r="B86" s="240" t="s">
        <v>620</v>
      </c>
      <c r="C86" s="240" t="s">
        <v>621</v>
      </c>
      <c r="D86" s="240" t="s">
        <v>4468</v>
      </c>
      <c r="E86" s="240" t="s">
        <v>4469</v>
      </c>
      <c r="F86" s="240" t="s">
        <v>4223</v>
      </c>
      <c r="G86" s="147"/>
      <c r="H86" s="240" t="s">
        <v>4215</v>
      </c>
      <c r="I86" s="147"/>
      <c r="J86" s="147"/>
      <c r="K86" s="147"/>
      <c r="L86" s="147"/>
      <c r="M86" s="147"/>
      <c r="N86" s="147"/>
      <c r="O86" s="147"/>
      <c r="P86" s="147"/>
      <c r="Q86" s="147"/>
      <c r="R86" s="147"/>
      <c r="S86" s="147"/>
      <c r="T86" s="147"/>
      <c r="U86" s="147"/>
      <c r="V86" s="147"/>
    </row>
    <row r="87">
      <c r="A87" s="240" t="s">
        <v>4470</v>
      </c>
      <c r="B87" s="240" t="s">
        <v>622</v>
      </c>
      <c r="C87" s="240" t="s">
        <v>623</v>
      </c>
      <c r="D87" s="240" t="s">
        <v>4471</v>
      </c>
      <c r="E87" s="240" t="s">
        <v>4472</v>
      </c>
      <c r="F87" s="240" t="s">
        <v>4219</v>
      </c>
      <c r="G87" s="147"/>
      <c r="H87" s="240" t="s">
        <v>4215</v>
      </c>
      <c r="I87" s="240" t="s">
        <v>4215</v>
      </c>
      <c r="J87" s="147"/>
      <c r="K87" s="147"/>
      <c r="L87" s="147"/>
      <c r="M87" s="147"/>
      <c r="N87" s="147"/>
      <c r="O87" s="147"/>
      <c r="P87" s="147"/>
      <c r="Q87" s="147"/>
      <c r="R87" s="147"/>
      <c r="S87" s="147"/>
      <c r="T87" s="147"/>
      <c r="U87" s="147"/>
      <c r="V87" s="147"/>
    </row>
    <row r="88">
      <c r="A88" s="240" t="s">
        <v>4473</v>
      </c>
      <c r="B88" s="240" t="s">
        <v>624</v>
      </c>
      <c r="C88" s="240" t="s">
        <v>625</v>
      </c>
      <c r="D88" s="240" t="s">
        <v>4474</v>
      </c>
      <c r="E88" s="240" t="s">
        <v>4475</v>
      </c>
      <c r="F88" s="240" t="s">
        <v>4219</v>
      </c>
      <c r="G88" s="147"/>
      <c r="H88" s="240" t="s">
        <v>4215</v>
      </c>
      <c r="I88" s="240" t="s">
        <v>4215</v>
      </c>
      <c r="J88" s="147"/>
      <c r="K88" s="147"/>
      <c r="L88" s="147"/>
      <c r="M88" s="147"/>
      <c r="N88" s="147"/>
      <c r="O88" s="147"/>
      <c r="P88" s="147"/>
      <c r="Q88" s="147"/>
      <c r="R88" s="147"/>
      <c r="S88" s="147"/>
      <c r="T88" s="147"/>
      <c r="U88" s="147"/>
      <c r="V88" s="147"/>
    </row>
    <row r="89">
      <c r="A89" s="240" t="s">
        <v>4476</v>
      </c>
      <c r="B89" s="240" t="s">
        <v>626</v>
      </c>
      <c r="C89" s="240" t="s">
        <v>627</v>
      </c>
      <c r="D89" s="240" t="s">
        <v>4477</v>
      </c>
      <c r="E89" s="240" t="s">
        <v>4478</v>
      </c>
      <c r="F89" s="240" t="s">
        <v>4479</v>
      </c>
      <c r="G89" s="147"/>
      <c r="H89" s="240" t="s">
        <v>4215</v>
      </c>
      <c r="I89" s="240" t="s">
        <v>4215</v>
      </c>
      <c r="J89" s="147"/>
      <c r="K89" s="147"/>
      <c r="L89" s="147"/>
      <c r="M89" s="147"/>
      <c r="N89" s="147"/>
      <c r="O89" s="147"/>
      <c r="P89" s="147"/>
      <c r="Q89" s="147"/>
      <c r="R89" s="147"/>
      <c r="S89" s="147"/>
      <c r="T89" s="147"/>
      <c r="U89" s="147"/>
      <c r="V89" s="147"/>
    </row>
    <row r="90">
      <c r="A90" s="240" t="s">
        <v>4480</v>
      </c>
      <c r="B90" s="240" t="s">
        <v>628</v>
      </c>
      <c r="C90" s="240" t="s">
        <v>629</v>
      </c>
      <c r="D90" s="240" t="s">
        <v>4481</v>
      </c>
      <c r="E90" s="240" t="s">
        <v>4482</v>
      </c>
      <c r="F90" s="240" t="s">
        <v>4264</v>
      </c>
      <c r="G90" s="147"/>
      <c r="H90" s="240" t="s">
        <v>4215</v>
      </c>
      <c r="I90" s="240" t="s">
        <v>4215</v>
      </c>
      <c r="J90" s="147"/>
      <c r="K90" s="147"/>
      <c r="L90" s="147"/>
      <c r="M90" s="147"/>
      <c r="N90" s="147"/>
      <c r="O90" s="147"/>
      <c r="P90" s="147"/>
      <c r="Q90" s="147"/>
      <c r="R90" s="147"/>
      <c r="S90" s="147"/>
      <c r="T90" s="147"/>
      <c r="U90" s="147"/>
      <c r="V90" s="147"/>
    </row>
    <row r="91">
      <c r="A91" s="240" t="s">
        <v>4483</v>
      </c>
      <c r="B91" s="240" t="s">
        <v>630</v>
      </c>
      <c r="C91" s="240" t="s">
        <v>631</v>
      </c>
      <c r="D91" s="240" t="s">
        <v>4484</v>
      </c>
      <c r="E91" s="240" t="s">
        <v>4485</v>
      </c>
      <c r="F91" s="240" t="s">
        <v>4219</v>
      </c>
      <c r="G91" s="147"/>
      <c r="H91" s="240" t="s">
        <v>4215</v>
      </c>
      <c r="I91" s="240" t="s">
        <v>4215</v>
      </c>
      <c r="J91" s="147"/>
      <c r="K91" s="147"/>
      <c r="L91" s="147"/>
      <c r="M91" s="147"/>
      <c r="N91" s="147"/>
      <c r="O91" s="147"/>
      <c r="P91" s="147"/>
      <c r="Q91" s="147"/>
      <c r="R91" s="147"/>
      <c r="S91" s="147"/>
      <c r="T91" s="147"/>
      <c r="U91" s="147"/>
      <c r="V91" s="147"/>
    </row>
    <row r="92">
      <c r="A92" s="240" t="s">
        <v>4486</v>
      </c>
      <c r="B92" s="240" t="s">
        <v>632</v>
      </c>
      <c r="C92" s="240" t="s">
        <v>633</v>
      </c>
      <c r="D92" s="240" t="s">
        <v>4487</v>
      </c>
      <c r="E92" s="240" t="s">
        <v>4488</v>
      </c>
      <c r="F92" s="240" t="s">
        <v>4231</v>
      </c>
      <c r="G92" s="147"/>
      <c r="H92" s="147"/>
      <c r="I92" s="240" t="s">
        <v>4215</v>
      </c>
      <c r="J92" s="147"/>
      <c r="K92" s="147"/>
      <c r="L92" s="147"/>
      <c r="M92" s="147"/>
      <c r="N92" s="147"/>
      <c r="O92" s="147"/>
      <c r="P92" s="147"/>
      <c r="Q92" s="147"/>
      <c r="R92" s="147"/>
      <c r="S92" s="147"/>
      <c r="T92" s="147"/>
      <c r="U92" s="147"/>
      <c r="V92" s="147"/>
    </row>
    <row r="93">
      <c r="A93" s="240" t="s">
        <v>4489</v>
      </c>
      <c r="B93" s="240" t="s">
        <v>634</v>
      </c>
      <c r="C93" s="240" t="s">
        <v>635</v>
      </c>
      <c r="D93" s="240" t="s">
        <v>4490</v>
      </c>
      <c r="E93" s="240" t="s">
        <v>4491</v>
      </c>
      <c r="F93" s="240" t="s">
        <v>4223</v>
      </c>
      <c r="G93" s="147"/>
      <c r="H93" s="147"/>
      <c r="I93" s="147"/>
      <c r="J93" s="147"/>
      <c r="K93" s="147"/>
      <c r="L93" s="147"/>
      <c r="M93" s="147"/>
      <c r="N93" s="147"/>
      <c r="O93" s="147"/>
      <c r="P93" s="147"/>
      <c r="Q93" s="147"/>
      <c r="R93" s="147"/>
      <c r="S93" s="147"/>
      <c r="T93" s="147"/>
      <c r="U93" s="147"/>
      <c r="V93" s="147"/>
    </row>
    <row r="94">
      <c r="A94" s="240" t="s">
        <v>4492</v>
      </c>
      <c r="B94" s="240" t="s">
        <v>636</v>
      </c>
      <c r="C94" s="240" t="s">
        <v>637</v>
      </c>
      <c r="D94" s="240" t="s">
        <v>4493</v>
      </c>
      <c r="E94" s="240" t="s">
        <v>4494</v>
      </c>
      <c r="F94" s="240" t="s">
        <v>4355</v>
      </c>
      <c r="G94" s="147"/>
      <c r="H94" s="240" t="s">
        <v>4215</v>
      </c>
      <c r="I94" s="240" t="s">
        <v>4215</v>
      </c>
      <c r="J94" s="147"/>
      <c r="K94" s="147"/>
      <c r="L94" s="147"/>
      <c r="M94" s="147"/>
      <c r="N94" s="147"/>
      <c r="O94" s="147"/>
      <c r="P94" s="147"/>
      <c r="Q94" s="147"/>
      <c r="R94" s="147"/>
      <c r="S94" s="147"/>
      <c r="T94" s="147"/>
      <c r="U94" s="147"/>
      <c r="V94" s="147"/>
    </row>
    <row r="95">
      <c r="A95" s="240" t="s">
        <v>4495</v>
      </c>
      <c r="B95" s="240" t="s">
        <v>638</v>
      </c>
      <c r="C95" s="240" t="s">
        <v>639</v>
      </c>
      <c r="D95" s="240" t="s">
        <v>4496</v>
      </c>
      <c r="E95" s="240" t="s">
        <v>4497</v>
      </c>
      <c r="F95" s="240" t="s">
        <v>4227</v>
      </c>
      <c r="G95" s="147"/>
      <c r="H95" s="240" t="s">
        <v>4215</v>
      </c>
      <c r="I95" s="240" t="s">
        <v>4215</v>
      </c>
      <c r="J95" s="147"/>
      <c r="K95" s="147"/>
      <c r="L95" s="147"/>
      <c r="M95" s="147"/>
      <c r="N95" s="147"/>
      <c r="O95" s="147"/>
      <c r="P95" s="147"/>
      <c r="Q95" s="147"/>
      <c r="R95" s="147"/>
      <c r="S95" s="147"/>
      <c r="T95" s="147"/>
      <c r="U95" s="147"/>
      <c r="V95" s="147"/>
    </row>
    <row r="96">
      <c r="A96" s="240" t="s">
        <v>4498</v>
      </c>
      <c r="B96" s="240" t="s">
        <v>640</v>
      </c>
      <c r="C96" s="240" t="s">
        <v>641</v>
      </c>
      <c r="D96" s="240" t="s">
        <v>4499</v>
      </c>
      <c r="E96" s="240" t="s">
        <v>4500</v>
      </c>
      <c r="F96" s="240" t="s">
        <v>4223</v>
      </c>
      <c r="G96" s="147"/>
      <c r="H96" s="147"/>
      <c r="I96" s="147"/>
      <c r="J96" s="147"/>
      <c r="K96" s="147"/>
      <c r="L96" s="147"/>
      <c r="M96" s="147"/>
      <c r="N96" s="147"/>
      <c r="O96" s="147"/>
      <c r="P96" s="147"/>
      <c r="Q96" s="147"/>
      <c r="R96" s="147"/>
      <c r="S96" s="147"/>
      <c r="T96" s="147"/>
      <c r="U96" s="147"/>
      <c r="V96" s="147"/>
    </row>
    <row r="97">
      <c r="A97" s="240" t="s">
        <v>4501</v>
      </c>
      <c r="B97" s="240" t="s">
        <v>642</v>
      </c>
      <c r="C97" s="240" t="s">
        <v>643</v>
      </c>
      <c r="D97" s="240" t="s">
        <v>4502</v>
      </c>
      <c r="E97" s="240" t="s">
        <v>4503</v>
      </c>
      <c r="F97" s="240" t="s">
        <v>4223</v>
      </c>
      <c r="G97" s="147"/>
      <c r="H97" s="240" t="s">
        <v>4215</v>
      </c>
      <c r="I97" s="240" t="s">
        <v>4215</v>
      </c>
      <c r="J97" s="147"/>
      <c r="K97" s="147"/>
      <c r="L97" s="147"/>
      <c r="M97" s="147"/>
      <c r="N97" s="147"/>
      <c r="O97" s="147"/>
      <c r="P97" s="147"/>
      <c r="Q97" s="147"/>
      <c r="R97" s="147"/>
      <c r="S97" s="147"/>
      <c r="T97" s="147"/>
      <c r="U97" s="147"/>
      <c r="V97" s="147"/>
    </row>
    <row r="98">
      <c r="A98" s="240" t="s">
        <v>4504</v>
      </c>
      <c r="B98" s="240" t="s">
        <v>644</v>
      </c>
      <c r="C98" s="240" t="s">
        <v>645</v>
      </c>
      <c r="D98" s="240" t="s">
        <v>4505</v>
      </c>
      <c r="E98" s="240" t="s">
        <v>4506</v>
      </c>
      <c r="F98" s="240" t="s">
        <v>4223</v>
      </c>
      <c r="G98" s="147"/>
      <c r="H98" s="240" t="s">
        <v>4215</v>
      </c>
      <c r="I98" s="240" t="s">
        <v>4215</v>
      </c>
      <c r="J98" s="147"/>
      <c r="K98" s="147"/>
      <c r="L98" s="147"/>
      <c r="M98" s="147"/>
      <c r="N98" s="147"/>
      <c r="O98" s="147"/>
      <c r="P98" s="147"/>
      <c r="Q98" s="147"/>
      <c r="R98" s="147"/>
      <c r="S98" s="147"/>
      <c r="T98" s="147"/>
      <c r="U98" s="147"/>
      <c r="V98" s="147"/>
    </row>
    <row r="99">
      <c r="A99" s="240" t="s">
        <v>4507</v>
      </c>
      <c r="B99" s="240" t="s">
        <v>646</v>
      </c>
      <c r="C99" s="240" t="s">
        <v>647</v>
      </c>
      <c r="D99" s="240" t="s">
        <v>4508</v>
      </c>
      <c r="E99" s="240" t="s">
        <v>4509</v>
      </c>
      <c r="F99" s="240" t="s">
        <v>4223</v>
      </c>
      <c r="G99" s="147"/>
      <c r="H99" s="240" t="s">
        <v>4215</v>
      </c>
      <c r="I99" s="240" t="s">
        <v>4215</v>
      </c>
      <c r="J99" s="147"/>
      <c r="K99" s="147"/>
      <c r="L99" s="147"/>
      <c r="M99" s="147"/>
      <c r="N99" s="147"/>
      <c r="O99" s="147"/>
      <c r="P99" s="147"/>
      <c r="Q99" s="147"/>
      <c r="R99" s="147"/>
      <c r="S99" s="147"/>
      <c r="T99" s="147"/>
      <c r="U99" s="147"/>
      <c r="V99" s="147"/>
    </row>
    <row r="100">
      <c r="A100" s="240" t="s">
        <v>4510</v>
      </c>
      <c r="B100" s="240" t="s">
        <v>648</v>
      </c>
      <c r="C100" s="240" t="s">
        <v>649</v>
      </c>
      <c r="D100" s="240" t="s">
        <v>4511</v>
      </c>
      <c r="E100" s="240" t="s">
        <v>4512</v>
      </c>
      <c r="F100" s="240" t="s">
        <v>4235</v>
      </c>
      <c r="G100" s="147"/>
      <c r="H100" s="240" t="s">
        <v>4215</v>
      </c>
      <c r="I100" s="240" t="s">
        <v>4215</v>
      </c>
      <c r="J100" s="147"/>
      <c r="K100" s="147"/>
      <c r="L100" s="147"/>
      <c r="M100" s="147"/>
      <c r="N100" s="147"/>
      <c r="O100" s="147"/>
      <c r="P100" s="147"/>
      <c r="Q100" s="147"/>
      <c r="R100" s="147"/>
      <c r="S100" s="147"/>
      <c r="T100" s="147"/>
      <c r="U100" s="147"/>
      <c r="V100" s="147"/>
    </row>
    <row r="101">
      <c r="A101" s="240" t="s">
        <v>4513</v>
      </c>
      <c r="B101" s="240" t="s">
        <v>650</v>
      </c>
      <c r="C101" s="240" t="s">
        <v>651</v>
      </c>
      <c r="D101" s="240" t="s">
        <v>4514</v>
      </c>
      <c r="E101" s="240" t="s">
        <v>4399</v>
      </c>
      <c r="F101" s="240" t="s">
        <v>4297</v>
      </c>
      <c r="G101" s="147"/>
      <c r="H101" s="240" t="s">
        <v>4215</v>
      </c>
      <c r="I101" s="240" t="s">
        <v>4215</v>
      </c>
      <c r="J101" s="147"/>
      <c r="K101" s="147"/>
      <c r="L101" s="147"/>
      <c r="M101" s="147"/>
      <c r="N101" s="147"/>
      <c r="O101" s="147"/>
      <c r="P101" s="147"/>
      <c r="Q101" s="147"/>
      <c r="R101" s="147"/>
      <c r="S101" s="147"/>
      <c r="T101" s="147"/>
      <c r="U101" s="147"/>
      <c r="V101" s="147"/>
    </row>
    <row r="102">
      <c r="A102" s="240" t="s">
        <v>4515</v>
      </c>
      <c r="B102" s="240" t="s">
        <v>652</v>
      </c>
      <c r="C102" s="240" t="s">
        <v>653</v>
      </c>
      <c r="D102" s="240" t="s">
        <v>4516</v>
      </c>
      <c r="E102" s="240" t="s">
        <v>4517</v>
      </c>
      <c r="F102" s="240" t="s">
        <v>4223</v>
      </c>
      <c r="G102" s="147"/>
      <c r="H102" s="240" t="s">
        <v>4215</v>
      </c>
      <c r="I102" s="240" t="s">
        <v>4215</v>
      </c>
      <c r="J102" s="147"/>
      <c r="K102" s="147"/>
      <c r="L102" s="147"/>
      <c r="M102" s="147"/>
      <c r="N102" s="147"/>
      <c r="O102" s="147"/>
      <c r="P102" s="147"/>
      <c r="Q102" s="147"/>
      <c r="R102" s="147"/>
      <c r="S102" s="147"/>
      <c r="T102" s="147"/>
      <c r="U102" s="147"/>
      <c r="V102" s="147"/>
    </row>
    <row r="103">
      <c r="A103" s="240" t="s">
        <v>4518</v>
      </c>
      <c r="B103" s="240" t="s">
        <v>654</v>
      </c>
      <c r="C103" s="240" t="s">
        <v>655</v>
      </c>
      <c r="D103" s="240" t="s">
        <v>4519</v>
      </c>
      <c r="E103" s="240" t="s">
        <v>4520</v>
      </c>
      <c r="F103" s="240" t="s">
        <v>4223</v>
      </c>
      <c r="G103" s="147"/>
      <c r="H103" s="240" t="s">
        <v>4215</v>
      </c>
      <c r="I103" s="240" t="s">
        <v>4215</v>
      </c>
      <c r="J103" s="147"/>
      <c r="K103" s="147"/>
      <c r="L103" s="147"/>
      <c r="M103" s="147"/>
      <c r="N103" s="147"/>
      <c r="O103" s="147"/>
      <c r="P103" s="147"/>
      <c r="Q103" s="147"/>
      <c r="R103" s="147"/>
      <c r="S103" s="147"/>
      <c r="T103" s="147"/>
      <c r="U103" s="147"/>
      <c r="V103" s="147"/>
    </row>
    <row r="104">
      <c r="A104" s="240" t="s">
        <v>4521</v>
      </c>
      <c r="B104" s="240" t="s">
        <v>656</v>
      </c>
      <c r="C104" s="240" t="s">
        <v>657</v>
      </c>
      <c r="D104" s="240" t="s">
        <v>4522</v>
      </c>
      <c r="E104" s="240" t="s">
        <v>4523</v>
      </c>
      <c r="F104" s="240" t="s">
        <v>4264</v>
      </c>
      <c r="G104" s="147"/>
      <c r="H104" s="240" t="s">
        <v>4215</v>
      </c>
      <c r="I104" s="240" t="s">
        <v>4215</v>
      </c>
      <c r="J104" s="147"/>
      <c r="K104" s="147"/>
      <c r="L104" s="147"/>
      <c r="M104" s="147"/>
      <c r="N104" s="147"/>
      <c r="O104" s="147"/>
      <c r="P104" s="147"/>
      <c r="Q104" s="147"/>
      <c r="R104" s="147"/>
      <c r="S104" s="147"/>
      <c r="T104" s="147"/>
      <c r="U104" s="147"/>
      <c r="V104" s="147"/>
    </row>
    <row r="105">
      <c r="A105" s="240" t="s">
        <v>4524</v>
      </c>
      <c r="B105" s="240" t="s">
        <v>658</v>
      </c>
      <c r="C105" s="240" t="s">
        <v>659</v>
      </c>
      <c r="D105" s="240" t="s">
        <v>4525</v>
      </c>
      <c r="E105" s="240" t="s">
        <v>4526</v>
      </c>
      <c r="F105" s="240" t="s">
        <v>4223</v>
      </c>
      <c r="G105" s="147"/>
      <c r="H105" s="240" t="s">
        <v>4215</v>
      </c>
      <c r="I105" s="240" t="s">
        <v>4215</v>
      </c>
      <c r="J105" s="147"/>
      <c r="K105" s="147"/>
      <c r="L105" s="147"/>
      <c r="M105" s="147"/>
      <c r="N105" s="147"/>
      <c r="O105" s="147"/>
      <c r="P105" s="147"/>
      <c r="Q105" s="147"/>
      <c r="R105" s="147"/>
      <c r="S105" s="147"/>
      <c r="T105" s="147"/>
      <c r="U105" s="147"/>
      <c r="V105" s="147"/>
    </row>
    <row r="106">
      <c r="A106" s="240" t="s">
        <v>4527</v>
      </c>
      <c r="B106" s="240" t="s">
        <v>660</v>
      </c>
      <c r="C106" s="240" t="s">
        <v>661</v>
      </c>
      <c r="D106" s="240" t="s">
        <v>4528</v>
      </c>
      <c r="E106" s="240" t="s">
        <v>4529</v>
      </c>
      <c r="F106" s="240" t="s">
        <v>4264</v>
      </c>
      <c r="G106" s="147"/>
      <c r="H106" s="240" t="s">
        <v>4215</v>
      </c>
      <c r="I106" s="240" t="s">
        <v>4215</v>
      </c>
      <c r="J106" s="147"/>
      <c r="K106" s="147"/>
      <c r="L106" s="147"/>
      <c r="M106" s="147"/>
      <c r="N106" s="147"/>
      <c r="O106" s="147"/>
      <c r="P106" s="147"/>
      <c r="Q106" s="147"/>
      <c r="R106" s="147"/>
      <c r="S106" s="147"/>
      <c r="T106" s="147"/>
      <c r="U106" s="147"/>
      <c r="V106" s="147"/>
    </row>
    <row r="107">
      <c r="A107" s="240" t="s">
        <v>4530</v>
      </c>
      <c r="B107" s="240" t="s">
        <v>662</v>
      </c>
      <c r="C107" s="240" t="s">
        <v>663</v>
      </c>
      <c r="D107" s="240" t="s">
        <v>4531</v>
      </c>
      <c r="E107" s="240" t="s">
        <v>4532</v>
      </c>
      <c r="F107" s="240" t="s">
        <v>4479</v>
      </c>
      <c r="G107" s="147"/>
      <c r="H107" s="240" t="s">
        <v>4215</v>
      </c>
      <c r="I107" s="240" t="s">
        <v>4215</v>
      </c>
      <c r="J107" s="147"/>
      <c r="K107" s="147"/>
      <c r="L107" s="147"/>
      <c r="M107" s="147"/>
      <c r="N107" s="147"/>
      <c r="O107" s="147"/>
      <c r="P107" s="147"/>
      <c r="Q107" s="147"/>
      <c r="R107" s="147"/>
      <c r="S107" s="147"/>
      <c r="T107" s="147"/>
      <c r="U107" s="147"/>
      <c r="V107" s="147"/>
    </row>
    <row r="108">
      <c r="A108" s="240" t="s">
        <v>4533</v>
      </c>
      <c r="B108" s="240" t="s">
        <v>664</v>
      </c>
      <c r="C108" s="240" t="s">
        <v>665</v>
      </c>
      <c r="D108" s="240" t="s">
        <v>4534</v>
      </c>
      <c r="E108" s="240" t="s">
        <v>4517</v>
      </c>
      <c r="F108" s="240" t="s">
        <v>4235</v>
      </c>
      <c r="G108" s="147"/>
      <c r="H108" s="240" t="s">
        <v>4215</v>
      </c>
      <c r="I108" s="240" t="s">
        <v>4215</v>
      </c>
      <c r="J108" s="147"/>
      <c r="K108" s="147"/>
      <c r="L108" s="147"/>
      <c r="M108" s="147"/>
      <c r="N108" s="147"/>
      <c r="O108" s="147"/>
      <c r="P108" s="147"/>
      <c r="Q108" s="147"/>
      <c r="R108" s="147"/>
      <c r="S108" s="147"/>
      <c r="T108" s="147"/>
      <c r="U108" s="147"/>
      <c r="V108" s="147"/>
    </row>
    <row r="109">
      <c r="A109" s="240" t="s">
        <v>4535</v>
      </c>
      <c r="B109" s="240" t="s">
        <v>666</v>
      </c>
      <c r="C109" s="240" t="s">
        <v>667</v>
      </c>
      <c r="D109" s="240" t="s">
        <v>4536</v>
      </c>
      <c r="E109" s="240" t="s">
        <v>4537</v>
      </c>
      <c r="F109" s="240" t="s">
        <v>4538</v>
      </c>
      <c r="G109" s="147"/>
      <c r="H109" s="240" t="s">
        <v>4215</v>
      </c>
      <c r="I109" s="240" t="s">
        <v>4215</v>
      </c>
      <c r="J109" s="147"/>
      <c r="K109" s="147"/>
      <c r="L109" s="147"/>
      <c r="M109" s="147"/>
      <c r="N109" s="147"/>
      <c r="O109" s="147"/>
      <c r="P109" s="147"/>
      <c r="Q109" s="147"/>
      <c r="R109" s="147"/>
      <c r="S109" s="147"/>
      <c r="T109" s="147"/>
      <c r="U109" s="147"/>
      <c r="V109" s="147"/>
    </row>
    <row r="110">
      <c r="A110" s="240" t="s">
        <v>4539</v>
      </c>
      <c r="B110" s="240" t="s">
        <v>668</v>
      </c>
      <c r="C110" s="240" t="s">
        <v>669</v>
      </c>
      <c r="D110" s="240" t="s">
        <v>4540</v>
      </c>
      <c r="E110" s="240" t="s">
        <v>4541</v>
      </c>
      <c r="F110" s="240" t="s">
        <v>4264</v>
      </c>
      <c r="G110" s="147"/>
      <c r="H110" s="240" t="s">
        <v>4215</v>
      </c>
      <c r="I110" s="240" t="s">
        <v>4215</v>
      </c>
      <c r="J110" s="147"/>
      <c r="K110" s="147"/>
      <c r="L110" s="147"/>
      <c r="M110" s="147"/>
      <c r="N110" s="147"/>
      <c r="O110" s="147"/>
      <c r="P110" s="147"/>
      <c r="Q110" s="147"/>
      <c r="R110" s="147"/>
      <c r="S110" s="147"/>
      <c r="T110" s="147"/>
      <c r="U110" s="147"/>
      <c r="V110" s="147"/>
    </row>
    <row r="111">
      <c r="A111" s="240" t="s">
        <v>4542</v>
      </c>
      <c r="B111" s="240" t="s">
        <v>670</v>
      </c>
      <c r="C111" s="240" t="s">
        <v>671</v>
      </c>
      <c r="D111" s="240" t="s">
        <v>4543</v>
      </c>
      <c r="E111" s="240" t="s">
        <v>4544</v>
      </c>
      <c r="F111" s="240" t="s">
        <v>4219</v>
      </c>
      <c r="G111" s="147"/>
      <c r="H111" s="240" t="s">
        <v>4215</v>
      </c>
      <c r="I111" s="240" t="s">
        <v>4215</v>
      </c>
      <c r="J111" s="147"/>
      <c r="K111" s="147"/>
      <c r="L111" s="147"/>
      <c r="M111" s="147"/>
      <c r="N111" s="147"/>
      <c r="O111" s="147"/>
      <c r="P111" s="147"/>
      <c r="Q111" s="147"/>
      <c r="R111" s="147"/>
      <c r="S111" s="147"/>
      <c r="T111" s="147"/>
      <c r="U111" s="147"/>
      <c r="V111" s="147"/>
    </row>
    <row r="112">
      <c r="A112" s="240" t="s">
        <v>4545</v>
      </c>
      <c r="B112" s="240" t="s">
        <v>672</v>
      </c>
      <c r="C112" s="240" t="s">
        <v>673</v>
      </c>
      <c r="D112" s="240" t="s">
        <v>4546</v>
      </c>
      <c r="E112" s="240" t="s">
        <v>4547</v>
      </c>
      <c r="F112" s="240" t="s">
        <v>4223</v>
      </c>
      <c r="G112" s="147"/>
      <c r="H112" s="147"/>
      <c r="I112" s="147"/>
      <c r="J112" s="147"/>
      <c r="K112" s="147"/>
      <c r="L112" s="147"/>
      <c r="M112" s="147"/>
      <c r="N112" s="147"/>
      <c r="O112" s="147"/>
      <c r="P112" s="147"/>
      <c r="Q112" s="147"/>
      <c r="R112" s="147"/>
      <c r="S112" s="147"/>
      <c r="T112" s="147"/>
      <c r="U112" s="147"/>
      <c r="V112" s="147"/>
    </row>
    <row r="113">
      <c r="A113" s="240" t="s">
        <v>4548</v>
      </c>
      <c r="B113" s="240" t="s">
        <v>674</v>
      </c>
      <c r="C113" s="240" t="s">
        <v>675</v>
      </c>
      <c r="D113" s="240" t="s">
        <v>4549</v>
      </c>
      <c r="E113" s="240" t="s">
        <v>4550</v>
      </c>
      <c r="F113" s="240" t="s">
        <v>4479</v>
      </c>
      <c r="G113" s="147"/>
      <c r="H113" s="240" t="s">
        <v>4215</v>
      </c>
      <c r="I113" s="240" t="s">
        <v>4215</v>
      </c>
      <c r="J113" s="147"/>
      <c r="K113" s="147"/>
      <c r="L113" s="147"/>
      <c r="M113" s="147"/>
      <c r="N113" s="147"/>
      <c r="O113" s="147"/>
      <c r="P113" s="147"/>
      <c r="Q113" s="147"/>
      <c r="R113" s="147"/>
      <c r="S113" s="147"/>
      <c r="T113" s="147"/>
      <c r="U113" s="147"/>
      <c r="V113" s="147"/>
    </row>
    <row r="114">
      <c r="A114" s="240" t="s">
        <v>4551</v>
      </c>
      <c r="B114" s="240" t="s">
        <v>676</v>
      </c>
      <c r="C114" s="240" t="s">
        <v>677</v>
      </c>
      <c r="D114" s="240" t="s">
        <v>4552</v>
      </c>
      <c r="E114" s="240" t="s">
        <v>4553</v>
      </c>
      <c r="F114" s="240" t="s">
        <v>4219</v>
      </c>
      <c r="G114" s="147"/>
      <c r="H114" s="240" t="s">
        <v>4215</v>
      </c>
      <c r="I114" s="240" t="s">
        <v>4215</v>
      </c>
      <c r="J114" s="147"/>
      <c r="K114" s="147"/>
      <c r="L114" s="147"/>
      <c r="M114" s="147"/>
      <c r="N114" s="147"/>
      <c r="O114" s="147"/>
      <c r="P114" s="147"/>
      <c r="Q114" s="147"/>
      <c r="R114" s="147"/>
      <c r="S114" s="147"/>
      <c r="T114" s="147"/>
      <c r="U114" s="147"/>
      <c r="V114" s="147"/>
    </row>
    <row r="115">
      <c r="A115" s="240" t="s">
        <v>4554</v>
      </c>
      <c r="B115" s="240" t="s">
        <v>678</v>
      </c>
      <c r="C115" s="240" t="s">
        <v>679</v>
      </c>
      <c r="D115" s="240" t="s">
        <v>4555</v>
      </c>
      <c r="E115" s="240" t="s">
        <v>4556</v>
      </c>
      <c r="F115" s="240" t="s">
        <v>4223</v>
      </c>
      <c r="G115" s="147"/>
      <c r="H115" s="240" t="s">
        <v>4215</v>
      </c>
      <c r="I115" s="240" t="s">
        <v>4215</v>
      </c>
      <c r="J115" s="147"/>
      <c r="K115" s="147"/>
      <c r="L115" s="147"/>
      <c r="M115" s="147"/>
      <c r="N115" s="147"/>
      <c r="O115" s="147"/>
      <c r="P115" s="147"/>
      <c r="Q115" s="147"/>
      <c r="R115" s="147"/>
      <c r="S115" s="147"/>
      <c r="T115" s="147"/>
      <c r="U115" s="147"/>
      <c r="V115" s="147"/>
    </row>
    <row r="116">
      <c r="A116" s="240" t="s">
        <v>4557</v>
      </c>
      <c r="B116" s="240" t="s">
        <v>680</v>
      </c>
      <c r="C116" s="240" t="s">
        <v>681</v>
      </c>
      <c r="D116" s="240" t="s">
        <v>4558</v>
      </c>
      <c r="E116" s="240" t="s">
        <v>4559</v>
      </c>
      <c r="F116" s="240" t="s">
        <v>4264</v>
      </c>
      <c r="G116" s="147"/>
      <c r="H116" s="240" t="s">
        <v>4215</v>
      </c>
      <c r="I116" s="240" t="s">
        <v>4215</v>
      </c>
      <c r="J116" s="147"/>
      <c r="K116" s="147"/>
      <c r="L116" s="147"/>
      <c r="M116" s="147"/>
      <c r="N116" s="147"/>
      <c r="O116" s="147"/>
      <c r="P116" s="147"/>
      <c r="Q116" s="147"/>
      <c r="R116" s="147"/>
      <c r="S116" s="147"/>
      <c r="T116" s="147"/>
      <c r="U116" s="147"/>
      <c r="V116" s="147"/>
    </row>
    <row r="117">
      <c r="A117" s="240" t="s">
        <v>4560</v>
      </c>
      <c r="B117" s="240" t="s">
        <v>682</v>
      </c>
      <c r="C117" s="240" t="s">
        <v>683</v>
      </c>
      <c r="D117" s="240" t="s">
        <v>4561</v>
      </c>
      <c r="E117" s="240" t="s">
        <v>4562</v>
      </c>
      <c r="F117" s="240" t="s">
        <v>4223</v>
      </c>
      <c r="G117" s="147"/>
      <c r="H117" s="240" t="s">
        <v>4215</v>
      </c>
      <c r="I117" s="240" t="s">
        <v>4215</v>
      </c>
      <c r="J117" s="147"/>
      <c r="K117" s="147"/>
      <c r="L117" s="147"/>
      <c r="M117" s="147"/>
      <c r="N117" s="147"/>
      <c r="O117" s="147"/>
      <c r="P117" s="147"/>
      <c r="Q117" s="147"/>
      <c r="R117" s="147"/>
      <c r="S117" s="147"/>
      <c r="T117" s="147"/>
      <c r="U117" s="147"/>
      <c r="V117" s="147"/>
    </row>
    <row r="118">
      <c r="A118" s="240" t="s">
        <v>4563</v>
      </c>
      <c r="B118" s="240" t="s">
        <v>684</v>
      </c>
      <c r="C118" s="240" t="s">
        <v>685</v>
      </c>
      <c r="D118" s="240" t="s">
        <v>4564</v>
      </c>
      <c r="E118" s="240" t="s">
        <v>4565</v>
      </c>
      <c r="F118" s="240" t="s">
        <v>4219</v>
      </c>
      <c r="G118" s="147"/>
      <c r="H118" s="147"/>
      <c r="I118" s="147"/>
      <c r="J118" s="147"/>
      <c r="K118" s="147"/>
      <c r="L118" s="147"/>
      <c r="M118" s="147"/>
      <c r="N118" s="147"/>
      <c r="O118" s="147"/>
      <c r="P118" s="147"/>
      <c r="Q118" s="147"/>
      <c r="R118" s="147"/>
      <c r="S118" s="147"/>
      <c r="T118" s="147"/>
      <c r="U118" s="147"/>
      <c r="V118" s="147"/>
    </row>
    <row r="119">
      <c r="A119" s="240" t="s">
        <v>4566</v>
      </c>
      <c r="B119" s="240" t="s">
        <v>686</v>
      </c>
      <c r="C119" s="240" t="s">
        <v>687</v>
      </c>
      <c r="D119" s="240" t="s">
        <v>4567</v>
      </c>
      <c r="E119" s="240" t="s">
        <v>4568</v>
      </c>
      <c r="F119" s="240" t="s">
        <v>4227</v>
      </c>
      <c r="G119" s="147"/>
      <c r="H119" s="240" t="s">
        <v>4215</v>
      </c>
      <c r="I119" s="240" t="s">
        <v>4215</v>
      </c>
      <c r="J119" s="147"/>
      <c r="K119" s="147"/>
      <c r="L119" s="147"/>
      <c r="M119" s="147"/>
      <c r="N119" s="147"/>
      <c r="O119" s="147"/>
      <c r="P119" s="147"/>
      <c r="Q119" s="147"/>
      <c r="R119" s="147"/>
      <c r="S119" s="147"/>
      <c r="T119" s="147"/>
      <c r="U119" s="147"/>
      <c r="V119" s="147"/>
    </row>
    <row r="120">
      <c r="A120" s="240" t="s">
        <v>4569</v>
      </c>
      <c r="B120" s="240" t="s">
        <v>688</v>
      </c>
      <c r="C120" s="240" t="s">
        <v>689</v>
      </c>
      <c r="D120" s="240" t="s">
        <v>4570</v>
      </c>
      <c r="E120" s="240" t="s">
        <v>4571</v>
      </c>
      <c r="F120" s="240" t="s">
        <v>4231</v>
      </c>
      <c r="G120" s="147"/>
      <c r="H120" s="240" t="s">
        <v>4215</v>
      </c>
      <c r="I120" s="240" t="s">
        <v>4215</v>
      </c>
      <c r="J120" s="147"/>
      <c r="K120" s="147"/>
      <c r="L120" s="147"/>
      <c r="M120" s="147"/>
      <c r="N120" s="147"/>
      <c r="O120" s="147"/>
      <c r="P120" s="147"/>
      <c r="Q120" s="147"/>
      <c r="R120" s="147"/>
      <c r="S120" s="147"/>
      <c r="T120" s="147"/>
      <c r="U120" s="147"/>
      <c r="V120" s="147"/>
    </row>
    <row r="121">
      <c r="A121" s="240" t="s">
        <v>4572</v>
      </c>
      <c r="B121" s="240" t="s">
        <v>690</v>
      </c>
      <c r="C121" s="240" t="s">
        <v>691</v>
      </c>
      <c r="D121" s="240" t="s">
        <v>4573</v>
      </c>
      <c r="E121" s="240" t="s">
        <v>4574</v>
      </c>
      <c r="F121" s="240" t="s">
        <v>4219</v>
      </c>
      <c r="G121" s="147"/>
      <c r="H121" s="240" t="s">
        <v>4215</v>
      </c>
      <c r="I121" s="240" t="s">
        <v>4215</v>
      </c>
      <c r="J121" s="147"/>
      <c r="K121" s="147"/>
      <c r="L121" s="147"/>
      <c r="M121" s="147"/>
      <c r="N121" s="147"/>
      <c r="O121" s="147"/>
      <c r="P121" s="147"/>
      <c r="Q121" s="147"/>
      <c r="R121" s="147"/>
      <c r="S121" s="147"/>
      <c r="T121" s="147"/>
      <c r="U121" s="147"/>
      <c r="V121" s="147"/>
    </row>
    <row r="122">
      <c r="A122" s="240" t="s">
        <v>4575</v>
      </c>
      <c r="B122" s="240" t="s">
        <v>692</v>
      </c>
      <c r="C122" s="240" t="s">
        <v>693</v>
      </c>
      <c r="D122" s="240" t="s">
        <v>4576</v>
      </c>
      <c r="E122" s="240" t="s">
        <v>4577</v>
      </c>
      <c r="F122" s="240" t="s">
        <v>4235</v>
      </c>
      <c r="G122" s="147"/>
      <c r="H122" s="240" t="s">
        <v>4215</v>
      </c>
      <c r="I122" s="240" t="s">
        <v>4215</v>
      </c>
      <c r="J122" s="147"/>
      <c r="K122" s="147"/>
      <c r="L122" s="147"/>
      <c r="M122" s="147"/>
      <c r="N122" s="147"/>
      <c r="O122" s="147"/>
      <c r="P122" s="147"/>
      <c r="Q122" s="147"/>
      <c r="R122" s="147"/>
      <c r="S122" s="147"/>
      <c r="T122" s="147"/>
      <c r="U122" s="147"/>
      <c r="V122" s="147"/>
    </row>
    <row r="123">
      <c r="A123" s="240" t="s">
        <v>4578</v>
      </c>
      <c r="B123" s="240" t="s">
        <v>694</v>
      </c>
      <c r="C123" s="240" t="s">
        <v>695</v>
      </c>
      <c r="D123" s="240" t="s">
        <v>4579</v>
      </c>
      <c r="E123" s="240" t="s">
        <v>4580</v>
      </c>
      <c r="F123" s="240" t="s">
        <v>4235</v>
      </c>
      <c r="G123" s="147"/>
      <c r="H123" s="240" t="s">
        <v>4215</v>
      </c>
      <c r="I123" s="240" t="s">
        <v>4215</v>
      </c>
      <c r="J123" s="147"/>
      <c r="K123" s="147"/>
      <c r="L123" s="147"/>
      <c r="M123" s="147"/>
      <c r="N123" s="147"/>
      <c r="O123" s="147"/>
      <c r="P123" s="147"/>
      <c r="Q123" s="147"/>
      <c r="R123" s="147"/>
      <c r="S123" s="147"/>
      <c r="T123" s="147"/>
      <c r="U123" s="147"/>
      <c r="V123" s="147"/>
    </row>
    <row r="124">
      <c r="A124" s="240" t="s">
        <v>4581</v>
      </c>
      <c r="B124" s="240" t="s">
        <v>696</v>
      </c>
      <c r="C124" s="240" t="s">
        <v>697</v>
      </c>
      <c r="D124" s="240" t="s">
        <v>4582</v>
      </c>
      <c r="E124" s="240" t="s">
        <v>4583</v>
      </c>
      <c r="F124" s="240" t="s">
        <v>4479</v>
      </c>
      <c r="G124" s="147"/>
      <c r="H124" s="240" t="s">
        <v>4215</v>
      </c>
      <c r="I124" s="240" t="s">
        <v>4215</v>
      </c>
      <c r="J124" s="147"/>
      <c r="K124" s="147"/>
      <c r="L124" s="147"/>
      <c r="M124" s="147"/>
      <c r="N124" s="147"/>
      <c r="O124" s="147"/>
      <c r="P124" s="147"/>
      <c r="Q124" s="147"/>
      <c r="R124" s="147"/>
      <c r="S124" s="147"/>
      <c r="T124" s="147"/>
      <c r="U124" s="147"/>
      <c r="V124" s="147"/>
    </row>
    <row r="125">
      <c r="A125" s="240" t="s">
        <v>4584</v>
      </c>
      <c r="B125" s="240" t="s">
        <v>698</v>
      </c>
      <c r="C125" s="240" t="s">
        <v>699</v>
      </c>
      <c r="D125" s="240" t="s">
        <v>4585</v>
      </c>
      <c r="E125" s="240" t="s">
        <v>4586</v>
      </c>
      <c r="F125" s="240" t="s">
        <v>4264</v>
      </c>
      <c r="G125" s="147"/>
      <c r="H125" s="240" t="s">
        <v>4215</v>
      </c>
      <c r="I125" s="240" t="s">
        <v>4215</v>
      </c>
      <c r="J125" s="147"/>
      <c r="K125" s="147"/>
      <c r="L125" s="147"/>
      <c r="M125" s="147"/>
      <c r="N125" s="147"/>
      <c r="O125" s="147"/>
      <c r="P125" s="147"/>
      <c r="Q125" s="147"/>
      <c r="R125" s="147"/>
      <c r="S125" s="147"/>
      <c r="T125" s="147"/>
      <c r="U125" s="147"/>
      <c r="V125" s="147"/>
    </row>
    <row r="126">
      <c r="A126" s="240" t="s">
        <v>4587</v>
      </c>
      <c r="B126" s="240" t="s">
        <v>700</v>
      </c>
      <c r="C126" s="240" t="s">
        <v>701</v>
      </c>
      <c r="D126" s="240" t="s">
        <v>4588</v>
      </c>
      <c r="E126" s="240" t="s">
        <v>4589</v>
      </c>
      <c r="F126" s="240" t="s">
        <v>4590</v>
      </c>
      <c r="G126" s="147"/>
      <c r="H126" s="147"/>
      <c r="I126" s="147"/>
      <c r="J126" s="147"/>
      <c r="K126" s="147"/>
      <c r="L126" s="147"/>
      <c r="M126" s="147"/>
      <c r="N126" s="147"/>
      <c r="O126" s="147"/>
      <c r="P126" s="147"/>
      <c r="Q126" s="147"/>
      <c r="R126" s="147"/>
      <c r="S126" s="147"/>
      <c r="T126" s="147"/>
      <c r="U126" s="147"/>
      <c r="V126" s="147"/>
    </row>
    <row r="127">
      <c r="A127" s="240" t="s">
        <v>4591</v>
      </c>
      <c r="B127" s="240" t="s">
        <v>702</v>
      </c>
      <c r="C127" s="240" t="s">
        <v>703</v>
      </c>
      <c r="D127" s="240" t="s">
        <v>4592</v>
      </c>
      <c r="E127" s="240" t="s">
        <v>4593</v>
      </c>
      <c r="F127" s="147"/>
      <c r="G127" s="147"/>
      <c r="H127" s="147"/>
      <c r="I127" s="147"/>
      <c r="J127" s="147"/>
      <c r="K127" s="147"/>
      <c r="L127" s="147"/>
      <c r="M127" s="147"/>
      <c r="N127" s="147"/>
      <c r="O127" s="147"/>
      <c r="P127" s="147"/>
      <c r="Q127" s="147"/>
      <c r="R127" s="147"/>
      <c r="S127" s="147"/>
      <c r="T127" s="147"/>
      <c r="U127" s="147"/>
      <c r="V127" s="147"/>
    </row>
    <row r="128">
      <c r="A128" s="240" t="s">
        <v>4594</v>
      </c>
      <c r="B128" s="240" t="s">
        <v>704</v>
      </c>
      <c r="C128" s="240" t="s">
        <v>705</v>
      </c>
      <c r="D128" s="240" t="s">
        <v>4595</v>
      </c>
      <c r="E128" s="240" t="s">
        <v>4596</v>
      </c>
      <c r="F128" s="147"/>
      <c r="G128" s="147"/>
      <c r="H128" s="240" t="s">
        <v>4215</v>
      </c>
      <c r="I128" s="147"/>
      <c r="J128" s="147"/>
      <c r="K128" s="147"/>
      <c r="L128" s="147"/>
      <c r="M128" s="147"/>
      <c r="N128" s="147"/>
      <c r="O128" s="147"/>
      <c r="P128" s="147"/>
      <c r="Q128" s="147"/>
      <c r="R128" s="147"/>
      <c r="S128" s="147"/>
      <c r="T128" s="147"/>
      <c r="U128" s="147"/>
      <c r="V128" s="147"/>
    </row>
    <row r="129">
      <c r="A129" s="240" t="s">
        <v>4597</v>
      </c>
      <c r="B129" s="240" t="s">
        <v>706</v>
      </c>
      <c r="C129" s="240" t="s">
        <v>707</v>
      </c>
      <c r="D129" s="240" t="s">
        <v>4598</v>
      </c>
      <c r="E129" s="240" t="s">
        <v>4599</v>
      </c>
      <c r="F129" s="147"/>
      <c r="G129" s="147"/>
      <c r="H129" s="240" t="s">
        <v>4215</v>
      </c>
      <c r="I129" s="240" t="s">
        <v>4215</v>
      </c>
      <c r="J129" s="147"/>
      <c r="K129" s="147"/>
      <c r="L129" s="147"/>
      <c r="M129" s="147"/>
      <c r="N129" s="147"/>
      <c r="O129" s="147"/>
      <c r="P129" s="147"/>
      <c r="Q129" s="147"/>
      <c r="R129" s="147"/>
      <c r="S129" s="147"/>
      <c r="T129" s="147"/>
      <c r="U129" s="147"/>
      <c r="V129" s="147"/>
    </row>
    <row r="130">
      <c r="A130" s="240" t="s">
        <v>4600</v>
      </c>
      <c r="B130" s="240" t="s">
        <v>708</v>
      </c>
      <c r="C130" s="240" t="s">
        <v>709</v>
      </c>
      <c r="D130" s="240" t="s">
        <v>4601</v>
      </c>
      <c r="E130" s="240" t="s">
        <v>4602</v>
      </c>
      <c r="F130" s="240" t="s">
        <v>4223</v>
      </c>
      <c r="G130" s="147"/>
      <c r="H130" s="240" t="s">
        <v>4215</v>
      </c>
      <c r="I130" s="240" t="s">
        <v>4215</v>
      </c>
      <c r="J130" s="147"/>
      <c r="K130" s="147"/>
      <c r="L130" s="147"/>
      <c r="M130" s="147"/>
      <c r="N130" s="147"/>
      <c r="O130" s="147"/>
      <c r="P130" s="147"/>
      <c r="Q130" s="147"/>
      <c r="R130" s="147"/>
      <c r="S130" s="147"/>
      <c r="T130" s="147"/>
      <c r="U130" s="147"/>
      <c r="V130" s="147"/>
    </row>
    <row r="131">
      <c r="A131" s="240" t="s">
        <v>4603</v>
      </c>
      <c r="B131" s="240" t="s">
        <v>710</v>
      </c>
      <c r="C131" s="240" t="s">
        <v>711</v>
      </c>
      <c r="D131" s="240" t="s">
        <v>4604</v>
      </c>
      <c r="E131" s="240" t="s">
        <v>4605</v>
      </c>
      <c r="F131" s="240" t="s">
        <v>4223</v>
      </c>
      <c r="G131" s="147"/>
      <c r="H131" s="240" t="s">
        <v>4215</v>
      </c>
      <c r="I131" s="240" t="s">
        <v>4215</v>
      </c>
      <c r="J131" s="147"/>
      <c r="K131" s="147"/>
      <c r="L131" s="147"/>
      <c r="M131" s="147"/>
      <c r="N131" s="147"/>
      <c r="O131" s="147"/>
      <c r="P131" s="147"/>
      <c r="Q131" s="147"/>
      <c r="R131" s="147"/>
      <c r="S131" s="147"/>
      <c r="T131" s="147"/>
      <c r="U131" s="147"/>
      <c r="V131" s="147"/>
    </row>
    <row r="132">
      <c r="A132" s="240" t="s">
        <v>4606</v>
      </c>
      <c r="B132" s="240" t="s">
        <v>712</v>
      </c>
      <c r="C132" s="240" t="s">
        <v>713</v>
      </c>
      <c r="D132" s="240" t="s">
        <v>4607</v>
      </c>
      <c r="E132" s="240" t="s">
        <v>4608</v>
      </c>
      <c r="F132" s="240" t="s">
        <v>4223</v>
      </c>
      <c r="G132" s="147"/>
      <c r="H132" s="147"/>
      <c r="I132" s="147"/>
      <c r="J132" s="147"/>
      <c r="K132" s="147"/>
      <c r="L132" s="147"/>
      <c r="M132" s="147"/>
      <c r="N132" s="147"/>
      <c r="O132" s="147"/>
      <c r="P132" s="147"/>
      <c r="Q132" s="147"/>
      <c r="R132" s="147"/>
      <c r="S132" s="147"/>
      <c r="T132" s="147"/>
      <c r="U132" s="147"/>
      <c r="V132" s="147"/>
    </row>
    <row r="133">
      <c r="A133" s="240" t="s">
        <v>4609</v>
      </c>
      <c r="B133" s="240" t="s">
        <v>714</v>
      </c>
      <c r="C133" s="240" t="s">
        <v>715</v>
      </c>
      <c r="D133" s="240" t="s">
        <v>4610</v>
      </c>
      <c r="E133" s="240" t="s">
        <v>4611</v>
      </c>
      <c r="F133" s="240" t="s">
        <v>4223</v>
      </c>
      <c r="G133" s="147"/>
      <c r="H133" s="240" t="s">
        <v>4215</v>
      </c>
      <c r="I133" s="240" t="s">
        <v>4215</v>
      </c>
      <c r="J133" s="147"/>
      <c r="K133" s="147"/>
      <c r="L133" s="147"/>
      <c r="M133" s="147"/>
      <c r="N133" s="147"/>
      <c r="O133" s="147"/>
      <c r="P133" s="147"/>
      <c r="Q133" s="147"/>
      <c r="R133" s="147"/>
      <c r="S133" s="147"/>
      <c r="T133" s="147"/>
      <c r="U133" s="147"/>
      <c r="V133" s="147"/>
    </row>
    <row r="134">
      <c r="A134" s="240" t="s">
        <v>4612</v>
      </c>
      <c r="B134" s="240" t="s">
        <v>716</v>
      </c>
      <c r="C134" s="240" t="s">
        <v>717</v>
      </c>
      <c r="D134" s="240" t="s">
        <v>4613</v>
      </c>
      <c r="E134" s="240" t="s">
        <v>4614</v>
      </c>
      <c r="F134" s="240" t="s">
        <v>4223</v>
      </c>
      <c r="G134" s="147"/>
      <c r="H134" s="240" t="s">
        <v>4215</v>
      </c>
      <c r="I134" s="240" t="s">
        <v>4215</v>
      </c>
      <c r="J134" s="147"/>
      <c r="K134" s="147"/>
      <c r="L134" s="147"/>
      <c r="M134" s="147"/>
      <c r="N134" s="147"/>
      <c r="O134" s="147"/>
      <c r="P134" s="147"/>
      <c r="Q134" s="147"/>
      <c r="R134" s="147"/>
      <c r="S134" s="147"/>
      <c r="T134" s="147"/>
      <c r="U134" s="147"/>
      <c r="V134" s="147"/>
    </row>
    <row r="135">
      <c r="A135" s="240" t="s">
        <v>4615</v>
      </c>
      <c r="B135" s="240" t="s">
        <v>718</v>
      </c>
      <c r="C135" s="240" t="s">
        <v>719</v>
      </c>
      <c r="D135" s="240" t="s">
        <v>4616</v>
      </c>
      <c r="E135" s="240" t="s">
        <v>4617</v>
      </c>
      <c r="F135" s="147"/>
      <c r="G135" s="147"/>
      <c r="H135" s="147"/>
      <c r="I135" s="147"/>
      <c r="J135" s="147"/>
      <c r="K135" s="147"/>
      <c r="L135" s="147"/>
      <c r="M135" s="147"/>
      <c r="N135" s="147"/>
      <c r="O135" s="147"/>
      <c r="P135" s="147"/>
      <c r="Q135" s="147"/>
      <c r="R135" s="147"/>
      <c r="S135" s="147"/>
      <c r="T135" s="147"/>
      <c r="U135" s="147"/>
      <c r="V135" s="147"/>
    </row>
    <row r="136">
      <c r="A136" s="240" t="s">
        <v>4618</v>
      </c>
      <c r="B136" s="240" t="s">
        <v>720</v>
      </c>
      <c r="C136" s="240" t="s">
        <v>721</v>
      </c>
      <c r="D136" s="240" t="s">
        <v>4619</v>
      </c>
      <c r="E136" s="240" t="s">
        <v>4620</v>
      </c>
      <c r="F136" s="240" t="s">
        <v>4621</v>
      </c>
      <c r="G136" s="147"/>
      <c r="H136" s="240" t="s">
        <v>4215</v>
      </c>
      <c r="I136" s="240" t="s">
        <v>4215</v>
      </c>
      <c r="J136" s="147"/>
      <c r="K136" s="147"/>
      <c r="L136" s="147"/>
      <c r="M136" s="147"/>
      <c r="N136" s="147"/>
      <c r="O136" s="147"/>
      <c r="P136" s="147"/>
      <c r="Q136" s="147"/>
      <c r="R136" s="147"/>
      <c r="S136" s="147"/>
      <c r="T136" s="147"/>
      <c r="U136" s="147"/>
      <c r="V136" s="147"/>
    </row>
    <row r="137">
      <c r="A137" s="240" t="s">
        <v>4622</v>
      </c>
      <c r="B137" s="240" t="s">
        <v>722</v>
      </c>
      <c r="C137" s="240" t="s">
        <v>723</v>
      </c>
      <c r="D137" s="240" t="s">
        <v>4623</v>
      </c>
      <c r="E137" s="240" t="s">
        <v>4624</v>
      </c>
      <c r="F137" s="240" t="s">
        <v>4231</v>
      </c>
      <c r="G137" s="147"/>
      <c r="H137" s="240" t="s">
        <v>4215</v>
      </c>
      <c r="I137" s="240" t="s">
        <v>4215</v>
      </c>
      <c r="J137" s="147"/>
      <c r="K137" s="147"/>
      <c r="L137" s="147"/>
      <c r="M137" s="147"/>
      <c r="N137" s="147"/>
      <c r="O137" s="147"/>
      <c r="P137" s="147"/>
      <c r="Q137" s="147"/>
      <c r="R137" s="147"/>
      <c r="S137" s="147"/>
      <c r="T137" s="147"/>
      <c r="U137" s="147"/>
      <c r="V137" s="147"/>
    </row>
    <row r="138">
      <c r="A138" s="240" t="s">
        <v>4625</v>
      </c>
      <c r="B138" s="240" t="s">
        <v>724</v>
      </c>
      <c r="C138" s="240" t="s">
        <v>725</v>
      </c>
      <c r="D138" s="240" t="s">
        <v>4626</v>
      </c>
      <c r="E138" s="240" t="s">
        <v>4627</v>
      </c>
      <c r="F138" s="240" t="s">
        <v>4264</v>
      </c>
      <c r="G138" s="147"/>
      <c r="H138" s="240" t="s">
        <v>4215</v>
      </c>
      <c r="I138" s="240" t="s">
        <v>4215</v>
      </c>
      <c r="J138" s="147"/>
      <c r="K138" s="147"/>
      <c r="L138" s="147"/>
      <c r="M138" s="147"/>
      <c r="N138" s="147"/>
      <c r="O138" s="147"/>
      <c r="P138" s="147"/>
      <c r="Q138" s="147"/>
      <c r="R138" s="147"/>
      <c r="S138" s="147"/>
      <c r="T138" s="147"/>
      <c r="U138" s="147"/>
      <c r="V138" s="147"/>
    </row>
    <row r="139">
      <c r="A139" s="240" t="s">
        <v>4628</v>
      </c>
      <c r="B139" s="240" t="s">
        <v>726</v>
      </c>
      <c r="C139" s="240" t="s">
        <v>727</v>
      </c>
      <c r="D139" s="240" t="s">
        <v>4629</v>
      </c>
      <c r="E139" s="240" t="s">
        <v>4630</v>
      </c>
      <c r="F139" s="240" t="s">
        <v>4223</v>
      </c>
      <c r="G139" s="147"/>
      <c r="H139" s="240" t="s">
        <v>4215</v>
      </c>
      <c r="I139" s="240" t="s">
        <v>4215</v>
      </c>
      <c r="J139" s="147"/>
      <c r="K139" s="147"/>
      <c r="L139" s="147"/>
      <c r="M139" s="147"/>
      <c r="N139" s="147"/>
      <c r="O139" s="147"/>
      <c r="P139" s="147"/>
      <c r="Q139" s="147"/>
      <c r="R139" s="147"/>
      <c r="S139" s="147"/>
      <c r="T139" s="147"/>
      <c r="U139" s="147"/>
      <c r="V139" s="147"/>
    </row>
    <row r="140">
      <c r="A140" s="240" t="s">
        <v>4631</v>
      </c>
      <c r="B140" s="240" t="s">
        <v>728</v>
      </c>
      <c r="C140" s="240" t="s">
        <v>729</v>
      </c>
      <c r="D140" s="240" t="s">
        <v>4632</v>
      </c>
      <c r="E140" s="240" t="s">
        <v>4633</v>
      </c>
      <c r="F140" s="240" t="s">
        <v>4349</v>
      </c>
      <c r="G140" s="147"/>
      <c r="H140" s="147"/>
      <c r="I140" s="147"/>
      <c r="J140" s="147"/>
      <c r="K140" s="147"/>
      <c r="L140" s="147"/>
      <c r="M140" s="147"/>
      <c r="N140" s="147"/>
      <c r="O140" s="147"/>
      <c r="P140" s="147"/>
      <c r="Q140" s="147"/>
      <c r="R140" s="147"/>
      <c r="S140" s="147"/>
      <c r="T140" s="147"/>
      <c r="U140" s="147"/>
      <c r="V140" s="147"/>
    </row>
    <row r="141">
      <c r="A141" s="240" t="s">
        <v>4634</v>
      </c>
      <c r="B141" s="240" t="s">
        <v>730</v>
      </c>
      <c r="C141" s="240" t="s">
        <v>731</v>
      </c>
      <c r="D141" s="240" t="s">
        <v>4635</v>
      </c>
      <c r="E141" s="240" t="s">
        <v>4636</v>
      </c>
      <c r="F141" s="240" t="s">
        <v>4219</v>
      </c>
      <c r="G141" s="147"/>
      <c r="H141" s="147"/>
      <c r="I141" s="147"/>
      <c r="J141" s="147"/>
      <c r="K141" s="147"/>
      <c r="L141" s="147"/>
      <c r="M141" s="147"/>
      <c r="N141" s="147"/>
      <c r="O141" s="147"/>
      <c r="P141" s="147"/>
      <c r="Q141" s="147"/>
      <c r="R141" s="147"/>
      <c r="S141" s="147"/>
      <c r="T141" s="147"/>
      <c r="U141" s="147"/>
      <c r="V141" s="147"/>
    </row>
    <row r="142">
      <c r="A142" s="240" t="s">
        <v>4637</v>
      </c>
      <c r="B142" s="240" t="s">
        <v>732</v>
      </c>
      <c r="C142" s="240" t="s">
        <v>733</v>
      </c>
      <c r="D142" s="240" t="s">
        <v>4638</v>
      </c>
      <c r="E142" s="240" t="s">
        <v>4639</v>
      </c>
      <c r="F142" s="240" t="s">
        <v>4219</v>
      </c>
      <c r="G142" s="147"/>
      <c r="H142" s="240" t="s">
        <v>4215</v>
      </c>
      <c r="I142" s="240" t="s">
        <v>4215</v>
      </c>
      <c r="J142" s="147"/>
      <c r="K142" s="147"/>
      <c r="L142" s="147"/>
      <c r="M142" s="147"/>
      <c r="N142" s="147"/>
      <c r="O142" s="147"/>
      <c r="P142" s="147"/>
      <c r="Q142" s="147"/>
      <c r="R142" s="147"/>
      <c r="S142" s="147"/>
      <c r="T142" s="147"/>
      <c r="U142" s="147"/>
      <c r="V142" s="147"/>
    </row>
    <row r="143">
      <c r="A143" s="240" t="s">
        <v>4640</v>
      </c>
      <c r="B143" s="240" t="s">
        <v>734</v>
      </c>
      <c r="C143" s="240" t="s">
        <v>735</v>
      </c>
      <c r="D143" s="240" t="s">
        <v>4641</v>
      </c>
      <c r="E143" s="240" t="s">
        <v>4642</v>
      </c>
      <c r="F143" s="240" t="s">
        <v>4223</v>
      </c>
      <c r="G143" s="147"/>
      <c r="H143" s="240" t="s">
        <v>4215</v>
      </c>
      <c r="I143" s="240" t="s">
        <v>4215</v>
      </c>
      <c r="J143" s="147"/>
      <c r="K143" s="147"/>
      <c r="L143" s="147"/>
      <c r="M143" s="147"/>
      <c r="N143" s="147"/>
      <c r="O143" s="147"/>
      <c r="P143" s="147"/>
      <c r="Q143" s="147"/>
      <c r="R143" s="147"/>
      <c r="S143" s="147"/>
      <c r="T143" s="147"/>
      <c r="U143" s="147"/>
      <c r="V143" s="147"/>
    </row>
    <row r="144">
      <c r="A144" s="240" t="s">
        <v>4643</v>
      </c>
      <c r="B144" s="240" t="s">
        <v>736</v>
      </c>
      <c r="C144" s="240" t="s">
        <v>737</v>
      </c>
      <c r="D144" s="240" t="s">
        <v>4644</v>
      </c>
      <c r="E144" s="240" t="s">
        <v>4645</v>
      </c>
      <c r="F144" s="240" t="s">
        <v>4223</v>
      </c>
      <c r="G144" s="147"/>
      <c r="H144" s="240" t="s">
        <v>4215</v>
      </c>
      <c r="I144" s="240" t="s">
        <v>4215</v>
      </c>
      <c r="J144" s="147"/>
      <c r="K144" s="147"/>
      <c r="L144" s="147"/>
      <c r="M144" s="147"/>
      <c r="N144" s="147"/>
      <c r="O144" s="147"/>
      <c r="P144" s="147"/>
      <c r="Q144" s="147"/>
      <c r="R144" s="147"/>
      <c r="S144" s="147"/>
      <c r="T144" s="147"/>
      <c r="U144" s="147"/>
      <c r="V144" s="147"/>
    </row>
    <row r="145">
      <c r="A145" s="240" t="s">
        <v>4646</v>
      </c>
      <c r="B145" s="240" t="s">
        <v>738</v>
      </c>
      <c r="C145" s="240" t="s">
        <v>739</v>
      </c>
      <c r="D145" s="240" t="s">
        <v>4647</v>
      </c>
      <c r="E145" s="240" t="s">
        <v>4648</v>
      </c>
      <c r="F145" s="240" t="s">
        <v>4264</v>
      </c>
      <c r="G145" s="147"/>
      <c r="H145" s="240" t="s">
        <v>4215</v>
      </c>
      <c r="I145" s="240" t="s">
        <v>4215</v>
      </c>
      <c r="J145" s="147"/>
      <c r="K145" s="147"/>
      <c r="L145" s="147"/>
      <c r="M145" s="147"/>
      <c r="N145" s="147"/>
      <c r="O145" s="147"/>
      <c r="P145" s="147"/>
      <c r="Q145" s="147"/>
      <c r="R145" s="147"/>
      <c r="S145" s="147"/>
      <c r="T145" s="147"/>
      <c r="U145" s="147"/>
      <c r="V145" s="147"/>
    </row>
    <row r="146">
      <c r="A146" s="240" t="s">
        <v>4649</v>
      </c>
      <c r="B146" s="240" t="s">
        <v>740</v>
      </c>
      <c r="C146" s="240" t="s">
        <v>741</v>
      </c>
      <c r="D146" s="240" t="s">
        <v>4650</v>
      </c>
      <c r="E146" s="240" t="s">
        <v>4651</v>
      </c>
      <c r="F146" s="240" t="s">
        <v>4235</v>
      </c>
      <c r="G146" s="147"/>
      <c r="H146" s="240" t="s">
        <v>4215</v>
      </c>
      <c r="I146" s="240" t="s">
        <v>4215</v>
      </c>
      <c r="J146" s="147"/>
      <c r="K146" s="147"/>
      <c r="L146" s="147"/>
      <c r="M146" s="147"/>
      <c r="N146" s="147"/>
      <c r="O146" s="147"/>
      <c r="P146" s="147"/>
      <c r="Q146" s="147"/>
      <c r="R146" s="147"/>
      <c r="S146" s="147"/>
      <c r="T146" s="147"/>
      <c r="U146" s="147"/>
      <c r="V146" s="147"/>
    </row>
    <row r="147">
      <c r="A147" s="240" t="s">
        <v>4652</v>
      </c>
      <c r="B147" s="240" t="s">
        <v>742</v>
      </c>
      <c r="C147" s="240" t="s">
        <v>743</v>
      </c>
      <c r="D147" s="240" t="s">
        <v>4653</v>
      </c>
      <c r="E147" s="240" t="s">
        <v>4654</v>
      </c>
      <c r="F147" s="240" t="s">
        <v>4219</v>
      </c>
      <c r="G147" s="147"/>
      <c r="H147" s="147"/>
      <c r="I147" s="147"/>
      <c r="J147" s="147"/>
      <c r="K147" s="147"/>
      <c r="L147" s="147"/>
      <c r="M147" s="147"/>
      <c r="N147" s="147"/>
      <c r="O147" s="147"/>
      <c r="P147" s="147"/>
      <c r="Q147" s="147"/>
      <c r="R147" s="147"/>
      <c r="S147" s="147"/>
      <c r="T147" s="147"/>
      <c r="U147" s="147"/>
      <c r="V147" s="147"/>
    </row>
    <row r="148">
      <c r="A148" s="240" t="s">
        <v>4655</v>
      </c>
      <c r="B148" s="240" t="s">
        <v>744</v>
      </c>
      <c r="C148" s="240" t="s">
        <v>745</v>
      </c>
      <c r="D148" s="240" t="s">
        <v>4656</v>
      </c>
      <c r="E148" s="240" t="s">
        <v>4657</v>
      </c>
      <c r="F148" s="240" t="s">
        <v>4219</v>
      </c>
      <c r="G148" s="147"/>
      <c r="H148" s="240" t="s">
        <v>4215</v>
      </c>
      <c r="I148" s="240" t="s">
        <v>4215</v>
      </c>
      <c r="J148" s="147"/>
      <c r="K148" s="147"/>
      <c r="L148" s="147"/>
      <c r="M148" s="147"/>
      <c r="N148" s="147"/>
      <c r="O148" s="147"/>
      <c r="P148" s="147"/>
      <c r="Q148" s="147"/>
      <c r="R148" s="147"/>
      <c r="S148" s="147"/>
      <c r="T148" s="147"/>
      <c r="U148" s="147"/>
      <c r="V148" s="147"/>
    </row>
    <row r="149">
      <c r="A149" s="240" t="s">
        <v>4658</v>
      </c>
      <c r="B149" s="240" t="s">
        <v>746</v>
      </c>
      <c r="C149" s="240" t="s">
        <v>747</v>
      </c>
      <c r="D149" s="240" t="s">
        <v>4659</v>
      </c>
      <c r="E149" s="240" t="s">
        <v>4660</v>
      </c>
      <c r="F149" s="240" t="s">
        <v>4223</v>
      </c>
      <c r="G149" s="147"/>
      <c r="H149" s="240" t="s">
        <v>4215</v>
      </c>
      <c r="I149" s="240" t="s">
        <v>4215</v>
      </c>
      <c r="J149" s="147"/>
      <c r="K149" s="147"/>
      <c r="L149" s="147"/>
      <c r="M149" s="147"/>
      <c r="N149" s="147"/>
      <c r="O149" s="147"/>
      <c r="P149" s="147"/>
      <c r="Q149" s="147"/>
      <c r="R149" s="147"/>
      <c r="S149" s="147"/>
      <c r="T149" s="147"/>
      <c r="U149" s="147"/>
      <c r="V149" s="147"/>
    </row>
    <row r="150">
      <c r="A150" s="240" t="s">
        <v>4661</v>
      </c>
      <c r="B150" s="240" t="s">
        <v>748</v>
      </c>
      <c r="C150" s="240" t="s">
        <v>749</v>
      </c>
      <c r="D150" s="240" t="s">
        <v>4662</v>
      </c>
      <c r="E150" s="240" t="s">
        <v>4663</v>
      </c>
      <c r="F150" s="240" t="s">
        <v>4235</v>
      </c>
      <c r="G150" s="147"/>
      <c r="H150" s="240" t="s">
        <v>4215</v>
      </c>
      <c r="I150" s="240" t="s">
        <v>4215</v>
      </c>
      <c r="J150" s="147"/>
      <c r="K150" s="147"/>
      <c r="L150" s="147"/>
      <c r="M150" s="147"/>
      <c r="N150" s="147"/>
      <c r="O150" s="147"/>
      <c r="P150" s="147"/>
      <c r="Q150" s="147"/>
      <c r="R150" s="147"/>
      <c r="S150" s="147"/>
      <c r="T150" s="147"/>
      <c r="U150" s="147"/>
      <c r="V150" s="147"/>
    </row>
    <row r="151">
      <c r="A151" s="240" t="s">
        <v>4664</v>
      </c>
      <c r="B151" s="240" t="s">
        <v>750</v>
      </c>
      <c r="C151" s="240" t="s">
        <v>751</v>
      </c>
      <c r="D151" s="240" t="s">
        <v>4665</v>
      </c>
      <c r="E151" s="240" t="s">
        <v>4666</v>
      </c>
      <c r="F151" s="240" t="s">
        <v>4223</v>
      </c>
      <c r="G151" s="147"/>
      <c r="H151" s="240" t="s">
        <v>4215</v>
      </c>
      <c r="I151" s="240" t="s">
        <v>4215</v>
      </c>
      <c r="J151" s="147"/>
      <c r="K151" s="147"/>
      <c r="L151" s="147"/>
      <c r="M151" s="147"/>
      <c r="N151" s="147"/>
      <c r="O151" s="147"/>
      <c r="P151" s="147"/>
      <c r="Q151" s="147"/>
      <c r="R151" s="147"/>
      <c r="S151" s="147"/>
      <c r="T151" s="147"/>
      <c r="U151" s="147"/>
      <c r="V151" s="147"/>
    </row>
    <row r="152">
      <c r="A152" s="240" t="s">
        <v>4667</v>
      </c>
      <c r="B152" s="240" t="s">
        <v>752</v>
      </c>
      <c r="C152" s="240" t="s">
        <v>753</v>
      </c>
      <c r="D152" s="240" t="s">
        <v>4668</v>
      </c>
      <c r="E152" s="240" t="s">
        <v>4624</v>
      </c>
      <c r="F152" s="240" t="s">
        <v>4227</v>
      </c>
      <c r="G152" s="147"/>
      <c r="H152" s="240" t="s">
        <v>4215</v>
      </c>
      <c r="I152" s="240" t="s">
        <v>4215</v>
      </c>
      <c r="J152" s="147"/>
      <c r="K152" s="147"/>
      <c r="L152" s="147"/>
      <c r="M152" s="147"/>
      <c r="N152" s="147"/>
      <c r="O152" s="147"/>
      <c r="P152" s="147"/>
      <c r="Q152" s="147"/>
      <c r="R152" s="147"/>
      <c r="S152" s="147"/>
      <c r="T152" s="147"/>
      <c r="U152" s="147"/>
      <c r="V152" s="147"/>
    </row>
    <row r="153">
      <c r="A153" s="240" t="s">
        <v>4669</v>
      </c>
      <c r="B153" s="240" t="s">
        <v>754</v>
      </c>
      <c r="C153" s="240" t="s">
        <v>755</v>
      </c>
      <c r="D153" s="240" t="s">
        <v>4670</v>
      </c>
      <c r="E153" s="240" t="s">
        <v>4671</v>
      </c>
      <c r="F153" s="240" t="s">
        <v>4223</v>
      </c>
      <c r="G153" s="147"/>
      <c r="H153" s="240" t="s">
        <v>4215</v>
      </c>
      <c r="I153" s="240" t="s">
        <v>4215</v>
      </c>
      <c r="J153" s="147"/>
      <c r="K153" s="147"/>
      <c r="L153" s="147"/>
      <c r="M153" s="147"/>
      <c r="N153" s="147"/>
      <c r="O153" s="147"/>
      <c r="P153" s="147"/>
      <c r="Q153" s="147"/>
      <c r="R153" s="147"/>
      <c r="S153" s="147"/>
      <c r="T153" s="147"/>
      <c r="U153" s="147"/>
      <c r="V153" s="147"/>
    </row>
    <row r="154">
      <c r="A154" s="240" t="s">
        <v>4672</v>
      </c>
      <c r="B154" s="240" t="s">
        <v>756</v>
      </c>
      <c r="C154" s="240" t="s">
        <v>757</v>
      </c>
      <c r="D154" s="240" t="s">
        <v>4673</v>
      </c>
      <c r="E154" s="240" t="s">
        <v>4674</v>
      </c>
      <c r="F154" s="240" t="s">
        <v>4223</v>
      </c>
      <c r="G154" s="147"/>
      <c r="H154" s="240" t="s">
        <v>4215</v>
      </c>
      <c r="I154" s="240" t="s">
        <v>4215</v>
      </c>
      <c r="J154" s="147"/>
      <c r="K154" s="147"/>
      <c r="L154" s="147"/>
      <c r="M154" s="147"/>
      <c r="N154" s="147"/>
      <c r="O154" s="147"/>
      <c r="P154" s="147"/>
      <c r="Q154" s="147"/>
      <c r="R154" s="147"/>
      <c r="S154" s="147"/>
      <c r="T154" s="147"/>
      <c r="U154" s="147"/>
      <c r="V154" s="147"/>
    </row>
    <row r="155">
      <c r="A155" s="240" t="s">
        <v>4675</v>
      </c>
      <c r="B155" s="240" t="s">
        <v>758</v>
      </c>
      <c r="C155" s="240" t="s">
        <v>759</v>
      </c>
      <c r="D155" s="240" t="s">
        <v>4676</v>
      </c>
      <c r="E155" s="240" t="s">
        <v>4677</v>
      </c>
      <c r="F155" s="240" t="s">
        <v>4355</v>
      </c>
      <c r="G155" s="147"/>
      <c r="H155" s="240" t="s">
        <v>4215</v>
      </c>
      <c r="I155" s="240" t="s">
        <v>4215</v>
      </c>
      <c r="J155" s="147"/>
      <c r="K155" s="147"/>
      <c r="L155" s="147"/>
      <c r="M155" s="147"/>
      <c r="N155" s="147"/>
      <c r="O155" s="147"/>
      <c r="P155" s="147"/>
      <c r="Q155" s="147"/>
      <c r="R155" s="147"/>
      <c r="S155" s="147"/>
      <c r="T155" s="147"/>
      <c r="U155" s="147"/>
      <c r="V155" s="147"/>
    </row>
    <row r="156">
      <c r="A156" s="240" t="s">
        <v>4678</v>
      </c>
      <c r="B156" s="240" t="s">
        <v>760</v>
      </c>
      <c r="C156" s="240" t="s">
        <v>761</v>
      </c>
      <c r="D156" s="240" t="s">
        <v>4679</v>
      </c>
      <c r="E156" s="240" t="s">
        <v>389</v>
      </c>
      <c r="F156" s="240" t="s">
        <v>4264</v>
      </c>
      <c r="G156" s="147"/>
      <c r="H156" s="240" t="s">
        <v>4215</v>
      </c>
      <c r="I156" s="240" t="s">
        <v>4215</v>
      </c>
      <c r="J156" s="147"/>
      <c r="K156" s="147"/>
      <c r="L156" s="147"/>
      <c r="M156" s="147"/>
      <c r="N156" s="147"/>
      <c r="O156" s="147"/>
      <c r="P156" s="147"/>
      <c r="Q156" s="147"/>
      <c r="R156" s="147"/>
      <c r="S156" s="147"/>
      <c r="T156" s="147"/>
      <c r="U156" s="147"/>
      <c r="V156" s="147"/>
    </row>
    <row r="157">
      <c r="A157" s="240" t="s">
        <v>4680</v>
      </c>
      <c r="B157" s="240" t="s">
        <v>762</v>
      </c>
      <c r="C157" s="240" t="s">
        <v>763</v>
      </c>
      <c r="D157" s="240" t="s">
        <v>4681</v>
      </c>
      <c r="E157" s="240" t="s">
        <v>4682</v>
      </c>
      <c r="F157" s="240" t="s">
        <v>4264</v>
      </c>
      <c r="G157" s="147"/>
      <c r="H157" s="240" t="s">
        <v>4215</v>
      </c>
      <c r="I157" s="147"/>
      <c r="J157" s="147"/>
      <c r="K157" s="147"/>
      <c r="L157" s="147"/>
      <c r="M157" s="147"/>
      <c r="N157" s="147"/>
      <c r="O157" s="147"/>
      <c r="P157" s="147"/>
      <c r="Q157" s="147"/>
      <c r="R157" s="147"/>
      <c r="S157" s="147"/>
      <c r="T157" s="147"/>
      <c r="U157" s="147"/>
      <c r="V157" s="147"/>
    </row>
    <row r="158">
      <c r="A158" s="240" t="s">
        <v>4683</v>
      </c>
      <c r="B158" s="240" t="s">
        <v>764</v>
      </c>
      <c r="C158" s="240" t="s">
        <v>765</v>
      </c>
      <c r="D158" s="240" t="s">
        <v>4684</v>
      </c>
      <c r="E158" s="240" t="s">
        <v>4685</v>
      </c>
      <c r="F158" s="240" t="s">
        <v>4349</v>
      </c>
      <c r="G158" s="147"/>
      <c r="H158" s="240" t="s">
        <v>4215</v>
      </c>
      <c r="I158" s="240" t="s">
        <v>4215</v>
      </c>
      <c r="J158" s="147"/>
      <c r="K158" s="147"/>
      <c r="L158" s="147"/>
      <c r="M158" s="147"/>
      <c r="N158" s="147"/>
      <c r="O158" s="147"/>
      <c r="P158" s="147"/>
      <c r="Q158" s="147"/>
      <c r="R158" s="147"/>
      <c r="S158" s="147"/>
      <c r="T158" s="147"/>
      <c r="U158" s="147"/>
      <c r="V158" s="147"/>
    </row>
    <row r="159">
      <c r="A159" s="240" t="s">
        <v>4686</v>
      </c>
      <c r="B159" s="240" t="s">
        <v>766</v>
      </c>
      <c r="C159" s="240" t="s">
        <v>767</v>
      </c>
      <c r="D159" s="240" t="s">
        <v>4687</v>
      </c>
      <c r="E159" s="240" t="s">
        <v>4688</v>
      </c>
      <c r="F159" s="240" t="s">
        <v>4223</v>
      </c>
      <c r="G159" s="147"/>
      <c r="H159" s="240" t="s">
        <v>4215</v>
      </c>
      <c r="I159" s="240" t="s">
        <v>4215</v>
      </c>
      <c r="J159" s="147"/>
      <c r="K159" s="147"/>
      <c r="L159" s="147"/>
      <c r="M159" s="147"/>
      <c r="N159" s="147"/>
      <c r="O159" s="147"/>
      <c r="P159" s="147"/>
      <c r="Q159" s="147"/>
      <c r="R159" s="147"/>
      <c r="S159" s="147"/>
      <c r="T159" s="147"/>
      <c r="U159" s="147"/>
      <c r="V159" s="147"/>
    </row>
    <row r="160">
      <c r="A160" s="240" t="s">
        <v>4689</v>
      </c>
      <c r="B160" s="240" t="s">
        <v>768</v>
      </c>
      <c r="C160" s="240" t="s">
        <v>769</v>
      </c>
      <c r="D160" s="240" t="s">
        <v>4690</v>
      </c>
      <c r="E160" s="240" t="s">
        <v>4691</v>
      </c>
      <c r="F160" s="240" t="s">
        <v>4297</v>
      </c>
      <c r="G160" s="147"/>
      <c r="H160" s="240" t="s">
        <v>4215</v>
      </c>
      <c r="I160" s="240" t="s">
        <v>4215</v>
      </c>
      <c r="J160" s="147"/>
      <c r="K160" s="147"/>
      <c r="L160" s="147"/>
      <c r="M160" s="147"/>
      <c r="N160" s="147"/>
      <c r="O160" s="147"/>
      <c r="P160" s="147"/>
      <c r="Q160" s="147"/>
      <c r="R160" s="147"/>
      <c r="S160" s="147"/>
      <c r="T160" s="147"/>
      <c r="U160" s="147"/>
      <c r="V160" s="147"/>
    </row>
    <row r="161">
      <c r="A161" s="240" t="s">
        <v>4692</v>
      </c>
      <c r="B161" s="240" t="s">
        <v>770</v>
      </c>
      <c r="C161" s="240" t="s">
        <v>771</v>
      </c>
      <c r="D161" s="240" t="s">
        <v>4693</v>
      </c>
      <c r="E161" s="240" t="s">
        <v>4694</v>
      </c>
      <c r="F161" s="240" t="s">
        <v>4264</v>
      </c>
      <c r="G161" s="147"/>
      <c r="H161" s="240" t="s">
        <v>4215</v>
      </c>
      <c r="I161" s="240" t="s">
        <v>4215</v>
      </c>
      <c r="J161" s="147"/>
      <c r="K161" s="147"/>
      <c r="L161" s="147"/>
      <c r="M161" s="147"/>
      <c r="N161" s="147"/>
      <c r="O161" s="147"/>
      <c r="P161" s="147"/>
      <c r="Q161" s="147"/>
      <c r="R161" s="147"/>
      <c r="S161" s="147"/>
      <c r="T161" s="147"/>
      <c r="U161" s="147"/>
      <c r="V161" s="147"/>
    </row>
    <row r="162">
      <c r="A162" s="240" t="s">
        <v>4695</v>
      </c>
      <c r="B162" s="240" t="s">
        <v>772</v>
      </c>
      <c r="C162" s="240" t="s">
        <v>773</v>
      </c>
      <c r="D162" s="240" t="s">
        <v>4696</v>
      </c>
      <c r="E162" s="240" t="s">
        <v>4697</v>
      </c>
      <c r="F162" s="240" t="s">
        <v>4264</v>
      </c>
      <c r="G162" s="147"/>
      <c r="H162" s="240" t="s">
        <v>4215</v>
      </c>
      <c r="I162" s="240" t="s">
        <v>4215</v>
      </c>
      <c r="J162" s="147"/>
      <c r="K162" s="147"/>
      <c r="L162" s="147"/>
      <c r="M162" s="147"/>
      <c r="N162" s="147"/>
      <c r="O162" s="147"/>
      <c r="P162" s="147"/>
      <c r="Q162" s="147"/>
      <c r="R162" s="147"/>
      <c r="S162" s="147"/>
      <c r="T162" s="147"/>
      <c r="U162" s="147"/>
      <c r="V162" s="147"/>
    </row>
    <row r="163">
      <c r="A163" s="240" t="s">
        <v>4698</v>
      </c>
      <c r="B163" s="240" t="s">
        <v>774</v>
      </c>
      <c r="C163" s="240" t="s">
        <v>775</v>
      </c>
      <c r="D163" s="240" t="s">
        <v>4699</v>
      </c>
      <c r="E163" s="240" t="s">
        <v>4700</v>
      </c>
      <c r="F163" s="240" t="s">
        <v>4223</v>
      </c>
      <c r="G163" s="147"/>
      <c r="H163" s="240" t="s">
        <v>4215</v>
      </c>
      <c r="I163" s="240" t="s">
        <v>4215</v>
      </c>
      <c r="J163" s="147"/>
      <c r="K163" s="147"/>
      <c r="L163" s="147"/>
      <c r="M163" s="147"/>
      <c r="N163" s="147"/>
      <c r="O163" s="147"/>
      <c r="P163" s="147"/>
      <c r="Q163" s="147"/>
      <c r="R163" s="147"/>
      <c r="S163" s="147"/>
      <c r="T163" s="147"/>
      <c r="U163" s="147"/>
      <c r="V163" s="147"/>
    </row>
    <row r="164">
      <c r="A164" s="240" t="s">
        <v>4701</v>
      </c>
      <c r="B164" s="240" t="s">
        <v>776</v>
      </c>
      <c r="C164" s="240" t="s">
        <v>777</v>
      </c>
      <c r="D164" s="240" t="s">
        <v>4702</v>
      </c>
      <c r="E164" s="240" t="s">
        <v>4703</v>
      </c>
      <c r="F164" s="240" t="s">
        <v>4223</v>
      </c>
      <c r="G164" s="147"/>
      <c r="H164" s="240" t="s">
        <v>4215</v>
      </c>
      <c r="I164" s="240" t="s">
        <v>4215</v>
      </c>
      <c r="J164" s="147"/>
      <c r="K164" s="147"/>
      <c r="L164" s="147"/>
      <c r="M164" s="147"/>
      <c r="N164" s="147"/>
      <c r="O164" s="147"/>
      <c r="P164" s="147"/>
      <c r="Q164" s="147"/>
      <c r="R164" s="147"/>
      <c r="S164" s="147"/>
      <c r="T164" s="147"/>
      <c r="U164" s="147"/>
      <c r="V164" s="147"/>
    </row>
    <row r="165">
      <c r="A165" s="240" t="s">
        <v>4704</v>
      </c>
      <c r="B165" s="240" t="s">
        <v>778</v>
      </c>
      <c r="C165" s="240" t="s">
        <v>779</v>
      </c>
      <c r="D165" s="240" t="s">
        <v>4705</v>
      </c>
      <c r="E165" s="240" t="s">
        <v>4706</v>
      </c>
      <c r="F165" s="240" t="s">
        <v>4264</v>
      </c>
      <c r="G165" s="147"/>
      <c r="H165" s="240" t="s">
        <v>4215</v>
      </c>
      <c r="I165" s="240" t="s">
        <v>4215</v>
      </c>
      <c r="J165" s="147"/>
      <c r="K165" s="147"/>
      <c r="L165" s="147"/>
      <c r="M165" s="147"/>
      <c r="N165" s="147"/>
      <c r="O165" s="147"/>
      <c r="P165" s="147"/>
      <c r="Q165" s="147"/>
      <c r="R165" s="147"/>
      <c r="S165" s="147"/>
      <c r="T165" s="147"/>
      <c r="U165" s="147"/>
      <c r="V165" s="147"/>
    </row>
    <row r="166">
      <c r="A166" s="240" t="s">
        <v>4707</v>
      </c>
      <c r="B166" s="240" t="s">
        <v>780</v>
      </c>
      <c r="C166" s="240" t="s">
        <v>781</v>
      </c>
      <c r="D166" s="240" t="s">
        <v>4708</v>
      </c>
      <c r="E166" s="240" t="s">
        <v>4709</v>
      </c>
      <c r="F166" s="240" t="s">
        <v>4349</v>
      </c>
      <c r="G166" s="147"/>
      <c r="H166" s="240" t="s">
        <v>4215</v>
      </c>
      <c r="I166" s="240" t="s">
        <v>4215</v>
      </c>
      <c r="J166" s="147"/>
      <c r="K166" s="147"/>
      <c r="L166" s="147"/>
      <c r="M166" s="147"/>
      <c r="N166" s="147"/>
      <c r="O166" s="147"/>
      <c r="P166" s="147"/>
      <c r="Q166" s="147"/>
      <c r="R166" s="147"/>
      <c r="S166" s="147"/>
      <c r="T166" s="147"/>
      <c r="U166" s="147"/>
      <c r="V166" s="147"/>
    </row>
    <row r="167">
      <c r="A167" s="240" t="s">
        <v>4710</v>
      </c>
      <c r="B167" s="240" t="s">
        <v>782</v>
      </c>
      <c r="C167" s="240" t="s">
        <v>783</v>
      </c>
      <c r="D167" s="240" t="s">
        <v>4711</v>
      </c>
      <c r="E167" s="240" t="s">
        <v>4712</v>
      </c>
      <c r="F167" s="240" t="s">
        <v>4223</v>
      </c>
      <c r="G167" s="147"/>
      <c r="H167" s="240" t="s">
        <v>4215</v>
      </c>
      <c r="I167" s="240" t="s">
        <v>4215</v>
      </c>
      <c r="J167" s="147"/>
      <c r="K167" s="147"/>
      <c r="L167" s="147"/>
      <c r="M167" s="147"/>
      <c r="N167" s="147"/>
      <c r="O167" s="147"/>
      <c r="P167" s="147"/>
      <c r="Q167" s="147"/>
      <c r="R167" s="147"/>
      <c r="S167" s="147"/>
      <c r="T167" s="147"/>
      <c r="U167" s="147"/>
      <c r="V167" s="147"/>
    </row>
    <row r="168">
      <c r="A168" s="240" t="s">
        <v>4713</v>
      </c>
      <c r="B168" s="240" t="s">
        <v>784</v>
      </c>
      <c r="C168" s="240" t="s">
        <v>785</v>
      </c>
      <c r="D168" s="240" t="s">
        <v>4708</v>
      </c>
      <c r="E168" s="240" t="s">
        <v>4709</v>
      </c>
      <c r="F168" s="240" t="s">
        <v>4349</v>
      </c>
      <c r="G168" s="147"/>
      <c r="H168" s="240" t="s">
        <v>4215</v>
      </c>
      <c r="I168" s="240" t="s">
        <v>4215</v>
      </c>
      <c r="J168" s="147"/>
      <c r="K168" s="147"/>
      <c r="L168" s="147"/>
      <c r="M168" s="147"/>
      <c r="N168" s="147"/>
      <c r="O168" s="147"/>
      <c r="P168" s="147"/>
      <c r="Q168" s="147"/>
      <c r="R168" s="147"/>
      <c r="S168" s="147"/>
      <c r="T168" s="147"/>
      <c r="U168" s="147"/>
      <c r="V168" s="147"/>
    </row>
    <row r="169">
      <c r="A169" s="240" t="s">
        <v>4714</v>
      </c>
      <c r="B169" s="240" t="s">
        <v>786</v>
      </c>
      <c r="C169" s="240" t="s">
        <v>787</v>
      </c>
      <c r="D169" s="240" t="s">
        <v>4715</v>
      </c>
      <c r="E169" s="240" t="s">
        <v>4716</v>
      </c>
      <c r="F169" s="240" t="s">
        <v>4264</v>
      </c>
      <c r="G169" s="147"/>
      <c r="H169" s="240" t="s">
        <v>4215</v>
      </c>
      <c r="I169" s="240" t="s">
        <v>4215</v>
      </c>
      <c r="J169" s="147"/>
      <c r="K169" s="147"/>
      <c r="L169" s="147"/>
      <c r="M169" s="147"/>
      <c r="N169" s="147"/>
      <c r="O169" s="147"/>
      <c r="P169" s="147"/>
      <c r="Q169" s="147"/>
      <c r="R169" s="147"/>
      <c r="S169" s="147"/>
      <c r="T169" s="147"/>
      <c r="U169" s="147"/>
      <c r="V169" s="147"/>
    </row>
    <row r="170">
      <c r="A170" s="240" t="s">
        <v>4717</v>
      </c>
      <c r="B170" s="240" t="s">
        <v>788</v>
      </c>
      <c r="C170" s="240" t="s">
        <v>789</v>
      </c>
      <c r="D170" s="240" t="s">
        <v>4718</v>
      </c>
      <c r="E170" s="240" t="s">
        <v>4290</v>
      </c>
      <c r="F170" s="240" t="s">
        <v>4235</v>
      </c>
      <c r="G170" s="147"/>
      <c r="H170" s="240" t="s">
        <v>4215</v>
      </c>
      <c r="I170" s="240" t="s">
        <v>4215</v>
      </c>
      <c r="J170" s="147"/>
      <c r="K170" s="147"/>
      <c r="L170" s="147"/>
      <c r="M170" s="147"/>
      <c r="N170" s="147"/>
      <c r="O170" s="147"/>
      <c r="P170" s="147"/>
      <c r="Q170" s="147"/>
      <c r="R170" s="147"/>
      <c r="S170" s="147"/>
      <c r="T170" s="147"/>
      <c r="U170" s="147"/>
      <c r="V170" s="147"/>
    </row>
    <row r="171">
      <c r="A171" s="240" t="s">
        <v>4719</v>
      </c>
      <c r="B171" s="240" t="s">
        <v>790</v>
      </c>
      <c r="C171" s="240" t="s">
        <v>791</v>
      </c>
      <c r="D171" s="240" t="s">
        <v>4720</v>
      </c>
      <c r="E171" s="240" t="s">
        <v>4721</v>
      </c>
      <c r="F171" s="240" t="s">
        <v>4264</v>
      </c>
      <c r="G171" s="147"/>
      <c r="H171" s="240" t="s">
        <v>4215</v>
      </c>
      <c r="I171" s="240" t="s">
        <v>4215</v>
      </c>
      <c r="J171" s="147"/>
      <c r="K171" s="147"/>
      <c r="L171" s="147"/>
      <c r="M171" s="147"/>
      <c r="N171" s="147"/>
      <c r="O171" s="147"/>
      <c r="P171" s="147"/>
      <c r="Q171" s="147"/>
      <c r="R171" s="147"/>
      <c r="S171" s="147"/>
      <c r="T171" s="147"/>
      <c r="U171" s="147"/>
      <c r="V171" s="147"/>
    </row>
    <row r="172">
      <c r="A172" s="240" t="s">
        <v>4722</v>
      </c>
      <c r="B172" s="240" t="s">
        <v>792</v>
      </c>
      <c r="C172" s="240" t="s">
        <v>793</v>
      </c>
      <c r="D172" s="240" t="s">
        <v>4723</v>
      </c>
      <c r="E172" s="240" t="s">
        <v>4724</v>
      </c>
      <c r="F172" s="240" t="s">
        <v>4223</v>
      </c>
      <c r="G172" s="147"/>
      <c r="H172" s="240" t="s">
        <v>4215</v>
      </c>
      <c r="I172" s="240" t="s">
        <v>4215</v>
      </c>
      <c r="J172" s="147"/>
      <c r="K172" s="147"/>
      <c r="L172" s="147"/>
      <c r="M172" s="147"/>
      <c r="N172" s="147"/>
      <c r="O172" s="147"/>
      <c r="P172" s="147"/>
      <c r="Q172" s="147"/>
      <c r="R172" s="147"/>
      <c r="S172" s="147"/>
      <c r="T172" s="147"/>
      <c r="U172" s="147"/>
      <c r="V172" s="147"/>
    </row>
    <row r="173">
      <c r="A173" s="240" t="s">
        <v>4725</v>
      </c>
      <c r="B173" s="240" t="s">
        <v>794</v>
      </c>
      <c r="C173" s="240" t="s">
        <v>795</v>
      </c>
      <c r="D173" s="240" t="s">
        <v>4726</v>
      </c>
      <c r="E173" s="240" t="s">
        <v>4727</v>
      </c>
      <c r="F173" s="240" t="s">
        <v>4223</v>
      </c>
      <c r="G173" s="147"/>
      <c r="H173" s="240" t="s">
        <v>4215</v>
      </c>
      <c r="I173" s="240" t="s">
        <v>4215</v>
      </c>
      <c r="J173" s="147"/>
      <c r="K173" s="147"/>
      <c r="L173" s="147"/>
      <c r="M173" s="147"/>
      <c r="N173" s="147"/>
      <c r="O173" s="147"/>
      <c r="P173" s="147"/>
      <c r="Q173" s="147"/>
      <c r="R173" s="147"/>
      <c r="S173" s="147"/>
      <c r="T173" s="147"/>
      <c r="U173" s="147"/>
      <c r="V173" s="147"/>
    </row>
    <row r="174">
      <c r="A174" s="240" t="s">
        <v>4728</v>
      </c>
      <c r="B174" s="240" t="s">
        <v>796</v>
      </c>
      <c r="C174" s="240" t="s">
        <v>797</v>
      </c>
      <c r="D174" s="240" t="s">
        <v>4729</v>
      </c>
      <c r="E174" s="240" t="s">
        <v>4730</v>
      </c>
      <c r="F174" s="240" t="s">
        <v>4223</v>
      </c>
      <c r="G174" s="147"/>
      <c r="H174" s="147"/>
      <c r="I174" s="147"/>
      <c r="J174" s="147"/>
      <c r="K174" s="147"/>
      <c r="L174" s="147"/>
      <c r="M174" s="147"/>
      <c r="N174" s="147"/>
      <c r="O174" s="147"/>
      <c r="P174" s="147"/>
      <c r="Q174" s="147"/>
      <c r="R174" s="147"/>
      <c r="S174" s="147"/>
      <c r="T174" s="147"/>
      <c r="U174" s="147"/>
      <c r="V174" s="147"/>
    </row>
    <row r="175">
      <c r="A175" s="240" t="s">
        <v>4731</v>
      </c>
      <c r="B175" s="240" t="s">
        <v>798</v>
      </c>
      <c r="C175" s="240" t="s">
        <v>799</v>
      </c>
      <c r="D175" s="240" t="s">
        <v>4732</v>
      </c>
      <c r="E175" s="240" t="s">
        <v>4733</v>
      </c>
      <c r="F175" s="240" t="s">
        <v>4264</v>
      </c>
      <c r="G175" s="147"/>
      <c r="H175" s="240" t="s">
        <v>4215</v>
      </c>
      <c r="I175" s="240" t="s">
        <v>4215</v>
      </c>
      <c r="J175" s="147"/>
      <c r="K175" s="147"/>
      <c r="L175" s="147"/>
      <c r="M175" s="147"/>
      <c r="N175" s="147"/>
      <c r="O175" s="147"/>
      <c r="P175" s="147"/>
      <c r="Q175" s="147"/>
      <c r="R175" s="147"/>
      <c r="S175" s="147"/>
      <c r="T175" s="147"/>
      <c r="U175" s="147"/>
      <c r="V175" s="147"/>
    </row>
    <row r="176">
      <c r="A176" s="240" t="s">
        <v>4734</v>
      </c>
      <c r="B176" s="240" t="s">
        <v>800</v>
      </c>
      <c r="C176" s="240" t="s">
        <v>801</v>
      </c>
      <c r="D176" s="240" t="s">
        <v>4735</v>
      </c>
      <c r="E176" s="240" t="s">
        <v>4724</v>
      </c>
      <c r="F176" s="240" t="s">
        <v>4223</v>
      </c>
      <c r="G176" s="147"/>
      <c r="H176" s="240" t="s">
        <v>4215</v>
      </c>
      <c r="I176" s="240" t="s">
        <v>4215</v>
      </c>
      <c r="J176" s="147"/>
      <c r="K176" s="147"/>
      <c r="L176" s="147"/>
      <c r="M176" s="147"/>
      <c r="N176" s="147"/>
      <c r="O176" s="147"/>
      <c r="P176" s="147"/>
      <c r="Q176" s="147"/>
      <c r="R176" s="147"/>
      <c r="S176" s="147"/>
      <c r="T176" s="147"/>
      <c r="U176" s="147"/>
      <c r="V176" s="147"/>
    </row>
    <row r="177">
      <c r="A177" s="240" t="s">
        <v>4736</v>
      </c>
      <c r="B177" s="240" t="s">
        <v>802</v>
      </c>
      <c r="C177" s="240" t="s">
        <v>803</v>
      </c>
      <c r="D177" s="240" t="s">
        <v>4737</v>
      </c>
      <c r="E177" s="240" t="s">
        <v>4738</v>
      </c>
      <c r="F177" s="240" t="s">
        <v>4264</v>
      </c>
      <c r="G177" s="147"/>
      <c r="H177" s="240" t="s">
        <v>4215</v>
      </c>
      <c r="I177" s="240" t="s">
        <v>4215</v>
      </c>
      <c r="J177" s="147"/>
      <c r="K177" s="147"/>
      <c r="L177" s="147"/>
      <c r="M177" s="147"/>
      <c r="N177" s="147"/>
      <c r="O177" s="147"/>
      <c r="P177" s="147"/>
      <c r="Q177" s="147"/>
      <c r="R177" s="147"/>
      <c r="S177" s="147"/>
      <c r="T177" s="147"/>
      <c r="U177" s="147"/>
      <c r="V177" s="147"/>
    </row>
    <row r="178">
      <c r="A178" s="240" t="s">
        <v>4739</v>
      </c>
      <c r="B178" s="240" t="s">
        <v>804</v>
      </c>
      <c r="C178" s="240" t="s">
        <v>805</v>
      </c>
      <c r="D178" s="240" t="s">
        <v>4740</v>
      </c>
      <c r="E178" s="240" t="s">
        <v>4741</v>
      </c>
      <c r="F178" s="240" t="s">
        <v>4223</v>
      </c>
      <c r="G178" s="147"/>
      <c r="H178" s="240" t="s">
        <v>4215</v>
      </c>
      <c r="I178" s="240" t="s">
        <v>4215</v>
      </c>
      <c r="J178" s="147"/>
      <c r="K178" s="147"/>
      <c r="L178" s="147"/>
      <c r="M178" s="147"/>
      <c r="N178" s="147"/>
      <c r="O178" s="147"/>
      <c r="P178" s="147"/>
      <c r="Q178" s="147"/>
      <c r="R178" s="147"/>
      <c r="S178" s="147"/>
      <c r="T178" s="147"/>
      <c r="U178" s="147"/>
      <c r="V178" s="147"/>
    </row>
    <row r="179">
      <c r="A179" s="240" t="s">
        <v>4742</v>
      </c>
      <c r="B179" s="240" t="s">
        <v>806</v>
      </c>
      <c r="C179" s="240" t="s">
        <v>807</v>
      </c>
      <c r="D179" s="240" t="s">
        <v>4743</v>
      </c>
      <c r="E179" s="240" t="s">
        <v>4744</v>
      </c>
      <c r="F179" s="240" t="s">
        <v>4235</v>
      </c>
      <c r="G179" s="147"/>
      <c r="H179" s="147"/>
      <c r="I179" s="147"/>
      <c r="J179" s="147"/>
      <c r="K179" s="147"/>
      <c r="L179" s="147"/>
      <c r="M179" s="147"/>
      <c r="N179" s="147"/>
      <c r="O179" s="147"/>
      <c r="P179" s="147"/>
      <c r="Q179" s="147"/>
      <c r="R179" s="147"/>
      <c r="S179" s="147"/>
      <c r="T179" s="147"/>
      <c r="U179" s="147"/>
      <c r="V179" s="147"/>
    </row>
    <row r="180">
      <c r="A180" s="240" t="s">
        <v>4745</v>
      </c>
      <c r="B180" s="240" t="s">
        <v>808</v>
      </c>
      <c r="C180" s="240" t="s">
        <v>809</v>
      </c>
      <c r="D180" s="240" t="s">
        <v>4746</v>
      </c>
      <c r="E180" s="240" t="s">
        <v>4747</v>
      </c>
      <c r="F180" s="240" t="s">
        <v>4355</v>
      </c>
      <c r="G180" s="147"/>
      <c r="H180" s="240" t="s">
        <v>4215</v>
      </c>
      <c r="I180" s="240" t="s">
        <v>4215</v>
      </c>
      <c r="J180" s="147"/>
      <c r="K180" s="147"/>
      <c r="L180" s="147"/>
      <c r="M180" s="147"/>
      <c r="N180" s="147"/>
      <c r="O180" s="147"/>
      <c r="P180" s="147"/>
      <c r="Q180" s="147"/>
      <c r="R180" s="147"/>
      <c r="S180" s="147"/>
      <c r="T180" s="147"/>
      <c r="U180" s="147"/>
      <c r="V180" s="147"/>
    </row>
    <row r="181">
      <c r="A181" s="240" t="s">
        <v>4748</v>
      </c>
      <c r="B181" s="240" t="s">
        <v>810</v>
      </c>
      <c r="C181" s="240" t="s">
        <v>811</v>
      </c>
      <c r="D181" s="240" t="s">
        <v>4749</v>
      </c>
      <c r="E181" s="240" t="s">
        <v>4750</v>
      </c>
      <c r="F181" s="240" t="s">
        <v>4235</v>
      </c>
      <c r="G181" s="147"/>
      <c r="H181" s="147"/>
      <c r="I181" s="147"/>
      <c r="J181" s="147"/>
      <c r="K181" s="147"/>
      <c r="L181" s="147"/>
      <c r="M181" s="147"/>
      <c r="N181" s="147"/>
      <c r="O181" s="147"/>
      <c r="P181" s="147"/>
      <c r="Q181" s="147"/>
      <c r="R181" s="147"/>
      <c r="S181" s="147"/>
      <c r="T181" s="147"/>
      <c r="U181" s="147"/>
      <c r="V181" s="147"/>
    </row>
    <row r="182">
      <c r="A182" s="240" t="s">
        <v>4751</v>
      </c>
      <c r="B182" s="240" t="s">
        <v>812</v>
      </c>
      <c r="C182" s="240" t="s">
        <v>813</v>
      </c>
      <c r="D182" s="240" t="s">
        <v>4752</v>
      </c>
      <c r="E182" s="240" t="s">
        <v>305</v>
      </c>
      <c r="F182" s="240" t="s">
        <v>4219</v>
      </c>
      <c r="G182" s="147"/>
      <c r="H182" s="240" t="s">
        <v>4215</v>
      </c>
      <c r="I182" s="240" t="s">
        <v>4215</v>
      </c>
      <c r="J182" s="147"/>
      <c r="K182" s="147"/>
      <c r="L182" s="147"/>
      <c r="M182" s="147"/>
      <c r="N182" s="147"/>
      <c r="O182" s="147"/>
      <c r="P182" s="147"/>
      <c r="Q182" s="147"/>
      <c r="R182" s="147"/>
      <c r="S182" s="147"/>
      <c r="T182" s="147"/>
      <c r="U182" s="147"/>
      <c r="V182" s="147"/>
    </row>
    <row r="183">
      <c r="A183" s="240" t="s">
        <v>4753</v>
      </c>
      <c r="B183" s="240" t="s">
        <v>814</v>
      </c>
      <c r="C183" s="240" t="s">
        <v>815</v>
      </c>
      <c r="D183" s="240" t="s">
        <v>4754</v>
      </c>
      <c r="E183" s="240" t="s">
        <v>4755</v>
      </c>
      <c r="F183" s="240" t="s">
        <v>4264</v>
      </c>
      <c r="G183" s="147"/>
      <c r="H183" s="240" t="s">
        <v>4215</v>
      </c>
      <c r="I183" s="240" t="s">
        <v>4215</v>
      </c>
      <c r="J183" s="147"/>
      <c r="K183" s="147"/>
      <c r="L183" s="147"/>
      <c r="M183" s="147"/>
      <c r="N183" s="147"/>
      <c r="O183" s="147"/>
      <c r="P183" s="147"/>
      <c r="Q183" s="147"/>
      <c r="R183" s="147"/>
      <c r="S183" s="147"/>
      <c r="T183" s="147"/>
      <c r="U183" s="147"/>
      <c r="V183" s="147"/>
    </row>
    <row r="184">
      <c r="A184" s="240" t="s">
        <v>4756</v>
      </c>
      <c r="B184" s="240" t="s">
        <v>816</v>
      </c>
      <c r="C184" s="240" t="s">
        <v>817</v>
      </c>
      <c r="D184" s="240" t="s">
        <v>4757</v>
      </c>
      <c r="E184" s="240" t="s">
        <v>4758</v>
      </c>
      <c r="F184" s="240" t="s">
        <v>4235</v>
      </c>
      <c r="G184" s="147"/>
      <c r="H184" s="240" t="s">
        <v>4215</v>
      </c>
      <c r="I184" s="240" t="s">
        <v>4215</v>
      </c>
      <c r="J184" s="147"/>
      <c r="K184" s="147"/>
      <c r="L184" s="147"/>
      <c r="M184" s="147"/>
      <c r="N184" s="147"/>
      <c r="O184" s="147"/>
      <c r="P184" s="147"/>
      <c r="Q184" s="147"/>
      <c r="R184" s="147"/>
      <c r="S184" s="147"/>
      <c r="T184" s="147"/>
      <c r="U184" s="147"/>
      <c r="V184" s="147"/>
    </row>
    <row r="185">
      <c r="A185" s="240" t="s">
        <v>4759</v>
      </c>
      <c r="B185" s="240" t="s">
        <v>818</v>
      </c>
      <c r="C185" s="240" t="s">
        <v>819</v>
      </c>
      <c r="D185" s="240" t="s">
        <v>4760</v>
      </c>
      <c r="E185" s="240" t="s">
        <v>4761</v>
      </c>
      <c r="F185" s="240" t="s">
        <v>4219</v>
      </c>
      <c r="G185" s="147"/>
      <c r="H185" s="240" t="s">
        <v>4215</v>
      </c>
      <c r="I185" s="240" t="s">
        <v>4215</v>
      </c>
      <c r="J185" s="147"/>
      <c r="K185" s="147"/>
      <c r="L185" s="147"/>
      <c r="M185" s="147"/>
      <c r="N185" s="147"/>
      <c r="O185" s="147"/>
      <c r="P185" s="147"/>
      <c r="Q185" s="147"/>
      <c r="R185" s="147"/>
      <c r="S185" s="147"/>
      <c r="T185" s="147"/>
      <c r="U185" s="147"/>
      <c r="V185" s="147"/>
    </row>
    <row r="186">
      <c r="A186" s="240" t="s">
        <v>4762</v>
      </c>
      <c r="B186" s="240" t="s">
        <v>820</v>
      </c>
      <c r="C186" s="240" t="s">
        <v>821</v>
      </c>
      <c r="D186" s="240" t="s">
        <v>4763</v>
      </c>
      <c r="E186" s="240" t="s">
        <v>4764</v>
      </c>
      <c r="F186" s="240" t="s">
        <v>4223</v>
      </c>
      <c r="G186" s="147"/>
      <c r="H186" s="147"/>
      <c r="I186" s="147"/>
      <c r="J186" s="147"/>
      <c r="K186" s="147"/>
      <c r="L186" s="147"/>
      <c r="M186" s="147"/>
      <c r="N186" s="147"/>
      <c r="O186" s="147"/>
      <c r="P186" s="147"/>
      <c r="Q186" s="147"/>
      <c r="R186" s="147"/>
      <c r="S186" s="147"/>
      <c r="T186" s="147"/>
      <c r="U186" s="147"/>
      <c r="V186" s="147"/>
    </row>
    <row r="187">
      <c r="A187" s="240" t="s">
        <v>4765</v>
      </c>
      <c r="B187" s="240" t="s">
        <v>822</v>
      </c>
      <c r="C187" s="240" t="s">
        <v>823</v>
      </c>
      <c r="D187" s="240" t="s">
        <v>4766</v>
      </c>
      <c r="E187" s="240" t="s">
        <v>4767</v>
      </c>
      <c r="F187" s="240" t="s">
        <v>4297</v>
      </c>
      <c r="G187" s="147"/>
      <c r="H187" s="240" t="s">
        <v>4215</v>
      </c>
      <c r="I187" s="240" t="s">
        <v>4215</v>
      </c>
      <c r="J187" s="147"/>
      <c r="K187" s="147"/>
      <c r="L187" s="147"/>
      <c r="M187" s="147"/>
      <c r="N187" s="147"/>
      <c r="O187" s="147"/>
      <c r="P187" s="147"/>
      <c r="Q187" s="147"/>
      <c r="R187" s="147"/>
      <c r="S187" s="147"/>
      <c r="T187" s="147"/>
      <c r="U187" s="147"/>
      <c r="V187" s="147"/>
    </row>
    <row r="188">
      <c r="A188" s="240" t="s">
        <v>4768</v>
      </c>
      <c r="B188" s="240" t="s">
        <v>824</v>
      </c>
      <c r="C188" s="240" t="s">
        <v>825</v>
      </c>
      <c r="D188" s="240" t="s">
        <v>4769</v>
      </c>
      <c r="E188" s="240" t="s">
        <v>4770</v>
      </c>
      <c r="F188" s="240" t="s">
        <v>4349</v>
      </c>
      <c r="G188" s="147"/>
      <c r="H188" s="240" t="s">
        <v>4215</v>
      </c>
      <c r="I188" s="240" t="s">
        <v>4215</v>
      </c>
      <c r="J188" s="147"/>
      <c r="K188" s="147"/>
      <c r="L188" s="147"/>
      <c r="M188" s="147"/>
      <c r="N188" s="147"/>
      <c r="O188" s="147"/>
      <c r="P188" s="147"/>
      <c r="Q188" s="147"/>
      <c r="R188" s="147"/>
      <c r="S188" s="147"/>
      <c r="T188" s="147"/>
      <c r="U188" s="147"/>
      <c r="V188" s="147"/>
    </row>
    <row r="189">
      <c r="A189" s="240" t="s">
        <v>4771</v>
      </c>
      <c r="B189" s="240" t="s">
        <v>826</v>
      </c>
      <c r="C189" s="240" t="s">
        <v>827</v>
      </c>
      <c r="D189" s="240" t="s">
        <v>4772</v>
      </c>
      <c r="E189" s="240" t="s">
        <v>4773</v>
      </c>
      <c r="F189" s="147"/>
      <c r="G189" s="147"/>
      <c r="H189" s="147"/>
      <c r="I189" s="147"/>
      <c r="J189" s="147"/>
      <c r="K189" s="147"/>
      <c r="L189" s="147"/>
      <c r="M189" s="147"/>
      <c r="N189" s="147"/>
      <c r="O189" s="147"/>
      <c r="P189" s="147"/>
      <c r="Q189" s="147"/>
      <c r="R189" s="147"/>
      <c r="S189" s="147"/>
      <c r="T189" s="147"/>
      <c r="U189" s="147"/>
      <c r="V189" s="147"/>
    </row>
    <row r="190">
      <c r="A190" s="240" t="s">
        <v>4774</v>
      </c>
      <c r="B190" s="240" t="s">
        <v>828</v>
      </c>
      <c r="C190" s="240" t="s">
        <v>829</v>
      </c>
      <c r="D190" s="240" t="s">
        <v>4775</v>
      </c>
      <c r="E190" s="240" t="s">
        <v>4776</v>
      </c>
      <c r="F190" s="240" t="s">
        <v>4231</v>
      </c>
      <c r="G190" s="147"/>
      <c r="H190" s="240" t="s">
        <v>4215</v>
      </c>
      <c r="I190" s="240" t="s">
        <v>4215</v>
      </c>
      <c r="J190" s="147"/>
      <c r="K190" s="147"/>
      <c r="L190" s="147"/>
      <c r="M190" s="147"/>
      <c r="N190" s="147"/>
      <c r="O190" s="147"/>
      <c r="P190" s="147"/>
      <c r="Q190" s="147"/>
      <c r="R190" s="147"/>
      <c r="S190" s="147"/>
      <c r="T190" s="147"/>
      <c r="U190" s="147"/>
      <c r="V190" s="147"/>
    </row>
    <row r="191">
      <c r="A191" s="240" t="s">
        <v>4777</v>
      </c>
      <c r="B191" s="240" t="s">
        <v>830</v>
      </c>
      <c r="C191" s="240" t="s">
        <v>831</v>
      </c>
      <c r="D191" s="240" t="s">
        <v>4778</v>
      </c>
      <c r="E191" s="240" t="s">
        <v>4779</v>
      </c>
      <c r="F191" s="240" t="s">
        <v>4355</v>
      </c>
      <c r="G191" s="147"/>
      <c r="H191" s="240" t="s">
        <v>4215</v>
      </c>
      <c r="I191" s="240" t="s">
        <v>4215</v>
      </c>
      <c r="J191" s="147"/>
      <c r="K191" s="147"/>
      <c r="L191" s="147"/>
      <c r="M191" s="147"/>
      <c r="N191" s="147"/>
      <c r="O191" s="147"/>
      <c r="P191" s="147"/>
      <c r="Q191" s="147"/>
      <c r="R191" s="147"/>
      <c r="S191" s="147"/>
      <c r="T191" s="147"/>
      <c r="U191" s="147"/>
      <c r="V191" s="147"/>
    </row>
    <row r="192">
      <c r="A192" s="240" t="s">
        <v>4780</v>
      </c>
      <c r="B192" s="240" t="s">
        <v>832</v>
      </c>
      <c r="C192" s="240" t="s">
        <v>833</v>
      </c>
      <c r="D192" s="240" t="s">
        <v>4781</v>
      </c>
      <c r="E192" s="240" t="s">
        <v>4782</v>
      </c>
      <c r="F192" s="240" t="s">
        <v>4264</v>
      </c>
      <c r="G192" s="147"/>
      <c r="H192" s="240" t="s">
        <v>4215</v>
      </c>
      <c r="I192" s="240" t="s">
        <v>4215</v>
      </c>
      <c r="J192" s="147"/>
      <c r="K192" s="147"/>
      <c r="L192" s="147"/>
      <c r="M192" s="147"/>
      <c r="N192" s="147"/>
      <c r="O192" s="147"/>
      <c r="P192" s="147"/>
      <c r="Q192" s="147"/>
      <c r="R192" s="147"/>
      <c r="S192" s="147"/>
      <c r="T192" s="147"/>
      <c r="U192" s="147"/>
      <c r="V192" s="147"/>
    </row>
    <row r="193">
      <c r="A193" s="240" t="s">
        <v>4783</v>
      </c>
      <c r="B193" s="240" t="s">
        <v>834</v>
      </c>
      <c r="C193" s="240" t="s">
        <v>835</v>
      </c>
      <c r="D193" s="240" t="s">
        <v>4784</v>
      </c>
      <c r="E193" s="240" t="s">
        <v>4785</v>
      </c>
      <c r="F193" s="240" t="s">
        <v>4355</v>
      </c>
      <c r="G193" s="147"/>
      <c r="H193" s="240" t="s">
        <v>4215</v>
      </c>
      <c r="I193" s="240" t="s">
        <v>4215</v>
      </c>
      <c r="J193" s="147"/>
      <c r="K193" s="147"/>
      <c r="L193" s="147"/>
      <c r="M193" s="147"/>
      <c r="N193" s="147"/>
      <c r="O193" s="147"/>
      <c r="P193" s="147"/>
      <c r="Q193" s="147"/>
      <c r="R193" s="147"/>
      <c r="S193" s="147"/>
      <c r="T193" s="147"/>
      <c r="U193" s="147"/>
      <c r="V193" s="147"/>
    </row>
    <row r="194">
      <c r="A194" s="240" t="s">
        <v>4786</v>
      </c>
      <c r="B194" s="240" t="s">
        <v>836</v>
      </c>
      <c r="C194" s="240" t="s">
        <v>837</v>
      </c>
      <c r="D194" s="240" t="s">
        <v>4787</v>
      </c>
      <c r="E194" s="240" t="s">
        <v>4788</v>
      </c>
      <c r="F194" s="240" t="s">
        <v>4219</v>
      </c>
      <c r="G194" s="147"/>
      <c r="H194" s="240" t="s">
        <v>4215</v>
      </c>
      <c r="I194" s="240" t="s">
        <v>4215</v>
      </c>
      <c r="J194" s="147"/>
      <c r="K194" s="147"/>
      <c r="L194" s="147"/>
      <c r="M194" s="147"/>
      <c r="N194" s="147"/>
      <c r="O194" s="147"/>
      <c r="P194" s="147"/>
      <c r="Q194" s="147"/>
      <c r="R194" s="147"/>
      <c r="S194" s="147"/>
      <c r="T194" s="147"/>
      <c r="U194" s="147"/>
      <c r="V194" s="147"/>
    </row>
    <row r="195">
      <c r="A195" s="240" t="s">
        <v>4789</v>
      </c>
      <c r="B195" s="240" t="s">
        <v>838</v>
      </c>
      <c r="C195" s="240" t="s">
        <v>839</v>
      </c>
      <c r="D195" s="240" t="s">
        <v>4790</v>
      </c>
      <c r="E195" s="240" t="s">
        <v>4791</v>
      </c>
      <c r="F195" s="240" t="s">
        <v>4219</v>
      </c>
      <c r="G195" s="147"/>
      <c r="H195" s="240" t="s">
        <v>4215</v>
      </c>
      <c r="I195" s="240" t="s">
        <v>4215</v>
      </c>
      <c r="J195" s="147"/>
      <c r="K195" s="147"/>
      <c r="L195" s="147"/>
      <c r="M195" s="147"/>
      <c r="N195" s="147"/>
      <c r="O195" s="147"/>
      <c r="P195" s="147"/>
      <c r="Q195" s="147"/>
      <c r="R195" s="147"/>
      <c r="S195" s="147"/>
      <c r="T195" s="147"/>
      <c r="U195" s="147"/>
      <c r="V195" s="147"/>
    </row>
    <row r="196">
      <c r="A196" s="240" t="s">
        <v>4792</v>
      </c>
      <c r="B196" s="240" t="s">
        <v>840</v>
      </c>
      <c r="C196" s="240" t="s">
        <v>841</v>
      </c>
      <c r="D196" s="240" t="s">
        <v>4793</v>
      </c>
      <c r="E196" s="240" t="s">
        <v>4794</v>
      </c>
      <c r="F196" s="240" t="s">
        <v>4297</v>
      </c>
      <c r="G196" s="147"/>
      <c r="H196" s="240" t="s">
        <v>4215</v>
      </c>
      <c r="I196" s="240" t="s">
        <v>4215</v>
      </c>
      <c r="J196" s="147"/>
      <c r="K196" s="147"/>
      <c r="L196" s="147"/>
      <c r="M196" s="147"/>
      <c r="N196" s="147"/>
      <c r="O196" s="147"/>
      <c r="P196" s="147"/>
      <c r="Q196" s="147"/>
      <c r="R196" s="147"/>
      <c r="S196" s="147"/>
      <c r="T196" s="147"/>
      <c r="U196" s="147"/>
      <c r="V196" s="147"/>
    </row>
    <row r="197">
      <c r="A197" s="240" t="s">
        <v>4795</v>
      </c>
      <c r="B197" s="240" t="s">
        <v>842</v>
      </c>
      <c r="C197" s="240" t="s">
        <v>843</v>
      </c>
      <c r="D197" s="240" t="s">
        <v>4796</v>
      </c>
      <c r="E197" s="240" t="s">
        <v>4797</v>
      </c>
      <c r="F197" s="240" t="s">
        <v>4227</v>
      </c>
      <c r="G197" s="147"/>
      <c r="H197" s="240" t="s">
        <v>4215</v>
      </c>
      <c r="I197" s="240" t="s">
        <v>4215</v>
      </c>
      <c r="J197" s="147"/>
      <c r="K197" s="147"/>
      <c r="L197" s="147"/>
      <c r="M197" s="147"/>
      <c r="N197" s="147"/>
      <c r="O197" s="147"/>
      <c r="P197" s="147"/>
      <c r="Q197" s="147"/>
      <c r="R197" s="147"/>
      <c r="S197" s="147"/>
      <c r="T197" s="147"/>
      <c r="U197" s="147"/>
      <c r="V197" s="147"/>
    </row>
    <row r="198">
      <c r="A198" s="240" t="s">
        <v>4798</v>
      </c>
      <c r="B198" s="240" t="s">
        <v>844</v>
      </c>
      <c r="C198" s="240" t="s">
        <v>845</v>
      </c>
      <c r="D198" s="240" t="s">
        <v>4799</v>
      </c>
      <c r="E198" s="240" t="s">
        <v>4800</v>
      </c>
      <c r="F198" s="240" t="s">
        <v>4349</v>
      </c>
      <c r="G198" s="147"/>
      <c r="H198" s="147"/>
      <c r="I198" s="147"/>
      <c r="J198" s="147"/>
      <c r="K198" s="147"/>
      <c r="L198" s="147"/>
      <c r="M198" s="147"/>
      <c r="N198" s="147"/>
      <c r="O198" s="147"/>
      <c r="P198" s="147"/>
      <c r="Q198" s="147"/>
      <c r="R198" s="147"/>
      <c r="S198" s="147"/>
      <c r="T198" s="147"/>
      <c r="U198" s="147"/>
      <c r="V198" s="147"/>
    </row>
    <row r="199">
      <c r="A199" s="240" t="s">
        <v>4801</v>
      </c>
      <c r="B199" s="240" t="s">
        <v>846</v>
      </c>
      <c r="C199" s="240" t="s">
        <v>847</v>
      </c>
      <c r="D199" s="240" t="s">
        <v>4802</v>
      </c>
      <c r="E199" s="240" t="s">
        <v>4803</v>
      </c>
      <c r="F199" s="240" t="s">
        <v>4223</v>
      </c>
      <c r="G199" s="147"/>
      <c r="H199" s="240" t="s">
        <v>4215</v>
      </c>
      <c r="I199" s="240" t="s">
        <v>4215</v>
      </c>
      <c r="J199" s="147"/>
      <c r="K199" s="147"/>
      <c r="L199" s="147"/>
      <c r="M199" s="147"/>
      <c r="N199" s="147"/>
      <c r="O199" s="147"/>
      <c r="P199" s="147"/>
      <c r="Q199" s="147"/>
      <c r="R199" s="147"/>
      <c r="S199" s="147"/>
      <c r="T199" s="147"/>
      <c r="U199" s="147"/>
      <c r="V199" s="147"/>
    </row>
    <row r="200">
      <c r="A200" s="240" t="s">
        <v>4804</v>
      </c>
      <c r="B200" s="240" t="s">
        <v>848</v>
      </c>
      <c r="C200" s="240" t="s">
        <v>849</v>
      </c>
      <c r="D200" s="240" t="s">
        <v>4805</v>
      </c>
      <c r="E200" s="240" t="s">
        <v>4806</v>
      </c>
      <c r="F200" s="240" t="s">
        <v>4264</v>
      </c>
      <c r="G200" s="147"/>
      <c r="H200" s="240" t="s">
        <v>4215</v>
      </c>
      <c r="I200" s="240" t="s">
        <v>4215</v>
      </c>
      <c r="J200" s="147"/>
      <c r="K200" s="147"/>
      <c r="L200" s="147"/>
      <c r="M200" s="147"/>
      <c r="N200" s="147"/>
      <c r="O200" s="147"/>
      <c r="P200" s="147"/>
      <c r="Q200" s="147"/>
      <c r="R200" s="147"/>
      <c r="S200" s="147"/>
      <c r="T200" s="147"/>
      <c r="U200" s="147"/>
      <c r="V200" s="147"/>
    </row>
    <row r="201">
      <c r="A201" s="240" t="s">
        <v>4807</v>
      </c>
      <c r="B201" s="240" t="s">
        <v>850</v>
      </c>
      <c r="C201" s="240" t="s">
        <v>851</v>
      </c>
      <c r="D201" s="240" t="s">
        <v>4808</v>
      </c>
      <c r="E201" s="240" t="s">
        <v>4809</v>
      </c>
      <c r="F201" s="240" t="s">
        <v>4223</v>
      </c>
      <c r="G201" s="147"/>
      <c r="H201" s="240" t="s">
        <v>4215</v>
      </c>
      <c r="I201" s="240" t="s">
        <v>4215</v>
      </c>
      <c r="J201" s="147"/>
      <c r="K201" s="147"/>
      <c r="L201" s="147"/>
      <c r="M201" s="147"/>
      <c r="N201" s="147"/>
      <c r="O201" s="147"/>
      <c r="P201" s="147"/>
      <c r="Q201" s="147"/>
      <c r="R201" s="147"/>
      <c r="S201" s="147"/>
      <c r="T201" s="147"/>
      <c r="U201" s="147"/>
      <c r="V201" s="147"/>
    </row>
    <row r="202">
      <c r="A202" s="240" t="s">
        <v>4810</v>
      </c>
      <c r="B202" s="240" t="s">
        <v>852</v>
      </c>
      <c r="C202" s="240" t="s">
        <v>853</v>
      </c>
      <c r="D202" s="240" t="s">
        <v>4811</v>
      </c>
      <c r="E202" s="240" t="s">
        <v>4812</v>
      </c>
      <c r="F202" s="240" t="s">
        <v>4264</v>
      </c>
      <c r="G202" s="147"/>
      <c r="H202" s="240" t="s">
        <v>4215</v>
      </c>
      <c r="I202" s="240" t="s">
        <v>4215</v>
      </c>
      <c r="J202" s="147"/>
      <c r="K202" s="147"/>
      <c r="L202" s="147"/>
      <c r="M202" s="147"/>
      <c r="N202" s="147"/>
      <c r="O202" s="147"/>
      <c r="P202" s="147"/>
      <c r="Q202" s="147"/>
      <c r="R202" s="147"/>
      <c r="S202" s="147"/>
      <c r="T202" s="147"/>
      <c r="U202" s="147"/>
      <c r="V202" s="147"/>
    </row>
    <row r="203">
      <c r="A203" s="240" t="s">
        <v>4813</v>
      </c>
      <c r="B203" s="240" t="s">
        <v>854</v>
      </c>
      <c r="C203" s="240" t="s">
        <v>855</v>
      </c>
      <c r="D203" s="240" t="s">
        <v>4814</v>
      </c>
      <c r="E203" s="240" t="s">
        <v>4815</v>
      </c>
      <c r="F203" s="240" t="s">
        <v>4264</v>
      </c>
      <c r="G203" s="147"/>
      <c r="H203" s="240" t="s">
        <v>4215</v>
      </c>
      <c r="I203" s="240" t="s">
        <v>4215</v>
      </c>
      <c r="J203" s="147"/>
      <c r="K203" s="147"/>
      <c r="L203" s="147"/>
      <c r="M203" s="147"/>
      <c r="N203" s="147"/>
      <c r="O203" s="147"/>
      <c r="P203" s="147"/>
      <c r="Q203" s="147"/>
      <c r="R203" s="147"/>
      <c r="S203" s="147"/>
      <c r="T203" s="147"/>
      <c r="U203" s="147"/>
      <c r="V203" s="147"/>
    </row>
    <row r="204">
      <c r="A204" s="240" t="s">
        <v>4816</v>
      </c>
      <c r="B204" s="240" t="s">
        <v>856</v>
      </c>
      <c r="C204" s="240" t="s">
        <v>857</v>
      </c>
      <c r="D204" s="240" t="s">
        <v>4817</v>
      </c>
      <c r="E204" s="240" t="s">
        <v>4818</v>
      </c>
      <c r="F204" s="240" t="s">
        <v>4223</v>
      </c>
      <c r="G204" s="147"/>
      <c r="H204" s="240" t="s">
        <v>4215</v>
      </c>
      <c r="I204" s="240" t="s">
        <v>4215</v>
      </c>
      <c r="J204" s="147"/>
      <c r="K204" s="147"/>
      <c r="L204" s="147"/>
      <c r="M204" s="147"/>
      <c r="N204" s="147"/>
      <c r="O204" s="147"/>
      <c r="P204" s="147"/>
      <c r="Q204" s="147"/>
      <c r="R204" s="147"/>
      <c r="S204" s="147"/>
      <c r="T204" s="147"/>
      <c r="U204" s="147"/>
      <c r="V204" s="147"/>
    </row>
    <row r="205">
      <c r="A205" s="240" t="s">
        <v>4819</v>
      </c>
      <c r="B205" s="240" t="s">
        <v>858</v>
      </c>
      <c r="C205" s="240" t="s">
        <v>859</v>
      </c>
      <c r="D205" s="240" t="s">
        <v>4820</v>
      </c>
      <c r="E205" s="240" t="s">
        <v>4821</v>
      </c>
      <c r="F205" s="240" t="s">
        <v>4235</v>
      </c>
      <c r="G205" s="147"/>
      <c r="H205" s="147"/>
      <c r="I205" s="147"/>
      <c r="J205" s="147"/>
      <c r="K205" s="147"/>
      <c r="L205" s="147"/>
      <c r="M205" s="147"/>
      <c r="N205" s="147"/>
      <c r="O205" s="147"/>
      <c r="P205" s="147"/>
      <c r="Q205" s="147"/>
      <c r="R205" s="147"/>
      <c r="S205" s="147"/>
      <c r="T205" s="147"/>
      <c r="U205" s="147"/>
      <c r="V205" s="147"/>
    </row>
    <row r="206">
      <c r="A206" s="240" t="s">
        <v>4822</v>
      </c>
      <c r="B206" s="240" t="s">
        <v>860</v>
      </c>
      <c r="C206" s="240" t="s">
        <v>861</v>
      </c>
      <c r="D206" s="240" t="s">
        <v>4823</v>
      </c>
      <c r="E206" s="240" t="s">
        <v>4824</v>
      </c>
      <c r="F206" s="240" t="s">
        <v>4231</v>
      </c>
      <c r="G206" s="147"/>
      <c r="H206" s="240" t="s">
        <v>4215</v>
      </c>
      <c r="I206" s="240" t="s">
        <v>4215</v>
      </c>
      <c r="J206" s="147"/>
      <c r="K206" s="147"/>
      <c r="L206" s="147"/>
      <c r="M206" s="147"/>
      <c r="N206" s="147"/>
      <c r="O206" s="147"/>
      <c r="P206" s="147"/>
      <c r="Q206" s="147"/>
      <c r="R206" s="147"/>
      <c r="S206" s="147"/>
      <c r="T206" s="147"/>
      <c r="U206" s="147"/>
      <c r="V206" s="147"/>
    </row>
    <row r="207">
      <c r="A207" s="240" t="s">
        <v>4825</v>
      </c>
      <c r="B207" s="240" t="s">
        <v>862</v>
      </c>
      <c r="C207" s="240" t="s">
        <v>863</v>
      </c>
      <c r="D207" s="240" t="s">
        <v>4826</v>
      </c>
      <c r="E207" s="240" t="s">
        <v>4827</v>
      </c>
      <c r="F207" s="240" t="s">
        <v>4828</v>
      </c>
      <c r="G207" s="147"/>
      <c r="H207" s="240" t="s">
        <v>4215</v>
      </c>
      <c r="I207" s="240" t="s">
        <v>4215</v>
      </c>
      <c r="J207" s="147"/>
      <c r="K207" s="147"/>
      <c r="L207" s="147"/>
      <c r="M207" s="147"/>
      <c r="N207" s="147"/>
      <c r="O207" s="147"/>
      <c r="P207" s="147"/>
      <c r="Q207" s="147"/>
      <c r="R207" s="147"/>
      <c r="S207" s="147"/>
      <c r="T207" s="147"/>
      <c r="U207" s="147"/>
      <c r="V207" s="147"/>
    </row>
    <row r="208">
      <c r="A208" s="240" t="s">
        <v>4829</v>
      </c>
      <c r="B208" s="240" t="s">
        <v>864</v>
      </c>
      <c r="C208" s="240" t="s">
        <v>865</v>
      </c>
      <c r="D208" s="240" t="s">
        <v>4830</v>
      </c>
      <c r="E208" s="240" t="s">
        <v>4831</v>
      </c>
      <c r="F208" s="240" t="s">
        <v>4590</v>
      </c>
      <c r="G208" s="147"/>
      <c r="H208" s="147"/>
      <c r="I208" s="147"/>
      <c r="J208" s="147"/>
      <c r="K208" s="147"/>
      <c r="L208" s="147"/>
      <c r="M208" s="147"/>
      <c r="N208" s="147"/>
      <c r="O208" s="147"/>
      <c r="P208" s="147"/>
      <c r="Q208" s="147"/>
      <c r="R208" s="147"/>
      <c r="S208" s="147"/>
      <c r="T208" s="147"/>
      <c r="U208" s="147"/>
      <c r="V208" s="147"/>
    </row>
    <row r="209">
      <c r="A209" s="240" t="s">
        <v>4832</v>
      </c>
      <c r="B209" s="240" t="s">
        <v>866</v>
      </c>
      <c r="C209" s="240" t="s">
        <v>867</v>
      </c>
      <c r="D209" s="240" t="s">
        <v>4833</v>
      </c>
      <c r="E209" s="240" t="s">
        <v>4818</v>
      </c>
      <c r="F209" s="240" t="s">
        <v>4223</v>
      </c>
      <c r="G209" s="147"/>
      <c r="H209" s="240" t="s">
        <v>4215</v>
      </c>
      <c r="I209" s="240" t="s">
        <v>4215</v>
      </c>
      <c r="J209" s="147"/>
      <c r="K209" s="147"/>
      <c r="L209" s="147"/>
      <c r="M209" s="147"/>
      <c r="N209" s="147"/>
      <c r="O209" s="147"/>
      <c r="P209" s="147"/>
      <c r="Q209" s="147"/>
      <c r="R209" s="147"/>
      <c r="S209" s="147"/>
      <c r="T209" s="147"/>
      <c r="U209" s="147"/>
      <c r="V209" s="147"/>
    </row>
    <row r="210">
      <c r="A210" s="240" t="s">
        <v>4834</v>
      </c>
      <c r="B210" s="240" t="s">
        <v>868</v>
      </c>
      <c r="C210" s="240" t="s">
        <v>869</v>
      </c>
      <c r="D210" s="240" t="s">
        <v>4835</v>
      </c>
      <c r="E210" s="240" t="s">
        <v>4836</v>
      </c>
      <c r="F210" s="240" t="s">
        <v>4219</v>
      </c>
      <c r="G210" s="147"/>
      <c r="H210" s="240" t="s">
        <v>4215</v>
      </c>
      <c r="I210" s="147"/>
      <c r="J210" s="147"/>
      <c r="K210" s="147"/>
      <c r="L210" s="147"/>
      <c r="M210" s="147"/>
      <c r="N210" s="147"/>
      <c r="O210" s="147"/>
      <c r="P210" s="147"/>
      <c r="Q210" s="147"/>
      <c r="R210" s="147"/>
      <c r="S210" s="147"/>
      <c r="T210" s="147"/>
      <c r="U210" s="147"/>
      <c r="V210" s="147"/>
    </row>
    <row r="211">
      <c r="A211" s="240" t="s">
        <v>4837</v>
      </c>
      <c r="B211" s="240" t="s">
        <v>870</v>
      </c>
      <c r="C211" s="240" t="s">
        <v>871</v>
      </c>
      <c r="D211" s="240" t="s">
        <v>4838</v>
      </c>
      <c r="E211" s="240" t="s">
        <v>4839</v>
      </c>
      <c r="F211" s="240" t="s">
        <v>4227</v>
      </c>
      <c r="G211" s="147"/>
      <c r="H211" s="240" t="s">
        <v>4215</v>
      </c>
      <c r="I211" s="240" t="s">
        <v>4215</v>
      </c>
      <c r="J211" s="147"/>
      <c r="K211" s="147"/>
      <c r="L211" s="147"/>
      <c r="M211" s="147"/>
      <c r="N211" s="147"/>
      <c r="O211" s="147"/>
      <c r="P211" s="147"/>
      <c r="Q211" s="147"/>
      <c r="R211" s="147"/>
      <c r="S211" s="147"/>
      <c r="T211" s="147"/>
      <c r="U211" s="147"/>
      <c r="V211" s="147"/>
    </row>
    <row r="212">
      <c r="A212" s="240" t="s">
        <v>4840</v>
      </c>
      <c r="B212" s="240" t="s">
        <v>872</v>
      </c>
      <c r="C212" s="240" t="s">
        <v>873</v>
      </c>
      <c r="D212" s="240" t="s">
        <v>4841</v>
      </c>
      <c r="E212" s="240" t="s">
        <v>4842</v>
      </c>
      <c r="F212" s="240" t="s">
        <v>4223</v>
      </c>
      <c r="G212" s="147"/>
      <c r="H212" s="240" t="s">
        <v>4215</v>
      </c>
      <c r="I212" s="240" t="s">
        <v>4215</v>
      </c>
      <c r="J212" s="147"/>
      <c r="K212" s="147"/>
      <c r="L212" s="147"/>
      <c r="M212" s="147"/>
      <c r="N212" s="147"/>
      <c r="O212" s="147"/>
      <c r="P212" s="147"/>
      <c r="Q212" s="147"/>
      <c r="R212" s="147"/>
      <c r="S212" s="147"/>
      <c r="T212" s="147"/>
      <c r="U212" s="147"/>
      <c r="V212" s="147"/>
    </row>
    <row r="213">
      <c r="A213" s="240" t="s">
        <v>4843</v>
      </c>
      <c r="B213" s="240" t="s">
        <v>874</v>
      </c>
      <c r="C213" s="240" t="s">
        <v>875</v>
      </c>
      <c r="D213" s="240" t="s">
        <v>4844</v>
      </c>
      <c r="E213" s="240" t="s">
        <v>4845</v>
      </c>
      <c r="F213" s="240" t="s">
        <v>4223</v>
      </c>
      <c r="G213" s="147"/>
      <c r="H213" s="240" t="s">
        <v>4215</v>
      </c>
      <c r="I213" s="240" t="s">
        <v>4215</v>
      </c>
      <c r="J213" s="147"/>
      <c r="K213" s="147"/>
      <c r="L213" s="147"/>
      <c r="M213" s="147"/>
      <c r="N213" s="147"/>
      <c r="O213" s="147"/>
      <c r="P213" s="147"/>
      <c r="Q213" s="147"/>
      <c r="R213" s="147"/>
      <c r="S213" s="147"/>
      <c r="T213" s="147"/>
      <c r="U213" s="147"/>
      <c r="V213" s="147"/>
    </row>
    <row r="214">
      <c r="A214" s="240" t="s">
        <v>4846</v>
      </c>
      <c r="B214" s="240" t="s">
        <v>876</v>
      </c>
      <c r="C214" s="240" t="s">
        <v>877</v>
      </c>
      <c r="D214" s="240" t="s">
        <v>4847</v>
      </c>
      <c r="E214" s="240" t="s">
        <v>4848</v>
      </c>
      <c r="F214" s="240" t="s">
        <v>4349</v>
      </c>
      <c r="G214" s="147"/>
      <c r="H214" s="240" t="s">
        <v>4215</v>
      </c>
      <c r="I214" s="240" t="s">
        <v>4215</v>
      </c>
      <c r="J214" s="147"/>
      <c r="K214" s="147"/>
      <c r="L214" s="147"/>
      <c r="M214" s="147"/>
      <c r="N214" s="147"/>
      <c r="O214" s="147"/>
      <c r="P214" s="147"/>
      <c r="Q214" s="147"/>
      <c r="R214" s="147"/>
      <c r="S214" s="147"/>
      <c r="T214" s="147"/>
      <c r="U214" s="147"/>
      <c r="V214" s="147"/>
    </row>
    <row r="215">
      <c r="A215" s="240" t="s">
        <v>4849</v>
      </c>
      <c r="B215" s="240" t="s">
        <v>878</v>
      </c>
      <c r="C215" s="240" t="s">
        <v>879</v>
      </c>
      <c r="D215" s="240" t="s">
        <v>4850</v>
      </c>
      <c r="E215" s="240" t="s">
        <v>4851</v>
      </c>
      <c r="F215" s="240" t="s">
        <v>4231</v>
      </c>
      <c r="G215" s="147"/>
      <c r="H215" s="240" t="s">
        <v>4215</v>
      </c>
      <c r="I215" s="240" t="s">
        <v>4215</v>
      </c>
      <c r="J215" s="147"/>
      <c r="K215" s="147"/>
      <c r="L215" s="147"/>
      <c r="M215" s="147"/>
      <c r="N215" s="147"/>
      <c r="O215" s="147"/>
      <c r="P215" s="147"/>
      <c r="Q215" s="147"/>
      <c r="R215" s="147"/>
      <c r="S215" s="147"/>
      <c r="T215" s="147"/>
      <c r="U215" s="147"/>
      <c r="V215" s="147"/>
    </row>
    <row r="216">
      <c r="A216" s="240" t="s">
        <v>4852</v>
      </c>
      <c r="B216" s="240" t="s">
        <v>880</v>
      </c>
      <c r="C216" s="240" t="s">
        <v>881</v>
      </c>
      <c r="D216" s="240" t="s">
        <v>4853</v>
      </c>
      <c r="E216" s="240" t="s">
        <v>4854</v>
      </c>
      <c r="F216" s="240" t="s">
        <v>4264</v>
      </c>
      <c r="G216" s="147"/>
      <c r="H216" s="240" t="s">
        <v>4215</v>
      </c>
      <c r="I216" s="240" t="s">
        <v>4215</v>
      </c>
      <c r="J216" s="147"/>
      <c r="K216" s="147"/>
      <c r="L216" s="147"/>
      <c r="M216" s="147"/>
      <c r="N216" s="147"/>
      <c r="O216" s="147"/>
      <c r="P216" s="147"/>
      <c r="Q216" s="147"/>
      <c r="R216" s="147"/>
      <c r="S216" s="147"/>
      <c r="T216" s="147"/>
      <c r="U216" s="147"/>
      <c r="V216" s="147"/>
    </row>
    <row r="217">
      <c r="A217" s="240" t="s">
        <v>4855</v>
      </c>
      <c r="B217" s="240" t="s">
        <v>882</v>
      </c>
      <c r="C217" s="240" t="s">
        <v>883</v>
      </c>
      <c r="D217" s="240" t="s">
        <v>4856</v>
      </c>
      <c r="E217" s="240" t="s">
        <v>4857</v>
      </c>
      <c r="F217" s="240" t="s">
        <v>4223</v>
      </c>
      <c r="G217" s="147"/>
      <c r="H217" s="240" t="s">
        <v>4215</v>
      </c>
      <c r="I217" s="240" t="s">
        <v>4215</v>
      </c>
      <c r="J217" s="147"/>
      <c r="K217" s="147"/>
      <c r="L217" s="147"/>
      <c r="M217" s="147"/>
      <c r="N217" s="147"/>
      <c r="O217" s="147"/>
      <c r="P217" s="147"/>
      <c r="Q217" s="147"/>
      <c r="R217" s="147"/>
      <c r="S217" s="147"/>
      <c r="T217" s="147"/>
      <c r="U217" s="147"/>
      <c r="V217" s="147"/>
    </row>
    <row r="218">
      <c r="A218" s="240" t="s">
        <v>4858</v>
      </c>
      <c r="B218" s="240" t="s">
        <v>884</v>
      </c>
      <c r="C218" s="240" t="s">
        <v>885</v>
      </c>
      <c r="D218" s="240" t="s">
        <v>4859</v>
      </c>
      <c r="E218" s="240" t="s">
        <v>4860</v>
      </c>
      <c r="F218" s="240" t="s">
        <v>4223</v>
      </c>
      <c r="G218" s="147"/>
      <c r="H218" s="147"/>
      <c r="I218" s="147"/>
      <c r="J218" s="147"/>
      <c r="K218" s="147"/>
      <c r="L218" s="147"/>
      <c r="M218" s="147"/>
      <c r="N218" s="147"/>
      <c r="O218" s="147"/>
      <c r="P218" s="147"/>
      <c r="Q218" s="147"/>
      <c r="R218" s="147"/>
      <c r="S218" s="147"/>
      <c r="T218" s="147"/>
      <c r="U218" s="147"/>
      <c r="V218" s="147"/>
    </row>
    <row r="219">
      <c r="A219" s="240" t="s">
        <v>4861</v>
      </c>
      <c r="B219" s="240" t="s">
        <v>886</v>
      </c>
      <c r="C219" s="240" t="s">
        <v>887</v>
      </c>
      <c r="D219" s="240" t="s">
        <v>4862</v>
      </c>
      <c r="E219" s="240" t="s">
        <v>4863</v>
      </c>
      <c r="F219" s="240" t="s">
        <v>4264</v>
      </c>
      <c r="G219" s="147"/>
      <c r="H219" s="147"/>
      <c r="I219" s="147"/>
      <c r="J219" s="147"/>
      <c r="K219" s="147"/>
      <c r="L219" s="147"/>
      <c r="M219" s="147"/>
      <c r="N219" s="147"/>
      <c r="O219" s="147"/>
      <c r="P219" s="147"/>
      <c r="Q219" s="147"/>
      <c r="R219" s="147"/>
      <c r="S219" s="147"/>
      <c r="T219" s="147"/>
      <c r="U219" s="147"/>
      <c r="V219" s="147"/>
    </row>
    <row r="220">
      <c r="A220" s="240" t="s">
        <v>4864</v>
      </c>
      <c r="B220" s="240" t="s">
        <v>888</v>
      </c>
      <c r="C220" s="240" t="s">
        <v>889</v>
      </c>
      <c r="D220" s="240" t="s">
        <v>4865</v>
      </c>
      <c r="E220" s="240" t="s">
        <v>4866</v>
      </c>
      <c r="F220" s="240" t="s">
        <v>4227</v>
      </c>
      <c r="G220" s="147"/>
      <c r="H220" s="240" t="s">
        <v>4215</v>
      </c>
      <c r="I220" s="240" t="s">
        <v>4215</v>
      </c>
      <c r="J220" s="147"/>
      <c r="K220" s="147"/>
      <c r="L220" s="147"/>
      <c r="M220" s="147"/>
      <c r="N220" s="147"/>
      <c r="O220" s="147"/>
      <c r="P220" s="147"/>
      <c r="Q220" s="147"/>
      <c r="R220" s="147"/>
      <c r="S220" s="147"/>
      <c r="T220" s="147"/>
      <c r="U220" s="147"/>
      <c r="V220" s="147"/>
    </row>
    <row r="221">
      <c r="A221" s="240" t="s">
        <v>4867</v>
      </c>
      <c r="B221" s="240" t="s">
        <v>890</v>
      </c>
      <c r="C221" s="240" t="s">
        <v>891</v>
      </c>
      <c r="D221" s="240" t="s">
        <v>4868</v>
      </c>
      <c r="E221" s="240" t="s">
        <v>4869</v>
      </c>
      <c r="F221" s="240" t="s">
        <v>4223</v>
      </c>
      <c r="G221" s="147"/>
      <c r="H221" s="240" t="s">
        <v>4215</v>
      </c>
      <c r="I221" s="240" t="s">
        <v>4215</v>
      </c>
      <c r="J221" s="147"/>
      <c r="K221" s="147"/>
      <c r="L221" s="147"/>
      <c r="M221" s="147"/>
      <c r="N221" s="147"/>
      <c r="O221" s="147"/>
      <c r="P221" s="147"/>
      <c r="Q221" s="147"/>
      <c r="R221" s="147"/>
      <c r="S221" s="147"/>
      <c r="T221" s="147"/>
      <c r="U221" s="147"/>
      <c r="V221" s="147"/>
    </row>
    <row r="222">
      <c r="A222" s="240" t="s">
        <v>4870</v>
      </c>
      <c r="B222" s="240" t="s">
        <v>892</v>
      </c>
      <c r="C222" s="240" t="s">
        <v>893</v>
      </c>
      <c r="D222" s="240" t="s">
        <v>4871</v>
      </c>
      <c r="E222" s="240" t="s">
        <v>4872</v>
      </c>
      <c r="F222" s="240" t="s">
        <v>4223</v>
      </c>
      <c r="G222" s="147"/>
      <c r="H222" s="240" t="s">
        <v>4215</v>
      </c>
      <c r="I222" s="240" t="s">
        <v>4215</v>
      </c>
      <c r="J222" s="147"/>
      <c r="K222" s="147"/>
      <c r="L222" s="147"/>
      <c r="M222" s="147"/>
      <c r="N222" s="147"/>
      <c r="O222" s="147"/>
      <c r="P222" s="147"/>
      <c r="Q222" s="147"/>
      <c r="R222" s="147"/>
      <c r="S222" s="147"/>
      <c r="T222" s="147"/>
      <c r="U222" s="147"/>
      <c r="V222" s="147"/>
    </row>
    <row r="223">
      <c r="A223" s="240" t="s">
        <v>4873</v>
      </c>
      <c r="B223" s="240" t="s">
        <v>894</v>
      </c>
      <c r="C223" s="240" t="s">
        <v>895</v>
      </c>
      <c r="D223" s="240" t="s">
        <v>4874</v>
      </c>
      <c r="E223" s="240" t="s">
        <v>4875</v>
      </c>
      <c r="F223" s="240" t="s">
        <v>4264</v>
      </c>
      <c r="G223" s="147"/>
      <c r="H223" s="147"/>
      <c r="I223" s="147"/>
      <c r="J223" s="147"/>
      <c r="K223" s="147"/>
      <c r="L223" s="147"/>
      <c r="M223" s="147"/>
      <c r="N223" s="147"/>
      <c r="O223" s="147"/>
      <c r="P223" s="147"/>
      <c r="Q223" s="147"/>
      <c r="R223" s="147"/>
      <c r="S223" s="147"/>
      <c r="T223" s="147"/>
      <c r="U223" s="147"/>
      <c r="V223" s="147"/>
    </row>
    <row r="224">
      <c r="A224" s="240" t="s">
        <v>4876</v>
      </c>
      <c r="B224" s="240" t="s">
        <v>896</v>
      </c>
      <c r="C224" s="240" t="s">
        <v>897</v>
      </c>
      <c r="D224" s="240" t="s">
        <v>4877</v>
      </c>
      <c r="E224" s="240" t="s">
        <v>4878</v>
      </c>
      <c r="F224" s="240" t="s">
        <v>4621</v>
      </c>
      <c r="G224" s="147"/>
      <c r="H224" s="240" t="s">
        <v>4215</v>
      </c>
      <c r="I224" s="240" t="s">
        <v>4215</v>
      </c>
      <c r="J224" s="147"/>
      <c r="K224" s="147"/>
      <c r="L224" s="147"/>
      <c r="M224" s="147"/>
      <c r="N224" s="147"/>
      <c r="O224" s="147"/>
      <c r="P224" s="147"/>
      <c r="Q224" s="147"/>
      <c r="R224" s="147"/>
      <c r="S224" s="147"/>
      <c r="T224" s="147"/>
      <c r="U224" s="147"/>
      <c r="V224" s="147"/>
    </row>
    <row r="225">
      <c r="A225" s="240" t="s">
        <v>4879</v>
      </c>
      <c r="B225" s="240" t="s">
        <v>898</v>
      </c>
      <c r="C225" s="240" t="s">
        <v>899</v>
      </c>
      <c r="D225" s="240" t="s">
        <v>4880</v>
      </c>
      <c r="E225" s="240" t="s">
        <v>4881</v>
      </c>
      <c r="F225" s="240" t="s">
        <v>4479</v>
      </c>
      <c r="G225" s="147"/>
      <c r="H225" s="240" t="s">
        <v>4215</v>
      </c>
      <c r="I225" s="240" t="s">
        <v>4215</v>
      </c>
      <c r="J225" s="147"/>
      <c r="K225" s="147"/>
      <c r="L225" s="147"/>
      <c r="M225" s="147"/>
      <c r="N225" s="147"/>
      <c r="O225" s="147"/>
      <c r="P225" s="147"/>
      <c r="Q225" s="147"/>
      <c r="R225" s="147"/>
      <c r="S225" s="147"/>
      <c r="T225" s="147"/>
      <c r="U225" s="147"/>
      <c r="V225" s="147"/>
    </row>
    <row r="226">
      <c r="A226" s="240" t="s">
        <v>4882</v>
      </c>
      <c r="B226" s="240" t="s">
        <v>900</v>
      </c>
      <c r="C226" s="240" t="s">
        <v>901</v>
      </c>
      <c r="D226" s="240" t="s">
        <v>4883</v>
      </c>
      <c r="E226" s="240" t="s">
        <v>4884</v>
      </c>
      <c r="F226" s="240" t="s">
        <v>4264</v>
      </c>
      <c r="G226" s="147"/>
      <c r="H226" s="240" t="s">
        <v>4215</v>
      </c>
      <c r="I226" s="240" t="s">
        <v>4215</v>
      </c>
      <c r="J226" s="147"/>
      <c r="K226" s="147"/>
      <c r="L226" s="147"/>
      <c r="M226" s="147"/>
      <c r="N226" s="147"/>
      <c r="O226" s="147"/>
      <c r="P226" s="147"/>
      <c r="Q226" s="147"/>
      <c r="R226" s="147"/>
      <c r="S226" s="147"/>
      <c r="T226" s="147"/>
      <c r="U226" s="147"/>
      <c r="V226" s="147"/>
    </row>
    <row r="227">
      <c r="A227" s="240" t="s">
        <v>4885</v>
      </c>
      <c r="B227" s="240" t="s">
        <v>902</v>
      </c>
      <c r="C227" s="240" t="s">
        <v>903</v>
      </c>
      <c r="D227" s="240" t="s">
        <v>4886</v>
      </c>
      <c r="E227" s="240" t="s">
        <v>4887</v>
      </c>
      <c r="F227" s="240" t="s">
        <v>4223</v>
      </c>
      <c r="G227" s="147"/>
      <c r="H227" s="147"/>
      <c r="I227" s="147"/>
      <c r="J227" s="147"/>
      <c r="K227" s="147"/>
      <c r="L227" s="147"/>
      <c r="M227" s="147"/>
      <c r="N227" s="147"/>
      <c r="O227" s="147"/>
      <c r="P227" s="147"/>
      <c r="Q227" s="147"/>
      <c r="R227" s="147"/>
      <c r="S227" s="147"/>
      <c r="T227" s="147"/>
      <c r="U227" s="147"/>
      <c r="V227" s="147"/>
    </row>
    <row r="228">
      <c r="A228" s="240" t="s">
        <v>4888</v>
      </c>
      <c r="B228" s="240" t="s">
        <v>904</v>
      </c>
      <c r="C228" s="240" t="s">
        <v>905</v>
      </c>
      <c r="D228" s="240" t="s">
        <v>4889</v>
      </c>
      <c r="E228" s="240" t="s">
        <v>4890</v>
      </c>
      <c r="F228" s="240" t="s">
        <v>4621</v>
      </c>
      <c r="G228" s="147"/>
      <c r="H228" s="240" t="s">
        <v>4215</v>
      </c>
      <c r="I228" s="240" t="s">
        <v>4215</v>
      </c>
      <c r="J228" s="147"/>
      <c r="K228" s="147"/>
      <c r="L228" s="147"/>
      <c r="M228" s="147"/>
      <c r="N228" s="147"/>
      <c r="O228" s="147"/>
      <c r="P228" s="147"/>
      <c r="Q228" s="147"/>
      <c r="R228" s="147"/>
      <c r="S228" s="147"/>
      <c r="T228" s="147"/>
      <c r="U228" s="147"/>
      <c r="V228" s="147"/>
    </row>
    <row r="229">
      <c r="A229" s="240" t="s">
        <v>4891</v>
      </c>
      <c r="B229" s="240" t="s">
        <v>906</v>
      </c>
      <c r="C229" s="240" t="s">
        <v>907</v>
      </c>
      <c r="D229" s="240" t="s">
        <v>4892</v>
      </c>
      <c r="E229" s="240" t="s">
        <v>4893</v>
      </c>
      <c r="F229" s="240" t="s">
        <v>4235</v>
      </c>
      <c r="G229" s="147"/>
      <c r="H229" s="240" t="s">
        <v>4215</v>
      </c>
      <c r="I229" s="240" t="s">
        <v>4215</v>
      </c>
      <c r="J229" s="147"/>
      <c r="K229" s="147"/>
      <c r="L229" s="147"/>
      <c r="M229" s="147"/>
      <c r="N229" s="147"/>
      <c r="O229" s="147"/>
      <c r="P229" s="147"/>
      <c r="Q229" s="147"/>
      <c r="R229" s="147"/>
      <c r="S229" s="147"/>
      <c r="T229" s="147"/>
      <c r="U229" s="147"/>
      <c r="V229" s="147"/>
    </row>
    <row r="230">
      <c r="A230" s="240" t="s">
        <v>4894</v>
      </c>
      <c r="B230" s="240" t="s">
        <v>908</v>
      </c>
      <c r="C230" s="240" t="s">
        <v>909</v>
      </c>
      <c r="D230" s="240" t="s">
        <v>4895</v>
      </c>
      <c r="E230" s="240" t="s">
        <v>4896</v>
      </c>
      <c r="F230" s="240" t="s">
        <v>4223</v>
      </c>
      <c r="G230" s="147"/>
      <c r="H230" s="240" t="s">
        <v>4215</v>
      </c>
      <c r="I230" s="147"/>
      <c r="J230" s="147"/>
      <c r="K230" s="147"/>
      <c r="L230" s="147"/>
      <c r="M230" s="147"/>
      <c r="N230" s="147"/>
      <c r="O230" s="147"/>
      <c r="P230" s="147"/>
      <c r="Q230" s="147"/>
      <c r="R230" s="147"/>
      <c r="S230" s="147"/>
      <c r="T230" s="147"/>
      <c r="U230" s="147"/>
      <c r="V230" s="147"/>
    </row>
    <row r="231">
      <c r="A231" s="240" t="s">
        <v>4897</v>
      </c>
      <c r="B231" s="240" t="s">
        <v>910</v>
      </c>
      <c r="C231" s="240" t="s">
        <v>911</v>
      </c>
      <c r="D231" s="240" t="s">
        <v>4898</v>
      </c>
      <c r="E231" s="240" t="s">
        <v>4899</v>
      </c>
      <c r="F231" s="240" t="s">
        <v>4235</v>
      </c>
      <c r="G231" s="147"/>
      <c r="H231" s="147"/>
      <c r="I231" s="147"/>
      <c r="J231" s="147"/>
      <c r="K231" s="147"/>
      <c r="L231" s="147"/>
      <c r="M231" s="147"/>
      <c r="N231" s="147"/>
      <c r="O231" s="147"/>
      <c r="P231" s="147"/>
      <c r="Q231" s="147"/>
      <c r="R231" s="147"/>
      <c r="S231" s="147"/>
      <c r="T231" s="147"/>
      <c r="U231" s="147"/>
      <c r="V231" s="147"/>
    </row>
    <row r="232">
      <c r="A232" s="240" t="s">
        <v>4900</v>
      </c>
      <c r="B232" s="240" t="s">
        <v>912</v>
      </c>
      <c r="C232" s="240" t="s">
        <v>913</v>
      </c>
      <c r="D232" s="240" t="s">
        <v>4901</v>
      </c>
      <c r="E232" s="240" t="s">
        <v>4902</v>
      </c>
      <c r="F232" s="240" t="s">
        <v>4264</v>
      </c>
      <c r="G232" s="147"/>
      <c r="H232" s="240" t="s">
        <v>4215</v>
      </c>
      <c r="I232" s="240" t="s">
        <v>4215</v>
      </c>
      <c r="J232" s="147"/>
      <c r="K232" s="147"/>
      <c r="L232" s="147"/>
      <c r="M232" s="147"/>
      <c r="N232" s="147"/>
      <c r="O232" s="147"/>
      <c r="P232" s="147"/>
      <c r="Q232" s="147"/>
      <c r="R232" s="147"/>
      <c r="S232" s="147"/>
      <c r="T232" s="147"/>
      <c r="U232" s="147"/>
      <c r="V232" s="147"/>
    </row>
    <row r="233">
      <c r="A233" s="240" t="s">
        <v>4903</v>
      </c>
      <c r="B233" s="240" t="s">
        <v>914</v>
      </c>
      <c r="C233" s="240" t="s">
        <v>915</v>
      </c>
      <c r="D233" s="240" t="s">
        <v>4904</v>
      </c>
      <c r="E233" s="240" t="s">
        <v>4905</v>
      </c>
      <c r="F233" s="240" t="s">
        <v>4223</v>
      </c>
      <c r="G233" s="147"/>
      <c r="H233" s="240" t="s">
        <v>4215</v>
      </c>
      <c r="I233" s="240" t="s">
        <v>4215</v>
      </c>
      <c r="J233" s="147"/>
      <c r="K233" s="147"/>
      <c r="L233" s="147"/>
      <c r="M233" s="147"/>
      <c r="N233" s="147"/>
      <c r="O233" s="147"/>
      <c r="P233" s="147"/>
      <c r="Q233" s="147"/>
      <c r="R233" s="147"/>
      <c r="S233" s="147"/>
      <c r="T233" s="147"/>
      <c r="U233" s="147"/>
      <c r="V233" s="147"/>
    </row>
    <row r="234">
      <c r="A234" s="240" t="s">
        <v>4906</v>
      </c>
      <c r="B234" s="240" t="s">
        <v>916</v>
      </c>
      <c r="C234" s="240" t="s">
        <v>917</v>
      </c>
      <c r="D234" s="240" t="s">
        <v>4907</v>
      </c>
      <c r="E234" s="240" t="s">
        <v>4908</v>
      </c>
      <c r="F234" s="240" t="s">
        <v>4223</v>
      </c>
      <c r="G234" s="147"/>
      <c r="H234" s="240" t="s">
        <v>4215</v>
      </c>
      <c r="I234" s="240" t="s">
        <v>4215</v>
      </c>
      <c r="J234" s="147"/>
      <c r="K234" s="147"/>
      <c r="L234" s="147"/>
      <c r="M234" s="147"/>
      <c r="N234" s="147"/>
      <c r="O234" s="147"/>
      <c r="P234" s="147"/>
      <c r="Q234" s="147"/>
      <c r="R234" s="147"/>
      <c r="S234" s="147"/>
      <c r="T234" s="147"/>
      <c r="U234" s="147"/>
      <c r="V234" s="147"/>
    </row>
    <row r="235">
      <c r="A235" s="240" t="s">
        <v>4909</v>
      </c>
      <c r="B235" s="240" t="s">
        <v>918</v>
      </c>
      <c r="C235" s="240" t="s">
        <v>919</v>
      </c>
      <c r="D235" s="240" t="s">
        <v>4910</v>
      </c>
      <c r="E235" s="240" t="s">
        <v>4911</v>
      </c>
      <c r="F235" s="240" t="s">
        <v>4227</v>
      </c>
      <c r="G235" s="147"/>
      <c r="H235" s="240" t="s">
        <v>4215</v>
      </c>
      <c r="I235" s="240" t="s">
        <v>4215</v>
      </c>
      <c r="J235" s="147"/>
      <c r="K235" s="147"/>
      <c r="L235" s="147"/>
      <c r="M235" s="147"/>
      <c r="N235" s="147"/>
      <c r="O235" s="147"/>
      <c r="P235" s="147"/>
      <c r="Q235" s="147"/>
      <c r="R235" s="147"/>
      <c r="S235" s="147"/>
      <c r="T235" s="147"/>
      <c r="U235" s="147"/>
      <c r="V235" s="147"/>
    </row>
    <row r="236">
      <c r="A236" s="240" t="s">
        <v>4912</v>
      </c>
      <c r="B236" s="240" t="s">
        <v>920</v>
      </c>
      <c r="C236" s="240" t="s">
        <v>921</v>
      </c>
      <c r="D236" s="240" t="s">
        <v>4913</v>
      </c>
      <c r="E236" s="240" t="s">
        <v>4887</v>
      </c>
      <c r="F236" s="240" t="s">
        <v>4223</v>
      </c>
      <c r="G236" s="147"/>
      <c r="H236" s="147"/>
      <c r="I236" s="147"/>
      <c r="J236" s="147"/>
      <c r="K236" s="147"/>
      <c r="L236" s="147"/>
      <c r="M236" s="147"/>
      <c r="N236" s="147"/>
      <c r="O236" s="147"/>
      <c r="P236" s="147"/>
      <c r="Q236" s="147"/>
      <c r="R236" s="147"/>
      <c r="S236" s="147"/>
      <c r="T236" s="147"/>
      <c r="U236" s="147"/>
      <c r="V236" s="147"/>
    </row>
    <row r="237">
      <c r="A237" s="240" t="s">
        <v>4914</v>
      </c>
      <c r="B237" s="240" t="s">
        <v>922</v>
      </c>
      <c r="C237" s="240" t="s">
        <v>923</v>
      </c>
      <c r="D237" s="240" t="s">
        <v>4915</v>
      </c>
      <c r="E237" s="240" t="s">
        <v>4916</v>
      </c>
      <c r="F237" s="240" t="s">
        <v>4223</v>
      </c>
      <c r="G237" s="147"/>
      <c r="H237" s="240" t="s">
        <v>4215</v>
      </c>
      <c r="I237" s="240" t="s">
        <v>4215</v>
      </c>
      <c r="J237" s="147"/>
      <c r="K237" s="147"/>
      <c r="L237" s="147"/>
      <c r="M237" s="147"/>
      <c r="N237" s="147"/>
      <c r="O237" s="147"/>
      <c r="P237" s="147"/>
      <c r="Q237" s="147"/>
      <c r="R237" s="147"/>
      <c r="S237" s="147"/>
      <c r="T237" s="147"/>
      <c r="U237" s="147"/>
      <c r="V237" s="147"/>
    </row>
    <row r="238">
      <c r="A238" s="240" t="s">
        <v>4917</v>
      </c>
      <c r="B238" s="240" t="s">
        <v>924</v>
      </c>
      <c r="C238" s="240" t="s">
        <v>925</v>
      </c>
      <c r="D238" s="240" t="s">
        <v>4918</v>
      </c>
      <c r="E238" s="240" t="s">
        <v>4919</v>
      </c>
      <c r="F238" s="240" t="s">
        <v>4231</v>
      </c>
      <c r="G238" s="147"/>
      <c r="H238" s="147"/>
      <c r="I238" s="147"/>
      <c r="J238" s="147"/>
      <c r="K238" s="147"/>
      <c r="L238" s="147"/>
      <c r="M238" s="147"/>
      <c r="N238" s="147"/>
      <c r="O238" s="147"/>
      <c r="P238" s="147"/>
      <c r="Q238" s="147"/>
      <c r="R238" s="147"/>
      <c r="S238" s="147"/>
      <c r="T238" s="147"/>
      <c r="U238" s="147"/>
      <c r="V238" s="147"/>
    </row>
    <row r="239">
      <c r="A239" s="240" t="s">
        <v>4920</v>
      </c>
      <c r="B239" s="240" t="s">
        <v>926</v>
      </c>
      <c r="C239" s="240" t="s">
        <v>927</v>
      </c>
      <c r="D239" s="240" t="s">
        <v>4921</v>
      </c>
      <c r="E239" s="240" t="s">
        <v>4922</v>
      </c>
      <c r="F239" s="240" t="s">
        <v>4223</v>
      </c>
      <c r="G239" s="147"/>
      <c r="H239" s="147"/>
      <c r="I239" s="147"/>
      <c r="J239" s="147"/>
      <c r="K239" s="147"/>
      <c r="L239" s="147"/>
      <c r="M239" s="147"/>
      <c r="N239" s="147"/>
      <c r="O239" s="147"/>
      <c r="P239" s="147"/>
      <c r="Q239" s="147"/>
      <c r="R239" s="147"/>
      <c r="S239" s="147"/>
      <c r="T239" s="147"/>
      <c r="U239" s="147"/>
      <c r="V239" s="147"/>
    </row>
    <row r="240">
      <c r="A240" s="240" t="s">
        <v>4923</v>
      </c>
      <c r="B240" s="240" t="s">
        <v>928</v>
      </c>
      <c r="C240" s="240" t="s">
        <v>929</v>
      </c>
      <c r="D240" s="240" t="s">
        <v>4924</v>
      </c>
      <c r="E240" s="240" t="s">
        <v>4925</v>
      </c>
      <c r="F240" s="240" t="s">
        <v>4235</v>
      </c>
      <c r="G240" s="147"/>
      <c r="H240" s="147"/>
      <c r="I240" s="147"/>
      <c r="J240" s="147"/>
      <c r="K240" s="147"/>
      <c r="L240" s="147"/>
      <c r="M240" s="147"/>
      <c r="N240" s="147"/>
      <c r="O240" s="147"/>
      <c r="P240" s="147"/>
      <c r="Q240" s="147"/>
      <c r="R240" s="147"/>
      <c r="S240" s="147"/>
      <c r="T240" s="147"/>
      <c r="U240" s="147"/>
      <c r="V240" s="147"/>
    </row>
    <row r="241">
      <c r="A241" s="240" t="s">
        <v>4926</v>
      </c>
      <c r="B241" s="240" t="s">
        <v>930</v>
      </c>
      <c r="C241" s="240" t="s">
        <v>931</v>
      </c>
      <c r="D241" s="240" t="s">
        <v>4927</v>
      </c>
      <c r="E241" s="240" t="s">
        <v>4426</v>
      </c>
      <c r="F241" s="240" t="s">
        <v>4223</v>
      </c>
      <c r="G241" s="147"/>
      <c r="H241" s="240" t="s">
        <v>4215</v>
      </c>
      <c r="I241" s="240" t="s">
        <v>4215</v>
      </c>
      <c r="J241" s="147"/>
      <c r="K241" s="147"/>
      <c r="L241" s="147"/>
      <c r="M241" s="147"/>
      <c r="N241" s="147"/>
      <c r="O241" s="147"/>
      <c r="P241" s="147"/>
      <c r="Q241" s="147"/>
      <c r="R241" s="147"/>
      <c r="S241" s="147"/>
      <c r="T241" s="147"/>
      <c r="U241" s="147"/>
      <c r="V241" s="147"/>
    </row>
    <row r="242">
      <c r="A242" s="240" t="s">
        <v>4928</v>
      </c>
      <c r="B242" s="240" t="s">
        <v>932</v>
      </c>
      <c r="C242" s="240" t="s">
        <v>933</v>
      </c>
      <c r="D242" s="240" t="s">
        <v>4929</v>
      </c>
      <c r="E242" s="240" t="s">
        <v>4930</v>
      </c>
      <c r="F242" s="240" t="s">
        <v>4219</v>
      </c>
      <c r="G242" s="147"/>
      <c r="H242" s="240" t="s">
        <v>4215</v>
      </c>
      <c r="I242" s="240" t="s">
        <v>4215</v>
      </c>
      <c r="J242" s="147"/>
      <c r="K242" s="147"/>
      <c r="L242" s="147"/>
      <c r="M242" s="147"/>
      <c r="N242" s="147"/>
      <c r="O242" s="147"/>
      <c r="P242" s="147"/>
      <c r="Q242" s="147"/>
      <c r="R242" s="147"/>
      <c r="S242" s="147"/>
      <c r="T242" s="147"/>
      <c r="U242" s="147"/>
      <c r="V242" s="147"/>
    </row>
    <row r="243">
      <c r="A243" s="240" t="s">
        <v>4931</v>
      </c>
      <c r="B243" s="240" t="s">
        <v>934</v>
      </c>
      <c r="C243" s="240" t="s">
        <v>935</v>
      </c>
      <c r="D243" s="240" t="s">
        <v>4932</v>
      </c>
      <c r="E243" s="240" t="s">
        <v>4933</v>
      </c>
      <c r="F243" s="240" t="s">
        <v>4235</v>
      </c>
      <c r="G243" s="147"/>
      <c r="H243" s="240" t="s">
        <v>4215</v>
      </c>
      <c r="I243" s="240" t="s">
        <v>4215</v>
      </c>
      <c r="J243" s="147"/>
      <c r="K243" s="147"/>
      <c r="L243" s="147"/>
      <c r="M243" s="147"/>
      <c r="N243" s="147"/>
      <c r="O243" s="147"/>
      <c r="P243" s="147"/>
      <c r="Q243" s="147"/>
      <c r="R243" s="147"/>
      <c r="S243" s="147"/>
      <c r="T243" s="147"/>
      <c r="U243" s="147"/>
      <c r="V243" s="147"/>
    </row>
    <row r="244">
      <c r="A244" s="240" t="s">
        <v>4934</v>
      </c>
      <c r="B244" s="240" t="s">
        <v>936</v>
      </c>
      <c r="C244" s="240" t="s">
        <v>937</v>
      </c>
      <c r="D244" s="240" t="s">
        <v>4935</v>
      </c>
      <c r="E244" s="240" t="s">
        <v>4509</v>
      </c>
      <c r="F244" s="240" t="s">
        <v>4479</v>
      </c>
      <c r="G244" s="147"/>
      <c r="H244" s="147"/>
      <c r="I244" s="147"/>
      <c r="J244" s="147"/>
      <c r="K244" s="147"/>
      <c r="L244" s="147"/>
      <c r="M244" s="147"/>
      <c r="N244" s="147"/>
      <c r="O244" s="147"/>
      <c r="P244" s="147"/>
      <c r="Q244" s="147"/>
      <c r="R244" s="147"/>
      <c r="S244" s="147"/>
      <c r="T244" s="147"/>
      <c r="U244" s="147"/>
      <c r="V244" s="147"/>
    </row>
    <row r="245">
      <c r="A245" s="240" t="s">
        <v>4936</v>
      </c>
      <c r="B245" s="240" t="s">
        <v>938</v>
      </c>
      <c r="C245" s="240" t="s">
        <v>939</v>
      </c>
      <c r="D245" s="240" t="s">
        <v>4937</v>
      </c>
      <c r="E245" s="240" t="s">
        <v>4938</v>
      </c>
      <c r="F245" s="240" t="s">
        <v>4223</v>
      </c>
      <c r="G245" s="147"/>
      <c r="H245" s="240" t="s">
        <v>4215</v>
      </c>
      <c r="I245" s="240" t="s">
        <v>4215</v>
      </c>
      <c r="J245" s="147"/>
      <c r="K245" s="147"/>
      <c r="L245" s="147"/>
      <c r="M245" s="147"/>
      <c r="N245" s="147"/>
      <c r="O245" s="147"/>
      <c r="P245" s="147"/>
      <c r="Q245" s="147"/>
      <c r="R245" s="147"/>
      <c r="S245" s="147"/>
      <c r="T245" s="147"/>
      <c r="U245" s="147"/>
      <c r="V245" s="147"/>
    </row>
    <row r="246">
      <c r="A246" s="240" t="s">
        <v>4939</v>
      </c>
      <c r="B246" s="240" t="s">
        <v>940</v>
      </c>
      <c r="C246" s="240" t="s">
        <v>941</v>
      </c>
      <c r="D246" s="240" t="s">
        <v>4940</v>
      </c>
      <c r="E246" s="240" t="s">
        <v>4941</v>
      </c>
      <c r="F246" s="240" t="s">
        <v>4264</v>
      </c>
      <c r="G246" s="147"/>
      <c r="H246" s="240" t="s">
        <v>4215</v>
      </c>
      <c r="I246" s="240" t="s">
        <v>4215</v>
      </c>
      <c r="J246" s="147"/>
      <c r="K246" s="147"/>
      <c r="L246" s="147"/>
      <c r="M246" s="147"/>
      <c r="N246" s="147"/>
      <c r="O246" s="147"/>
      <c r="P246" s="147"/>
      <c r="Q246" s="147"/>
      <c r="R246" s="147"/>
      <c r="S246" s="147"/>
      <c r="T246" s="147"/>
      <c r="U246" s="147"/>
      <c r="V246" s="147"/>
    </row>
    <row r="247">
      <c r="A247" s="240" t="s">
        <v>4942</v>
      </c>
      <c r="B247" s="240" t="s">
        <v>942</v>
      </c>
      <c r="C247" s="240" t="s">
        <v>943</v>
      </c>
      <c r="D247" s="240" t="s">
        <v>4943</v>
      </c>
      <c r="E247" s="240" t="s">
        <v>4469</v>
      </c>
      <c r="F247" s="240" t="s">
        <v>4235</v>
      </c>
      <c r="G247" s="147"/>
      <c r="H247" s="240" t="s">
        <v>4215</v>
      </c>
      <c r="I247" s="147"/>
      <c r="J247" s="147"/>
      <c r="K247" s="147"/>
      <c r="L247" s="147"/>
      <c r="M247" s="147"/>
      <c r="N247" s="147"/>
      <c r="O247" s="147"/>
      <c r="P247" s="147"/>
      <c r="Q247" s="147"/>
      <c r="R247" s="147"/>
      <c r="S247" s="147"/>
      <c r="T247" s="147"/>
      <c r="U247" s="147"/>
      <c r="V247" s="147"/>
    </row>
    <row r="248">
      <c r="A248" s="240" t="s">
        <v>4944</v>
      </c>
      <c r="B248" s="240" t="s">
        <v>944</v>
      </c>
      <c r="C248" s="240" t="s">
        <v>945</v>
      </c>
      <c r="D248" s="240" t="s">
        <v>4945</v>
      </c>
      <c r="E248" s="240" t="s">
        <v>4946</v>
      </c>
      <c r="F248" s="240" t="s">
        <v>4223</v>
      </c>
      <c r="G248" s="147"/>
      <c r="H248" s="240" t="s">
        <v>4215</v>
      </c>
      <c r="I248" s="240" t="s">
        <v>4215</v>
      </c>
      <c r="J248" s="147"/>
      <c r="K248" s="147"/>
      <c r="L248" s="147"/>
      <c r="M248" s="147"/>
      <c r="N248" s="147"/>
      <c r="O248" s="147"/>
      <c r="P248" s="147"/>
      <c r="Q248" s="147"/>
      <c r="R248" s="147"/>
      <c r="S248" s="147"/>
      <c r="T248" s="147"/>
      <c r="U248" s="147"/>
      <c r="V248" s="147"/>
    </row>
    <row r="249">
      <c r="A249" s="240" t="s">
        <v>4947</v>
      </c>
      <c r="B249" s="240" t="s">
        <v>946</v>
      </c>
      <c r="C249" s="240" t="s">
        <v>947</v>
      </c>
      <c r="D249" s="240" t="s">
        <v>4948</v>
      </c>
      <c r="E249" s="240" t="s">
        <v>4949</v>
      </c>
      <c r="F249" s="240" t="s">
        <v>4223</v>
      </c>
      <c r="G249" s="147"/>
      <c r="H249" s="147"/>
      <c r="I249" s="147"/>
      <c r="J249" s="147"/>
      <c r="K249" s="147"/>
      <c r="L249" s="147"/>
      <c r="M249" s="147"/>
      <c r="N249" s="147"/>
      <c r="O249" s="147"/>
      <c r="P249" s="147"/>
      <c r="Q249" s="147"/>
      <c r="R249" s="147"/>
      <c r="S249" s="147"/>
      <c r="T249" s="147"/>
      <c r="U249" s="147"/>
      <c r="V249" s="147"/>
    </row>
    <row r="250">
      <c r="A250" s="240" t="s">
        <v>4950</v>
      </c>
      <c r="B250" s="240" t="s">
        <v>948</v>
      </c>
      <c r="C250" s="240" t="s">
        <v>949</v>
      </c>
      <c r="D250" s="240" t="s">
        <v>4951</v>
      </c>
      <c r="E250" s="240" t="s">
        <v>4854</v>
      </c>
      <c r="F250" s="240" t="s">
        <v>4264</v>
      </c>
      <c r="G250" s="147"/>
      <c r="H250" s="240" t="s">
        <v>4215</v>
      </c>
      <c r="I250" s="240" t="s">
        <v>4215</v>
      </c>
      <c r="J250" s="147"/>
      <c r="K250" s="147"/>
      <c r="L250" s="147"/>
      <c r="M250" s="147"/>
      <c r="N250" s="147"/>
      <c r="O250" s="147"/>
      <c r="P250" s="147"/>
      <c r="Q250" s="147"/>
      <c r="R250" s="147"/>
      <c r="S250" s="147"/>
      <c r="T250" s="147"/>
      <c r="U250" s="147"/>
      <c r="V250" s="147"/>
    </row>
    <row r="251">
      <c r="A251" s="240" t="s">
        <v>4952</v>
      </c>
      <c r="B251" s="240" t="s">
        <v>950</v>
      </c>
      <c r="C251" s="240" t="s">
        <v>951</v>
      </c>
      <c r="D251" s="240" t="s">
        <v>4953</v>
      </c>
      <c r="E251" s="240" t="s">
        <v>4954</v>
      </c>
      <c r="F251" s="240" t="s">
        <v>4235</v>
      </c>
      <c r="G251" s="147"/>
      <c r="H251" s="240" t="s">
        <v>4215</v>
      </c>
      <c r="I251" s="240" t="s">
        <v>4215</v>
      </c>
      <c r="J251" s="147"/>
      <c r="K251" s="147"/>
      <c r="L251" s="147"/>
      <c r="M251" s="147"/>
      <c r="N251" s="147"/>
      <c r="O251" s="147"/>
      <c r="P251" s="147"/>
      <c r="Q251" s="147"/>
      <c r="R251" s="147"/>
      <c r="S251" s="147"/>
      <c r="T251" s="147"/>
      <c r="U251" s="147"/>
      <c r="V251" s="147"/>
    </row>
    <row r="252">
      <c r="A252" s="240" t="s">
        <v>4955</v>
      </c>
      <c r="B252" s="240" t="s">
        <v>952</v>
      </c>
      <c r="C252" s="240" t="s">
        <v>953</v>
      </c>
      <c r="D252" s="240" t="s">
        <v>4956</v>
      </c>
      <c r="E252" s="240" t="s">
        <v>4957</v>
      </c>
      <c r="F252" s="240" t="s">
        <v>4828</v>
      </c>
      <c r="G252" s="147"/>
      <c r="H252" s="240" t="s">
        <v>4215</v>
      </c>
      <c r="I252" s="240" t="s">
        <v>4215</v>
      </c>
      <c r="J252" s="147"/>
      <c r="K252" s="147"/>
      <c r="L252" s="147"/>
      <c r="M252" s="147"/>
      <c r="N252" s="147"/>
      <c r="O252" s="147"/>
      <c r="P252" s="147"/>
      <c r="Q252" s="147"/>
      <c r="R252" s="147"/>
      <c r="S252" s="147"/>
      <c r="T252" s="147"/>
      <c r="U252" s="147"/>
      <c r="V252" s="147"/>
    </row>
    <row r="253">
      <c r="A253" s="240" t="s">
        <v>4958</v>
      </c>
      <c r="B253" s="240" t="s">
        <v>954</v>
      </c>
      <c r="C253" s="240" t="s">
        <v>955</v>
      </c>
      <c r="D253" s="240" t="s">
        <v>4959</v>
      </c>
      <c r="E253" s="240" t="s">
        <v>4954</v>
      </c>
      <c r="F253" s="240" t="s">
        <v>4231</v>
      </c>
      <c r="G253" s="147"/>
      <c r="H253" s="240" t="s">
        <v>4215</v>
      </c>
      <c r="I253" s="240" t="s">
        <v>4215</v>
      </c>
      <c r="J253" s="147"/>
      <c r="K253" s="147"/>
      <c r="L253" s="147"/>
      <c r="M253" s="147"/>
      <c r="N253" s="147"/>
      <c r="O253" s="147"/>
      <c r="P253" s="147"/>
      <c r="Q253" s="147"/>
      <c r="R253" s="147"/>
      <c r="S253" s="147"/>
      <c r="T253" s="147"/>
      <c r="U253" s="147"/>
      <c r="V253" s="147"/>
    </row>
    <row r="254">
      <c r="A254" s="240" t="s">
        <v>4960</v>
      </c>
      <c r="B254" s="240" t="s">
        <v>956</v>
      </c>
      <c r="C254" s="240" t="s">
        <v>957</v>
      </c>
      <c r="D254" s="240" t="s">
        <v>4961</v>
      </c>
      <c r="E254" s="240" t="s">
        <v>4571</v>
      </c>
      <c r="F254" s="240" t="s">
        <v>4231</v>
      </c>
      <c r="G254" s="147"/>
      <c r="H254" s="240" t="s">
        <v>4215</v>
      </c>
      <c r="I254" s="240" t="s">
        <v>4215</v>
      </c>
      <c r="J254" s="147"/>
      <c r="K254" s="147"/>
      <c r="L254" s="147"/>
      <c r="M254" s="147"/>
      <c r="N254" s="147"/>
      <c r="O254" s="147"/>
      <c r="P254" s="147"/>
      <c r="Q254" s="147"/>
      <c r="R254" s="147"/>
      <c r="S254" s="147"/>
      <c r="T254" s="147"/>
      <c r="U254" s="147"/>
      <c r="V254" s="147"/>
    </row>
    <row r="255">
      <c r="A255" s="240" t="s">
        <v>4962</v>
      </c>
      <c r="B255" s="240" t="s">
        <v>958</v>
      </c>
      <c r="C255" s="240" t="s">
        <v>959</v>
      </c>
      <c r="D255" s="240" t="s">
        <v>4963</v>
      </c>
      <c r="E255" s="240" t="s">
        <v>4964</v>
      </c>
      <c r="F255" s="240" t="s">
        <v>4223</v>
      </c>
      <c r="G255" s="147"/>
      <c r="H255" s="240" t="s">
        <v>4215</v>
      </c>
      <c r="I255" s="240" t="s">
        <v>4215</v>
      </c>
      <c r="J255" s="147"/>
      <c r="K255" s="147"/>
      <c r="L255" s="147"/>
      <c r="M255" s="147"/>
      <c r="N255" s="147"/>
      <c r="O255" s="147"/>
      <c r="P255" s="147"/>
      <c r="Q255" s="147"/>
      <c r="R255" s="147"/>
      <c r="S255" s="147"/>
      <c r="T255" s="147"/>
      <c r="U255" s="147"/>
      <c r="V255" s="147"/>
    </row>
    <row r="256">
      <c r="A256" s="240" t="s">
        <v>4965</v>
      </c>
      <c r="B256" s="240" t="s">
        <v>960</v>
      </c>
      <c r="C256" s="240" t="s">
        <v>961</v>
      </c>
      <c r="D256" s="240" t="s">
        <v>4966</v>
      </c>
      <c r="E256" s="240" t="s">
        <v>4967</v>
      </c>
      <c r="F256" s="240" t="s">
        <v>4219</v>
      </c>
      <c r="G256" s="147"/>
      <c r="H256" s="147"/>
      <c r="I256" s="147"/>
      <c r="J256" s="147"/>
      <c r="K256" s="147"/>
      <c r="L256" s="147"/>
      <c r="M256" s="147"/>
      <c r="N256" s="147"/>
      <c r="O256" s="147"/>
      <c r="P256" s="147"/>
      <c r="Q256" s="147"/>
      <c r="R256" s="147"/>
      <c r="S256" s="147"/>
      <c r="T256" s="147"/>
      <c r="U256" s="147"/>
      <c r="V256" s="147"/>
    </row>
    <row r="257">
      <c r="A257" s="240" t="s">
        <v>4968</v>
      </c>
      <c r="B257" s="240" t="s">
        <v>962</v>
      </c>
      <c r="C257" s="240" t="s">
        <v>963</v>
      </c>
      <c r="D257" s="240" t="s">
        <v>4969</v>
      </c>
      <c r="E257" s="240" t="s">
        <v>4970</v>
      </c>
      <c r="F257" s="240" t="s">
        <v>4264</v>
      </c>
      <c r="G257" s="147"/>
      <c r="H257" s="240" t="s">
        <v>4215</v>
      </c>
      <c r="I257" s="240" t="s">
        <v>4215</v>
      </c>
      <c r="J257" s="147"/>
      <c r="K257" s="147"/>
      <c r="L257" s="147"/>
      <c r="M257" s="147"/>
      <c r="N257" s="147"/>
      <c r="O257" s="147"/>
      <c r="P257" s="147"/>
      <c r="Q257" s="147"/>
      <c r="R257" s="147"/>
      <c r="S257" s="147"/>
      <c r="T257" s="147"/>
      <c r="U257" s="147"/>
      <c r="V257" s="147"/>
    </row>
    <row r="258">
      <c r="A258" s="240" t="s">
        <v>4971</v>
      </c>
      <c r="B258" s="240" t="s">
        <v>964</v>
      </c>
      <c r="C258" s="240" t="s">
        <v>965</v>
      </c>
      <c r="D258" s="240" t="s">
        <v>4972</v>
      </c>
      <c r="E258" s="240" t="s">
        <v>4973</v>
      </c>
      <c r="F258" s="240" t="s">
        <v>4223</v>
      </c>
      <c r="G258" s="147"/>
      <c r="H258" s="240" t="s">
        <v>4215</v>
      </c>
      <c r="I258" s="240" t="s">
        <v>4215</v>
      </c>
      <c r="J258" s="147"/>
      <c r="K258" s="147"/>
      <c r="L258" s="147"/>
      <c r="M258" s="147"/>
      <c r="N258" s="147"/>
      <c r="O258" s="147"/>
      <c r="P258" s="147"/>
      <c r="Q258" s="147"/>
      <c r="R258" s="147"/>
      <c r="S258" s="147"/>
      <c r="T258" s="147"/>
      <c r="U258" s="147"/>
      <c r="V258" s="147"/>
    </row>
    <row r="259">
      <c r="A259" s="240" t="s">
        <v>4974</v>
      </c>
      <c r="B259" s="240" t="s">
        <v>966</v>
      </c>
      <c r="C259" s="240" t="s">
        <v>967</v>
      </c>
      <c r="D259" s="240" t="s">
        <v>4975</v>
      </c>
      <c r="E259" s="240" t="s">
        <v>4976</v>
      </c>
      <c r="F259" s="240" t="s">
        <v>4227</v>
      </c>
      <c r="G259" s="147"/>
      <c r="H259" s="240" t="s">
        <v>4215</v>
      </c>
      <c r="I259" s="240" t="s">
        <v>4215</v>
      </c>
      <c r="J259" s="147"/>
      <c r="K259" s="147"/>
      <c r="L259" s="147"/>
      <c r="M259" s="147"/>
      <c r="N259" s="147"/>
      <c r="O259" s="147"/>
      <c r="P259" s="147"/>
      <c r="Q259" s="147"/>
      <c r="R259" s="147"/>
      <c r="S259" s="147"/>
      <c r="T259" s="147"/>
      <c r="U259" s="147"/>
      <c r="V259" s="147"/>
    </row>
    <row r="260">
      <c r="A260" s="240" t="s">
        <v>4977</v>
      </c>
      <c r="B260" s="240" t="s">
        <v>968</v>
      </c>
      <c r="C260" s="240" t="s">
        <v>969</v>
      </c>
      <c r="D260" s="240" t="s">
        <v>4978</v>
      </c>
      <c r="E260" s="240" t="s">
        <v>4979</v>
      </c>
      <c r="F260" s="147"/>
      <c r="G260" s="147"/>
      <c r="H260" s="147"/>
      <c r="I260" s="147"/>
      <c r="J260" s="147"/>
      <c r="K260" s="147"/>
      <c r="L260" s="147"/>
      <c r="M260" s="147"/>
      <c r="N260" s="147"/>
      <c r="O260" s="147"/>
      <c r="P260" s="147"/>
      <c r="Q260" s="147"/>
      <c r="R260" s="147"/>
      <c r="S260" s="147"/>
      <c r="T260" s="147"/>
      <c r="U260" s="147"/>
      <c r="V260" s="147"/>
    </row>
    <row r="261">
      <c r="A261" s="240" t="s">
        <v>4980</v>
      </c>
      <c r="B261" s="240" t="s">
        <v>970</v>
      </c>
      <c r="C261" s="240" t="s">
        <v>971</v>
      </c>
      <c r="D261" s="240" t="s">
        <v>4981</v>
      </c>
      <c r="E261" s="240" t="s">
        <v>4982</v>
      </c>
      <c r="F261" s="240" t="s">
        <v>4297</v>
      </c>
      <c r="G261" s="147"/>
      <c r="H261" s="240" t="s">
        <v>4215</v>
      </c>
      <c r="I261" s="240" t="s">
        <v>4215</v>
      </c>
      <c r="J261" s="147"/>
      <c r="K261" s="147"/>
      <c r="L261" s="147"/>
      <c r="M261" s="147"/>
      <c r="N261" s="147"/>
      <c r="O261" s="147"/>
      <c r="P261" s="147"/>
      <c r="Q261" s="147"/>
      <c r="R261" s="147"/>
      <c r="S261" s="147"/>
      <c r="T261" s="147"/>
      <c r="U261" s="147"/>
      <c r="V261" s="147"/>
    </row>
    <row r="262">
      <c r="A262" s="240" t="s">
        <v>4983</v>
      </c>
      <c r="B262" s="240" t="s">
        <v>972</v>
      </c>
      <c r="C262" s="240" t="s">
        <v>973</v>
      </c>
      <c r="D262" s="240" t="s">
        <v>4984</v>
      </c>
      <c r="E262" s="240" t="s">
        <v>4985</v>
      </c>
      <c r="F262" s="240" t="s">
        <v>4219</v>
      </c>
      <c r="G262" s="147"/>
      <c r="H262" s="240" t="s">
        <v>4215</v>
      </c>
      <c r="I262" s="240" t="s">
        <v>4215</v>
      </c>
      <c r="J262" s="147"/>
      <c r="K262" s="147"/>
      <c r="L262" s="147"/>
      <c r="M262" s="147"/>
      <c r="N262" s="147"/>
      <c r="O262" s="147"/>
      <c r="P262" s="147"/>
      <c r="Q262" s="147"/>
      <c r="R262" s="147"/>
      <c r="S262" s="147"/>
      <c r="T262" s="147"/>
      <c r="U262" s="147"/>
      <c r="V262" s="147"/>
    </row>
    <row r="263">
      <c r="A263" s="240" t="s">
        <v>4986</v>
      </c>
      <c r="B263" s="240" t="s">
        <v>974</v>
      </c>
      <c r="C263" s="240" t="s">
        <v>975</v>
      </c>
      <c r="D263" s="240" t="s">
        <v>4987</v>
      </c>
      <c r="E263" s="240" t="s">
        <v>4988</v>
      </c>
      <c r="F263" s="240" t="s">
        <v>4235</v>
      </c>
      <c r="G263" s="147"/>
      <c r="H263" s="240" t="s">
        <v>4215</v>
      </c>
      <c r="I263" s="240" t="s">
        <v>4215</v>
      </c>
      <c r="J263" s="147"/>
      <c r="K263" s="147"/>
      <c r="L263" s="147"/>
      <c r="M263" s="147"/>
      <c r="N263" s="147"/>
      <c r="O263" s="147"/>
      <c r="P263" s="147"/>
      <c r="Q263" s="147"/>
      <c r="R263" s="147"/>
      <c r="S263" s="147"/>
      <c r="T263" s="147"/>
      <c r="U263" s="147"/>
      <c r="V263" s="147"/>
    </row>
    <row r="264">
      <c r="A264" s="240" t="s">
        <v>4989</v>
      </c>
      <c r="B264" s="240" t="s">
        <v>976</v>
      </c>
      <c r="C264" s="240" t="s">
        <v>977</v>
      </c>
      <c r="D264" s="240" t="s">
        <v>4990</v>
      </c>
      <c r="E264" s="240" t="s">
        <v>4532</v>
      </c>
      <c r="F264" s="240" t="s">
        <v>4828</v>
      </c>
      <c r="G264" s="147"/>
      <c r="H264" s="240" t="s">
        <v>4215</v>
      </c>
      <c r="I264" s="240" t="s">
        <v>4215</v>
      </c>
      <c r="J264" s="147"/>
      <c r="K264" s="147"/>
      <c r="L264" s="147"/>
      <c r="M264" s="147"/>
      <c r="N264" s="147"/>
      <c r="O264" s="147"/>
      <c r="P264" s="147"/>
      <c r="Q264" s="147"/>
      <c r="R264" s="147"/>
      <c r="S264" s="147"/>
      <c r="T264" s="147"/>
      <c r="U264" s="147"/>
      <c r="V264" s="147"/>
    </row>
    <row r="265">
      <c r="A265" s="240" t="s">
        <v>4991</v>
      </c>
      <c r="B265" s="240" t="s">
        <v>978</v>
      </c>
      <c r="C265" s="240" t="s">
        <v>979</v>
      </c>
      <c r="D265" s="240" t="s">
        <v>4992</v>
      </c>
      <c r="E265" s="240" t="s">
        <v>4993</v>
      </c>
      <c r="F265" s="240" t="s">
        <v>4264</v>
      </c>
      <c r="G265" s="147"/>
      <c r="H265" s="240" t="s">
        <v>4215</v>
      </c>
      <c r="I265" s="240" t="s">
        <v>4215</v>
      </c>
      <c r="J265" s="147"/>
      <c r="K265" s="147"/>
      <c r="L265" s="147"/>
      <c r="M265" s="147"/>
      <c r="N265" s="147"/>
      <c r="O265" s="147"/>
      <c r="P265" s="147"/>
      <c r="Q265" s="147"/>
      <c r="R265" s="147"/>
      <c r="S265" s="147"/>
      <c r="T265" s="147"/>
      <c r="U265" s="147"/>
      <c r="V265" s="147"/>
    </row>
    <row r="266">
      <c r="A266" s="240" t="s">
        <v>4994</v>
      </c>
      <c r="B266" s="240" t="s">
        <v>980</v>
      </c>
      <c r="C266" s="240" t="s">
        <v>981</v>
      </c>
      <c r="D266" s="240" t="s">
        <v>4995</v>
      </c>
      <c r="E266" s="240" t="s">
        <v>4996</v>
      </c>
      <c r="F266" s="240" t="s">
        <v>4223</v>
      </c>
      <c r="G266" s="147"/>
      <c r="H266" s="240" t="s">
        <v>4215</v>
      </c>
      <c r="I266" s="240" t="s">
        <v>4215</v>
      </c>
      <c r="J266" s="147"/>
      <c r="K266" s="147"/>
      <c r="L266" s="147"/>
      <c r="M266" s="147"/>
      <c r="N266" s="147"/>
      <c r="O266" s="147"/>
      <c r="P266" s="147"/>
      <c r="Q266" s="147"/>
      <c r="R266" s="147"/>
      <c r="S266" s="147"/>
      <c r="T266" s="147"/>
      <c r="U266" s="147"/>
      <c r="V266" s="147"/>
    </row>
    <row r="267">
      <c r="A267" s="240" t="s">
        <v>4997</v>
      </c>
      <c r="B267" s="240" t="s">
        <v>982</v>
      </c>
      <c r="C267" s="240" t="s">
        <v>983</v>
      </c>
      <c r="D267" s="240" t="s">
        <v>4998</v>
      </c>
      <c r="E267" s="240" t="s">
        <v>4999</v>
      </c>
      <c r="F267" s="240" t="s">
        <v>4621</v>
      </c>
      <c r="G267" s="147"/>
      <c r="H267" s="240" t="s">
        <v>4215</v>
      </c>
      <c r="I267" s="240" t="s">
        <v>4215</v>
      </c>
      <c r="J267" s="147"/>
      <c r="K267" s="147"/>
      <c r="L267" s="147"/>
      <c r="M267" s="147"/>
      <c r="N267" s="147"/>
      <c r="O267" s="147"/>
      <c r="P267" s="147"/>
      <c r="Q267" s="147"/>
      <c r="R267" s="147"/>
      <c r="S267" s="147"/>
      <c r="T267" s="147"/>
      <c r="U267" s="147"/>
      <c r="V267" s="147"/>
    </row>
    <row r="268">
      <c r="A268" s="240" t="s">
        <v>5000</v>
      </c>
      <c r="B268" s="240" t="s">
        <v>984</v>
      </c>
      <c r="C268" s="240" t="s">
        <v>985</v>
      </c>
      <c r="D268" s="240" t="s">
        <v>5001</v>
      </c>
      <c r="E268" s="240" t="s">
        <v>4999</v>
      </c>
      <c r="F268" s="240" t="s">
        <v>4264</v>
      </c>
      <c r="G268" s="147"/>
      <c r="H268" s="240" t="s">
        <v>4215</v>
      </c>
      <c r="I268" s="240" t="s">
        <v>4215</v>
      </c>
      <c r="J268" s="147"/>
      <c r="K268" s="147"/>
      <c r="L268" s="147"/>
      <c r="M268" s="147"/>
      <c r="N268" s="147"/>
      <c r="O268" s="147"/>
      <c r="P268" s="147"/>
      <c r="Q268" s="147"/>
      <c r="R268" s="147"/>
      <c r="S268" s="147"/>
      <c r="T268" s="147"/>
      <c r="U268" s="147"/>
      <c r="V268" s="147"/>
    </row>
    <row r="269">
      <c r="A269" s="240" t="s">
        <v>5002</v>
      </c>
      <c r="B269" s="240" t="s">
        <v>986</v>
      </c>
      <c r="C269" s="240" t="s">
        <v>987</v>
      </c>
      <c r="D269" s="240" t="s">
        <v>5003</v>
      </c>
      <c r="E269" s="240" t="s">
        <v>5004</v>
      </c>
      <c r="F269" s="240" t="s">
        <v>4297</v>
      </c>
      <c r="G269" s="147"/>
      <c r="H269" s="240" t="s">
        <v>4215</v>
      </c>
      <c r="I269" s="240" t="s">
        <v>4215</v>
      </c>
      <c r="J269" s="147"/>
      <c r="K269" s="147"/>
      <c r="L269" s="147"/>
      <c r="M269" s="147"/>
      <c r="N269" s="147"/>
      <c r="O269" s="147"/>
      <c r="P269" s="147"/>
      <c r="Q269" s="147"/>
      <c r="R269" s="147"/>
      <c r="S269" s="147"/>
      <c r="T269" s="147"/>
      <c r="U269" s="147"/>
      <c r="V269" s="147"/>
    </row>
    <row r="270">
      <c r="A270" s="240" t="s">
        <v>5005</v>
      </c>
      <c r="B270" s="240" t="s">
        <v>988</v>
      </c>
      <c r="C270" s="240" t="s">
        <v>989</v>
      </c>
      <c r="D270" s="240" t="s">
        <v>5006</v>
      </c>
      <c r="E270" s="240" t="s">
        <v>5007</v>
      </c>
      <c r="F270" s="240" t="s">
        <v>4479</v>
      </c>
      <c r="G270" s="147"/>
      <c r="H270" s="240" t="s">
        <v>4215</v>
      </c>
      <c r="I270" s="240" t="s">
        <v>4215</v>
      </c>
      <c r="J270" s="147"/>
      <c r="K270" s="147"/>
      <c r="L270" s="147"/>
      <c r="M270" s="147"/>
      <c r="N270" s="147"/>
      <c r="O270" s="147"/>
      <c r="P270" s="147"/>
      <c r="Q270" s="147"/>
      <c r="R270" s="147"/>
      <c r="S270" s="147"/>
      <c r="T270" s="147"/>
      <c r="U270" s="147"/>
      <c r="V270" s="147"/>
    </row>
    <row r="271">
      <c r="A271" s="240" t="s">
        <v>5008</v>
      </c>
      <c r="B271" s="240" t="s">
        <v>990</v>
      </c>
      <c r="C271" s="240" t="s">
        <v>991</v>
      </c>
      <c r="D271" s="240" t="s">
        <v>5009</v>
      </c>
      <c r="E271" s="240" t="s">
        <v>5010</v>
      </c>
      <c r="F271" s="240" t="s">
        <v>4231</v>
      </c>
      <c r="G271" s="147"/>
      <c r="H271" s="240" t="s">
        <v>4215</v>
      </c>
      <c r="I271" s="240" t="s">
        <v>4215</v>
      </c>
      <c r="J271" s="147"/>
      <c r="K271" s="147"/>
      <c r="L271" s="147"/>
      <c r="M271" s="147"/>
      <c r="N271" s="147"/>
      <c r="O271" s="147"/>
      <c r="P271" s="147"/>
      <c r="Q271" s="147"/>
      <c r="R271" s="147"/>
      <c r="S271" s="147"/>
      <c r="T271" s="147"/>
      <c r="U271" s="147"/>
      <c r="V271" s="147"/>
    </row>
    <row r="272">
      <c r="A272" s="240" t="s">
        <v>5011</v>
      </c>
      <c r="B272" s="240" t="s">
        <v>992</v>
      </c>
      <c r="C272" s="240" t="s">
        <v>993</v>
      </c>
      <c r="D272" s="240" t="s">
        <v>5012</v>
      </c>
      <c r="E272" s="240" t="s">
        <v>5013</v>
      </c>
      <c r="F272" s="240" t="s">
        <v>4264</v>
      </c>
      <c r="G272" s="147"/>
      <c r="H272" s="240" t="s">
        <v>4215</v>
      </c>
      <c r="I272" s="240" t="s">
        <v>4215</v>
      </c>
      <c r="J272" s="147"/>
      <c r="K272" s="147"/>
      <c r="L272" s="147"/>
      <c r="M272" s="147"/>
      <c r="N272" s="147"/>
      <c r="O272" s="147"/>
      <c r="P272" s="147"/>
      <c r="Q272" s="147"/>
      <c r="R272" s="147"/>
      <c r="S272" s="147"/>
      <c r="T272" s="147"/>
      <c r="U272" s="147"/>
      <c r="V272" s="147"/>
    </row>
    <row r="273">
      <c r="A273" s="240" t="s">
        <v>5014</v>
      </c>
      <c r="B273" s="240" t="s">
        <v>994</v>
      </c>
      <c r="C273" s="240" t="s">
        <v>995</v>
      </c>
      <c r="D273" s="240" t="s">
        <v>5015</v>
      </c>
      <c r="E273" s="240" t="s">
        <v>5016</v>
      </c>
      <c r="F273" s="240" t="s">
        <v>4264</v>
      </c>
      <c r="G273" s="147"/>
      <c r="H273" s="240" t="s">
        <v>4215</v>
      </c>
      <c r="I273" s="240" t="s">
        <v>4215</v>
      </c>
      <c r="J273" s="147"/>
      <c r="K273" s="147"/>
      <c r="L273" s="147"/>
      <c r="M273" s="147"/>
      <c r="N273" s="147"/>
      <c r="O273" s="147"/>
      <c r="P273" s="147"/>
      <c r="Q273" s="147"/>
      <c r="R273" s="147"/>
      <c r="S273" s="147"/>
      <c r="T273" s="147"/>
      <c r="U273" s="147"/>
      <c r="V273" s="147"/>
    </row>
    <row r="274">
      <c r="A274" s="240" t="s">
        <v>5017</v>
      </c>
      <c r="B274" s="240" t="s">
        <v>996</v>
      </c>
      <c r="C274" s="240" t="s">
        <v>997</v>
      </c>
      <c r="D274" s="240" t="s">
        <v>5018</v>
      </c>
      <c r="E274" s="240" t="s">
        <v>5019</v>
      </c>
      <c r="F274" s="240" t="s">
        <v>4264</v>
      </c>
      <c r="G274" s="147"/>
      <c r="H274" s="147"/>
      <c r="I274" s="147"/>
      <c r="J274" s="147"/>
      <c r="K274" s="147"/>
      <c r="L274" s="147"/>
      <c r="M274" s="147"/>
      <c r="N274" s="147"/>
      <c r="O274" s="147"/>
      <c r="P274" s="147"/>
      <c r="Q274" s="147"/>
      <c r="R274" s="147"/>
      <c r="S274" s="147"/>
      <c r="T274" s="147"/>
      <c r="U274" s="147"/>
      <c r="V274" s="147"/>
    </row>
    <row r="275">
      <c r="A275" s="240" t="s">
        <v>5020</v>
      </c>
      <c r="B275" s="240" t="s">
        <v>998</v>
      </c>
      <c r="C275" s="240" t="s">
        <v>999</v>
      </c>
      <c r="D275" s="240" t="s">
        <v>5021</v>
      </c>
      <c r="E275" s="240" t="s">
        <v>5022</v>
      </c>
      <c r="F275" s="240" t="s">
        <v>4223</v>
      </c>
      <c r="G275" s="147"/>
      <c r="H275" s="240" t="s">
        <v>4215</v>
      </c>
      <c r="I275" s="240" t="s">
        <v>4215</v>
      </c>
      <c r="J275" s="147"/>
      <c r="K275" s="147"/>
      <c r="L275" s="147"/>
      <c r="M275" s="147"/>
      <c r="N275" s="147"/>
      <c r="O275" s="147"/>
      <c r="P275" s="147"/>
      <c r="Q275" s="147"/>
      <c r="R275" s="147"/>
      <c r="S275" s="147"/>
      <c r="T275" s="147"/>
      <c r="U275" s="147"/>
      <c r="V275" s="147"/>
    </row>
    <row r="276">
      <c r="A276" s="240" t="s">
        <v>5023</v>
      </c>
      <c r="B276" s="240" t="s">
        <v>1000</v>
      </c>
      <c r="C276" s="240" t="s">
        <v>1001</v>
      </c>
      <c r="D276" s="240" t="s">
        <v>5024</v>
      </c>
      <c r="E276" s="240" t="s">
        <v>5025</v>
      </c>
      <c r="F276" s="240" t="s">
        <v>4235</v>
      </c>
      <c r="G276" s="147"/>
      <c r="H276" s="240" t="s">
        <v>4215</v>
      </c>
      <c r="I276" s="240" t="s">
        <v>4215</v>
      </c>
      <c r="J276" s="147"/>
      <c r="K276" s="147"/>
      <c r="L276" s="147"/>
      <c r="M276" s="147"/>
      <c r="N276" s="147"/>
      <c r="O276" s="147"/>
      <c r="P276" s="147"/>
      <c r="Q276" s="147"/>
      <c r="R276" s="147"/>
      <c r="S276" s="147"/>
      <c r="T276" s="147"/>
      <c r="U276" s="147"/>
      <c r="V276" s="147"/>
    </row>
    <row r="277">
      <c r="A277" s="240" t="s">
        <v>5026</v>
      </c>
      <c r="B277" s="240" t="s">
        <v>1002</v>
      </c>
      <c r="C277" s="240" t="s">
        <v>1003</v>
      </c>
      <c r="D277" s="240" t="s">
        <v>5027</v>
      </c>
      <c r="E277" s="240" t="s">
        <v>5028</v>
      </c>
      <c r="F277" s="240" t="s">
        <v>4621</v>
      </c>
      <c r="G277" s="147"/>
      <c r="H277" s="240" t="s">
        <v>4215</v>
      </c>
      <c r="I277" s="240" t="s">
        <v>4215</v>
      </c>
      <c r="J277" s="147"/>
      <c r="K277" s="147"/>
      <c r="L277" s="147"/>
      <c r="M277" s="147"/>
      <c r="N277" s="147"/>
      <c r="O277" s="147"/>
      <c r="P277" s="147"/>
      <c r="Q277" s="147"/>
      <c r="R277" s="147"/>
      <c r="S277" s="147"/>
      <c r="T277" s="147"/>
      <c r="U277" s="147"/>
      <c r="V277" s="147"/>
    </row>
    <row r="278">
      <c r="A278" s="240" t="s">
        <v>5029</v>
      </c>
      <c r="B278" s="240" t="s">
        <v>1004</v>
      </c>
      <c r="C278" s="240" t="s">
        <v>1005</v>
      </c>
      <c r="D278" s="240" t="s">
        <v>5030</v>
      </c>
      <c r="E278" s="240" t="s">
        <v>5031</v>
      </c>
      <c r="F278" s="240" t="s">
        <v>4223</v>
      </c>
      <c r="G278" s="147"/>
      <c r="H278" s="240" t="s">
        <v>4215</v>
      </c>
      <c r="I278" s="240" t="s">
        <v>4215</v>
      </c>
      <c r="J278" s="147"/>
      <c r="K278" s="147"/>
      <c r="L278" s="147"/>
      <c r="M278" s="147"/>
      <c r="N278" s="147"/>
      <c r="O278" s="147"/>
      <c r="P278" s="147"/>
      <c r="Q278" s="147"/>
      <c r="R278" s="147"/>
      <c r="S278" s="147"/>
      <c r="T278" s="147"/>
      <c r="U278" s="147"/>
      <c r="V278" s="147"/>
    </row>
    <row r="279">
      <c r="A279" s="240" t="s">
        <v>5032</v>
      </c>
      <c r="B279" s="240" t="s">
        <v>1006</v>
      </c>
      <c r="C279" s="240" t="s">
        <v>1007</v>
      </c>
      <c r="D279" s="240" t="s">
        <v>5033</v>
      </c>
      <c r="E279" s="240" t="s">
        <v>5034</v>
      </c>
      <c r="F279" s="240" t="s">
        <v>4223</v>
      </c>
      <c r="G279" s="147"/>
      <c r="H279" s="240" t="s">
        <v>4215</v>
      </c>
      <c r="I279" s="240" t="s">
        <v>4215</v>
      </c>
      <c r="J279" s="147"/>
      <c r="K279" s="147"/>
      <c r="L279" s="147"/>
      <c r="M279" s="147"/>
      <c r="N279" s="147"/>
      <c r="O279" s="147"/>
      <c r="P279" s="147"/>
      <c r="Q279" s="147"/>
      <c r="R279" s="147"/>
      <c r="S279" s="147"/>
      <c r="T279" s="147"/>
      <c r="U279" s="147"/>
      <c r="V279" s="147"/>
    </row>
    <row r="280">
      <c r="A280" s="240" t="s">
        <v>5035</v>
      </c>
      <c r="B280" s="240" t="s">
        <v>1008</v>
      </c>
      <c r="C280" s="240" t="s">
        <v>1009</v>
      </c>
      <c r="D280" s="240" t="s">
        <v>5036</v>
      </c>
      <c r="E280" s="240" t="s">
        <v>5037</v>
      </c>
      <c r="F280" s="240" t="s">
        <v>4235</v>
      </c>
      <c r="G280" s="147"/>
      <c r="H280" s="240" t="s">
        <v>4215</v>
      </c>
      <c r="I280" s="240" t="s">
        <v>4215</v>
      </c>
      <c r="J280" s="147"/>
      <c r="K280" s="147"/>
      <c r="L280" s="147"/>
      <c r="M280" s="147"/>
      <c r="N280" s="147"/>
      <c r="O280" s="147"/>
      <c r="P280" s="147"/>
      <c r="Q280" s="147"/>
      <c r="R280" s="147"/>
      <c r="S280" s="147"/>
      <c r="T280" s="147"/>
      <c r="U280" s="147"/>
      <c r="V280" s="147"/>
    </row>
    <row r="281">
      <c r="A281" s="240" t="s">
        <v>5038</v>
      </c>
      <c r="B281" s="240" t="s">
        <v>1010</v>
      </c>
      <c r="C281" s="240" t="s">
        <v>1011</v>
      </c>
      <c r="D281" s="240" t="s">
        <v>5039</v>
      </c>
      <c r="E281" s="240" t="s">
        <v>5040</v>
      </c>
      <c r="F281" s="240" t="s">
        <v>4223</v>
      </c>
      <c r="G281" s="147"/>
      <c r="H281" s="240" t="s">
        <v>4215</v>
      </c>
      <c r="I281" s="240" t="s">
        <v>4215</v>
      </c>
      <c r="J281" s="147"/>
      <c r="K281" s="147"/>
      <c r="L281" s="147"/>
      <c r="M281" s="147"/>
      <c r="N281" s="147"/>
      <c r="O281" s="147"/>
      <c r="P281" s="147"/>
      <c r="Q281" s="147"/>
      <c r="R281" s="147"/>
      <c r="S281" s="147"/>
      <c r="T281" s="147"/>
      <c r="U281" s="147"/>
      <c r="V281" s="147"/>
    </row>
    <row r="282">
      <c r="A282" s="240" t="s">
        <v>5041</v>
      </c>
      <c r="B282" s="240" t="s">
        <v>1012</v>
      </c>
      <c r="C282" s="240" t="s">
        <v>1013</v>
      </c>
      <c r="D282" s="240" t="s">
        <v>5042</v>
      </c>
      <c r="E282" s="240" t="s">
        <v>4982</v>
      </c>
      <c r="F282" s="240" t="s">
        <v>4297</v>
      </c>
      <c r="G282" s="147"/>
      <c r="H282" s="240" t="s">
        <v>4215</v>
      </c>
      <c r="I282" s="240" t="s">
        <v>4215</v>
      </c>
      <c r="J282" s="147"/>
      <c r="K282" s="147"/>
      <c r="L282" s="147"/>
      <c r="M282" s="147"/>
      <c r="N282" s="147"/>
      <c r="O282" s="147"/>
      <c r="P282" s="147"/>
      <c r="Q282" s="147"/>
      <c r="R282" s="147"/>
      <c r="S282" s="147"/>
      <c r="T282" s="147"/>
      <c r="U282" s="147"/>
      <c r="V282" s="147"/>
    </row>
    <row r="283">
      <c r="A283" s="240" t="s">
        <v>5043</v>
      </c>
      <c r="B283" s="240" t="s">
        <v>1014</v>
      </c>
      <c r="C283" s="240" t="s">
        <v>1015</v>
      </c>
      <c r="D283" s="240" t="s">
        <v>5044</v>
      </c>
      <c r="E283" s="240" t="s">
        <v>5045</v>
      </c>
      <c r="F283" s="240" t="s">
        <v>4355</v>
      </c>
      <c r="G283" s="147"/>
      <c r="H283" s="240" t="s">
        <v>4215</v>
      </c>
      <c r="I283" s="240" t="s">
        <v>4215</v>
      </c>
      <c r="J283" s="147"/>
      <c r="K283" s="147"/>
      <c r="L283" s="147"/>
      <c r="M283" s="147"/>
      <c r="N283" s="147"/>
      <c r="O283" s="147"/>
      <c r="P283" s="147"/>
      <c r="Q283" s="147"/>
      <c r="R283" s="147"/>
      <c r="S283" s="147"/>
      <c r="T283" s="147"/>
      <c r="U283" s="147"/>
      <c r="V283" s="147"/>
    </row>
    <row r="284">
      <c r="A284" s="240" t="s">
        <v>5046</v>
      </c>
      <c r="B284" s="240" t="s">
        <v>1016</v>
      </c>
      <c r="C284" s="240" t="s">
        <v>1017</v>
      </c>
      <c r="D284" s="240" t="s">
        <v>5047</v>
      </c>
      <c r="E284" s="240" t="s">
        <v>5048</v>
      </c>
      <c r="F284" s="240" t="s">
        <v>4349</v>
      </c>
      <c r="G284" s="147"/>
      <c r="H284" s="240" t="s">
        <v>4215</v>
      </c>
      <c r="I284" s="240" t="s">
        <v>4215</v>
      </c>
      <c r="J284" s="147"/>
      <c r="K284" s="147"/>
      <c r="L284" s="147"/>
      <c r="M284" s="147"/>
      <c r="N284" s="147"/>
      <c r="O284" s="147"/>
      <c r="P284" s="147"/>
      <c r="Q284" s="147"/>
      <c r="R284" s="147"/>
      <c r="S284" s="147"/>
      <c r="T284" s="147"/>
      <c r="U284" s="147"/>
      <c r="V284" s="147"/>
    </row>
    <row r="285">
      <c r="A285" s="240" t="s">
        <v>5049</v>
      </c>
      <c r="B285" s="240" t="s">
        <v>1018</v>
      </c>
      <c r="C285" s="240" t="s">
        <v>1019</v>
      </c>
      <c r="D285" s="240" t="s">
        <v>5050</v>
      </c>
      <c r="E285" s="240" t="s">
        <v>5051</v>
      </c>
      <c r="F285" s="240" t="s">
        <v>4227</v>
      </c>
      <c r="G285" s="147"/>
      <c r="H285" s="240" t="s">
        <v>4215</v>
      </c>
      <c r="I285" s="240" t="s">
        <v>4215</v>
      </c>
      <c r="J285" s="147"/>
      <c r="K285" s="147"/>
      <c r="L285" s="147"/>
      <c r="M285" s="147"/>
      <c r="N285" s="147"/>
      <c r="O285" s="147"/>
      <c r="P285" s="147"/>
      <c r="Q285" s="147"/>
      <c r="R285" s="147"/>
      <c r="S285" s="147"/>
      <c r="T285" s="147"/>
      <c r="U285" s="147"/>
      <c r="V285" s="147"/>
    </row>
    <row r="286">
      <c r="A286" s="240" t="s">
        <v>5052</v>
      </c>
      <c r="B286" s="240" t="s">
        <v>1020</v>
      </c>
      <c r="C286" s="240" t="s">
        <v>1021</v>
      </c>
      <c r="D286" s="240" t="s">
        <v>5053</v>
      </c>
      <c r="E286" s="240" t="s">
        <v>5054</v>
      </c>
      <c r="F286" s="240" t="s">
        <v>4479</v>
      </c>
      <c r="G286" s="147"/>
      <c r="H286" s="147"/>
      <c r="I286" s="147"/>
      <c r="J286" s="147"/>
      <c r="K286" s="147"/>
      <c r="L286" s="147"/>
      <c r="M286" s="147"/>
      <c r="N286" s="147"/>
      <c r="O286" s="147"/>
      <c r="P286" s="147"/>
      <c r="Q286" s="147"/>
      <c r="R286" s="147"/>
      <c r="S286" s="147"/>
      <c r="T286" s="147"/>
      <c r="U286" s="147"/>
      <c r="V286" s="147"/>
    </row>
    <row r="287">
      <c r="A287" s="240" t="s">
        <v>5055</v>
      </c>
      <c r="B287" s="240" t="s">
        <v>1022</v>
      </c>
      <c r="C287" s="240" t="s">
        <v>1023</v>
      </c>
      <c r="D287" s="240" t="s">
        <v>5056</v>
      </c>
      <c r="E287" s="240" t="s">
        <v>5057</v>
      </c>
      <c r="F287" s="240" t="s">
        <v>4219</v>
      </c>
      <c r="G287" s="147"/>
      <c r="H287" s="240" t="s">
        <v>4215</v>
      </c>
      <c r="I287" s="240" t="s">
        <v>4215</v>
      </c>
      <c r="J287" s="147"/>
      <c r="K287" s="147"/>
      <c r="L287" s="147"/>
      <c r="M287" s="147"/>
      <c r="N287" s="147"/>
      <c r="O287" s="147"/>
      <c r="P287" s="147"/>
      <c r="Q287" s="147"/>
      <c r="R287" s="147"/>
      <c r="S287" s="147"/>
      <c r="T287" s="147"/>
      <c r="U287" s="147"/>
      <c r="V287" s="147"/>
    </row>
    <row r="288">
      <c r="A288" s="240" t="s">
        <v>5058</v>
      </c>
      <c r="B288" s="240" t="s">
        <v>1024</v>
      </c>
      <c r="C288" s="240" t="s">
        <v>1025</v>
      </c>
      <c r="D288" s="240" t="s">
        <v>5059</v>
      </c>
      <c r="E288" s="240" t="s">
        <v>4426</v>
      </c>
      <c r="F288" s="240" t="s">
        <v>4223</v>
      </c>
      <c r="G288" s="147"/>
      <c r="H288" s="240" t="s">
        <v>4215</v>
      </c>
      <c r="I288" s="240" t="s">
        <v>4215</v>
      </c>
      <c r="J288" s="147"/>
      <c r="K288" s="147"/>
      <c r="L288" s="147"/>
      <c r="M288" s="147"/>
      <c r="N288" s="147"/>
      <c r="O288" s="147"/>
      <c r="P288" s="147"/>
      <c r="Q288" s="147"/>
      <c r="R288" s="147"/>
      <c r="S288" s="147"/>
      <c r="T288" s="147"/>
      <c r="U288" s="147"/>
      <c r="V288" s="147"/>
    </row>
    <row r="289">
      <c r="A289" s="240" t="s">
        <v>5060</v>
      </c>
      <c r="B289" s="240" t="s">
        <v>1026</v>
      </c>
      <c r="C289" s="240" t="s">
        <v>1027</v>
      </c>
      <c r="D289" s="240" t="s">
        <v>5061</v>
      </c>
      <c r="E289" s="240" t="s">
        <v>5062</v>
      </c>
      <c r="F289" s="240" t="s">
        <v>4264</v>
      </c>
      <c r="G289" s="147"/>
      <c r="H289" s="240" t="s">
        <v>4215</v>
      </c>
      <c r="I289" s="240" t="s">
        <v>4215</v>
      </c>
      <c r="J289" s="147"/>
      <c r="K289" s="147"/>
      <c r="L289" s="147"/>
      <c r="M289" s="147"/>
      <c r="N289" s="147"/>
      <c r="O289" s="147"/>
      <c r="P289" s="147"/>
      <c r="Q289" s="147"/>
      <c r="R289" s="147"/>
      <c r="S289" s="147"/>
      <c r="T289" s="147"/>
      <c r="U289" s="147"/>
      <c r="V289" s="147"/>
    </row>
    <row r="290">
      <c r="A290" s="240" t="s">
        <v>5063</v>
      </c>
      <c r="B290" s="240" t="s">
        <v>1028</v>
      </c>
      <c r="C290" s="240" t="s">
        <v>1029</v>
      </c>
      <c r="D290" s="240" t="s">
        <v>5064</v>
      </c>
      <c r="E290" s="240" t="s">
        <v>5065</v>
      </c>
      <c r="F290" s="240" t="s">
        <v>4223</v>
      </c>
      <c r="G290" s="147"/>
      <c r="H290" s="240" t="s">
        <v>4215</v>
      </c>
      <c r="I290" s="240" t="s">
        <v>4215</v>
      </c>
      <c r="J290" s="147"/>
      <c r="K290" s="147"/>
      <c r="L290" s="147"/>
      <c r="M290" s="147"/>
      <c r="N290" s="147"/>
      <c r="O290" s="147"/>
      <c r="P290" s="147"/>
      <c r="Q290" s="147"/>
      <c r="R290" s="147"/>
      <c r="S290" s="147"/>
      <c r="T290" s="147"/>
      <c r="U290" s="147"/>
      <c r="V290" s="147"/>
    </row>
    <row r="291">
      <c r="A291" s="240" t="s">
        <v>5066</v>
      </c>
      <c r="B291" s="240" t="s">
        <v>1030</v>
      </c>
      <c r="C291" s="240" t="s">
        <v>1031</v>
      </c>
      <c r="D291" s="240" t="s">
        <v>5067</v>
      </c>
      <c r="E291" s="240" t="s">
        <v>5068</v>
      </c>
      <c r="F291" s="240" t="s">
        <v>4479</v>
      </c>
      <c r="G291" s="147"/>
      <c r="H291" s="147"/>
      <c r="I291" s="147"/>
      <c r="J291" s="147"/>
      <c r="K291" s="147"/>
      <c r="L291" s="147"/>
      <c r="M291" s="147"/>
      <c r="N291" s="147"/>
      <c r="O291" s="147"/>
      <c r="P291" s="147"/>
      <c r="Q291" s="147"/>
      <c r="R291" s="147"/>
      <c r="S291" s="147"/>
      <c r="T291" s="147"/>
      <c r="U291" s="147"/>
      <c r="V291" s="147"/>
    </row>
    <row r="292">
      <c r="A292" s="240" t="s">
        <v>5069</v>
      </c>
      <c r="B292" s="240" t="s">
        <v>1032</v>
      </c>
      <c r="C292" s="240" t="s">
        <v>1033</v>
      </c>
      <c r="D292" s="240" t="s">
        <v>5070</v>
      </c>
      <c r="E292" s="240" t="s">
        <v>4520</v>
      </c>
      <c r="F292" s="240" t="s">
        <v>4223</v>
      </c>
      <c r="G292" s="147"/>
      <c r="H292" s="240" t="s">
        <v>4215</v>
      </c>
      <c r="I292" s="240" t="s">
        <v>4215</v>
      </c>
      <c r="J292" s="147"/>
      <c r="K292" s="147"/>
      <c r="L292" s="147"/>
      <c r="M292" s="147"/>
      <c r="N292" s="147"/>
      <c r="O292" s="147"/>
      <c r="P292" s="147"/>
      <c r="Q292" s="147"/>
      <c r="R292" s="147"/>
      <c r="S292" s="147"/>
      <c r="T292" s="147"/>
      <c r="U292" s="147"/>
      <c r="V292" s="147"/>
    </row>
    <row r="293">
      <c r="A293" s="240" t="s">
        <v>5071</v>
      </c>
      <c r="B293" s="240" t="s">
        <v>1034</v>
      </c>
      <c r="C293" s="240" t="s">
        <v>1035</v>
      </c>
      <c r="D293" s="240" t="s">
        <v>5072</v>
      </c>
      <c r="E293" s="240" t="s">
        <v>5073</v>
      </c>
      <c r="F293" s="240" t="s">
        <v>4227</v>
      </c>
      <c r="G293" s="147"/>
      <c r="H293" s="240" t="s">
        <v>4215</v>
      </c>
      <c r="I293" s="240" t="s">
        <v>4215</v>
      </c>
      <c r="J293" s="147"/>
      <c r="K293" s="147"/>
      <c r="L293" s="147"/>
      <c r="M293" s="147"/>
      <c r="N293" s="147"/>
      <c r="O293" s="147"/>
      <c r="P293" s="147"/>
      <c r="Q293" s="147"/>
      <c r="R293" s="147"/>
      <c r="S293" s="147"/>
      <c r="T293" s="147"/>
      <c r="U293" s="147"/>
      <c r="V293" s="147"/>
    </row>
    <row r="294">
      <c r="A294" s="240" t="s">
        <v>5074</v>
      </c>
      <c r="B294" s="240" t="s">
        <v>1036</v>
      </c>
      <c r="C294" s="240" t="s">
        <v>1037</v>
      </c>
      <c r="D294" s="240" t="s">
        <v>5075</v>
      </c>
      <c r="E294" s="240" t="s">
        <v>4869</v>
      </c>
      <c r="F294" s="240" t="s">
        <v>4223</v>
      </c>
      <c r="G294" s="147"/>
      <c r="H294" s="240" t="s">
        <v>4215</v>
      </c>
      <c r="I294" s="240" t="s">
        <v>4215</v>
      </c>
      <c r="J294" s="147"/>
      <c r="K294" s="147"/>
      <c r="L294" s="147"/>
      <c r="M294" s="147"/>
      <c r="N294" s="147"/>
      <c r="O294" s="147"/>
      <c r="P294" s="147"/>
      <c r="Q294" s="147"/>
      <c r="R294" s="147"/>
      <c r="S294" s="147"/>
      <c r="T294" s="147"/>
      <c r="U294" s="147"/>
      <c r="V294" s="147"/>
    </row>
    <row r="295">
      <c r="A295" s="240" t="s">
        <v>5076</v>
      </c>
      <c r="B295" s="240" t="s">
        <v>1038</v>
      </c>
      <c r="C295" s="240" t="s">
        <v>1039</v>
      </c>
      <c r="D295" s="240" t="s">
        <v>5077</v>
      </c>
      <c r="E295" s="240" t="s">
        <v>5078</v>
      </c>
      <c r="F295" s="240" t="s">
        <v>4235</v>
      </c>
      <c r="G295" s="147"/>
      <c r="H295" s="147"/>
      <c r="I295" s="147"/>
      <c r="J295" s="147"/>
      <c r="K295" s="147"/>
      <c r="L295" s="147"/>
      <c r="M295" s="147"/>
      <c r="N295" s="147"/>
      <c r="O295" s="147"/>
      <c r="P295" s="147"/>
      <c r="Q295" s="147"/>
      <c r="R295" s="147"/>
      <c r="S295" s="147"/>
      <c r="T295" s="147"/>
      <c r="U295" s="147"/>
      <c r="V295" s="147"/>
    </row>
    <row r="296">
      <c r="A296" s="240" t="s">
        <v>5079</v>
      </c>
      <c r="B296" s="240" t="s">
        <v>1040</v>
      </c>
      <c r="C296" s="240" t="s">
        <v>1041</v>
      </c>
      <c r="D296" s="240" t="s">
        <v>5080</v>
      </c>
      <c r="E296" s="240" t="s">
        <v>5081</v>
      </c>
      <c r="F296" s="240" t="s">
        <v>4264</v>
      </c>
      <c r="G296" s="147"/>
      <c r="H296" s="240" t="s">
        <v>4215</v>
      </c>
      <c r="I296" s="240" t="s">
        <v>4215</v>
      </c>
      <c r="J296" s="147"/>
      <c r="K296" s="147"/>
      <c r="L296" s="147"/>
      <c r="M296" s="147"/>
      <c r="N296" s="147"/>
      <c r="O296" s="147"/>
      <c r="P296" s="147"/>
      <c r="Q296" s="147"/>
      <c r="R296" s="147"/>
      <c r="S296" s="147"/>
      <c r="T296" s="147"/>
      <c r="U296" s="147"/>
      <c r="V296" s="147"/>
    </row>
    <row r="297">
      <c r="A297" s="240" t="s">
        <v>5082</v>
      </c>
      <c r="B297" s="240" t="s">
        <v>1042</v>
      </c>
      <c r="C297" s="240" t="s">
        <v>1043</v>
      </c>
      <c r="D297" s="240" t="s">
        <v>5083</v>
      </c>
      <c r="E297" s="240" t="s">
        <v>5084</v>
      </c>
      <c r="F297" s="240" t="s">
        <v>4223</v>
      </c>
      <c r="G297" s="147"/>
      <c r="H297" s="240" t="s">
        <v>4215</v>
      </c>
      <c r="I297" s="147"/>
      <c r="J297" s="147"/>
      <c r="K297" s="147"/>
      <c r="L297" s="147"/>
      <c r="M297" s="147"/>
      <c r="N297" s="147"/>
      <c r="O297" s="147"/>
      <c r="P297" s="147"/>
      <c r="Q297" s="147"/>
      <c r="R297" s="147"/>
      <c r="S297" s="147"/>
      <c r="T297" s="147"/>
      <c r="U297" s="147"/>
      <c r="V297" s="147"/>
    </row>
    <row r="298">
      <c r="A298" s="240" t="s">
        <v>5085</v>
      </c>
      <c r="B298" s="240" t="s">
        <v>1044</v>
      </c>
      <c r="C298" s="240" t="s">
        <v>1045</v>
      </c>
      <c r="D298" s="240" t="s">
        <v>5086</v>
      </c>
      <c r="E298" s="240" t="s">
        <v>5087</v>
      </c>
      <c r="F298" s="240" t="s">
        <v>4227</v>
      </c>
      <c r="G298" s="147"/>
      <c r="H298" s="240" t="s">
        <v>4215</v>
      </c>
      <c r="I298" s="240" t="s">
        <v>4215</v>
      </c>
      <c r="J298" s="147"/>
      <c r="K298" s="147"/>
      <c r="L298" s="147"/>
      <c r="M298" s="147"/>
      <c r="N298" s="147"/>
      <c r="O298" s="147"/>
      <c r="P298" s="147"/>
      <c r="Q298" s="147"/>
      <c r="R298" s="147"/>
      <c r="S298" s="147"/>
      <c r="T298" s="147"/>
      <c r="U298" s="147"/>
      <c r="V298" s="147"/>
    </row>
    <row r="299">
      <c r="A299" s="240" t="s">
        <v>5088</v>
      </c>
      <c r="B299" s="240" t="s">
        <v>1046</v>
      </c>
      <c r="C299" s="240" t="s">
        <v>1047</v>
      </c>
      <c r="D299" s="240" t="s">
        <v>5089</v>
      </c>
      <c r="E299" s="240" t="s">
        <v>5090</v>
      </c>
      <c r="F299" s="240" t="s">
        <v>4235</v>
      </c>
      <c r="G299" s="147"/>
      <c r="H299" s="240" t="s">
        <v>4215</v>
      </c>
      <c r="I299" s="240" t="s">
        <v>4215</v>
      </c>
      <c r="J299" s="147"/>
      <c r="K299" s="147"/>
      <c r="L299" s="147"/>
      <c r="M299" s="147"/>
      <c r="N299" s="147"/>
      <c r="O299" s="147"/>
      <c r="P299" s="147"/>
      <c r="Q299" s="147"/>
      <c r="R299" s="147"/>
      <c r="S299" s="147"/>
      <c r="T299" s="147"/>
      <c r="U299" s="147"/>
      <c r="V299" s="147"/>
    </row>
    <row r="300">
      <c r="A300" s="240" t="s">
        <v>5091</v>
      </c>
      <c r="B300" s="240" t="s">
        <v>1048</v>
      </c>
      <c r="C300" s="240" t="s">
        <v>1049</v>
      </c>
      <c r="D300" s="240" t="s">
        <v>5092</v>
      </c>
      <c r="E300" s="240" t="s">
        <v>5093</v>
      </c>
      <c r="F300" s="240" t="s">
        <v>4235</v>
      </c>
      <c r="G300" s="147"/>
      <c r="H300" s="240" t="s">
        <v>4215</v>
      </c>
      <c r="I300" s="240" t="s">
        <v>4215</v>
      </c>
      <c r="J300" s="147"/>
      <c r="K300" s="147"/>
      <c r="L300" s="147"/>
      <c r="M300" s="147"/>
      <c r="N300" s="147"/>
      <c r="O300" s="147"/>
      <c r="P300" s="147"/>
      <c r="Q300" s="147"/>
      <c r="R300" s="147"/>
      <c r="S300" s="147"/>
      <c r="T300" s="147"/>
      <c r="U300" s="147"/>
      <c r="V300" s="147"/>
    </row>
    <row r="301">
      <c r="A301" s="240" t="s">
        <v>5094</v>
      </c>
      <c r="B301" s="240" t="s">
        <v>1050</v>
      </c>
      <c r="C301" s="240" t="s">
        <v>1051</v>
      </c>
      <c r="D301" s="240" t="s">
        <v>5095</v>
      </c>
      <c r="E301" s="240" t="s">
        <v>5096</v>
      </c>
      <c r="F301" s="240" t="s">
        <v>4349</v>
      </c>
      <c r="G301" s="147"/>
      <c r="H301" s="240" t="s">
        <v>4215</v>
      </c>
      <c r="I301" s="240" t="s">
        <v>4215</v>
      </c>
      <c r="J301" s="147"/>
      <c r="K301" s="147"/>
      <c r="L301" s="147"/>
      <c r="M301" s="147"/>
      <c r="N301" s="147"/>
      <c r="O301" s="147"/>
      <c r="P301" s="147"/>
      <c r="Q301" s="147"/>
      <c r="R301" s="147"/>
      <c r="S301" s="147"/>
      <c r="T301" s="147"/>
      <c r="U301" s="147"/>
      <c r="V301" s="147"/>
    </row>
    <row r="302">
      <c r="A302" s="240" t="s">
        <v>5097</v>
      </c>
      <c r="B302" s="240" t="s">
        <v>1052</v>
      </c>
      <c r="C302" s="240" t="s">
        <v>1053</v>
      </c>
      <c r="D302" s="240" t="s">
        <v>5098</v>
      </c>
      <c r="E302" s="240" t="s">
        <v>5099</v>
      </c>
      <c r="F302" s="147"/>
      <c r="G302" s="147"/>
      <c r="H302" s="240" t="s">
        <v>4215</v>
      </c>
      <c r="I302" s="240" t="s">
        <v>4215</v>
      </c>
      <c r="J302" s="147"/>
      <c r="K302" s="147"/>
      <c r="L302" s="147"/>
      <c r="M302" s="147"/>
      <c r="N302" s="147"/>
      <c r="O302" s="147"/>
      <c r="P302" s="147"/>
      <c r="Q302" s="147"/>
      <c r="R302" s="147"/>
      <c r="S302" s="147"/>
      <c r="T302" s="147"/>
      <c r="U302" s="147"/>
      <c r="V302" s="147"/>
    </row>
    <row r="303">
      <c r="A303" s="240" t="s">
        <v>5100</v>
      </c>
      <c r="B303" s="240" t="s">
        <v>1054</v>
      </c>
      <c r="C303" s="240" t="s">
        <v>1055</v>
      </c>
      <c r="D303" s="240" t="s">
        <v>5101</v>
      </c>
      <c r="E303" s="240" t="s">
        <v>5102</v>
      </c>
      <c r="F303" s="240" t="s">
        <v>4231</v>
      </c>
      <c r="G303" s="147"/>
      <c r="H303" s="240" t="s">
        <v>4215</v>
      </c>
      <c r="I303" s="240" t="s">
        <v>4215</v>
      </c>
      <c r="J303" s="147"/>
      <c r="K303" s="147"/>
      <c r="L303" s="147"/>
      <c r="M303" s="147"/>
      <c r="N303" s="147"/>
      <c r="O303" s="147"/>
      <c r="P303" s="147"/>
      <c r="Q303" s="147"/>
      <c r="R303" s="147"/>
      <c r="S303" s="147"/>
      <c r="T303" s="147"/>
      <c r="U303" s="147"/>
      <c r="V303" s="147"/>
    </row>
    <row r="304">
      <c r="A304" s="240" t="s">
        <v>5103</v>
      </c>
      <c r="B304" s="240" t="s">
        <v>1056</v>
      </c>
      <c r="C304" s="240" t="s">
        <v>1057</v>
      </c>
      <c r="D304" s="240" t="s">
        <v>5104</v>
      </c>
      <c r="E304" s="240" t="s">
        <v>5105</v>
      </c>
      <c r="F304" s="240" t="s">
        <v>4223</v>
      </c>
      <c r="G304" s="147"/>
      <c r="H304" s="240" t="s">
        <v>4215</v>
      </c>
      <c r="I304" s="240" t="s">
        <v>4215</v>
      </c>
      <c r="J304" s="147"/>
      <c r="K304" s="147"/>
      <c r="L304" s="147"/>
      <c r="M304" s="147"/>
      <c r="N304" s="147"/>
      <c r="O304" s="147"/>
      <c r="P304" s="147"/>
      <c r="Q304" s="147"/>
      <c r="R304" s="147"/>
      <c r="S304" s="147"/>
      <c r="T304" s="147"/>
      <c r="U304" s="147"/>
      <c r="V304" s="147"/>
    </row>
    <row r="305">
      <c r="A305" s="240" t="s">
        <v>5106</v>
      </c>
      <c r="B305" s="240" t="s">
        <v>1058</v>
      </c>
      <c r="C305" s="240" t="s">
        <v>1059</v>
      </c>
      <c r="D305" s="240" t="s">
        <v>5107</v>
      </c>
      <c r="E305" s="240" t="s">
        <v>5108</v>
      </c>
      <c r="F305" s="240" t="s">
        <v>4219</v>
      </c>
      <c r="G305" s="147"/>
      <c r="H305" s="240" t="s">
        <v>4215</v>
      </c>
      <c r="I305" s="240" t="s">
        <v>4215</v>
      </c>
      <c r="J305" s="147"/>
      <c r="K305" s="147"/>
      <c r="L305" s="147"/>
      <c r="M305" s="147"/>
      <c r="N305" s="147"/>
      <c r="O305" s="147"/>
      <c r="P305" s="147"/>
      <c r="Q305" s="147"/>
      <c r="R305" s="147"/>
      <c r="S305" s="147"/>
      <c r="T305" s="147"/>
      <c r="U305" s="147"/>
      <c r="V305" s="147"/>
    </row>
    <row r="306">
      <c r="A306" s="240" t="s">
        <v>5109</v>
      </c>
      <c r="B306" s="240" t="s">
        <v>1060</v>
      </c>
      <c r="C306" s="240" t="s">
        <v>1061</v>
      </c>
      <c r="D306" s="240" t="s">
        <v>5110</v>
      </c>
      <c r="E306" s="240" t="s">
        <v>5111</v>
      </c>
      <c r="F306" s="240" t="s">
        <v>4349</v>
      </c>
      <c r="G306" s="147"/>
      <c r="H306" s="240" t="s">
        <v>4215</v>
      </c>
      <c r="I306" s="240" t="s">
        <v>4215</v>
      </c>
      <c r="J306" s="147"/>
      <c r="K306" s="147"/>
      <c r="L306" s="147"/>
      <c r="M306" s="147"/>
      <c r="N306" s="147"/>
      <c r="O306" s="147"/>
      <c r="P306" s="147"/>
      <c r="Q306" s="147"/>
      <c r="R306" s="147"/>
      <c r="S306" s="147"/>
      <c r="T306" s="147"/>
      <c r="U306" s="147"/>
      <c r="V306" s="147"/>
    </row>
    <row r="307">
      <c r="A307" s="240" t="s">
        <v>5112</v>
      </c>
      <c r="B307" s="240" t="s">
        <v>1062</v>
      </c>
      <c r="C307" s="240" t="s">
        <v>1063</v>
      </c>
      <c r="D307" s="240" t="s">
        <v>5113</v>
      </c>
      <c r="E307" s="240" t="s">
        <v>5114</v>
      </c>
      <c r="F307" s="240" t="s">
        <v>4223</v>
      </c>
      <c r="G307" s="147"/>
      <c r="H307" s="240" t="s">
        <v>4215</v>
      </c>
      <c r="I307" s="240" t="s">
        <v>4215</v>
      </c>
      <c r="J307" s="147"/>
      <c r="K307" s="147"/>
      <c r="L307" s="147"/>
      <c r="M307" s="147"/>
      <c r="N307" s="147"/>
      <c r="O307" s="147"/>
      <c r="P307" s="147"/>
      <c r="Q307" s="147"/>
      <c r="R307" s="147"/>
      <c r="S307" s="147"/>
      <c r="T307" s="147"/>
      <c r="U307" s="147"/>
      <c r="V307" s="147"/>
    </row>
    <row r="308">
      <c r="A308" s="240" t="s">
        <v>5115</v>
      </c>
      <c r="B308" s="240" t="s">
        <v>1064</v>
      </c>
      <c r="C308" s="240" t="s">
        <v>1065</v>
      </c>
      <c r="D308" s="240" t="s">
        <v>5116</v>
      </c>
      <c r="E308" s="240" t="s">
        <v>5117</v>
      </c>
      <c r="F308" s="240" t="s">
        <v>4223</v>
      </c>
      <c r="G308" s="147"/>
      <c r="H308" s="240" t="s">
        <v>4215</v>
      </c>
      <c r="I308" s="240" t="s">
        <v>4215</v>
      </c>
      <c r="J308" s="147"/>
      <c r="K308" s="147"/>
      <c r="L308" s="147"/>
      <c r="M308" s="147"/>
      <c r="N308" s="147"/>
      <c r="O308" s="147"/>
      <c r="P308" s="147"/>
      <c r="Q308" s="147"/>
      <c r="R308" s="147"/>
      <c r="S308" s="147"/>
      <c r="T308" s="147"/>
      <c r="U308" s="147"/>
      <c r="V308" s="147"/>
    </row>
    <row r="309">
      <c r="A309" s="240" t="s">
        <v>5115</v>
      </c>
      <c r="B309" s="240" t="s">
        <v>1064</v>
      </c>
      <c r="C309" s="240" t="s">
        <v>1065</v>
      </c>
      <c r="D309" s="240" t="s">
        <v>5116</v>
      </c>
      <c r="E309" s="240" t="s">
        <v>5118</v>
      </c>
      <c r="F309" s="240" t="s">
        <v>4223</v>
      </c>
      <c r="G309" s="147"/>
      <c r="H309" s="240" t="s">
        <v>4215</v>
      </c>
      <c r="I309" s="240" t="s">
        <v>4215</v>
      </c>
      <c r="J309" s="147"/>
      <c r="K309" s="147"/>
      <c r="L309" s="147"/>
      <c r="M309" s="147"/>
      <c r="N309" s="147"/>
      <c r="O309" s="147"/>
      <c r="P309" s="147"/>
      <c r="Q309" s="147"/>
      <c r="R309" s="147"/>
      <c r="S309" s="147"/>
      <c r="T309" s="147"/>
      <c r="U309" s="147"/>
      <c r="V309" s="147"/>
    </row>
    <row r="310">
      <c r="A310" s="240" t="s">
        <v>5119</v>
      </c>
      <c r="B310" s="240" t="s">
        <v>1066</v>
      </c>
      <c r="C310" s="240" t="s">
        <v>1067</v>
      </c>
      <c r="D310" s="240" t="s">
        <v>5120</v>
      </c>
      <c r="E310" s="240" t="s">
        <v>5121</v>
      </c>
      <c r="F310" s="240" t="s">
        <v>4223</v>
      </c>
      <c r="G310" s="147"/>
      <c r="H310" s="240" t="s">
        <v>4215</v>
      </c>
      <c r="I310" s="240" t="s">
        <v>4215</v>
      </c>
      <c r="J310" s="147"/>
      <c r="K310" s="147"/>
      <c r="L310" s="147"/>
      <c r="M310" s="147"/>
      <c r="N310" s="147"/>
      <c r="O310" s="147"/>
      <c r="P310" s="147"/>
      <c r="Q310" s="147"/>
      <c r="R310" s="147"/>
      <c r="S310" s="147"/>
      <c r="T310" s="147"/>
      <c r="U310" s="147"/>
      <c r="V310" s="147"/>
    </row>
    <row r="311">
      <c r="A311" s="240" t="s">
        <v>5122</v>
      </c>
      <c r="B311" s="240" t="s">
        <v>1068</v>
      </c>
      <c r="C311" s="240" t="s">
        <v>1069</v>
      </c>
      <c r="D311" s="240" t="s">
        <v>5123</v>
      </c>
      <c r="E311" s="240" t="s">
        <v>5124</v>
      </c>
      <c r="F311" s="240" t="s">
        <v>4219</v>
      </c>
      <c r="G311" s="147"/>
      <c r="H311" s="240" t="s">
        <v>4215</v>
      </c>
      <c r="I311" s="240" t="s">
        <v>4215</v>
      </c>
      <c r="J311" s="147"/>
      <c r="K311" s="147"/>
      <c r="L311" s="147"/>
      <c r="M311" s="147"/>
      <c r="N311" s="147"/>
      <c r="O311" s="147"/>
      <c r="P311" s="147"/>
      <c r="Q311" s="147"/>
      <c r="R311" s="147"/>
      <c r="S311" s="147"/>
      <c r="T311" s="147"/>
      <c r="U311" s="147"/>
      <c r="V311" s="147"/>
    </row>
    <row r="312">
      <c r="A312" s="240" t="s">
        <v>5125</v>
      </c>
      <c r="B312" s="240" t="s">
        <v>1070</v>
      </c>
      <c r="C312" s="240" t="s">
        <v>1071</v>
      </c>
      <c r="D312" s="240" t="s">
        <v>5126</v>
      </c>
      <c r="E312" s="240" t="s">
        <v>5127</v>
      </c>
      <c r="F312" s="240" t="s">
        <v>4235</v>
      </c>
      <c r="G312" s="147"/>
      <c r="H312" s="240" t="s">
        <v>4215</v>
      </c>
      <c r="I312" s="240" t="s">
        <v>4215</v>
      </c>
      <c r="J312" s="147"/>
      <c r="K312" s="147"/>
      <c r="L312" s="147"/>
      <c r="M312" s="147"/>
      <c r="N312" s="147"/>
      <c r="O312" s="147"/>
      <c r="P312" s="147"/>
      <c r="Q312" s="147"/>
      <c r="R312" s="147"/>
      <c r="S312" s="147"/>
      <c r="T312" s="147"/>
      <c r="U312" s="147"/>
      <c r="V312" s="147"/>
    </row>
    <row r="313">
      <c r="A313" s="240" t="s">
        <v>5128</v>
      </c>
      <c r="B313" s="240" t="s">
        <v>1072</v>
      </c>
      <c r="C313" s="240" t="s">
        <v>1073</v>
      </c>
      <c r="D313" s="240" t="s">
        <v>5129</v>
      </c>
      <c r="E313" s="240" t="s">
        <v>5130</v>
      </c>
      <c r="F313" s="240" t="s">
        <v>4349</v>
      </c>
      <c r="G313" s="147"/>
      <c r="H313" s="240" t="s">
        <v>4215</v>
      </c>
      <c r="I313" s="240" t="s">
        <v>4215</v>
      </c>
      <c r="J313" s="147"/>
      <c r="K313" s="147"/>
      <c r="L313" s="147"/>
      <c r="M313" s="147"/>
      <c r="N313" s="147"/>
      <c r="O313" s="147"/>
      <c r="P313" s="147"/>
      <c r="Q313" s="147"/>
      <c r="R313" s="147"/>
      <c r="S313" s="147"/>
      <c r="T313" s="147"/>
      <c r="U313" s="147"/>
      <c r="V313" s="147"/>
    </row>
    <row r="314">
      <c r="A314" s="240" t="s">
        <v>5131</v>
      </c>
      <c r="B314" s="240" t="s">
        <v>1074</v>
      </c>
      <c r="C314" s="240" t="s">
        <v>1075</v>
      </c>
      <c r="D314" s="240" t="s">
        <v>5132</v>
      </c>
      <c r="E314" s="240" t="s">
        <v>5133</v>
      </c>
      <c r="F314" s="240" t="s">
        <v>4231</v>
      </c>
      <c r="G314" s="147"/>
      <c r="H314" s="240" t="s">
        <v>4215</v>
      </c>
      <c r="I314" s="240" t="s">
        <v>4215</v>
      </c>
      <c r="J314" s="147"/>
      <c r="K314" s="147"/>
      <c r="L314" s="147"/>
      <c r="M314" s="147"/>
      <c r="N314" s="147"/>
      <c r="O314" s="147"/>
      <c r="P314" s="147"/>
      <c r="Q314" s="147"/>
      <c r="R314" s="147"/>
      <c r="S314" s="147"/>
      <c r="T314" s="147"/>
      <c r="U314" s="147"/>
      <c r="V314" s="147"/>
    </row>
    <row r="315">
      <c r="A315" s="240" t="s">
        <v>5134</v>
      </c>
      <c r="B315" s="240" t="s">
        <v>1076</v>
      </c>
      <c r="C315" s="240" t="s">
        <v>1077</v>
      </c>
      <c r="D315" s="240" t="s">
        <v>5135</v>
      </c>
      <c r="E315" s="240" t="s">
        <v>5136</v>
      </c>
      <c r="F315" s="240" t="s">
        <v>4231</v>
      </c>
      <c r="G315" s="147"/>
      <c r="H315" s="240" t="s">
        <v>4215</v>
      </c>
      <c r="I315" s="240" t="s">
        <v>4215</v>
      </c>
      <c r="J315" s="147"/>
      <c r="K315" s="147"/>
      <c r="L315" s="147"/>
      <c r="M315" s="147"/>
      <c r="N315" s="147"/>
      <c r="O315" s="147"/>
      <c r="P315" s="147"/>
      <c r="Q315" s="147"/>
      <c r="R315" s="147"/>
      <c r="S315" s="147"/>
      <c r="T315" s="147"/>
      <c r="U315" s="147"/>
      <c r="V315" s="147"/>
    </row>
    <row r="316">
      <c r="A316" s="240" t="s">
        <v>5137</v>
      </c>
      <c r="B316" s="240" t="s">
        <v>1078</v>
      </c>
      <c r="C316" s="240" t="s">
        <v>1079</v>
      </c>
      <c r="D316" s="240" t="s">
        <v>5138</v>
      </c>
      <c r="E316" s="240" t="s">
        <v>5139</v>
      </c>
      <c r="F316" s="240" t="s">
        <v>4264</v>
      </c>
      <c r="G316" s="147"/>
      <c r="H316" s="147"/>
      <c r="I316" s="147"/>
      <c r="J316" s="147"/>
      <c r="K316" s="147"/>
      <c r="L316" s="147"/>
      <c r="M316" s="147"/>
      <c r="N316" s="147"/>
      <c r="O316" s="147"/>
      <c r="P316" s="147"/>
      <c r="Q316" s="147"/>
      <c r="R316" s="147"/>
      <c r="S316" s="147"/>
      <c r="T316" s="147"/>
      <c r="U316" s="147"/>
      <c r="V316" s="147"/>
    </row>
    <row r="317">
      <c r="A317" s="240" t="s">
        <v>5140</v>
      </c>
      <c r="B317" s="240" t="s">
        <v>1080</v>
      </c>
      <c r="C317" s="240" t="s">
        <v>1081</v>
      </c>
      <c r="D317" s="240" t="s">
        <v>5141</v>
      </c>
      <c r="E317" s="240" t="s">
        <v>5142</v>
      </c>
      <c r="F317" s="240" t="s">
        <v>4264</v>
      </c>
      <c r="G317" s="147"/>
      <c r="H317" s="147"/>
      <c r="I317" s="147"/>
      <c r="J317" s="147"/>
      <c r="K317" s="147"/>
      <c r="L317" s="147"/>
      <c r="M317" s="147"/>
      <c r="N317" s="147"/>
      <c r="O317" s="147"/>
      <c r="P317" s="147"/>
      <c r="Q317" s="147"/>
      <c r="R317" s="147"/>
      <c r="S317" s="147"/>
      <c r="T317" s="147"/>
      <c r="U317" s="147"/>
      <c r="V317" s="147"/>
    </row>
    <row r="318">
      <c r="A318" s="240" t="s">
        <v>5143</v>
      </c>
      <c r="B318" s="240" t="s">
        <v>1082</v>
      </c>
      <c r="C318" s="240" t="s">
        <v>1083</v>
      </c>
      <c r="D318" s="240" t="s">
        <v>5144</v>
      </c>
      <c r="E318" s="240" t="s">
        <v>5145</v>
      </c>
      <c r="F318" s="240" t="s">
        <v>4219</v>
      </c>
      <c r="G318" s="147"/>
      <c r="H318" s="240" t="s">
        <v>4215</v>
      </c>
      <c r="I318" s="240" t="s">
        <v>4215</v>
      </c>
      <c r="J318" s="147"/>
      <c r="K318" s="147"/>
      <c r="L318" s="147"/>
      <c r="M318" s="147"/>
      <c r="N318" s="147"/>
      <c r="O318" s="147"/>
      <c r="P318" s="147"/>
      <c r="Q318" s="147"/>
      <c r="R318" s="147"/>
      <c r="S318" s="147"/>
      <c r="T318" s="147"/>
      <c r="U318" s="147"/>
      <c r="V318" s="147"/>
    </row>
    <row r="319">
      <c r="A319" s="240" t="s">
        <v>5146</v>
      </c>
      <c r="B319" s="240" t="s">
        <v>1084</v>
      </c>
      <c r="C319" s="240" t="s">
        <v>1085</v>
      </c>
      <c r="D319" s="240" t="s">
        <v>5147</v>
      </c>
      <c r="E319" s="240" t="s">
        <v>5148</v>
      </c>
      <c r="F319" s="240" t="s">
        <v>4223</v>
      </c>
      <c r="G319" s="147"/>
      <c r="H319" s="240" t="s">
        <v>4215</v>
      </c>
      <c r="I319" s="240" t="s">
        <v>4215</v>
      </c>
      <c r="J319" s="147"/>
      <c r="K319" s="147"/>
      <c r="L319" s="147"/>
      <c r="M319" s="147"/>
      <c r="N319" s="147"/>
      <c r="O319" s="147"/>
      <c r="P319" s="147"/>
      <c r="Q319" s="147"/>
      <c r="R319" s="147"/>
      <c r="S319" s="147"/>
      <c r="T319" s="147"/>
      <c r="U319" s="147"/>
      <c r="V319" s="147"/>
    </row>
    <row r="320">
      <c r="A320" s="240" t="s">
        <v>5149</v>
      </c>
      <c r="B320" s="240" t="s">
        <v>1086</v>
      </c>
      <c r="C320" s="240" t="s">
        <v>1087</v>
      </c>
      <c r="D320" s="240" t="s">
        <v>5150</v>
      </c>
      <c r="E320" s="240" t="s">
        <v>5151</v>
      </c>
      <c r="F320" s="240" t="s">
        <v>4235</v>
      </c>
      <c r="G320" s="147"/>
      <c r="H320" s="240" t="s">
        <v>4215</v>
      </c>
      <c r="I320" s="240" t="s">
        <v>4215</v>
      </c>
      <c r="J320" s="147"/>
      <c r="K320" s="147"/>
      <c r="L320" s="147"/>
      <c r="M320" s="147"/>
      <c r="N320" s="147"/>
      <c r="O320" s="147"/>
      <c r="P320" s="147"/>
      <c r="Q320" s="147"/>
      <c r="R320" s="147"/>
      <c r="S320" s="147"/>
      <c r="T320" s="147"/>
      <c r="U320" s="147"/>
      <c r="V320" s="147"/>
    </row>
    <row r="321">
      <c r="A321" s="240" t="s">
        <v>5152</v>
      </c>
      <c r="B321" s="240" t="s">
        <v>1088</v>
      </c>
      <c r="C321" s="240" t="s">
        <v>1089</v>
      </c>
      <c r="D321" s="240" t="s">
        <v>5153</v>
      </c>
      <c r="E321" s="240" t="s">
        <v>5154</v>
      </c>
      <c r="F321" s="240" t="s">
        <v>4219</v>
      </c>
      <c r="G321" s="147"/>
      <c r="H321" s="240" t="s">
        <v>4215</v>
      </c>
      <c r="I321" s="240" t="s">
        <v>4215</v>
      </c>
      <c r="J321" s="147"/>
      <c r="K321" s="147"/>
      <c r="L321" s="147"/>
      <c r="M321" s="147"/>
      <c r="N321" s="147"/>
      <c r="O321" s="147"/>
      <c r="P321" s="147"/>
      <c r="Q321" s="147"/>
      <c r="R321" s="147"/>
      <c r="S321" s="147"/>
      <c r="T321" s="147"/>
      <c r="U321" s="147"/>
      <c r="V321" s="147"/>
    </row>
    <row r="322">
      <c r="A322" s="240" t="s">
        <v>5155</v>
      </c>
      <c r="B322" s="240" t="s">
        <v>1090</v>
      </c>
      <c r="C322" s="240" t="s">
        <v>1091</v>
      </c>
      <c r="D322" s="240" t="s">
        <v>5156</v>
      </c>
      <c r="E322" s="240" t="s">
        <v>5157</v>
      </c>
      <c r="F322" s="240" t="s">
        <v>4231</v>
      </c>
      <c r="G322" s="147"/>
      <c r="H322" s="240" t="s">
        <v>4215</v>
      </c>
      <c r="I322" s="240" t="s">
        <v>4215</v>
      </c>
      <c r="J322" s="147"/>
      <c r="K322" s="147"/>
      <c r="L322" s="147"/>
      <c r="M322" s="147"/>
      <c r="N322" s="147"/>
      <c r="O322" s="147"/>
      <c r="P322" s="147"/>
      <c r="Q322" s="147"/>
      <c r="R322" s="147"/>
      <c r="S322" s="147"/>
      <c r="T322" s="147"/>
      <c r="U322" s="147"/>
      <c r="V322" s="147"/>
    </row>
    <row r="323">
      <c r="A323" s="240" t="s">
        <v>5158</v>
      </c>
      <c r="B323" s="240" t="s">
        <v>1092</v>
      </c>
      <c r="C323" s="240" t="s">
        <v>1093</v>
      </c>
      <c r="D323" s="240" t="s">
        <v>5159</v>
      </c>
      <c r="E323" s="240" t="s">
        <v>371</v>
      </c>
      <c r="F323" s="240" t="s">
        <v>4590</v>
      </c>
      <c r="G323" s="147"/>
      <c r="H323" s="240" t="s">
        <v>4215</v>
      </c>
      <c r="I323" s="240" t="s">
        <v>4215</v>
      </c>
      <c r="J323" s="147"/>
      <c r="K323" s="147"/>
      <c r="L323" s="147"/>
      <c r="M323" s="147"/>
      <c r="N323" s="147"/>
      <c r="O323" s="147"/>
      <c r="P323" s="147"/>
      <c r="Q323" s="147"/>
      <c r="R323" s="147"/>
      <c r="S323" s="147"/>
      <c r="T323" s="147"/>
      <c r="U323" s="147"/>
      <c r="V323" s="147"/>
    </row>
    <row r="324">
      <c r="A324" s="240" t="s">
        <v>5160</v>
      </c>
      <c r="B324" s="240" t="s">
        <v>1094</v>
      </c>
      <c r="C324" s="240" t="s">
        <v>1095</v>
      </c>
      <c r="D324" s="240" t="s">
        <v>5161</v>
      </c>
      <c r="E324" s="240" t="s">
        <v>5162</v>
      </c>
      <c r="F324" s="240" t="s">
        <v>4223</v>
      </c>
      <c r="G324" s="147"/>
      <c r="H324" s="240" t="s">
        <v>4215</v>
      </c>
      <c r="I324" s="240" t="s">
        <v>4215</v>
      </c>
      <c r="J324" s="147"/>
      <c r="K324" s="147"/>
      <c r="L324" s="147"/>
      <c r="M324" s="147"/>
      <c r="N324" s="147"/>
      <c r="O324" s="147"/>
      <c r="P324" s="147"/>
      <c r="Q324" s="147"/>
      <c r="R324" s="147"/>
      <c r="S324" s="147"/>
      <c r="T324" s="147"/>
      <c r="U324" s="147"/>
      <c r="V324" s="147"/>
    </row>
    <row r="325">
      <c r="A325" s="240" t="s">
        <v>5163</v>
      </c>
      <c r="B325" s="240" t="s">
        <v>1096</v>
      </c>
      <c r="C325" s="240" t="s">
        <v>1097</v>
      </c>
      <c r="D325" s="240" t="s">
        <v>5164</v>
      </c>
      <c r="E325" s="240" t="s">
        <v>5165</v>
      </c>
      <c r="F325" s="240" t="s">
        <v>4223</v>
      </c>
      <c r="G325" s="147"/>
      <c r="H325" s="147"/>
      <c r="I325" s="147"/>
      <c r="J325" s="147"/>
      <c r="K325" s="147"/>
      <c r="L325" s="147"/>
      <c r="M325" s="147"/>
      <c r="N325" s="147"/>
      <c r="O325" s="147"/>
      <c r="P325" s="147"/>
      <c r="Q325" s="147"/>
      <c r="R325" s="147"/>
      <c r="S325" s="147"/>
      <c r="T325" s="147"/>
      <c r="U325" s="147"/>
      <c r="V325" s="147"/>
    </row>
    <row r="326">
      <c r="A326" s="240" t="s">
        <v>5166</v>
      </c>
      <c r="B326" s="240" t="s">
        <v>1098</v>
      </c>
      <c r="C326" s="240" t="s">
        <v>1099</v>
      </c>
      <c r="D326" s="240" t="s">
        <v>5167</v>
      </c>
      <c r="E326" s="240" t="s">
        <v>5168</v>
      </c>
      <c r="F326" s="240" t="s">
        <v>4219</v>
      </c>
      <c r="G326" s="147"/>
      <c r="H326" s="240" t="s">
        <v>4215</v>
      </c>
      <c r="I326" s="240" t="s">
        <v>4215</v>
      </c>
      <c r="J326" s="147"/>
      <c r="K326" s="147"/>
      <c r="L326" s="147"/>
      <c r="M326" s="147"/>
      <c r="N326" s="147"/>
      <c r="O326" s="147"/>
      <c r="P326" s="147"/>
      <c r="Q326" s="147"/>
      <c r="R326" s="147"/>
      <c r="S326" s="147"/>
      <c r="T326" s="147"/>
      <c r="U326" s="147"/>
      <c r="V326" s="147"/>
    </row>
    <row r="327">
      <c r="A327" s="240" t="s">
        <v>5169</v>
      </c>
      <c r="B327" s="240" t="s">
        <v>1100</v>
      </c>
      <c r="C327" s="240" t="s">
        <v>1101</v>
      </c>
      <c r="D327" s="240" t="s">
        <v>5170</v>
      </c>
      <c r="E327" s="240" t="s">
        <v>5171</v>
      </c>
      <c r="F327" s="240" t="s">
        <v>4235</v>
      </c>
      <c r="G327" s="147"/>
      <c r="H327" s="240" t="s">
        <v>4215</v>
      </c>
      <c r="I327" s="240" t="s">
        <v>4215</v>
      </c>
      <c r="J327" s="147"/>
      <c r="K327" s="147"/>
      <c r="L327" s="147"/>
      <c r="M327" s="147"/>
      <c r="N327" s="147"/>
      <c r="O327" s="147"/>
      <c r="P327" s="147"/>
      <c r="Q327" s="147"/>
      <c r="R327" s="147"/>
      <c r="S327" s="147"/>
      <c r="T327" s="147"/>
      <c r="U327" s="147"/>
      <c r="V327" s="147"/>
    </row>
    <row r="328">
      <c r="A328" s="240" t="s">
        <v>5172</v>
      </c>
      <c r="B328" s="240" t="s">
        <v>1102</v>
      </c>
      <c r="C328" s="240" t="s">
        <v>1103</v>
      </c>
      <c r="D328" s="240" t="s">
        <v>5173</v>
      </c>
      <c r="E328" s="240" t="s">
        <v>4881</v>
      </c>
      <c r="F328" s="240" t="s">
        <v>4223</v>
      </c>
      <c r="G328" s="147"/>
      <c r="H328" s="147"/>
      <c r="I328" s="147"/>
      <c r="J328" s="147"/>
      <c r="K328" s="147"/>
      <c r="L328" s="147"/>
      <c r="M328" s="147"/>
      <c r="N328" s="147"/>
      <c r="O328" s="147"/>
      <c r="P328" s="147"/>
      <c r="Q328" s="147"/>
      <c r="R328" s="147"/>
      <c r="S328" s="147"/>
      <c r="T328" s="147"/>
      <c r="U328" s="147"/>
      <c r="V328" s="147"/>
    </row>
    <row r="329">
      <c r="A329" s="240" t="s">
        <v>5174</v>
      </c>
      <c r="B329" s="240" t="s">
        <v>1104</v>
      </c>
      <c r="C329" s="240" t="s">
        <v>1105</v>
      </c>
      <c r="D329" s="240" t="s">
        <v>5175</v>
      </c>
      <c r="E329" s="240" t="s">
        <v>5176</v>
      </c>
      <c r="F329" s="240" t="s">
        <v>4264</v>
      </c>
      <c r="G329" s="147"/>
      <c r="H329" s="240" t="s">
        <v>4215</v>
      </c>
      <c r="I329" s="240" t="s">
        <v>4215</v>
      </c>
      <c r="J329" s="147"/>
      <c r="K329" s="147"/>
      <c r="L329" s="147"/>
      <c r="M329" s="147"/>
      <c r="N329" s="147"/>
      <c r="O329" s="147"/>
      <c r="P329" s="147"/>
      <c r="Q329" s="147"/>
      <c r="R329" s="147"/>
      <c r="S329" s="147"/>
      <c r="T329" s="147"/>
      <c r="U329" s="147"/>
      <c r="V329" s="147"/>
    </row>
    <row r="330">
      <c r="A330" s="240" t="s">
        <v>5177</v>
      </c>
      <c r="B330" s="240" t="s">
        <v>1106</v>
      </c>
      <c r="C330" s="240" t="s">
        <v>1107</v>
      </c>
      <c r="D330" s="240" t="s">
        <v>5178</v>
      </c>
      <c r="E330" s="240" t="s">
        <v>5179</v>
      </c>
      <c r="F330" s="240" t="s">
        <v>4219</v>
      </c>
      <c r="G330" s="147"/>
      <c r="H330" s="240" t="s">
        <v>4215</v>
      </c>
      <c r="I330" s="240" t="s">
        <v>4215</v>
      </c>
      <c r="J330" s="147"/>
      <c r="K330" s="147"/>
      <c r="L330" s="147"/>
      <c r="M330" s="147"/>
      <c r="N330" s="147"/>
      <c r="O330" s="147"/>
      <c r="P330" s="147"/>
      <c r="Q330" s="147"/>
      <c r="R330" s="147"/>
      <c r="S330" s="147"/>
      <c r="T330" s="147"/>
      <c r="U330" s="147"/>
      <c r="V330" s="147"/>
    </row>
    <row r="331">
      <c r="A331" s="240" t="s">
        <v>5180</v>
      </c>
      <c r="B331" s="240" t="s">
        <v>1108</v>
      </c>
      <c r="C331" s="240" t="s">
        <v>1109</v>
      </c>
      <c r="D331" s="240" t="s">
        <v>5181</v>
      </c>
      <c r="E331" s="240" t="s">
        <v>5182</v>
      </c>
      <c r="F331" s="240" t="s">
        <v>4223</v>
      </c>
      <c r="G331" s="147"/>
      <c r="H331" s="147"/>
      <c r="I331" s="147"/>
      <c r="J331" s="147"/>
      <c r="K331" s="147"/>
      <c r="L331" s="147"/>
      <c r="M331" s="147"/>
      <c r="N331" s="147"/>
      <c r="O331" s="147"/>
      <c r="P331" s="147"/>
      <c r="Q331" s="147"/>
      <c r="R331" s="147"/>
      <c r="S331" s="147"/>
      <c r="T331" s="147"/>
      <c r="U331" s="147"/>
      <c r="V331" s="147"/>
    </row>
    <row r="332">
      <c r="A332" s="240" t="s">
        <v>5183</v>
      </c>
      <c r="B332" s="240" t="s">
        <v>1110</v>
      </c>
      <c r="C332" s="240" t="s">
        <v>1111</v>
      </c>
      <c r="D332" s="240" t="s">
        <v>5184</v>
      </c>
      <c r="E332" s="240" t="s">
        <v>5185</v>
      </c>
      <c r="F332" s="240" t="s">
        <v>4479</v>
      </c>
      <c r="G332" s="147"/>
      <c r="H332" s="240" t="s">
        <v>4215</v>
      </c>
      <c r="I332" s="240" t="s">
        <v>4215</v>
      </c>
      <c r="J332" s="147"/>
      <c r="K332" s="147"/>
      <c r="L332" s="147"/>
      <c r="M332" s="147"/>
      <c r="N332" s="147"/>
      <c r="O332" s="147"/>
      <c r="P332" s="147"/>
      <c r="Q332" s="147"/>
      <c r="R332" s="147"/>
      <c r="S332" s="147"/>
      <c r="T332" s="147"/>
      <c r="U332" s="147"/>
      <c r="V332" s="147"/>
    </row>
    <row r="333">
      <c r="A333" s="240" t="s">
        <v>5186</v>
      </c>
      <c r="B333" s="240" t="s">
        <v>1112</v>
      </c>
      <c r="C333" s="240" t="s">
        <v>1113</v>
      </c>
      <c r="D333" s="240" t="s">
        <v>5187</v>
      </c>
      <c r="E333" s="240" t="s">
        <v>5188</v>
      </c>
      <c r="F333" s="240" t="s">
        <v>4590</v>
      </c>
      <c r="G333" s="147"/>
      <c r="H333" s="240" t="s">
        <v>4215</v>
      </c>
      <c r="I333" s="240" t="s">
        <v>4215</v>
      </c>
      <c r="J333" s="147"/>
      <c r="K333" s="147"/>
      <c r="L333" s="147"/>
      <c r="M333" s="147"/>
      <c r="N333" s="147"/>
      <c r="O333" s="147"/>
      <c r="P333" s="147"/>
      <c r="Q333" s="147"/>
      <c r="R333" s="147"/>
      <c r="S333" s="147"/>
      <c r="T333" s="147"/>
      <c r="U333" s="147"/>
      <c r="V333" s="147"/>
    </row>
    <row r="334">
      <c r="A334" s="240" t="s">
        <v>5189</v>
      </c>
      <c r="B334" s="240" t="s">
        <v>1114</v>
      </c>
      <c r="C334" s="240" t="s">
        <v>1115</v>
      </c>
      <c r="D334" s="240" t="s">
        <v>5190</v>
      </c>
      <c r="E334" s="240" t="s">
        <v>5191</v>
      </c>
      <c r="F334" s="240" t="s">
        <v>4264</v>
      </c>
      <c r="G334" s="147"/>
      <c r="H334" s="240" t="s">
        <v>4215</v>
      </c>
      <c r="I334" s="240" t="s">
        <v>4215</v>
      </c>
      <c r="J334" s="147"/>
      <c r="K334" s="147"/>
      <c r="L334" s="147"/>
      <c r="M334" s="147"/>
      <c r="N334" s="147"/>
      <c r="O334" s="147"/>
      <c r="P334" s="147"/>
      <c r="Q334" s="147"/>
      <c r="R334" s="147"/>
      <c r="S334" s="147"/>
      <c r="T334" s="147"/>
      <c r="U334" s="147"/>
      <c r="V334" s="147"/>
    </row>
    <row r="335">
      <c r="A335" s="240" t="s">
        <v>5192</v>
      </c>
      <c r="B335" s="240" t="s">
        <v>1116</v>
      </c>
      <c r="C335" s="240" t="s">
        <v>1117</v>
      </c>
      <c r="D335" s="240" t="s">
        <v>5193</v>
      </c>
      <c r="E335" s="240" t="s">
        <v>5194</v>
      </c>
      <c r="F335" s="240" t="s">
        <v>4235</v>
      </c>
      <c r="G335" s="147"/>
      <c r="H335" s="240" t="s">
        <v>4215</v>
      </c>
      <c r="I335" s="240" t="s">
        <v>4215</v>
      </c>
      <c r="J335" s="147"/>
      <c r="K335" s="147"/>
      <c r="L335" s="147"/>
      <c r="M335" s="147"/>
      <c r="N335" s="147"/>
      <c r="O335" s="147"/>
      <c r="P335" s="147"/>
      <c r="Q335" s="147"/>
      <c r="R335" s="147"/>
      <c r="S335" s="147"/>
      <c r="T335" s="147"/>
      <c r="U335" s="147"/>
      <c r="V335" s="147"/>
    </row>
    <row r="336">
      <c r="A336" s="240" t="s">
        <v>5195</v>
      </c>
      <c r="B336" s="240" t="s">
        <v>1118</v>
      </c>
      <c r="C336" s="240" t="s">
        <v>1119</v>
      </c>
      <c r="D336" s="240" t="s">
        <v>5196</v>
      </c>
      <c r="E336" s="240" t="s">
        <v>5197</v>
      </c>
      <c r="F336" s="240" t="s">
        <v>4590</v>
      </c>
      <c r="G336" s="147"/>
      <c r="H336" s="240" t="s">
        <v>4215</v>
      </c>
      <c r="I336" s="240" t="s">
        <v>4215</v>
      </c>
      <c r="J336" s="147"/>
      <c r="K336" s="147"/>
      <c r="L336" s="147"/>
      <c r="M336" s="147"/>
      <c r="N336" s="147"/>
      <c r="O336" s="147"/>
      <c r="P336" s="147"/>
      <c r="Q336" s="147"/>
      <c r="R336" s="147"/>
      <c r="S336" s="147"/>
      <c r="T336" s="147"/>
      <c r="U336" s="147"/>
      <c r="V336" s="147"/>
    </row>
    <row r="337">
      <c r="A337" s="240" t="s">
        <v>5198</v>
      </c>
      <c r="B337" s="240" t="s">
        <v>1120</v>
      </c>
      <c r="C337" s="240" t="s">
        <v>1121</v>
      </c>
      <c r="D337" s="240" t="s">
        <v>5199</v>
      </c>
      <c r="E337" s="240" t="s">
        <v>5200</v>
      </c>
      <c r="F337" s="240" t="s">
        <v>4227</v>
      </c>
      <c r="G337" s="147"/>
      <c r="H337" s="240" t="s">
        <v>4215</v>
      </c>
      <c r="I337" s="240" t="s">
        <v>4215</v>
      </c>
      <c r="J337" s="147"/>
      <c r="K337" s="147"/>
      <c r="L337" s="147"/>
      <c r="M337" s="147"/>
      <c r="N337" s="147"/>
      <c r="O337" s="147"/>
      <c r="P337" s="147"/>
      <c r="Q337" s="147"/>
      <c r="R337" s="147"/>
      <c r="S337" s="147"/>
      <c r="T337" s="147"/>
      <c r="U337" s="147"/>
      <c r="V337" s="147"/>
    </row>
    <row r="338">
      <c r="A338" s="240" t="s">
        <v>5201</v>
      </c>
      <c r="B338" s="240" t="s">
        <v>1122</v>
      </c>
      <c r="C338" s="240" t="s">
        <v>1123</v>
      </c>
      <c r="D338" s="240" t="s">
        <v>5202</v>
      </c>
      <c r="E338" s="240" t="s">
        <v>4806</v>
      </c>
      <c r="F338" s="240" t="s">
        <v>4828</v>
      </c>
      <c r="G338" s="147"/>
      <c r="H338" s="240" t="s">
        <v>4215</v>
      </c>
      <c r="I338" s="240" t="s">
        <v>4215</v>
      </c>
      <c r="J338" s="147"/>
      <c r="K338" s="147"/>
      <c r="L338" s="147"/>
      <c r="M338" s="147"/>
      <c r="N338" s="147"/>
      <c r="O338" s="147"/>
      <c r="P338" s="147"/>
      <c r="Q338" s="147"/>
      <c r="R338" s="147"/>
      <c r="S338" s="147"/>
      <c r="T338" s="147"/>
      <c r="U338" s="147"/>
      <c r="V338" s="147"/>
    </row>
    <row r="339">
      <c r="A339" s="240" t="s">
        <v>5203</v>
      </c>
      <c r="B339" s="240" t="s">
        <v>1124</v>
      </c>
      <c r="C339" s="240" t="s">
        <v>1125</v>
      </c>
      <c r="D339" s="240" t="s">
        <v>5204</v>
      </c>
      <c r="E339" s="240" t="s">
        <v>5205</v>
      </c>
      <c r="F339" s="240" t="s">
        <v>4264</v>
      </c>
      <c r="G339" s="147"/>
      <c r="H339" s="240" t="s">
        <v>4215</v>
      </c>
      <c r="I339" s="147"/>
      <c r="J339" s="147"/>
      <c r="K339" s="147"/>
      <c r="L339" s="147"/>
      <c r="M339" s="147"/>
      <c r="N339" s="147"/>
      <c r="O339" s="147"/>
      <c r="P339" s="147"/>
      <c r="Q339" s="147"/>
      <c r="R339" s="147"/>
      <c r="S339" s="147"/>
      <c r="T339" s="147"/>
      <c r="U339" s="147"/>
      <c r="V339" s="147"/>
    </row>
    <row r="340">
      <c r="A340" s="240" t="s">
        <v>5206</v>
      </c>
      <c r="B340" s="240" t="s">
        <v>1126</v>
      </c>
      <c r="C340" s="240" t="s">
        <v>1127</v>
      </c>
      <c r="D340" s="240" t="s">
        <v>5207</v>
      </c>
      <c r="E340" s="240" t="s">
        <v>5208</v>
      </c>
      <c r="F340" s="240" t="s">
        <v>4223</v>
      </c>
      <c r="G340" s="147"/>
      <c r="H340" s="240" t="s">
        <v>4215</v>
      </c>
      <c r="I340" s="240" t="s">
        <v>4215</v>
      </c>
      <c r="J340" s="147"/>
      <c r="K340" s="147"/>
      <c r="L340" s="147"/>
      <c r="M340" s="147"/>
      <c r="N340" s="147"/>
      <c r="O340" s="147"/>
      <c r="P340" s="147"/>
      <c r="Q340" s="147"/>
      <c r="R340" s="147"/>
      <c r="S340" s="147"/>
      <c r="T340" s="147"/>
      <c r="U340" s="147"/>
      <c r="V340" s="147"/>
    </row>
    <row r="341">
      <c r="A341" s="240" t="s">
        <v>5209</v>
      </c>
      <c r="B341" s="240" t="s">
        <v>1128</v>
      </c>
      <c r="C341" s="240" t="s">
        <v>1129</v>
      </c>
      <c r="D341" s="240" t="s">
        <v>5210</v>
      </c>
      <c r="E341" s="240" t="s">
        <v>5211</v>
      </c>
      <c r="F341" s="240" t="s">
        <v>4223</v>
      </c>
      <c r="G341" s="147"/>
      <c r="H341" s="240" t="s">
        <v>4215</v>
      </c>
      <c r="I341" s="240" t="s">
        <v>4215</v>
      </c>
      <c r="J341" s="147"/>
      <c r="K341" s="147"/>
      <c r="L341" s="147"/>
      <c r="M341" s="147"/>
      <c r="N341" s="147"/>
      <c r="O341" s="147"/>
      <c r="P341" s="147"/>
      <c r="Q341" s="147"/>
      <c r="R341" s="147"/>
      <c r="S341" s="147"/>
      <c r="T341" s="147"/>
      <c r="U341" s="147"/>
      <c r="V341" s="147"/>
    </row>
    <row r="342">
      <c r="A342" s="240" t="s">
        <v>5212</v>
      </c>
      <c r="B342" s="240" t="s">
        <v>1130</v>
      </c>
      <c r="C342" s="240" t="s">
        <v>1131</v>
      </c>
      <c r="D342" s="240" t="s">
        <v>5213</v>
      </c>
      <c r="E342" s="240" t="s">
        <v>4979</v>
      </c>
      <c r="F342" s="240" t="s">
        <v>4223</v>
      </c>
      <c r="G342" s="147"/>
      <c r="H342" s="240" t="s">
        <v>4215</v>
      </c>
      <c r="I342" s="240" t="s">
        <v>4215</v>
      </c>
      <c r="J342" s="147"/>
      <c r="K342" s="147"/>
      <c r="L342" s="147"/>
      <c r="M342" s="147"/>
      <c r="N342" s="147"/>
      <c r="O342" s="147"/>
      <c r="P342" s="147"/>
      <c r="Q342" s="147"/>
      <c r="R342" s="147"/>
      <c r="S342" s="147"/>
      <c r="T342" s="147"/>
      <c r="U342" s="147"/>
      <c r="V342" s="147"/>
    </row>
    <row r="343">
      <c r="A343" s="240" t="s">
        <v>5214</v>
      </c>
      <c r="B343" s="240" t="s">
        <v>1132</v>
      </c>
      <c r="C343" s="240" t="s">
        <v>1133</v>
      </c>
      <c r="D343" s="240" t="s">
        <v>5215</v>
      </c>
      <c r="E343" s="240" t="s">
        <v>4716</v>
      </c>
      <c r="F343" s="240" t="s">
        <v>4219</v>
      </c>
      <c r="G343" s="147"/>
      <c r="H343" s="240" t="s">
        <v>4215</v>
      </c>
      <c r="I343" s="240" t="s">
        <v>4215</v>
      </c>
      <c r="J343" s="147"/>
      <c r="K343" s="147"/>
      <c r="L343" s="147"/>
      <c r="M343" s="147"/>
      <c r="N343" s="147"/>
      <c r="O343" s="147"/>
      <c r="P343" s="147"/>
      <c r="Q343" s="147"/>
      <c r="R343" s="147"/>
      <c r="S343" s="147"/>
      <c r="T343" s="147"/>
      <c r="U343" s="147"/>
      <c r="V343" s="147"/>
    </row>
    <row r="344">
      <c r="A344" s="240" t="s">
        <v>5216</v>
      </c>
      <c r="B344" s="240" t="s">
        <v>1134</v>
      </c>
      <c r="C344" s="240" t="s">
        <v>1135</v>
      </c>
      <c r="D344" s="240" t="s">
        <v>5217</v>
      </c>
      <c r="E344" s="240" t="s">
        <v>5218</v>
      </c>
      <c r="F344" s="240" t="s">
        <v>4223</v>
      </c>
      <c r="G344" s="147"/>
      <c r="H344" s="240" t="s">
        <v>4215</v>
      </c>
      <c r="I344" s="240" t="s">
        <v>4215</v>
      </c>
      <c r="J344" s="147"/>
      <c r="K344" s="147"/>
      <c r="L344" s="147"/>
      <c r="M344" s="147"/>
      <c r="N344" s="147"/>
      <c r="O344" s="147"/>
      <c r="P344" s="147"/>
      <c r="Q344" s="147"/>
      <c r="R344" s="147"/>
      <c r="S344" s="147"/>
      <c r="T344" s="147"/>
      <c r="U344" s="147"/>
      <c r="V344" s="147"/>
    </row>
    <row r="345">
      <c r="A345" s="240" t="s">
        <v>5219</v>
      </c>
      <c r="B345" s="240" t="s">
        <v>1136</v>
      </c>
      <c r="C345" s="240" t="s">
        <v>1137</v>
      </c>
      <c r="D345" s="240" t="s">
        <v>5220</v>
      </c>
      <c r="E345" s="240" t="s">
        <v>5221</v>
      </c>
      <c r="F345" s="240" t="s">
        <v>4231</v>
      </c>
      <c r="G345" s="147"/>
      <c r="H345" s="240" t="s">
        <v>4215</v>
      </c>
      <c r="I345" s="240" t="s">
        <v>4215</v>
      </c>
      <c r="J345" s="147"/>
      <c r="K345" s="147"/>
      <c r="L345" s="147"/>
      <c r="M345" s="147"/>
      <c r="N345" s="147"/>
      <c r="O345" s="147"/>
      <c r="P345" s="147"/>
      <c r="Q345" s="147"/>
      <c r="R345" s="147"/>
      <c r="S345" s="147"/>
      <c r="T345" s="147"/>
      <c r="U345" s="147"/>
      <c r="V345" s="147"/>
    </row>
    <row r="346">
      <c r="A346" s="240" t="s">
        <v>5222</v>
      </c>
      <c r="B346" s="240" t="s">
        <v>1138</v>
      </c>
      <c r="C346" s="240" t="s">
        <v>1139</v>
      </c>
      <c r="D346" s="240" t="s">
        <v>5223</v>
      </c>
      <c r="E346" s="240" t="s">
        <v>5224</v>
      </c>
      <c r="F346" s="240" t="s">
        <v>4235</v>
      </c>
      <c r="G346" s="147"/>
      <c r="H346" s="240" t="s">
        <v>4215</v>
      </c>
      <c r="I346" s="240" t="s">
        <v>4215</v>
      </c>
      <c r="J346" s="147"/>
      <c r="K346" s="147"/>
      <c r="L346" s="147"/>
      <c r="M346" s="147"/>
      <c r="N346" s="147"/>
      <c r="O346" s="147"/>
      <c r="P346" s="147"/>
      <c r="Q346" s="147"/>
      <c r="R346" s="147"/>
      <c r="S346" s="147"/>
      <c r="T346" s="147"/>
      <c r="U346" s="147"/>
      <c r="V346" s="147"/>
    </row>
    <row r="347">
      <c r="A347" s="240" t="s">
        <v>5225</v>
      </c>
      <c r="B347" s="240" t="s">
        <v>1140</v>
      </c>
      <c r="C347" s="240" t="s">
        <v>1141</v>
      </c>
      <c r="D347" s="240" t="s">
        <v>5226</v>
      </c>
      <c r="E347" s="240" t="s">
        <v>5227</v>
      </c>
      <c r="F347" s="240" t="s">
        <v>4235</v>
      </c>
      <c r="G347" s="147"/>
      <c r="H347" s="240" t="s">
        <v>4215</v>
      </c>
      <c r="I347" s="240" t="s">
        <v>4215</v>
      </c>
      <c r="J347" s="147"/>
      <c r="K347" s="147"/>
      <c r="L347" s="147"/>
      <c r="M347" s="147"/>
      <c r="N347" s="147"/>
      <c r="O347" s="147"/>
      <c r="P347" s="147"/>
      <c r="Q347" s="147"/>
      <c r="R347" s="147"/>
      <c r="S347" s="147"/>
      <c r="T347" s="147"/>
      <c r="U347" s="147"/>
      <c r="V347" s="147"/>
    </row>
    <row r="348">
      <c r="A348" s="240" t="s">
        <v>5228</v>
      </c>
      <c r="B348" s="240" t="s">
        <v>1142</v>
      </c>
      <c r="C348" s="240" t="s">
        <v>1143</v>
      </c>
      <c r="D348" s="240" t="s">
        <v>5229</v>
      </c>
      <c r="E348" s="240" t="s">
        <v>5230</v>
      </c>
      <c r="F348" s="240" t="s">
        <v>4828</v>
      </c>
      <c r="G348" s="147"/>
      <c r="H348" s="147"/>
      <c r="I348" s="147"/>
      <c r="J348" s="147"/>
      <c r="K348" s="147"/>
      <c r="L348" s="147"/>
      <c r="M348" s="147"/>
      <c r="N348" s="147"/>
      <c r="O348" s="147"/>
      <c r="P348" s="147"/>
      <c r="Q348" s="147"/>
      <c r="R348" s="147"/>
      <c r="S348" s="147"/>
      <c r="T348" s="147"/>
      <c r="U348" s="147"/>
      <c r="V348" s="147"/>
    </row>
    <row r="349">
      <c r="A349" s="240" t="s">
        <v>5231</v>
      </c>
      <c r="B349" s="240" t="s">
        <v>1144</v>
      </c>
      <c r="C349" s="240" t="s">
        <v>1145</v>
      </c>
      <c r="D349" s="240" t="s">
        <v>5232</v>
      </c>
      <c r="E349" s="240" t="s">
        <v>5233</v>
      </c>
      <c r="F349" s="240" t="s">
        <v>4349</v>
      </c>
      <c r="G349" s="147"/>
      <c r="H349" s="240" t="s">
        <v>4215</v>
      </c>
      <c r="I349" s="240" t="s">
        <v>4215</v>
      </c>
      <c r="J349" s="147"/>
      <c r="K349" s="147"/>
      <c r="L349" s="147"/>
      <c r="M349" s="147"/>
      <c r="N349" s="147"/>
      <c r="O349" s="147"/>
      <c r="P349" s="147"/>
      <c r="Q349" s="147"/>
      <c r="R349" s="147"/>
      <c r="S349" s="147"/>
      <c r="T349" s="147"/>
      <c r="U349" s="147"/>
      <c r="V349" s="147"/>
    </row>
    <row r="350">
      <c r="A350" s="240" t="s">
        <v>5231</v>
      </c>
      <c r="B350" s="240" t="s">
        <v>1144</v>
      </c>
      <c r="C350" s="240" t="s">
        <v>1145</v>
      </c>
      <c r="D350" s="240" t="s">
        <v>5232</v>
      </c>
      <c r="E350" s="240" t="s">
        <v>5234</v>
      </c>
      <c r="F350" s="240" t="s">
        <v>4479</v>
      </c>
      <c r="G350" s="147"/>
      <c r="H350" s="240" t="s">
        <v>4215</v>
      </c>
      <c r="I350" s="240" t="s">
        <v>4215</v>
      </c>
      <c r="J350" s="147"/>
      <c r="K350" s="147"/>
      <c r="L350" s="147"/>
      <c r="M350" s="147"/>
      <c r="N350" s="147"/>
      <c r="O350" s="147"/>
      <c r="P350" s="147"/>
      <c r="Q350" s="147"/>
      <c r="R350" s="147"/>
      <c r="S350" s="147"/>
      <c r="T350" s="147"/>
      <c r="U350" s="147"/>
      <c r="V350" s="147"/>
    </row>
    <row r="351">
      <c r="A351" s="240" t="s">
        <v>5235</v>
      </c>
      <c r="B351" s="240" t="s">
        <v>1146</v>
      </c>
      <c r="C351" s="240" t="s">
        <v>1147</v>
      </c>
      <c r="D351" s="240" t="s">
        <v>5236</v>
      </c>
      <c r="E351" s="240" t="s">
        <v>5073</v>
      </c>
      <c r="F351" s="240" t="s">
        <v>4235</v>
      </c>
      <c r="G351" s="147"/>
      <c r="H351" s="240" t="s">
        <v>4215</v>
      </c>
      <c r="I351" s="240" t="s">
        <v>4215</v>
      </c>
      <c r="J351" s="147"/>
      <c r="K351" s="147"/>
      <c r="L351" s="147"/>
      <c r="M351" s="147"/>
      <c r="N351" s="147"/>
      <c r="O351" s="147"/>
      <c r="P351" s="147"/>
      <c r="Q351" s="147"/>
      <c r="R351" s="147"/>
      <c r="S351" s="147"/>
      <c r="T351" s="147"/>
      <c r="U351" s="147"/>
      <c r="V351" s="147"/>
    </row>
    <row r="352">
      <c r="A352" s="240" t="s">
        <v>5237</v>
      </c>
      <c r="B352" s="240" t="s">
        <v>1148</v>
      </c>
      <c r="C352" s="240" t="s">
        <v>1149</v>
      </c>
      <c r="D352" s="240" t="s">
        <v>5238</v>
      </c>
      <c r="E352" s="240" t="s">
        <v>4866</v>
      </c>
      <c r="F352" s="240" t="s">
        <v>4264</v>
      </c>
      <c r="G352" s="147"/>
      <c r="H352" s="147"/>
      <c r="I352" s="147"/>
      <c r="J352" s="147"/>
      <c r="K352" s="147"/>
      <c r="L352" s="147"/>
      <c r="M352" s="147"/>
      <c r="N352" s="147"/>
      <c r="O352" s="147"/>
      <c r="P352" s="147"/>
      <c r="Q352" s="147"/>
      <c r="R352" s="147"/>
      <c r="S352" s="147"/>
      <c r="T352" s="147"/>
      <c r="U352" s="147"/>
      <c r="V352" s="147"/>
    </row>
    <row r="353">
      <c r="A353" s="240" t="s">
        <v>5239</v>
      </c>
      <c r="B353" s="240" t="s">
        <v>1150</v>
      </c>
      <c r="C353" s="240" t="s">
        <v>1151</v>
      </c>
      <c r="D353" s="240" t="s">
        <v>5240</v>
      </c>
      <c r="E353" s="240" t="s">
        <v>5241</v>
      </c>
      <c r="F353" s="240" t="s">
        <v>4264</v>
      </c>
      <c r="G353" s="147"/>
      <c r="H353" s="147"/>
      <c r="I353" s="147"/>
      <c r="J353" s="147"/>
      <c r="K353" s="147"/>
      <c r="L353" s="147"/>
      <c r="M353" s="147"/>
      <c r="N353" s="147"/>
      <c r="O353" s="147"/>
      <c r="P353" s="147"/>
      <c r="Q353" s="147"/>
      <c r="R353" s="147"/>
      <c r="S353" s="147"/>
      <c r="T353" s="147"/>
      <c r="U353" s="147"/>
      <c r="V353" s="147"/>
    </row>
    <row r="354">
      <c r="A354" s="240" t="s">
        <v>5242</v>
      </c>
      <c r="B354" s="240" t="s">
        <v>1152</v>
      </c>
      <c r="C354" s="240" t="s">
        <v>1153</v>
      </c>
      <c r="D354" s="240" t="s">
        <v>5243</v>
      </c>
      <c r="E354" s="240" t="s">
        <v>5244</v>
      </c>
      <c r="F354" s="240" t="s">
        <v>4227</v>
      </c>
      <c r="G354" s="147"/>
      <c r="H354" s="147"/>
      <c r="I354" s="147"/>
      <c r="J354" s="147"/>
      <c r="K354" s="147"/>
      <c r="L354" s="147"/>
      <c r="M354" s="147"/>
      <c r="N354" s="147"/>
      <c r="O354" s="147"/>
      <c r="P354" s="147"/>
      <c r="Q354" s="147"/>
      <c r="R354" s="147"/>
      <c r="S354" s="147"/>
      <c r="T354" s="147"/>
      <c r="U354" s="147"/>
      <c r="V354" s="147"/>
    </row>
    <row r="355">
      <c r="A355" s="240" t="s">
        <v>5245</v>
      </c>
      <c r="B355" s="240" t="s">
        <v>1154</v>
      </c>
      <c r="C355" s="240" t="s">
        <v>1155</v>
      </c>
      <c r="D355" s="240" t="s">
        <v>5246</v>
      </c>
      <c r="E355" s="240" t="s">
        <v>5247</v>
      </c>
      <c r="F355" s="240" t="s">
        <v>4223</v>
      </c>
      <c r="G355" s="147"/>
      <c r="H355" s="147"/>
      <c r="I355" s="147"/>
      <c r="J355" s="147"/>
      <c r="K355" s="147"/>
      <c r="L355" s="147"/>
      <c r="M355" s="147"/>
      <c r="N355" s="147"/>
      <c r="O355" s="147"/>
      <c r="P355" s="147"/>
      <c r="Q355" s="147"/>
      <c r="R355" s="147"/>
      <c r="S355" s="147"/>
      <c r="T355" s="147"/>
      <c r="U355" s="147"/>
      <c r="V355" s="147"/>
    </row>
    <row r="356">
      <c r="A356" s="240" t="s">
        <v>5248</v>
      </c>
      <c r="B356" s="240" t="s">
        <v>1156</v>
      </c>
      <c r="C356" s="240" t="s">
        <v>1157</v>
      </c>
      <c r="D356" s="240" t="s">
        <v>5249</v>
      </c>
      <c r="E356" s="240" t="s">
        <v>5250</v>
      </c>
      <c r="F356" s="240" t="s">
        <v>4219</v>
      </c>
      <c r="G356" s="147"/>
      <c r="H356" s="240" t="s">
        <v>4215</v>
      </c>
      <c r="I356" s="240" t="s">
        <v>4215</v>
      </c>
      <c r="J356" s="147"/>
      <c r="K356" s="147"/>
      <c r="L356" s="147"/>
      <c r="M356" s="147"/>
      <c r="N356" s="147"/>
      <c r="O356" s="147"/>
      <c r="P356" s="147"/>
      <c r="Q356" s="147"/>
      <c r="R356" s="147"/>
      <c r="S356" s="147"/>
      <c r="T356" s="147"/>
      <c r="U356" s="147"/>
      <c r="V356" s="147"/>
    </row>
    <row r="357">
      <c r="A357" s="240" t="s">
        <v>5251</v>
      </c>
      <c r="B357" s="240" t="s">
        <v>1158</v>
      </c>
      <c r="C357" s="240" t="s">
        <v>1159</v>
      </c>
      <c r="D357" s="240" t="s">
        <v>5252</v>
      </c>
      <c r="E357" s="240" t="s">
        <v>5253</v>
      </c>
      <c r="F357" s="240" t="s">
        <v>4235</v>
      </c>
      <c r="G357" s="147"/>
      <c r="H357" s="240" t="s">
        <v>4215</v>
      </c>
      <c r="I357" s="240" t="s">
        <v>4215</v>
      </c>
      <c r="J357" s="147"/>
      <c r="K357" s="147"/>
      <c r="L357" s="147"/>
      <c r="M357" s="147"/>
      <c r="N357" s="147"/>
      <c r="O357" s="147"/>
      <c r="P357" s="147"/>
      <c r="Q357" s="147"/>
      <c r="R357" s="147"/>
      <c r="S357" s="147"/>
      <c r="T357" s="147"/>
      <c r="U357" s="147"/>
      <c r="V357" s="147"/>
    </row>
    <row r="358">
      <c r="A358" s="240" t="s">
        <v>5254</v>
      </c>
      <c r="B358" s="240" t="s">
        <v>1160</v>
      </c>
      <c r="C358" s="240" t="s">
        <v>1161</v>
      </c>
      <c r="D358" s="240" t="s">
        <v>5255</v>
      </c>
      <c r="E358" s="240" t="s">
        <v>5256</v>
      </c>
      <c r="F358" s="240" t="s">
        <v>4223</v>
      </c>
      <c r="G358" s="147"/>
      <c r="H358" s="240" t="s">
        <v>4215</v>
      </c>
      <c r="I358" s="240" t="s">
        <v>4215</v>
      </c>
      <c r="J358" s="147"/>
      <c r="K358" s="147"/>
      <c r="L358" s="147"/>
      <c r="M358" s="147"/>
      <c r="N358" s="147"/>
      <c r="O358" s="147"/>
      <c r="P358" s="147"/>
      <c r="Q358" s="147"/>
      <c r="R358" s="147"/>
      <c r="S358" s="147"/>
      <c r="T358" s="147"/>
      <c r="U358" s="147"/>
      <c r="V358" s="147"/>
    </row>
    <row r="359">
      <c r="A359" s="240" t="s">
        <v>5257</v>
      </c>
      <c r="B359" s="240" t="s">
        <v>1162</v>
      </c>
      <c r="C359" s="240" t="s">
        <v>1163</v>
      </c>
      <c r="D359" s="240" t="s">
        <v>5258</v>
      </c>
      <c r="E359" s="240" t="s">
        <v>5259</v>
      </c>
      <c r="F359" s="240" t="s">
        <v>4227</v>
      </c>
      <c r="G359" s="147"/>
      <c r="H359" s="240" t="s">
        <v>4215</v>
      </c>
      <c r="I359" s="240" t="s">
        <v>4215</v>
      </c>
      <c r="J359" s="147"/>
      <c r="K359" s="147"/>
      <c r="L359" s="147"/>
      <c r="M359" s="147"/>
      <c r="N359" s="147"/>
      <c r="O359" s="147"/>
      <c r="P359" s="147"/>
      <c r="Q359" s="147"/>
      <c r="R359" s="147"/>
      <c r="S359" s="147"/>
      <c r="T359" s="147"/>
      <c r="U359" s="147"/>
      <c r="V359" s="147"/>
    </row>
    <row r="360">
      <c r="A360" s="240" t="s">
        <v>5260</v>
      </c>
      <c r="B360" s="240" t="s">
        <v>1164</v>
      </c>
      <c r="C360" s="240" t="s">
        <v>1165</v>
      </c>
      <c r="D360" s="240" t="s">
        <v>5261</v>
      </c>
      <c r="E360" s="240" t="s">
        <v>4750</v>
      </c>
      <c r="F360" s="240" t="s">
        <v>4235</v>
      </c>
      <c r="G360" s="147"/>
      <c r="H360" s="147"/>
      <c r="I360" s="147"/>
      <c r="J360" s="147"/>
      <c r="K360" s="147"/>
      <c r="L360" s="147"/>
      <c r="M360" s="147"/>
      <c r="N360" s="147"/>
      <c r="O360" s="147"/>
      <c r="P360" s="147"/>
      <c r="Q360" s="147"/>
      <c r="R360" s="147"/>
      <c r="S360" s="147"/>
      <c r="T360" s="147"/>
      <c r="U360" s="147"/>
      <c r="V360" s="147"/>
    </row>
    <row r="361">
      <c r="A361" s="240" t="s">
        <v>5262</v>
      </c>
      <c r="B361" s="240" t="s">
        <v>1166</v>
      </c>
      <c r="C361" s="240" t="s">
        <v>1167</v>
      </c>
      <c r="D361" s="240" t="s">
        <v>5263</v>
      </c>
      <c r="E361" s="240" t="s">
        <v>5264</v>
      </c>
      <c r="F361" s="240" t="s">
        <v>4223</v>
      </c>
      <c r="G361" s="147"/>
      <c r="H361" s="147"/>
      <c r="I361" s="147"/>
      <c r="J361" s="147"/>
      <c r="K361" s="147"/>
      <c r="L361" s="147"/>
      <c r="M361" s="147"/>
      <c r="N361" s="147"/>
      <c r="O361" s="147"/>
      <c r="P361" s="147"/>
      <c r="Q361" s="147"/>
      <c r="R361" s="147"/>
      <c r="S361" s="147"/>
      <c r="T361" s="147"/>
      <c r="U361" s="147"/>
      <c r="V361" s="147"/>
    </row>
    <row r="362">
      <c r="A362" s="240" t="s">
        <v>5265</v>
      </c>
      <c r="B362" s="240" t="s">
        <v>1168</v>
      </c>
      <c r="C362" s="240" t="s">
        <v>1169</v>
      </c>
      <c r="D362" s="240" t="s">
        <v>5266</v>
      </c>
      <c r="E362" s="240" t="s">
        <v>5267</v>
      </c>
      <c r="F362" s="240" t="s">
        <v>4479</v>
      </c>
      <c r="G362" s="147"/>
      <c r="H362" s="240" t="s">
        <v>4215</v>
      </c>
      <c r="I362" s="240" t="s">
        <v>4215</v>
      </c>
      <c r="J362" s="147"/>
      <c r="K362" s="147"/>
      <c r="L362" s="147"/>
      <c r="M362" s="147"/>
      <c r="N362" s="147"/>
      <c r="O362" s="147"/>
      <c r="P362" s="147"/>
      <c r="Q362" s="147"/>
      <c r="R362" s="147"/>
      <c r="S362" s="147"/>
      <c r="T362" s="147"/>
      <c r="U362" s="147"/>
      <c r="V362" s="147"/>
    </row>
    <row r="363">
      <c r="A363" s="240" t="s">
        <v>5268</v>
      </c>
      <c r="B363" s="240" t="s">
        <v>1170</v>
      </c>
      <c r="C363" s="240" t="s">
        <v>1171</v>
      </c>
      <c r="D363" s="240" t="s">
        <v>5269</v>
      </c>
      <c r="E363" s="240" t="s">
        <v>5270</v>
      </c>
      <c r="F363" s="240" t="s">
        <v>4231</v>
      </c>
      <c r="G363" s="147"/>
      <c r="H363" s="240" t="s">
        <v>4215</v>
      </c>
      <c r="I363" s="240" t="s">
        <v>4215</v>
      </c>
      <c r="J363" s="147"/>
      <c r="K363" s="147"/>
      <c r="L363" s="147"/>
      <c r="M363" s="147"/>
      <c r="N363" s="147"/>
      <c r="O363" s="147"/>
      <c r="P363" s="147"/>
      <c r="Q363" s="147"/>
      <c r="R363" s="147"/>
      <c r="S363" s="147"/>
      <c r="T363" s="147"/>
      <c r="U363" s="147"/>
      <c r="V363" s="147"/>
    </row>
    <row r="364">
      <c r="A364" s="240" t="s">
        <v>5271</v>
      </c>
      <c r="B364" s="240" t="s">
        <v>1172</v>
      </c>
      <c r="C364" s="240" t="s">
        <v>1173</v>
      </c>
      <c r="D364" s="240" t="s">
        <v>5272</v>
      </c>
      <c r="E364" s="240" t="s">
        <v>5273</v>
      </c>
      <c r="F364" s="240" t="s">
        <v>4223</v>
      </c>
      <c r="G364" s="147"/>
      <c r="H364" s="240" t="s">
        <v>4215</v>
      </c>
      <c r="I364" s="240" t="s">
        <v>4215</v>
      </c>
      <c r="J364" s="147"/>
      <c r="K364" s="147"/>
      <c r="L364" s="147"/>
      <c r="M364" s="147"/>
      <c r="N364" s="147"/>
      <c r="O364" s="147"/>
      <c r="P364" s="147"/>
      <c r="Q364" s="147"/>
      <c r="R364" s="147"/>
      <c r="S364" s="147"/>
      <c r="T364" s="147"/>
      <c r="U364" s="147"/>
      <c r="V364" s="147"/>
    </row>
    <row r="365">
      <c r="A365" s="240" t="s">
        <v>5274</v>
      </c>
      <c r="B365" s="240" t="s">
        <v>1174</v>
      </c>
      <c r="C365" s="240" t="s">
        <v>1175</v>
      </c>
      <c r="D365" s="240" t="s">
        <v>5275</v>
      </c>
      <c r="E365" s="240" t="s">
        <v>5276</v>
      </c>
      <c r="F365" s="240" t="s">
        <v>4223</v>
      </c>
      <c r="G365" s="147"/>
      <c r="H365" s="147"/>
      <c r="I365" s="240" t="s">
        <v>4215</v>
      </c>
      <c r="J365" s="147"/>
      <c r="K365" s="147"/>
      <c r="L365" s="147"/>
      <c r="M365" s="147"/>
      <c r="N365" s="147"/>
      <c r="O365" s="147"/>
      <c r="P365" s="147"/>
      <c r="Q365" s="147"/>
      <c r="R365" s="147"/>
      <c r="S365" s="147"/>
      <c r="T365" s="147"/>
      <c r="U365" s="147"/>
      <c r="V365" s="147"/>
    </row>
    <row r="366">
      <c r="A366" s="240" t="s">
        <v>5277</v>
      </c>
      <c r="B366" s="240" t="s">
        <v>1176</v>
      </c>
      <c r="C366" s="240" t="s">
        <v>1177</v>
      </c>
      <c r="D366" s="240" t="s">
        <v>5278</v>
      </c>
      <c r="E366" s="240" t="s">
        <v>5279</v>
      </c>
      <c r="F366" s="240" t="s">
        <v>4223</v>
      </c>
      <c r="G366" s="147"/>
      <c r="H366" s="240" t="s">
        <v>4215</v>
      </c>
      <c r="I366" s="240" t="s">
        <v>4215</v>
      </c>
      <c r="J366" s="147"/>
      <c r="K366" s="147"/>
      <c r="L366" s="147"/>
      <c r="M366" s="147"/>
      <c r="N366" s="147"/>
      <c r="O366" s="147"/>
      <c r="P366" s="147"/>
      <c r="Q366" s="147"/>
      <c r="R366" s="147"/>
      <c r="S366" s="147"/>
      <c r="T366" s="147"/>
      <c r="U366" s="147"/>
      <c r="V366" s="147"/>
    </row>
    <row r="367">
      <c r="A367" s="240" t="s">
        <v>5280</v>
      </c>
      <c r="B367" s="240" t="s">
        <v>1178</v>
      </c>
      <c r="C367" s="240" t="s">
        <v>1179</v>
      </c>
      <c r="D367" s="240" t="s">
        <v>5281</v>
      </c>
      <c r="E367" s="240" t="s">
        <v>5282</v>
      </c>
      <c r="F367" s="240" t="s">
        <v>5283</v>
      </c>
      <c r="G367" s="147"/>
      <c r="H367" s="240" t="s">
        <v>4215</v>
      </c>
      <c r="I367" s="240" t="s">
        <v>4215</v>
      </c>
      <c r="J367" s="147"/>
      <c r="K367" s="147"/>
      <c r="L367" s="147"/>
      <c r="M367" s="147"/>
      <c r="N367" s="147"/>
      <c r="O367" s="147"/>
      <c r="P367" s="147"/>
      <c r="Q367" s="147"/>
      <c r="R367" s="147"/>
      <c r="S367" s="147"/>
      <c r="T367" s="147"/>
      <c r="U367" s="147"/>
      <c r="V367" s="147"/>
    </row>
    <row r="368">
      <c r="A368" s="240" t="s">
        <v>5280</v>
      </c>
      <c r="B368" s="240" t="s">
        <v>1178</v>
      </c>
      <c r="C368" s="240" t="s">
        <v>1179</v>
      </c>
      <c r="D368" s="240" t="s">
        <v>5281</v>
      </c>
      <c r="E368" s="240" t="s">
        <v>5284</v>
      </c>
      <c r="F368" s="240" t="s">
        <v>4223</v>
      </c>
      <c r="G368" s="147"/>
      <c r="H368" s="240" t="s">
        <v>4215</v>
      </c>
      <c r="I368" s="240" t="s">
        <v>4215</v>
      </c>
      <c r="J368" s="147"/>
      <c r="K368" s="147"/>
      <c r="L368" s="147"/>
      <c r="M368" s="147"/>
      <c r="N368" s="147"/>
      <c r="O368" s="147"/>
      <c r="P368" s="147"/>
      <c r="Q368" s="147"/>
      <c r="R368" s="147"/>
      <c r="S368" s="147"/>
      <c r="T368" s="147"/>
      <c r="U368" s="147"/>
      <c r="V368" s="147"/>
    </row>
    <row r="369">
      <c r="A369" s="240" t="s">
        <v>5285</v>
      </c>
      <c r="B369" s="240" t="s">
        <v>1180</v>
      </c>
      <c r="C369" s="240" t="s">
        <v>1181</v>
      </c>
      <c r="D369" s="240" t="s">
        <v>5286</v>
      </c>
      <c r="E369" s="240" t="s">
        <v>299</v>
      </c>
      <c r="F369" s="240" t="s">
        <v>4219</v>
      </c>
      <c r="G369" s="147"/>
      <c r="H369" s="147"/>
      <c r="I369" s="147"/>
      <c r="J369" s="147"/>
      <c r="K369" s="147"/>
      <c r="L369" s="147"/>
      <c r="M369" s="147"/>
      <c r="N369" s="147"/>
      <c r="O369" s="147"/>
      <c r="P369" s="147"/>
      <c r="Q369" s="147"/>
      <c r="R369" s="147"/>
      <c r="S369" s="147"/>
      <c r="T369" s="147"/>
      <c r="U369" s="147"/>
      <c r="V369" s="147"/>
    </row>
    <row r="370">
      <c r="A370" s="240" t="s">
        <v>5287</v>
      </c>
      <c r="B370" s="240" t="s">
        <v>1182</v>
      </c>
      <c r="C370" s="240" t="s">
        <v>1183</v>
      </c>
      <c r="D370" s="240" t="s">
        <v>5288</v>
      </c>
      <c r="E370" s="240" t="s">
        <v>5289</v>
      </c>
      <c r="F370" s="240" t="s">
        <v>4264</v>
      </c>
      <c r="G370" s="147"/>
      <c r="H370" s="240" t="s">
        <v>4215</v>
      </c>
      <c r="I370" s="240" t="s">
        <v>4215</v>
      </c>
      <c r="J370" s="147"/>
      <c r="K370" s="147"/>
      <c r="L370" s="147"/>
      <c r="M370" s="147"/>
      <c r="N370" s="147"/>
      <c r="O370" s="147"/>
      <c r="P370" s="147"/>
      <c r="Q370" s="147"/>
      <c r="R370" s="147"/>
      <c r="S370" s="147"/>
      <c r="T370" s="147"/>
      <c r="U370" s="147"/>
      <c r="V370" s="147"/>
    </row>
    <row r="371">
      <c r="A371" s="240" t="s">
        <v>5290</v>
      </c>
      <c r="B371" s="240" t="s">
        <v>1184</v>
      </c>
      <c r="C371" s="240" t="s">
        <v>1185</v>
      </c>
      <c r="D371" s="240" t="s">
        <v>5291</v>
      </c>
      <c r="E371" s="240" t="s">
        <v>5292</v>
      </c>
      <c r="F371" s="240" t="s">
        <v>4231</v>
      </c>
      <c r="G371" s="147"/>
      <c r="H371" s="240" t="s">
        <v>4215</v>
      </c>
      <c r="I371" s="147"/>
      <c r="J371" s="147"/>
      <c r="K371" s="147"/>
      <c r="L371" s="147"/>
      <c r="M371" s="147"/>
      <c r="N371" s="147"/>
      <c r="O371" s="147"/>
      <c r="P371" s="147"/>
      <c r="Q371" s="147"/>
      <c r="R371" s="147"/>
      <c r="S371" s="147"/>
      <c r="T371" s="147"/>
      <c r="U371" s="147"/>
      <c r="V371" s="147"/>
    </row>
    <row r="372">
      <c r="A372" s="240" t="s">
        <v>5293</v>
      </c>
      <c r="B372" s="240" t="s">
        <v>1186</v>
      </c>
      <c r="C372" s="240" t="s">
        <v>1187</v>
      </c>
      <c r="D372" s="240" t="s">
        <v>5294</v>
      </c>
      <c r="E372" s="240" t="s">
        <v>5295</v>
      </c>
      <c r="F372" s="240" t="s">
        <v>4264</v>
      </c>
      <c r="G372" s="147"/>
      <c r="H372" s="240" t="s">
        <v>4215</v>
      </c>
      <c r="I372" s="240" t="s">
        <v>4215</v>
      </c>
      <c r="J372" s="147"/>
      <c r="K372" s="147"/>
      <c r="L372" s="147"/>
      <c r="M372" s="147"/>
      <c r="N372" s="147"/>
      <c r="O372" s="147"/>
      <c r="P372" s="147"/>
      <c r="Q372" s="147"/>
      <c r="R372" s="147"/>
      <c r="S372" s="147"/>
      <c r="T372" s="147"/>
      <c r="U372" s="147"/>
      <c r="V372" s="147"/>
    </row>
    <row r="373">
      <c r="A373" s="240" t="s">
        <v>5296</v>
      </c>
      <c r="B373" s="240" t="s">
        <v>1188</v>
      </c>
      <c r="C373" s="240" t="s">
        <v>1189</v>
      </c>
      <c r="D373" s="240" t="s">
        <v>5297</v>
      </c>
      <c r="E373" s="240" t="s">
        <v>5298</v>
      </c>
      <c r="F373" s="240" t="s">
        <v>4264</v>
      </c>
      <c r="G373" s="147"/>
      <c r="H373" s="147"/>
      <c r="I373" s="147"/>
      <c r="J373" s="147"/>
      <c r="K373" s="147"/>
      <c r="L373" s="147"/>
      <c r="M373" s="147"/>
      <c r="N373" s="147"/>
      <c r="O373" s="147"/>
      <c r="P373" s="147"/>
      <c r="Q373" s="147"/>
      <c r="R373" s="147"/>
      <c r="S373" s="147"/>
      <c r="T373" s="147"/>
      <c r="U373" s="147"/>
      <c r="V373" s="147"/>
    </row>
    <row r="374">
      <c r="A374" s="240" t="s">
        <v>5299</v>
      </c>
      <c r="B374" s="240" t="s">
        <v>1190</v>
      </c>
      <c r="C374" s="240" t="s">
        <v>1191</v>
      </c>
      <c r="D374" s="240" t="s">
        <v>5300</v>
      </c>
      <c r="E374" s="240" t="s">
        <v>5301</v>
      </c>
      <c r="F374" s="240" t="s">
        <v>4231</v>
      </c>
      <c r="G374" s="147"/>
      <c r="H374" s="240" t="s">
        <v>4215</v>
      </c>
      <c r="I374" s="240" t="s">
        <v>4215</v>
      </c>
      <c r="J374" s="147"/>
      <c r="K374" s="147"/>
      <c r="L374" s="147"/>
      <c r="M374" s="147"/>
      <c r="N374" s="147"/>
      <c r="O374" s="147"/>
      <c r="P374" s="147"/>
      <c r="Q374" s="147"/>
      <c r="R374" s="147"/>
      <c r="S374" s="147"/>
      <c r="T374" s="147"/>
      <c r="U374" s="147"/>
      <c r="V374" s="147"/>
    </row>
    <row r="375">
      <c r="A375" s="240" t="s">
        <v>5302</v>
      </c>
      <c r="B375" s="240" t="s">
        <v>1192</v>
      </c>
      <c r="C375" s="240" t="s">
        <v>1193</v>
      </c>
      <c r="D375" s="240" t="s">
        <v>5303</v>
      </c>
      <c r="E375" s="240" t="s">
        <v>5304</v>
      </c>
      <c r="F375" s="240" t="s">
        <v>4235</v>
      </c>
      <c r="G375" s="147"/>
      <c r="H375" s="147"/>
      <c r="I375" s="147"/>
      <c r="J375" s="147"/>
      <c r="K375" s="147"/>
      <c r="L375" s="147"/>
      <c r="M375" s="147"/>
      <c r="N375" s="147"/>
      <c r="O375" s="147"/>
      <c r="P375" s="147"/>
      <c r="Q375" s="147"/>
      <c r="R375" s="147"/>
      <c r="S375" s="147"/>
      <c r="T375" s="147"/>
      <c r="U375" s="147"/>
      <c r="V375" s="147"/>
    </row>
    <row r="376">
      <c r="A376" s="240" t="s">
        <v>5305</v>
      </c>
      <c r="B376" s="240" t="s">
        <v>1194</v>
      </c>
      <c r="C376" s="240" t="s">
        <v>1195</v>
      </c>
      <c r="D376" s="240" t="s">
        <v>5306</v>
      </c>
      <c r="E376" s="240" t="s">
        <v>5307</v>
      </c>
      <c r="F376" s="240" t="s">
        <v>4223</v>
      </c>
      <c r="G376" s="147"/>
      <c r="H376" s="240" t="s">
        <v>4215</v>
      </c>
      <c r="I376" s="240" t="s">
        <v>4215</v>
      </c>
      <c r="J376" s="147"/>
      <c r="K376" s="147"/>
      <c r="L376" s="147"/>
      <c r="M376" s="147"/>
      <c r="N376" s="147"/>
      <c r="O376" s="147"/>
      <c r="P376" s="147"/>
      <c r="Q376" s="147"/>
      <c r="R376" s="147"/>
      <c r="S376" s="147"/>
      <c r="T376" s="147"/>
      <c r="U376" s="147"/>
      <c r="V376" s="147"/>
    </row>
    <row r="377">
      <c r="A377" s="240" t="s">
        <v>5308</v>
      </c>
      <c r="B377" s="240" t="s">
        <v>1196</v>
      </c>
      <c r="C377" s="240" t="s">
        <v>1197</v>
      </c>
      <c r="D377" s="240" t="s">
        <v>5309</v>
      </c>
      <c r="E377" s="240" t="s">
        <v>5310</v>
      </c>
      <c r="F377" s="240" t="s">
        <v>4223</v>
      </c>
      <c r="G377" s="147"/>
      <c r="H377" s="240" t="s">
        <v>4215</v>
      </c>
      <c r="I377" s="240" t="s">
        <v>4215</v>
      </c>
      <c r="J377" s="147"/>
      <c r="K377" s="147"/>
      <c r="L377" s="147"/>
      <c r="M377" s="147"/>
      <c r="N377" s="147"/>
      <c r="O377" s="147"/>
      <c r="P377" s="147"/>
      <c r="Q377" s="147"/>
      <c r="R377" s="147"/>
      <c r="S377" s="147"/>
      <c r="T377" s="147"/>
      <c r="U377" s="147"/>
      <c r="V377" s="147"/>
    </row>
    <row r="378">
      <c r="A378" s="240" t="s">
        <v>5311</v>
      </c>
      <c r="B378" s="240" t="s">
        <v>1198</v>
      </c>
      <c r="C378" s="240" t="s">
        <v>1199</v>
      </c>
      <c r="D378" s="240" t="s">
        <v>5312</v>
      </c>
      <c r="E378" s="240" t="s">
        <v>5313</v>
      </c>
      <c r="F378" s="240" t="s">
        <v>4235</v>
      </c>
      <c r="G378" s="147"/>
      <c r="H378" s="147"/>
      <c r="I378" s="147"/>
      <c r="J378" s="147"/>
      <c r="K378" s="147"/>
      <c r="L378" s="147"/>
      <c r="M378" s="147"/>
      <c r="N378" s="147"/>
      <c r="O378" s="147"/>
      <c r="P378" s="147"/>
      <c r="Q378" s="147"/>
      <c r="R378" s="147"/>
      <c r="S378" s="147"/>
      <c r="T378" s="147"/>
      <c r="U378" s="147"/>
      <c r="V378" s="147"/>
    </row>
    <row r="379">
      <c r="A379" s="240" t="s">
        <v>5314</v>
      </c>
      <c r="B379" s="240" t="s">
        <v>1200</v>
      </c>
      <c r="C379" s="240" t="s">
        <v>1201</v>
      </c>
      <c r="D379" s="240" t="s">
        <v>5315</v>
      </c>
      <c r="E379" s="240" t="s">
        <v>5316</v>
      </c>
      <c r="F379" s="240" t="s">
        <v>4227</v>
      </c>
      <c r="G379" s="147"/>
      <c r="H379" s="240" t="s">
        <v>4215</v>
      </c>
      <c r="I379" s="240" t="s">
        <v>4215</v>
      </c>
      <c r="J379" s="147"/>
      <c r="K379" s="147"/>
      <c r="L379" s="147"/>
      <c r="M379" s="147"/>
      <c r="N379" s="147"/>
      <c r="O379" s="147"/>
      <c r="P379" s="147"/>
      <c r="Q379" s="147"/>
      <c r="R379" s="147"/>
      <c r="S379" s="147"/>
      <c r="T379" s="147"/>
      <c r="U379" s="147"/>
      <c r="V379" s="147"/>
    </row>
    <row r="380">
      <c r="A380" s="240" t="s">
        <v>5317</v>
      </c>
      <c r="B380" s="240" t="s">
        <v>1202</v>
      </c>
      <c r="C380" s="240" t="s">
        <v>1203</v>
      </c>
      <c r="D380" s="240" t="s">
        <v>5318</v>
      </c>
      <c r="E380" s="240" t="s">
        <v>5319</v>
      </c>
      <c r="F380" s="240" t="s">
        <v>4219</v>
      </c>
      <c r="G380" s="147"/>
      <c r="H380" s="240" t="s">
        <v>4215</v>
      </c>
      <c r="I380" s="240" t="s">
        <v>4215</v>
      </c>
      <c r="J380" s="147"/>
      <c r="K380" s="147"/>
      <c r="L380" s="147"/>
      <c r="M380" s="147"/>
      <c r="N380" s="147"/>
      <c r="O380" s="147"/>
      <c r="P380" s="147"/>
      <c r="Q380" s="147"/>
      <c r="R380" s="147"/>
      <c r="S380" s="147"/>
      <c r="T380" s="147"/>
      <c r="U380" s="147"/>
      <c r="V380" s="147"/>
    </row>
    <row r="381">
      <c r="A381" s="240" t="s">
        <v>5320</v>
      </c>
      <c r="B381" s="240" t="s">
        <v>1204</v>
      </c>
      <c r="C381" s="240" t="s">
        <v>1205</v>
      </c>
      <c r="D381" s="240" t="s">
        <v>5321</v>
      </c>
      <c r="E381" s="240" t="s">
        <v>5322</v>
      </c>
      <c r="F381" s="240" t="s">
        <v>4219</v>
      </c>
      <c r="G381" s="147"/>
      <c r="H381" s="240" t="s">
        <v>4215</v>
      </c>
      <c r="I381" s="240" t="s">
        <v>4215</v>
      </c>
      <c r="J381" s="147"/>
      <c r="K381" s="147"/>
      <c r="L381" s="147"/>
      <c r="M381" s="147"/>
      <c r="N381" s="147"/>
      <c r="O381" s="147"/>
      <c r="P381" s="147"/>
      <c r="Q381" s="147"/>
      <c r="R381" s="147"/>
      <c r="S381" s="147"/>
      <c r="T381" s="147"/>
      <c r="U381" s="147"/>
      <c r="V381" s="147"/>
    </row>
    <row r="382">
      <c r="A382" s="240" t="s">
        <v>5323</v>
      </c>
      <c r="B382" s="240" t="s">
        <v>1206</v>
      </c>
      <c r="C382" s="240" t="s">
        <v>1207</v>
      </c>
      <c r="D382" s="240" t="s">
        <v>5324</v>
      </c>
      <c r="E382" s="240" t="s">
        <v>5325</v>
      </c>
      <c r="F382" s="147"/>
      <c r="G382" s="147"/>
      <c r="H382" s="147"/>
      <c r="I382" s="147"/>
      <c r="J382" s="147"/>
      <c r="K382" s="147"/>
      <c r="L382" s="147"/>
      <c r="M382" s="147"/>
      <c r="N382" s="147"/>
      <c r="O382" s="147"/>
      <c r="P382" s="147"/>
      <c r="Q382" s="147"/>
      <c r="R382" s="147"/>
      <c r="S382" s="147"/>
      <c r="T382" s="147"/>
      <c r="U382" s="147"/>
      <c r="V382" s="147"/>
    </row>
    <row r="383">
      <c r="A383" s="240" t="s">
        <v>5326</v>
      </c>
      <c r="B383" s="240" t="s">
        <v>1208</v>
      </c>
      <c r="C383" s="240" t="s">
        <v>1209</v>
      </c>
      <c r="D383" s="240" t="s">
        <v>5327</v>
      </c>
      <c r="E383" s="240" t="s">
        <v>5328</v>
      </c>
      <c r="F383" s="240" t="s">
        <v>4828</v>
      </c>
      <c r="G383" s="147"/>
      <c r="H383" s="240" t="s">
        <v>4215</v>
      </c>
      <c r="I383" s="240" t="s">
        <v>4215</v>
      </c>
      <c r="J383" s="147"/>
      <c r="K383" s="147"/>
      <c r="L383" s="147"/>
      <c r="M383" s="147"/>
      <c r="N383" s="147"/>
      <c r="O383" s="147"/>
      <c r="P383" s="147"/>
      <c r="Q383" s="147"/>
      <c r="R383" s="147"/>
      <c r="S383" s="147"/>
      <c r="T383" s="147"/>
      <c r="U383" s="147"/>
      <c r="V383" s="147"/>
    </row>
    <row r="384">
      <c r="A384" s="240" t="s">
        <v>5329</v>
      </c>
      <c r="B384" s="240" t="s">
        <v>1210</v>
      </c>
      <c r="C384" s="240" t="s">
        <v>1211</v>
      </c>
      <c r="D384" s="240" t="s">
        <v>5330</v>
      </c>
      <c r="E384" s="240" t="s">
        <v>5310</v>
      </c>
      <c r="F384" s="240" t="s">
        <v>4223</v>
      </c>
      <c r="G384" s="147"/>
      <c r="H384" s="240" t="s">
        <v>4215</v>
      </c>
      <c r="I384" s="240" t="s">
        <v>4215</v>
      </c>
      <c r="J384" s="147"/>
      <c r="K384" s="147"/>
      <c r="L384" s="147"/>
      <c r="M384" s="147"/>
      <c r="N384" s="147"/>
      <c r="O384" s="147"/>
      <c r="P384" s="147"/>
      <c r="Q384" s="147"/>
      <c r="R384" s="147"/>
      <c r="S384" s="147"/>
      <c r="T384" s="147"/>
      <c r="U384" s="147"/>
      <c r="V384" s="147"/>
    </row>
    <row r="385">
      <c r="A385" s="240" t="s">
        <v>5331</v>
      </c>
      <c r="B385" s="240" t="s">
        <v>1212</v>
      </c>
      <c r="C385" s="240" t="s">
        <v>1213</v>
      </c>
      <c r="D385" s="240" t="s">
        <v>5332</v>
      </c>
      <c r="E385" s="240" t="s">
        <v>4402</v>
      </c>
      <c r="F385" s="240" t="s">
        <v>4235</v>
      </c>
      <c r="G385" s="147"/>
      <c r="H385" s="240" t="s">
        <v>4215</v>
      </c>
      <c r="I385" s="240" t="s">
        <v>4215</v>
      </c>
      <c r="J385" s="147"/>
      <c r="K385" s="147"/>
      <c r="L385" s="147"/>
      <c r="M385" s="147"/>
      <c r="N385" s="147"/>
      <c r="O385" s="147"/>
      <c r="P385" s="147"/>
      <c r="Q385" s="147"/>
      <c r="R385" s="147"/>
      <c r="S385" s="147"/>
      <c r="T385" s="147"/>
      <c r="U385" s="147"/>
      <c r="V385" s="147"/>
    </row>
    <row r="386">
      <c r="A386" s="240" t="s">
        <v>5333</v>
      </c>
      <c r="B386" s="240" t="s">
        <v>1214</v>
      </c>
      <c r="C386" s="240" t="s">
        <v>1215</v>
      </c>
      <c r="D386" s="240" t="s">
        <v>5334</v>
      </c>
      <c r="E386" s="240" t="s">
        <v>5335</v>
      </c>
      <c r="F386" s="240" t="s">
        <v>4235</v>
      </c>
      <c r="G386" s="147"/>
      <c r="H386" s="240" t="s">
        <v>4215</v>
      </c>
      <c r="I386" s="240" t="s">
        <v>4215</v>
      </c>
      <c r="J386" s="147"/>
      <c r="K386" s="147"/>
      <c r="L386" s="147"/>
      <c r="M386" s="147"/>
      <c r="N386" s="147"/>
      <c r="O386" s="147"/>
      <c r="P386" s="147"/>
      <c r="Q386" s="147"/>
      <c r="R386" s="147"/>
      <c r="S386" s="147"/>
      <c r="T386" s="147"/>
      <c r="U386" s="147"/>
      <c r="V386" s="147"/>
    </row>
    <row r="387">
      <c r="A387" s="240" t="s">
        <v>5336</v>
      </c>
      <c r="B387" s="240" t="s">
        <v>1216</v>
      </c>
      <c r="C387" s="240" t="s">
        <v>1217</v>
      </c>
      <c r="D387" s="240" t="s">
        <v>5337</v>
      </c>
      <c r="E387" s="240" t="s">
        <v>5338</v>
      </c>
      <c r="F387" s="240" t="s">
        <v>4227</v>
      </c>
      <c r="G387" s="147"/>
      <c r="H387" s="240" t="s">
        <v>4215</v>
      </c>
      <c r="I387" s="240" t="s">
        <v>4215</v>
      </c>
      <c r="J387" s="147"/>
      <c r="K387" s="147"/>
      <c r="L387" s="147"/>
      <c r="M387" s="147"/>
      <c r="N387" s="147"/>
      <c r="O387" s="147"/>
      <c r="P387" s="147"/>
      <c r="Q387" s="147"/>
      <c r="R387" s="147"/>
      <c r="S387" s="147"/>
      <c r="T387" s="147"/>
      <c r="U387" s="147"/>
      <c r="V387" s="147"/>
    </row>
    <row r="388">
      <c r="A388" s="240" t="s">
        <v>5339</v>
      </c>
      <c r="B388" s="240" t="s">
        <v>1218</v>
      </c>
      <c r="C388" s="240" t="s">
        <v>1219</v>
      </c>
      <c r="D388" s="240" t="s">
        <v>5340</v>
      </c>
      <c r="E388" s="240" t="s">
        <v>368</v>
      </c>
      <c r="F388" s="240" t="s">
        <v>4223</v>
      </c>
      <c r="G388" s="147"/>
      <c r="H388" s="240" t="s">
        <v>4215</v>
      </c>
      <c r="I388" s="240" t="s">
        <v>4215</v>
      </c>
      <c r="J388" s="147"/>
      <c r="K388" s="147"/>
      <c r="L388" s="147"/>
      <c r="M388" s="147"/>
      <c r="N388" s="147"/>
      <c r="O388" s="147"/>
      <c r="P388" s="147"/>
      <c r="Q388" s="147"/>
      <c r="R388" s="147"/>
      <c r="S388" s="147"/>
      <c r="T388" s="147"/>
      <c r="U388" s="147"/>
      <c r="V388" s="147"/>
    </row>
    <row r="389">
      <c r="A389" s="240" t="s">
        <v>5341</v>
      </c>
      <c r="B389" s="240" t="s">
        <v>1220</v>
      </c>
      <c r="C389" s="240" t="s">
        <v>1221</v>
      </c>
      <c r="D389" s="240" t="s">
        <v>5342</v>
      </c>
      <c r="E389" s="240" t="s">
        <v>5343</v>
      </c>
      <c r="F389" s="240" t="s">
        <v>4235</v>
      </c>
      <c r="G389" s="147"/>
      <c r="H389" s="147"/>
      <c r="I389" s="147"/>
      <c r="J389" s="147"/>
      <c r="K389" s="147"/>
      <c r="L389" s="147"/>
      <c r="M389" s="147"/>
      <c r="N389" s="147"/>
      <c r="O389" s="147"/>
      <c r="P389" s="147"/>
      <c r="Q389" s="147"/>
      <c r="R389" s="147"/>
      <c r="S389" s="147"/>
      <c r="T389" s="147"/>
      <c r="U389" s="147"/>
      <c r="V389" s="147"/>
    </row>
    <row r="390">
      <c r="A390" s="240" t="s">
        <v>5344</v>
      </c>
      <c r="B390" s="240" t="s">
        <v>1222</v>
      </c>
      <c r="C390" s="240" t="s">
        <v>1223</v>
      </c>
      <c r="D390" s="240" t="s">
        <v>5345</v>
      </c>
      <c r="E390" s="240" t="s">
        <v>5346</v>
      </c>
      <c r="F390" s="240" t="s">
        <v>4235</v>
      </c>
      <c r="G390" s="147"/>
      <c r="H390" s="147"/>
      <c r="I390" s="147"/>
      <c r="J390" s="147"/>
      <c r="K390" s="147"/>
      <c r="L390" s="147"/>
      <c r="M390" s="147"/>
      <c r="N390" s="147"/>
      <c r="O390" s="147"/>
      <c r="P390" s="147"/>
      <c r="Q390" s="147"/>
      <c r="R390" s="147"/>
      <c r="S390" s="147"/>
      <c r="T390" s="147"/>
      <c r="U390" s="147"/>
      <c r="V390" s="147"/>
    </row>
    <row r="391">
      <c r="A391" s="240" t="s">
        <v>5347</v>
      </c>
      <c r="B391" s="240" t="s">
        <v>1224</v>
      </c>
      <c r="C391" s="240" t="s">
        <v>1225</v>
      </c>
      <c r="D391" s="240" t="s">
        <v>5348</v>
      </c>
      <c r="E391" s="240" t="s">
        <v>5343</v>
      </c>
      <c r="F391" s="240" t="s">
        <v>4231</v>
      </c>
      <c r="G391" s="147"/>
      <c r="H391" s="147"/>
      <c r="I391" s="147"/>
      <c r="J391" s="147"/>
      <c r="K391" s="147"/>
      <c r="L391" s="147"/>
      <c r="M391" s="147"/>
      <c r="N391" s="147"/>
      <c r="O391" s="147"/>
      <c r="P391" s="147"/>
      <c r="Q391" s="147"/>
      <c r="R391" s="147"/>
      <c r="S391" s="147"/>
      <c r="T391" s="147"/>
      <c r="U391" s="147"/>
      <c r="V391" s="147"/>
    </row>
    <row r="392">
      <c r="A392" s="240" t="s">
        <v>5349</v>
      </c>
      <c r="B392" s="240" t="s">
        <v>1226</v>
      </c>
      <c r="C392" s="240" t="s">
        <v>1227</v>
      </c>
      <c r="D392" s="240" t="s">
        <v>5350</v>
      </c>
      <c r="E392" s="240" t="s">
        <v>5351</v>
      </c>
      <c r="F392" s="240" t="s">
        <v>4538</v>
      </c>
      <c r="G392" s="147"/>
      <c r="H392" s="240" t="s">
        <v>4215</v>
      </c>
      <c r="I392" s="240" t="s">
        <v>4215</v>
      </c>
      <c r="J392" s="147"/>
      <c r="K392" s="147"/>
      <c r="L392" s="147"/>
      <c r="M392" s="147"/>
      <c r="N392" s="147"/>
      <c r="O392" s="147"/>
      <c r="P392" s="147"/>
      <c r="Q392" s="147"/>
      <c r="R392" s="147"/>
      <c r="S392" s="147"/>
      <c r="T392" s="147"/>
      <c r="U392" s="147"/>
      <c r="V392" s="147"/>
    </row>
    <row r="393">
      <c r="A393" s="240" t="s">
        <v>5352</v>
      </c>
      <c r="B393" s="240" t="s">
        <v>1228</v>
      </c>
      <c r="C393" s="240" t="s">
        <v>1229</v>
      </c>
      <c r="D393" s="240" t="s">
        <v>5353</v>
      </c>
      <c r="E393" s="240" t="s">
        <v>4716</v>
      </c>
      <c r="F393" s="240" t="s">
        <v>4264</v>
      </c>
      <c r="G393" s="147"/>
      <c r="H393" s="240" t="s">
        <v>4215</v>
      </c>
      <c r="I393" s="240" t="s">
        <v>4215</v>
      </c>
      <c r="J393" s="147"/>
      <c r="K393" s="147"/>
      <c r="L393" s="147"/>
      <c r="M393" s="147"/>
      <c r="N393" s="147"/>
      <c r="O393" s="147"/>
      <c r="P393" s="147"/>
      <c r="Q393" s="147"/>
      <c r="R393" s="147"/>
      <c r="S393" s="147"/>
      <c r="T393" s="147"/>
      <c r="U393" s="147"/>
      <c r="V393" s="147"/>
    </row>
    <row r="394">
      <c r="A394" s="240" t="s">
        <v>5354</v>
      </c>
      <c r="B394" s="240" t="s">
        <v>1230</v>
      </c>
      <c r="C394" s="240" t="s">
        <v>1231</v>
      </c>
      <c r="D394" s="240" t="s">
        <v>5355</v>
      </c>
      <c r="E394" s="240" t="s">
        <v>4602</v>
      </c>
      <c r="F394" s="240" t="s">
        <v>4223</v>
      </c>
      <c r="G394" s="147"/>
      <c r="H394" s="147"/>
      <c r="I394" s="147"/>
      <c r="J394" s="147"/>
      <c r="K394" s="147"/>
      <c r="L394" s="147"/>
      <c r="M394" s="147"/>
      <c r="N394" s="147"/>
      <c r="O394" s="147"/>
      <c r="P394" s="147"/>
      <c r="Q394" s="147"/>
      <c r="R394" s="147"/>
      <c r="S394" s="147"/>
      <c r="T394" s="147"/>
      <c r="U394" s="147"/>
      <c r="V394" s="147"/>
    </row>
    <row r="395">
      <c r="A395" s="240" t="s">
        <v>5356</v>
      </c>
      <c r="B395" s="240" t="s">
        <v>1232</v>
      </c>
      <c r="C395" s="240" t="s">
        <v>1233</v>
      </c>
      <c r="D395" s="240" t="s">
        <v>5357</v>
      </c>
      <c r="E395" s="240" t="s">
        <v>5358</v>
      </c>
      <c r="F395" s="240" t="s">
        <v>4223</v>
      </c>
      <c r="G395" s="147"/>
      <c r="H395" s="240" t="s">
        <v>4215</v>
      </c>
      <c r="I395" s="240" t="s">
        <v>4215</v>
      </c>
      <c r="J395" s="147"/>
      <c r="K395" s="147"/>
      <c r="L395" s="147"/>
      <c r="M395" s="147"/>
      <c r="N395" s="147"/>
      <c r="O395" s="147"/>
      <c r="P395" s="147"/>
      <c r="Q395" s="147"/>
      <c r="R395" s="147"/>
      <c r="S395" s="147"/>
      <c r="T395" s="147"/>
      <c r="U395" s="147"/>
      <c r="V395" s="147"/>
    </row>
    <row r="396">
      <c r="A396" s="240" t="s">
        <v>5359</v>
      </c>
      <c r="B396" s="240" t="s">
        <v>1234</v>
      </c>
      <c r="C396" s="240" t="s">
        <v>1235</v>
      </c>
      <c r="D396" s="240" t="s">
        <v>5360</v>
      </c>
      <c r="E396" s="240" t="s">
        <v>5361</v>
      </c>
      <c r="F396" s="240" t="s">
        <v>4231</v>
      </c>
      <c r="G396" s="147"/>
      <c r="H396" s="240" t="s">
        <v>4215</v>
      </c>
      <c r="I396" s="240" t="s">
        <v>4215</v>
      </c>
      <c r="J396" s="147"/>
      <c r="K396" s="147"/>
      <c r="L396" s="147"/>
      <c r="M396" s="147"/>
      <c r="N396" s="147"/>
      <c r="O396" s="147"/>
      <c r="P396" s="147"/>
      <c r="Q396" s="147"/>
      <c r="R396" s="147"/>
      <c r="S396" s="147"/>
      <c r="T396" s="147"/>
      <c r="U396" s="147"/>
      <c r="V396" s="147"/>
    </row>
    <row r="397">
      <c r="A397" s="240" t="s">
        <v>5362</v>
      </c>
      <c r="B397" s="240" t="s">
        <v>1236</v>
      </c>
      <c r="C397" s="240" t="s">
        <v>1237</v>
      </c>
      <c r="D397" s="240" t="s">
        <v>5363</v>
      </c>
      <c r="E397" s="240" t="s">
        <v>4911</v>
      </c>
      <c r="F397" s="240" t="s">
        <v>4227</v>
      </c>
      <c r="G397" s="147"/>
      <c r="H397" s="240" t="s">
        <v>4215</v>
      </c>
      <c r="I397" s="240" t="s">
        <v>4215</v>
      </c>
      <c r="J397" s="147"/>
      <c r="K397" s="147"/>
      <c r="L397" s="147"/>
      <c r="M397" s="147"/>
      <c r="N397" s="147"/>
      <c r="O397" s="147"/>
      <c r="P397" s="147"/>
      <c r="Q397" s="147"/>
      <c r="R397" s="147"/>
      <c r="S397" s="147"/>
      <c r="T397" s="147"/>
      <c r="U397" s="147"/>
      <c r="V397" s="147"/>
    </row>
    <row r="398">
      <c r="A398" s="240" t="s">
        <v>5364</v>
      </c>
      <c r="B398" s="240" t="s">
        <v>1238</v>
      </c>
      <c r="C398" s="240" t="s">
        <v>1239</v>
      </c>
      <c r="D398" s="240" t="s">
        <v>5365</v>
      </c>
      <c r="E398" s="240" t="s">
        <v>5054</v>
      </c>
      <c r="F398" s="240" t="s">
        <v>4223</v>
      </c>
      <c r="G398" s="147"/>
      <c r="H398" s="240" t="s">
        <v>4215</v>
      </c>
      <c r="I398" s="147"/>
      <c r="J398" s="147"/>
      <c r="K398" s="147"/>
      <c r="L398" s="147"/>
      <c r="M398" s="147"/>
      <c r="N398" s="147"/>
      <c r="O398" s="147"/>
      <c r="P398" s="147"/>
      <c r="Q398" s="147"/>
      <c r="R398" s="147"/>
      <c r="S398" s="147"/>
      <c r="T398" s="147"/>
      <c r="U398" s="147"/>
      <c r="V398" s="147"/>
    </row>
    <row r="399">
      <c r="A399" s="240" t="s">
        <v>5366</v>
      </c>
      <c r="B399" s="240" t="s">
        <v>1240</v>
      </c>
      <c r="C399" s="240" t="s">
        <v>1241</v>
      </c>
      <c r="D399" s="240" t="s">
        <v>5367</v>
      </c>
      <c r="E399" s="240" t="s">
        <v>5368</v>
      </c>
      <c r="F399" s="240" t="s">
        <v>4219</v>
      </c>
      <c r="G399" s="147"/>
      <c r="H399" s="240" t="s">
        <v>4215</v>
      </c>
      <c r="I399" s="240" t="s">
        <v>4215</v>
      </c>
      <c r="J399" s="147"/>
      <c r="K399" s="147"/>
      <c r="L399" s="147"/>
      <c r="M399" s="147"/>
      <c r="N399" s="147"/>
      <c r="O399" s="147"/>
      <c r="P399" s="147"/>
      <c r="Q399" s="147"/>
      <c r="R399" s="147"/>
      <c r="S399" s="147"/>
      <c r="T399" s="147"/>
      <c r="U399" s="147"/>
      <c r="V399" s="147"/>
    </row>
    <row r="400">
      <c r="A400" s="240" t="s">
        <v>5369</v>
      </c>
      <c r="B400" s="240" t="s">
        <v>1242</v>
      </c>
      <c r="C400" s="240" t="s">
        <v>1243</v>
      </c>
      <c r="D400" s="240" t="s">
        <v>5370</v>
      </c>
      <c r="E400" s="240" t="s">
        <v>5371</v>
      </c>
      <c r="F400" s="240" t="s">
        <v>4231</v>
      </c>
      <c r="G400" s="147"/>
      <c r="H400" s="147"/>
      <c r="I400" s="147"/>
      <c r="J400" s="147"/>
      <c r="K400" s="147"/>
      <c r="L400" s="147"/>
      <c r="M400" s="147"/>
      <c r="N400" s="147"/>
      <c r="O400" s="147"/>
      <c r="P400" s="147"/>
      <c r="Q400" s="147"/>
      <c r="R400" s="147"/>
      <c r="S400" s="147"/>
      <c r="T400" s="147"/>
      <c r="U400" s="147"/>
      <c r="V400" s="147"/>
    </row>
    <row r="401">
      <c r="A401" s="240" t="s">
        <v>5372</v>
      </c>
      <c r="B401" s="240" t="s">
        <v>1244</v>
      </c>
      <c r="C401" s="240" t="s">
        <v>1245</v>
      </c>
      <c r="D401" s="240" t="s">
        <v>5373</v>
      </c>
      <c r="E401" s="240" t="s">
        <v>5374</v>
      </c>
      <c r="F401" s="240" t="s">
        <v>4219</v>
      </c>
      <c r="G401" s="147"/>
      <c r="H401" s="240" t="s">
        <v>4215</v>
      </c>
      <c r="I401" s="240" t="s">
        <v>4215</v>
      </c>
      <c r="J401" s="147"/>
      <c r="K401" s="147"/>
      <c r="L401" s="147"/>
      <c r="M401" s="147"/>
      <c r="N401" s="147"/>
      <c r="O401" s="147"/>
      <c r="P401" s="147"/>
      <c r="Q401" s="147"/>
      <c r="R401" s="147"/>
      <c r="S401" s="147"/>
      <c r="T401" s="147"/>
      <c r="U401" s="147"/>
      <c r="V401" s="147"/>
    </row>
    <row r="402">
      <c r="A402" s="240" t="s">
        <v>5375</v>
      </c>
      <c r="B402" s="240" t="s">
        <v>1246</v>
      </c>
      <c r="C402" s="240" t="s">
        <v>1247</v>
      </c>
      <c r="D402" s="240" t="s">
        <v>5376</v>
      </c>
      <c r="E402" s="240" t="s">
        <v>5377</v>
      </c>
      <c r="F402" s="240" t="s">
        <v>4264</v>
      </c>
      <c r="G402" s="147"/>
      <c r="H402" s="240" t="s">
        <v>4215</v>
      </c>
      <c r="I402" s="240" t="s">
        <v>4215</v>
      </c>
      <c r="J402" s="147"/>
      <c r="K402" s="147"/>
      <c r="L402" s="147"/>
      <c r="M402" s="147"/>
      <c r="N402" s="147"/>
      <c r="O402" s="147"/>
      <c r="P402" s="147"/>
      <c r="Q402" s="147"/>
      <c r="R402" s="147"/>
      <c r="S402" s="147"/>
      <c r="T402" s="147"/>
      <c r="U402" s="147"/>
      <c r="V402" s="147"/>
    </row>
    <row r="403">
      <c r="A403" s="240" t="s">
        <v>5378</v>
      </c>
      <c r="B403" s="240" t="s">
        <v>1248</v>
      </c>
      <c r="C403" s="240" t="s">
        <v>1249</v>
      </c>
      <c r="D403" s="240" t="s">
        <v>5379</v>
      </c>
      <c r="E403" s="240" t="s">
        <v>5380</v>
      </c>
      <c r="F403" s="240" t="s">
        <v>4227</v>
      </c>
      <c r="G403" s="147"/>
      <c r="H403" s="240" t="s">
        <v>4215</v>
      </c>
      <c r="I403" s="240" t="s">
        <v>4215</v>
      </c>
      <c r="J403" s="147"/>
      <c r="K403" s="147"/>
      <c r="L403" s="147"/>
      <c r="M403" s="147"/>
      <c r="N403" s="147"/>
      <c r="O403" s="147"/>
      <c r="P403" s="147"/>
      <c r="Q403" s="147"/>
      <c r="R403" s="147"/>
      <c r="S403" s="147"/>
      <c r="T403" s="147"/>
      <c r="U403" s="147"/>
      <c r="V403" s="147"/>
    </row>
    <row r="404">
      <c r="A404" s="240" t="s">
        <v>5381</v>
      </c>
      <c r="B404" s="240" t="s">
        <v>1250</v>
      </c>
      <c r="C404" s="240" t="s">
        <v>1251</v>
      </c>
      <c r="D404" s="240" t="s">
        <v>5382</v>
      </c>
      <c r="E404" s="240" t="s">
        <v>5383</v>
      </c>
      <c r="F404" s="240" t="s">
        <v>4223</v>
      </c>
      <c r="G404" s="147"/>
      <c r="H404" s="240" t="s">
        <v>4215</v>
      </c>
      <c r="I404" s="240" t="s">
        <v>4215</v>
      </c>
      <c r="J404" s="147"/>
      <c r="K404" s="147"/>
      <c r="L404" s="147"/>
      <c r="M404" s="147"/>
      <c r="N404" s="147"/>
      <c r="O404" s="147"/>
      <c r="P404" s="147"/>
      <c r="Q404" s="147"/>
      <c r="R404" s="147"/>
      <c r="S404" s="147"/>
      <c r="T404" s="147"/>
      <c r="U404" s="147"/>
      <c r="V404" s="147"/>
    </row>
    <row r="405">
      <c r="A405" s="240" t="s">
        <v>5384</v>
      </c>
      <c r="B405" s="240" t="s">
        <v>1252</v>
      </c>
      <c r="C405" s="240" t="s">
        <v>1253</v>
      </c>
      <c r="D405" s="240" t="s">
        <v>5385</v>
      </c>
      <c r="E405" s="240" t="s">
        <v>5386</v>
      </c>
      <c r="F405" s="240" t="s">
        <v>4231</v>
      </c>
      <c r="G405" s="147"/>
      <c r="H405" s="240" t="s">
        <v>4215</v>
      </c>
      <c r="I405" s="240" t="s">
        <v>4215</v>
      </c>
      <c r="J405" s="147"/>
      <c r="K405" s="147"/>
      <c r="L405" s="147"/>
      <c r="M405" s="147"/>
      <c r="N405" s="147"/>
      <c r="O405" s="147"/>
      <c r="P405" s="147"/>
      <c r="Q405" s="147"/>
      <c r="R405" s="147"/>
      <c r="S405" s="147"/>
      <c r="T405" s="147"/>
      <c r="U405" s="147"/>
      <c r="V405" s="147"/>
    </row>
    <row r="406">
      <c r="A406" s="240" t="s">
        <v>5387</v>
      </c>
      <c r="B406" s="240" t="s">
        <v>1254</v>
      </c>
      <c r="C406" s="240" t="s">
        <v>1255</v>
      </c>
      <c r="D406" s="240" t="s">
        <v>5388</v>
      </c>
      <c r="E406" s="240" t="s">
        <v>5389</v>
      </c>
      <c r="F406" s="240" t="s">
        <v>4479</v>
      </c>
      <c r="G406" s="147"/>
      <c r="H406" s="240" t="s">
        <v>4215</v>
      </c>
      <c r="I406" s="240" t="s">
        <v>4215</v>
      </c>
      <c r="J406" s="147"/>
      <c r="K406" s="147"/>
      <c r="L406" s="147"/>
      <c r="M406" s="147"/>
      <c r="N406" s="147"/>
      <c r="O406" s="147"/>
      <c r="P406" s="147"/>
      <c r="Q406" s="147"/>
      <c r="R406" s="147"/>
      <c r="S406" s="147"/>
      <c r="T406" s="147"/>
      <c r="U406" s="147"/>
      <c r="V406" s="147"/>
    </row>
    <row r="407">
      <c r="A407" s="240" t="s">
        <v>5390</v>
      </c>
      <c r="B407" s="240" t="s">
        <v>1256</v>
      </c>
      <c r="C407" s="240" t="s">
        <v>1257</v>
      </c>
      <c r="D407" s="240" t="s">
        <v>5391</v>
      </c>
      <c r="E407" s="240" t="s">
        <v>5392</v>
      </c>
      <c r="F407" s="240" t="s">
        <v>4223</v>
      </c>
      <c r="G407" s="147"/>
      <c r="H407" s="240" t="s">
        <v>4215</v>
      </c>
      <c r="I407" s="240" t="s">
        <v>4215</v>
      </c>
      <c r="J407" s="147"/>
      <c r="K407" s="147"/>
      <c r="L407" s="147"/>
      <c r="M407" s="147"/>
      <c r="N407" s="147"/>
      <c r="O407" s="147"/>
      <c r="P407" s="147"/>
      <c r="Q407" s="147"/>
      <c r="R407" s="147"/>
      <c r="S407" s="147"/>
      <c r="T407" s="147"/>
      <c r="U407" s="147"/>
      <c r="V407" s="147"/>
    </row>
    <row r="408">
      <c r="A408" s="240" t="s">
        <v>5393</v>
      </c>
      <c r="B408" s="240" t="s">
        <v>1258</v>
      </c>
      <c r="C408" s="240" t="s">
        <v>1259</v>
      </c>
      <c r="D408" s="240" t="s">
        <v>5394</v>
      </c>
      <c r="E408" s="240" t="s">
        <v>5395</v>
      </c>
      <c r="F408" s="240" t="s">
        <v>4264</v>
      </c>
      <c r="G408" s="147"/>
      <c r="H408" s="147"/>
      <c r="I408" s="147"/>
      <c r="J408" s="147"/>
      <c r="K408" s="147"/>
      <c r="L408" s="147"/>
      <c r="M408" s="147"/>
      <c r="N408" s="147"/>
      <c r="O408" s="147"/>
      <c r="P408" s="147"/>
      <c r="Q408" s="147"/>
      <c r="R408" s="147"/>
      <c r="S408" s="147"/>
      <c r="T408" s="147"/>
      <c r="U408" s="147"/>
      <c r="V408" s="147"/>
    </row>
    <row r="409">
      <c r="A409" s="240" t="s">
        <v>5396</v>
      </c>
      <c r="B409" s="240" t="s">
        <v>1260</v>
      </c>
      <c r="C409" s="240" t="s">
        <v>1261</v>
      </c>
      <c r="D409" s="240" t="s">
        <v>5397</v>
      </c>
      <c r="E409" s="240" t="s">
        <v>5398</v>
      </c>
      <c r="F409" s="240" t="s">
        <v>4235</v>
      </c>
      <c r="G409" s="147"/>
      <c r="H409" s="240" t="s">
        <v>4215</v>
      </c>
      <c r="I409" s="240" t="s">
        <v>4215</v>
      </c>
      <c r="J409" s="147"/>
      <c r="K409" s="147"/>
      <c r="L409" s="147"/>
      <c r="M409" s="147"/>
      <c r="N409" s="147"/>
      <c r="O409" s="147"/>
      <c r="P409" s="147"/>
      <c r="Q409" s="147"/>
      <c r="R409" s="147"/>
      <c r="S409" s="147"/>
      <c r="T409" s="147"/>
      <c r="U409" s="147"/>
      <c r="V409" s="147"/>
    </row>
    <row r="410">
      <c r="A410" s="240" t="s">
        <v>5399</v>
      </c>
      <c r="B410" s="240" t="s">
        <v>1262</v>
      </c>
      <c r="C410" s="240" t="s">
        <v>1263</v>
      </c>
      <c r="D410" s="240" t="s">
        <v>5400</v>
      </c>
      <c r="E410" s="240" t="s">
        <v>5401</v>
      </c>
      <c r="F410" s="240" t="s">
        <v>4219</v>
      </c>
      <c r="G410" s="147"/>
      <c r="H410" s="240" t="s">
        <v>4215</v>
      </c>
      <c r="I410" s="240" t="s">
        <v>4215</v>
      </c>
      <c r="J410" s="147"/>
      <c r="K410" s="147"/>
      <c r="L410" s="147"/>
      <c r="M410" s="147"/>
      <c r="N410" s="147"/>
      <c r="O410" s="147"/>
      <c r="P410" s="147"/>
      <c r="Q410" s="147"/>
      <c r="R410" s="147"/>
      <c r="S410" s="147"/>
      <c r="T410" s="147"/>
      <c r="U410" s="147"/>
      <c r="V410" s="147"/>
    </row>
    <row r="411">
      <c r="A411" s="240" t="s">
        <v>5402</v>
      </c>
      <c r="B411" s="240" t="s">
        <v>1264</v>
      </c>
      <c r="C411" s="240" t="s">
        <v>1265</v>
      </c>
      <c r="D411" s="240" t="s">
        <v>5403</v>
      </c>
      <c r="E411" s="240" t="s">
        <v>5404</v>
      </c>
      <c r="F411" s="240" t="s">
        <v>4621</v>
      </c>
      <c r="G411" s="147"/>
      <c r="H411" s="240" t="s">
        <v>4215</v>
      </c>
      <c r="I411" s="240" t="s">
        <v>4215</v>
      </c>
      <c r="J411" s="147"/>
      <c r="K411" s="147"/>
      <c r="L411" s="147"/>
      <c r="M411" s="147"/>
      <c r="N411" s="147"/>
      <c r="O411" s="147"/>
      <c r="P411" s="147"/>
      <c r="Q411" s="147"/>
      <c r="R411" s="147"/>
      <c r="S411" s="147"/>
      <c r="T411" s="147"/>
      <c r="U411" s="147"/>
      <c r="V411" s="147"/>
    </row>
    <row r="412">
      <c r="A412" s="240" t="s">
        <v>5405</v>
      </c>
      <c r="B412" s="240" t="s">
        <v>1266</v>
      </c>
      <c r="C412" s="240" t="s">
        <v>1267</v>
      </c>
      <c r="D412" s="240" t="s">
        <v>5406</v>
      </c>
      <c r="E412" s="240" t="s">
        <v>5407</v>
      </c>
      <c r="F412" s="240" t="s">
        <v>4231</v>
      </c>
      <c r="G412" s="147"/>
      <c r="H412" s="240" t="s">
        <v>4215</v>
      </c>
      <c r="I412" s="240" t="s">
        <v>4215</v>
      </c>
      <c r="J412" s="147"/>
      <c r="K412" s="147"/>
      <c r="L412" s="147"/>
      <c r="M412" s="147"/>
      <c r="N412" s="147"/>
      <c r="O412" s="147"/>
      <c r="P412" s="147"/>
      <c r="Q412" s="147"/>
      <c r="R412" s="147"/>
      <c r="S412" s="147"/>
      <c r="T412" s="147"/>
      <c r="U412" s="147"/>
      <c r="V412" s="147"/>
    </row>
    <row r="413">
      <c r="A413" s="240" t="s">
        <v>5408</v>
      </c>
      <c r="B413" s="240" t="s">
        <v>1268</v>
      </c>
      <c r="C413" s="240" t="s">
        <v>1269</v>
      </c>
      <c r="D413" s="240" t="s">
        <v>5409</v>
      </c>
      <c r="E413" s="240" t="s">
        <v>5410</v>
      </c>
      <c r="F413" s="240" t="s">
        <v>4355</v>
      </c>
      <c r="G413" s="147"/>
      <c r="H413" s="240" t="s">
        <v>4215</v>
      </c>
      <c r="I413" s="240" t="s">
        <v>4215</v>
      </c>
      <c r="J413" s="147"/>
      <c r="K413" s="147"/>
      <c r="L413" s="147"/>
      <c r="M413" s="147"/>
      <c r="N413" s="147"/>
      <c r="O413" s="147"/>
      <c r="P413" s="147"/>
      <c r="Q413" s="147"/>
      <c r="R413" s="147"/>
      <c r="S413" s="147"/>
      <c r="T413" s="147"/>
      <c r="U413" s="147"/>
      <c r="V413" s="147"/>
    </row>
    <row r="414">
      <c r="A414" s="240" t="s">
        <v>5411</v>
      </c>
      <c r="B414" s="240" t="s">
        <v>1270</v>
      </c>
      <c r="C414" s="240" t="s">
        <v>1271</v>
      </c>
      <c r="D414" s="240" t="s">
        <v>5412</v>
      </c>
      <c r="E414" s="240" t="s">
        <v>5413</v>
      </c>
      <c r="F414" s="240" t="s">
        <v>4223</v>
      </c>
      <c r="G414" s="147"/>
      <c r="H414" s="240" t="s">
        <v>4215</v>
      </c>
      <c r="I414" s="240" t="s">
        <v>4215</v>
      </c>
      <c r="J414" s="147"/>
      <c r="K414" s="147"/>
      <c r="L414" s="147"/>
      <c r="M414" s="147"/>
      <c r="N414" s="147"/>
      <c r="O414" s="147"/>
      <c r="P414" s="147"/>
      <c r="Q414" s="147"/>
      <c r="R414" s="147"/>
      <c r="S414" s="147"/>
      <c r="T414" s="147"/>
      <c r="U414" s="147"/>
      <c r="V414" s="147"/>
    </row>
    <row r="415">
      <c r="A415" s="240" t="s">
        <v>5414</v>
      </c>
      <c r="B415" s="240" t="s">
        <v>1272</v>
      </c>
      <c r="C415" s="240" t="s">
        <v>1273</v>
      </c>
      <c r="D415" s="240" t="s">
        <v>5415</v>
      </c>
      <c r="E415" s="240" t="s">
        <v>5105</v>
      </c>
      <c r="F415" s="240" t="s">
        <v>4264</v>
      </c>
      <c r="G415" s="147"/>
      <c r="H415" s="240" t="s">
        <v>4215</v>
      </c>
      <c r="I415" s="240" t="s">
        <v>4215</v>
      </c>
      <c r="J415" s="147"/>
      <c r="K415" s="147"/>
      <c r="L415" s="147"/>
      <c r="M415" s="147"/>
      <c r="N415" s="147"/>
      <c r="O415" s="147"/>
      <c r="P415" s="147"/>
      <c r="Q415" s="147"/>
      <c r="R415" s="147"/>
      <c r="S415" s="147"/>
      <c r="T415" s="147"/>
      <c r="U415" s="147"/>
      <c r="V415" s="147"/>
    </row>
    <row r="416">
      <c r="A416" s="240" t="s">
        <v>5416</v>
      </c>
      <c r="B416" s="240" t="s">
        <v>1274</v>
      </c>
      <c r="C416" s="240" t="s">
        <v>1275</v>
      </c>
      <c r="D416" s="240" t="s">
        <v>5417</v>
      </c>
      <c r="E416" s="240" t="s">
        <v>5418</v>
      </c>
      <c r="F416" s="240" t="s">
        <v>4219</v>
      </c>
      <c r="G416" s="147"/>
      <c r="H416" s="240" t="s">
        <v>4215</v>
      </c>
      <c r="I416" s="240" t="s">
        <v>4215</v>
      </c>
      <c r="J416" s="147"/>
      <c r="K416" s="147"/>
      <c r="L416" s="147"/>
      <c r="M416" s="147"/>
      <c r="N416" s="147"/>
      <c r="O416" s="147"/>
      <c r="P416" s="147"/>
      <c r="Q416" s="147"/>
      <c r="R416" s="147"/>
      <c r="S416" s="147"/>
      <c r="T416" s="147"/>
      <c r="U416" s="147"/>
      <c r="V416" s="147"/>
    </row>
    <row r="417">
      <c r="A417" s="240" t="s">
        <v>5419</v>
      </c>
      <c r="B417" s="240" t="s">
        <v>1276</v>
      </c>
      <c r="C417" s="240" t="s">
        <v>1277</v>
      </c>
      <c r="D417" s="240" t="s">
        <v>5420</v>
      </c>
      <c r="E417" s="240" t="s">
        <v>5421</v>
      </c>
      <c r="F417" s="240" t="s">
        <v>4235</v>
      </c>
      <c r="G417" s="147"/>
      <c r="H417" s="240" t="s">
        <v>4215</v>
      </c>
      <c r="I417" s="240" t="s">
        <v>4215</v>
      </c>
      <c r="J417" s="147"/>
      <c r="K417" s="147"/>
      <c r="L417" s="147"/>
      <c r="M417" s="147"/>
      <c r="N417" s="147"/>
      <c r="O417" s="147"/>
      <c r="P417" s="147"/>
      <c r="Q417" s="147"/>
      <c r="R417" s="147"/>
      <c r="S417" s="147"/>
      <c r="T417" s="147"/>
      <c r="U417" s="147"/>
      <c r="V417" s="147"/>
    </row>
    <row r="418">
      <c r="A418" s="240" t="s">
        <v>5422</v>
      </c>
      <c r="B418" s="240" t="s">
        <v>1278</v>
      </c>
      <c r="C418" s="240" t="s">
        <v>1279</v>
      </c>
      <c r="D418" s="240" t="s">
        <v>5423</v>
      </c>
      <c r="E418" s="240" t="s">
        <v>383</v>
      </c>
      <c r="F418" s="240" t="s">
        <v>4223</v>
      </c>
      <c r="G418" s="147"/>
      <c r="H418" s="240" t="s">
        <v>4215</v>
      </c>
      <c r="I418" s="240" t="s">
        <v>4215</v>
      </c>
      <c r="J418" s="147"/>
      <c r="K418" s="147"/>
      <c r="L418" s="147"/>
      <c r="M418" s="147"/>
      <c r="N418" s="147"/>
      <c r="O418" s="147"/>
      <c r="P418" s="147"/>
      <c r="Q418" s="147"/>
      <c r="R418" s="147"/>
      <c r="S418" s="147"/>
      <c r="T418" s="147"/>
      <c r="U418" s="147"/>
      <c r="V418" s="147"/>
    </row>
    <row r="419">
      <c r="A419" s="240" t="s">
        <v>5424</v>
      </c>
      <c r="B419" s="240" t="s">
        <v>1280</v>
      </c>
      <c r="C419" s="240" t="s">
        <v>1281</v>
      </c>
      <c r="D419" s="240" t="s">
        <v>5425</v>
      </c>
      <c r="E419" s="240" t="s">
        <v>5426</v>
      </c>
      <c r="F419" s="240" t="s">
        <v>4235</v>
      </c>
      <c r="G419" s="147"/>
      <c r="H419" s="147"/>
      <c r="I419" s="147"/>
      <c r="J419" s="147"/>
      <c r="K419" s="147"/>
      <c r="L419" s="147"/>
      <c r="M419" s="147"/>
      <c r="N419" s="147"/>
      <c r="O419" s="147"/>
      <c r="P419" s="147"/>
      <c r="Q419" s="147"/>
      <c r="R419" s="147"/>
      <c r="S419" s="147"/>
      <c r="T419" s="147"/>
      <c r="U419" s="147"/>
      <c r="V419" s="147"/>
    </row>
    <row r="420">
      <c r="A420" s="240" t="s">
        <v>5427</v>
      </c>
      <c r="B420" s="240" t="s">
        <v>1282</v>
      </c>
      <c r="C420" s="240" t="s">
        <v>1283</v>
      </c>
      <c r="D420" s="240" t="s">
        <v>5428</v>
      </c>
      <c r="E420" s="240" t="s">
        <v>5429</v>
      </c>
      <c r="F420" s="240" t="s">
        <v>5430</v>
      </c>
      <c r="G420" s="147"/>
      <c r="H420" s="240" t="s">
        <v>4215</v>
      </c>
      <c r="I420" s="240" t="s">
        <v>4215</v>
      </c>
      <c r="J420" s="147"/>
      <c r="K420" s="147"/>
      <c r="L420" s="147"/>
      <c r="M420" s="147"/>
      <c r="N420" s="147"/>
      <c r="O420" s="147"/>
      <c r="P420" s="147"/>
      <c r="Q420" s="147"/>
      <c r="R420" s="147"/>
      <c r="S420" s="147"/>
      <c r="T420" s="147"/>
      <c r="U420" s="147"/>
      <c r="V420" s="147"/>
    </row>
    <row r="421">
      <c r="A421" s="240" t="s">
        <v>5431</v>
      </c>
      <c r="B421" s="240" t="s">
        <v>1284</v>
      </c>
      <c r="C421" s="240" t="s">
        <v>1285</v>
      </c>
      <c r="D421" s="240" t="s">
        <v>5432</v>
      </c>
      <c r="E421" s="240" t="s">
        <v>5433</v>
      </c>
      <c r="F421" s="240" t="s">
        <v>4235</v>
      </c>
      <c r="G421" s="147"/>
      <c r="H421" s="240" t="s">
        <v>4215</v>
      </c>
      <c r="I421" s="240" t="s">
        <v>4215</v>
      </c>
      <c r="J421" s="147"/>
      <c r="K421" s="147"/>
      <c r="L421" s="147"/>
      <c r="M421" s="147"/>
      <c r="N421" s="147"/>
      <c r="O421" s="147"/>
      <c r="P421" s="147"/>
      <c r="Q421" s="147"/>
      <c r="R421" s="147"/>
      <c r="S421" s="147"/>
      <c r="T421" s="147"/>
      <c r="U421" s="147"/>
      <c r="V421" s="147"/>
    </row>
    <row r="422">
      <c r="A422" s="240" t="s">
        <v>5434</v>
      </c>
      <c r="B422" s="240" t="s">
        <v>1286</v>
      </c>
      <c r="C422" s="240" t="s">
        <v>1287</v>
      </c>
      <c r="D422" s="240" t="s">
        <v>5435</v>
      </c>
      <c r="E422" s="240" t="s">
        <v>5436</v>
      </c>
      <c r="F422" s="240" t="s">
        <v>4235</v>
      </c>
      <c r="G422" s="147"/>
      <c r="H422" s="240" t="s">
        <v>4215</v>
      </c>
      <c r="I422" s="240" t="s">
        <v>4215</v>
      </c>
      <c r="J422" s="147"/>
      <c r="K422" s="147"/>
      <c r="L422" s="147"/>
      <c r="M422" s="147"/>
      <c r="N422" s="147"/>
      <c r="O422" s="147"/>
      <c r="P422" s="147"/>
      <c r="Q422" s="147"/>
      <c r="R422" s="147"/>
      <c r="S422" s="147"/>
      <c r="T422" s="147"/>
      <c r="U422" s="147"/>
      <c r="V422" s="147"/>
    </row>
    <row r="423">
      <c r="A423" s="240" t="s">
        <v>5437</v>
      </c>
      <c r="B423" s="240" t="s">
        <v>1288</v>
      </c>
      <c r="C423" s="240" t="s">
        <v>1289</v>
      </c>
      <c r="D423" s="240" t="s">
        <v>5438</v>
      </c>
      <c r="E423" s="240" t="s">
        <v>5439</v>
      </c>
      <c r="F423" s="240" t="s">
        <v>4219</v>
      </c>
      <c r="G423" s="147"/>
      <c r="H423" s="240" t="s">
        <v>4215</v>
      </c>
      <c r="I423" s="240" t="s">
        <v>4215</v>
      </c>
      <c r="J423" s="147"/>
      <c r="K423" s="147"/>
      <c r="L423" s="147"/>
      <c r="M423" s="147"/>
      <c r="N423" s="147"/>
      <c r="O423" s="147"/>
      <c r="P423" s="147"/>
      <c r="Q423" s="147"/>
      <c r="R423" s="147"/>
      <c r="S423" s="147"/>
      <c r="T423" s="147"/>
      <c r="U423" s="147"/>
      <c r="V423" s="147"/>
    </row>
    <row r="424">
      <c r="A424" s="240" t="s">
        <v>5440</v>
      </c>
      <c r="B424" s="240" t="s">
        <v>1290</v>
      </c>
      <c r="C424" s="240" t="s">
        <v>1291</v>
      </c>
      <c r="D424" s="240" t="s">
        <v>5441</v>
      </c>
      <c r="E424" s="240" t="s">
        <v>5442</v>
      </c>
      <c r="F424" s="240" t="s">
        <v>4223</v>
      </c>
      <c r="G424" s="147"/>
      <c r="H424" s="240" t="s">
        <v>4215</v>
      </c>
      <c r="I424" s="240" t="s">
        <v>4215</v>
      </c>
      <c r="J424" s="147"/>
      <c r="K424" s="147"/>
      <c r="L424" s="147"/>
      <c r="M424" s="147"/>
      <c r="N424" s="147"/>
      <c r="O424" s="147"/>
      <c r="P424" s="147"/>
      <c r="Q424" s="147"/>
      <c r="R424" s="147"/>
      <c r="S424" s="147"/>
      <c r="T424" s="147"/>
      <c r="U424" s="147"/>
      <c r="V424" s="147"/>
    </row>
    <row r="425">
      <c r="A425" s="240" t="s">
        <v>5443</v>
      </c>
      <c r="B425" s="240" t="s">
        <v>1292</v>
      </c>
      <c r="C425" s="240" t="s">
        <v>1293</v>
      </c>
      <c r="D425" s="240" t="s">
        <v>5444</v>
      </c>
      <c r="E425" s="240" t="s">
        <v>5445</v>
      </c>
      <c r="F425" s="240" t="s">
        <v>4355</v>
      </c>
      <c r="G425" s="147"/>
      <c r="H425" s="240" t="s">
        <v>4215</v>
      </c>
      <c r="I425" s="240" t="s">
        <v>4215</v>
      </c>
      <c r="J425" s="147"/>
      <c r="K425" s="147"/>
      <c r="L425" s="147"/>
      <c r="M425" s="147"/>
      <c r="N425" s="147"/>
      <c r="O425" s="147"/>
      <c r="P425" s="147"/>
      <c r="Q425" s="147"/>
      <c r="R425" s="147"/>
      <c r="S425" s="147"/>
      <c r="T425" s="147"/>
      <c r="U425" s="147"/>
      <c r="V425" s="147"/>
    </row>
    <row r="426">
      <c r="A426" s="240" t="s">
        <v>5446</v>
      </c>
      <c r="B426" s="240" t="s">
        <v>1294</v>
      </c>
      <c r="C426" s="240" t="s">
        <v>1295</v>
      </c>
      <c r="D426" s="240" t="s">
        <v>5447</v>
      </c>
      <c r="E426" s="240" t="s">
        <v>5448</v>
      </c>
      <c r="F426" s="240" t="s">
        <v>4227</v>
      </c>
      <c r="G426" s="147"/>
      <c r="H426" s="240" t="s">
        <v>4215</v>
      </c>
      <c r="I426" s="240" t="s">
        <v>4215</v>
      </c>
      <c r="J426" s="147"/>
      <c r="K426" s="147"/>
      <c r="L426" s="147"/>
      <c r="M426" s="147"/>
      <c r="N426" s="147"/>
      <c r="O426" s="147"/>
      <c r="P426" s="147"/>
      <c r="Q426" s="147"/>
      <c r="R426" s="147"/>
      <c r="S426" s="147"/>
      <c r="T426" s="147"/>
      <c r="U426" s="147"/>
      <c r="V426" s="147"/>
    </row>
    <row r="427">
      <c r="A427" s="240" t="s">
        <v>5449</v>
      </c>
      <c r="B427" s="240" t="s">
        <v>1296</v>
      </c>
      <c r="C427" s="240" t="s">
        <v>1297</v>
      </c>
      <c r="D427" s="240" t="s">
        <v>5450</v>
      </c>
      <c r="E427" s="240" t="s">
        <v>5451</v>
      </c>
      <c r="F427" s="240" t="s">
        <v>4231</v>
      </c>
      <c r="G427" s="147"/>
      <c r="H427" s="240" t="s">
        <v>4215</v>
      </c>
      <c r="I427" s="240" t="s">
        <v>4215</v>
      </c>
      <c r="J427" s="147"/>
      <c r="K427" s="147"/>
      <c r="L427" s="147"/>
      <c r="M427" s="147"/>
      <c r="N427" s="147"/>
      <c r="O427" s="147"/>
      <c r="P427" s="147"/>
      <c r="Q427" s="147"/>
      <c r="R427" s="147"/>
      <c r="S427" s="147"/>
      <c r="T427" s="147"/>
      <c r="U427" s="147"/>
      <c r="V427" s="147"/>
    </row>
    <row r="428">
      <c r="A428" s="240" t="s">
        <v>5452</v>
      </c>
      <c r="B428" s="240" t="s">
        <v>1298</v>
      </c>
      <c r="C428" s="240" t="s">
        <v>1299</v>
      </c>
      <c r="D428" s="240" t="s">
        <v>5453</v>
      </c>
      <c r="E428" s="240" t="s">
        <v>5454</v>
      </c>
      <c r="F428" s="240" t="s">
        <v>4219</v>
      </c>
      <c r="G428" s="147"/>
      <c r="H428" s="240" t="s">
        <v>4215</v>
      </c>
      <c r="I428" s="240" t="s">
        <v>4215</v>
      </c>
      <c r="J428" s="147"/>
      <c r="K428" s="147"/>
      <c r="L428" s="147"/>
      <c r="M428" s="147"/>
      <c r="N428" s="147"/>
      <c r="O428" s="147"/>
      <c r="P428" s="147"/>
      <c r="Q428" s="147"/>
      <c r="R428" s="147"/>
      <c r="S428" s="147"/>
      <c r="T428" s="147"/>
      <c r="U428" s="147"/>
      <c r="V428" s="147"/>
    </row>
    <row r="429">
      <c r="A429" s="240" t="s">
        <v>5455</v>
      </c>
      <c r="B429" s="240" t="s">
        <v>1300</v>
      </c>
      <c r="C429" s="240" t="s">
        <v>1301</v>
      </c>
      <c r="D429" s="240" t="s">
        <v>5456</v>
      </c>
      <c r="E429" s="240" t="s">
        <v>5136</v>
      </c>
      <c r="F429" s="240" t="s">
        <v>4264</v>
      </c>
      <c r="G429" s="147"/>
      <c r="H429" s="240" t="s">
        <v>4215</v>
      </c>
      <c r="I429" s="240" t="s">
        <v>4215</v>
      </c>
      <c r="J429" s="147"/>
      <c r="K429" s="147"/>
      <c r="L429" s="147"/>
      <c r="M429" s="147"/>
      <c r="N429" s="147"/>
      <c r="O429" s="147"/>
      <c r="P429" s="147"/>
      <c r="Q429" s="147"/>
      <c r="R429" s="147"/>
      <c r="S429" s="147"/>
      <c r="T429" s="147"/>
      <c r="U429" s="147"/>
      <c r="V429" s="147"/>
    </row>
    <row r="430">
      <c r="A430" s="240" t="s">
        <v>5457</v>
      </c>
      <c r="B430" s="240" t="s">
        <v>1302</v>
      </c>
      <c r="C430" s="240" t="s">
        <v>1303</v>
      </c>
      <c r="D430" s="240" t="s">
        <v>5458</v>
      </c>
      <c r="E430" s="240" t="s">
        <v>4520</v>
      </c>
      <c r="F430" s="240" t="s">
        <v>4264</v>
      </c>
      <c r="G430" s="147"/>
      <c r="H430" s="240" t="s">
        <v>4215</v>
      </c>
      <c r="I430" s="240" t="s">
        <v>4215</v>
      </c>
      <c r="J430" s="147"/>
      <c r="K430" s="147"/>
      <c r="L430" s="147"/>
      <c r="M430" s="147"/>
      <c r="N430" s="147"/>
      <c r="O430" s="147"/>
      <c r="P430" s="147"/>
      <c r="Q430" s="147"/>
      <c r="R430" s="147"/>
      <c r="S430" s="147"/>
      <c r="T430" s="147"/>
      <c r="U430" s="147"/>
      <c r="V430" s="147"/>
    </row>
    <row r="431">
      <c r="A431" s="240" t="s">
        <v>5459</v>
      </c>
      <c r="B431" s="240" t="s">
        <v>1304</v>
      </c>
      <c r="C431" s="240" t="s">
        <v>1305</v>
      </c>
      <c r="D431" s="240" t="s">
        <v>5460</v>
      </c>
      <c r="E431" s="240" t="s">
        <v>5461</v>
      </c>
      <c r="F431" s="240" t="s">
        <v>4235</v>
      </c>
      <c r="G431" s="147"/>
      <c r="H431" s="147"/>
      <c r="I431" s="147"/>
      <c r="J431" s="147"/>
      <c r="K431" s="147"/>
      <c r="L431" s="147"/>
      <c r="M431" s="147"/>
      <c r="N431" s="147"/>
      <c r="O431" s="147"/>
      <c r="P431" s="147"/>
      <c r="Q431" s="147"/>
      <c r="R431" s="147"/>
      <c r="S431" s="147"/>
      <c r="T431" s="147"/>
      <c r="U431" s="147"/>
      <c r="V431" s="147"/>
    </row>
    <row r="432">
      <c r="A432" s="240" t="s">
        <v>5462</v>
      </c>
      <c r="B432" s="240" t="s">
        <v>1306</v>
      </c>
      <c r="C432" s="240" t="s">
        <v>1307</v>
      </c>
      <c r="D432" s="240" t="s">
        <v>5463</v>
      </c>
      <c r="E432" s="240" t="s">
        <v>5464</v>
      </c>
      <c r="F432" s="240" t="s">
        <v>4538</v>
      </c>
      <c r="G432" s="147"/>
      <c r="H432" s="240" t="s">
        <v>4215</v>
      </c>
      <c r="I432" s="240" t="s">
        <v>4215</v>
      </c>
      <c r="J432" s="147"/>
      <c r="K432" s="147"/>
      <c r="L432" s="147"/>
      <c r="M432" s="147"/>
      <c r="N432" s="147"/>
      <c r="O432" s="147"/>
      <c r="P432" s="147"/>
      <c r="Q432" s="147"/>
      <c r="R432" s="147"/>
      <c r="S432" s="147"/>
      <c r="T432" s="147"/>
      <c r="U432" s="147"/>
      <c r="V432" s="147"/>
    </row>
    <row r="433">
      <c r="A433" s="240" t="s">
        <v>5465</v>
      </c>
      <c r="B433" s="240" t="s">
        <v>1308</v>
      </c>
      <c r="C433" s="240" t="s">
        <v>1309</v>
      </c>
      <c r="D433" s="240" t="s">
        <v>5466</v>
      </c>
      <c r="E433" s="240" t="s">
        <v>5467</v>
      </c>
      <c r="F433" s="240" t="s">
        <v>4219</v>
      </c>
      <c r="G433" s="147"/>
      <c r="H433" s="240" t="s">
        <v>4215</v>
      </c>
      <c r="I433" s="240" t="s">
        <v>4215</v>
      </c>
      <c r="J433" s="147"/>
      <c r="K433" s="147"/>
      <c r="L433" s="147"/>
      <c r="M433" s="147"/>
      <c r="N433" s="147"/>
      <c r="O433" s="147"/>
      <c r="P433" s="147"/>
      <c r="Q433" s="147"/>
      <c r="R433" s="147"/>
      <c r="S433" s="147"/>
      <c r="T433" s="147"/>
      <c r="U433" s="147"/>
      <c r="V433" s="147"/>
    </row>
    <row r="434">
      <c r="A434" s="240" t="s">
        <v>5468</v>
      </c>
      <c r="B434" s="240" t="s">
        <v>1310</v>
      </c>
      <c r="C434" s="240" t="s">
        <v>1311</v>
      </c>
      <c r="D434" s="240" t="s">
        <v>5469</v>
      </c>
      <c r="E434" s="240" t="s">
        <v>5470</v>
      </c>
      <c r="F434" s="240" t="s">
        <v>4227</v>
      </c>
      <c r="G434" s="147"/>
      <c r="H434" s="147"/>
      <c r="I434" s="147"/>
      <c r="J434" s="147"/>
      <c r="K434" s="147"/>
      <c r="L434" s="147"/>
      <c r="M434" s="147"/>
      <c r="N434" s="147"/>
      <c r="O434" s="147"/>
      <c r="P434" s="147"/>
      <c r="Q434" s="147"/>
      <c r="R434" s="147"/>
      <c r="S434" s="147"/>
      <c r="T434" s="147"/>
      <c r="U434" s="147"/>
      <c r="V434" s="147"/>
    </row>
    <row r="435">
      <c r="A435" s="240" t="s">
        <v>5471</v>
      </c>
      <c r="B435" s="240" t="s">
        <v>1312</v>
      </c>
      <c r="C435" s="240" t="s">
        <v>1313</v>
      </c>
      <c r="D435" s="240" t="s">
        <v>5472</v>
      </c>
      <c r="E435" s="240" t="s">
        <v>5473</v>
      </c>
      <c r="F435" s="240" t="s">
        <v>4621</v>
      </c>
      <c r="G435" s="147"/>
      <c r="H435" s="240" t="s">
        <v>4215</v>
      </c>
      <c r="I435" s="240" t="s">
        <v>4215</v>
      </c>
      <c r="J435" s="147"/>
      <c r="K435" s="147"/>
      <c r="L435" s="147"/>
      <c r="M435" s="147"/>
      <c r="N435" s="147"/>
      <c r="O435" s="147"/>
      <c r="P435" s="147"/>
      <c r="Q435" s="147"/>
      <c r="R435" s="147"/>
      <c r="S435" s="147"/>
      <c r="T435" s="147"/>
      <c r="U435" s="147"/>
      <c r="V435" s="147"/>
    </row>
    <row r="436">
      <c r="A436" s="240" t="s">
        <v>5474</v>
      </c>
      <c r="B436" s="240" t="s">
        <v>1314</v>
      </c>
      <c r="C436" s="240" t="s">
        <v>1315</v>
      </c>
      <c r="D436" s="240" t="s">
        <v>5475</v>
      </c>
      <c r="E436" s="240" t="s">
        <v>5476</v>
      </c>
      <c r="F436" s="240" t="s">
        <v>4235</v>
      </c>
      <c r="G436" s="147"/>
      <c r="H436" s="147"/>
      <c r="I436" s="147"/>
      <c r="J436" s="147"/>
      <c r="K436" s="147"/>
      <c r="L436" s="147"/>
      <c r="M436" s="147"/>
      <c r="N436" s="147"/>
      <c r="O436" s="147"/>
      <c r="P436" s="147"/>
      <c r="Q436" s="147"/>
      <c r="R436" s="147"/>
      <c r="S436" s="147"/>
      <c r="T436" s="147"/>
      <c r="U436" s="147"/>
      <c r="V436" s="147"/>
    </row>
    <row r="437">
      <c r="A437" s="240" t="s">
        <v>5477</v>
      </c>
      <c r="B437" s="240" t="s">
        <v>1316</v>
      </c>
      <c r="C437" s="240" t="s">
        <v>1317</v>
      </c>
      <c r="D437" s="240" t="s">
        <v>5478</v>
      </c>
      <c r="E437" s="240" t="s">
        <v>5479</v>
      </c>
      <c r="F437" s="240" t="s">
        <v>4231</v>
      </c>
      <c r="G437" s="147"/>
      <c r="H437" s="240" t="s">
        <v>4215</v>
      </c>
      <c r="I437" s="240" t="s">
        <v>4215</v>
      </c>
      <c r="J437" s="147"/>
      <c r="K437" s="147"/>
      <c r="L437" s="147"/>
      <c r="M437" s="147"/>
      <c r="N437" s="147"/>
      <c r="O437" s="147"/>
      <c r="P437" s="147"/>
      <c r="Q437" s="147"/>
      <c r="R437" s="147"/>
      <c r="S437" s="147"/>
      <c r="T437" s="147"/>
      <c r="U437" s="147"/>
      <c r="V437" s="147"/>
    </row>
    <row r="438">
      <c r="A438" s="240" t="s">
        <v>5480</v>
      </c>
      <c r="B438" s="240" t="s">
        <v>1318</v>
      </c>
      <c r="C438" s="240" t="s">
        <v>1319</v>
      </c>
      <c r="D438" s="240" t="s">
        <v>5481</v>
      </c>
      <c r="E438" s="240" t="s">
        <v>5301</v>
      </c>
      <c r="F438" s="240" t="s">
        <v>4231</v>
      </c>
      <c r="G438" s="147"/>
      <c r="H438" s="240" t="s">
        <v>4215</v>
      </c>
      <c r="I438" s="240" t="s">
        <v>4215</v>
      </c>
      <c r="J438" s="147"/>
      <c r="K438" s="147"/>
      <c r="L438" s="147"/>
      <c r="M438" s="147"/>
      <c r="N438" s="147"/>
      <c r="O438" s="147"/>
      <c r="P438" s="147"/>
      <c r="Q438" s="147"/>
      <c r="R438" s="147"/>
      <c r="S438" s="147"/>
      <c r="T438" s="147"/>
      <c r="U438" s="147"/>
      <c r="V438" s="147"/>
    </row>
    <row r="439">
      <c r="A439" s="240" t="s">
        <v>5482</v>
      </c>
      <c r="B439" s="240" t="s">
        <v>1320</v>
      </c>
      <c r="C439" s="240" t="s">
        <v>1321</v>
      </c>
      <c r="D439" s="240" t="s">
        <v>5483</v>
      </c>
      <c r="E439" s="240" t="s">
        <v>5484</v>
      </c>
      <c r="F439" s="240" t="s">
        <v>4223</v>
      </c>
      <c r="G439" s="147"/>
      <c r="H439" s="240" t="s">
        <v>4215</v>
      </c>
      <c r="I439" s="240" t="s">
        <v>4215</v>
      </c>
      <c r="J439" s="147"/>
      <c r="K439" s="147"/>
      <c r="L439" s="147"/>
      <c r="M439" s="147"/>
      <c r="N439" s="147"/>
      <c r="O439" s="147"/>
      <c r="P439" s="147"/>
      <c r="Q439" s="147"/>
      <c r="R439" s="147"/>
      <c r="S439" s="147"/>
      <c r="T439" s="147"/>
      <c r="U439" s="147"/>
      <c r="V439" s="147"/>
    </row>
    <row r="440">
      <c r="A440" s="240" t="s">
        <v>5485</v>
      </c>
      <c r="B440" s="240" t="s">
        <v>1322</v>
      </c>
      <c r="C440" s="240" t="s">
        <v>1323</v>
      </c>
      <c r="D440" s="240" t="s">
        <v>5486</v>
      </c>
      <c r="E440" s="240" t="s">
        <v>5487</v>
      </c>
      <c r="F440" s="240" t="s">
        <v>4590</v>
      </c>
      <c r="G440" s="147"/>
      <c r="H440" s="240" t="s">
        <v>4215</v>
      </c>
      <c r="I440" s="240" t="s">
        <v>4215</v>
      </c>
      <c r="J440" s="147"/>
      <c r="K440" s="147"/>
      <c r="L440" s="147"/>
      <c r="M440" s="147"/>
      <c r="N440" s="147"/>
      <c r="O440" s="147"/>
      <c r="P440" s="147"/>
      <c r="Q440" s="147"/>
      <c r="R440" s="147"/>
      <c r="S440" s="147"/>
      <c r="T440" s="147"/>
      <c r="U440" s="147"/>
      <c r="V440" s="147"/>
    </row>
    <row r="441">
      <c r="A441" s="240" t="s">
        <v>5488</v>
      </c>
      <c r="B441" s="240" t="s">
        <v>1324</v>
      </c>
      <c r="C441" s="240" t="s">
        <v>1325</v>
      </c>
      <c r="D441" s="240" t="s">
        <v>5489</v>
      </c>
      <c r="E441" s="240" t="s">
        <v>5490</v>
      </c>
      <c r="F441" s="240" t="s">
        <v>4235</v>
      </c>
      <c r="G441" s="147"/>
      <c r="H441" s="147"/>
      <c r="I441" s="147"/>
      <c r="J441" s="147"/>
      <c r="K441" s="147"/>
      <c r="L441" s="147"/>
      <c r="M441" s="147"/>
      <c r="N441" s="147"/>
      <c r="O441" s="147"/>
      <c r="P441" s="147"/>
      <c r="Q441" s="147"/>
      <c r="R441" s="147"/>
      <c r="S441" s="147"/>
      <c r="T441" s="147"/>
      <c r="U441" s="147"/>
      <c r="V441" s="147"/>
    </row>
    <row r="442">
      <c r="A442" s="240" t="s">
        <v>5491</v>
      </c>
      <c r="B442" s="240" t="s">
        <v>1326</v>
      </c>
      <c r="C442" s="240" t="s">
        <v>1327</v>
      </c>
      <c r="D442" s="240" t="s">
        <v>5492</v>
      </c>
      <c r="E442" s="240" t="s">
        <v>380</v>
      </c>
      <c r="F442" s="147"/>
      <c r="G442" s="147"/>
      <c r="H442" s="147"/>
      <c r="I442" s="147"/>
      <c r="J442" s="147"/>
      <c r="K442" s="147"/>
      <c r="L442" s="147"/>
      <c r="M442" s="147"/>
      <c r="N442" s="147"/>
      <c r="O442" s="147"/>
      <c r="P442" s="147"/>
      <c r="Q442" s="147"/>
      <c r="R442" s="147"/>
      <c r="S442" s="147"/>
      <c r="T442" s="147"/>
      <c r="U442" s="147"/>
      <c r="V442" s="147"/>
    </row>
    <row r="443">
      <c r="A443" s="240" t="s">
        <v>5493</v>
      </c>
      <c r="B443" s="240" t="s">
        <v>1328</v>
      </c>
      <c r="C443" s="240" t="s">
        <v>1329</v>
      </c>
      <c r="D443" s="240" t="s">
        <v>5494</v>
      </c>
      <c r="E443" s="240" t="s">
        <v>5495</v>
      </c>
      <c r="F443" s="240" t="s">
        <v>4223</v>
      </c>
      <c r="G443" s="147"/>
      <c r="H443" s="240" t="s">
        <v>4215</v>
      </c>
      <c r="I443" s="240" t="s">
        <v>4215</v>
      </c>
      <c r="J443" s="147"/>
      <c r="K443" s="147"/>
      <c r="L443" s="147"/>
      <c r="M443" s="147"/>
      <c r="N443" s="147"/>
      <c r="O443" s="147"/>
      <c r="P443" s="147"/>
      <c r="Q443" s="147"/>
      <c r="R443" s="147"/>
      <c r="S443" s="147"/>
      <c r="T443" s="147"/>
      <c r="U443" s="147"/>
      <c r="V443" s="147"/>
    </row>
    <row r="444">
      <c r="A444" s="240" t="s">
        <v>5496</v>
      </c>
      <c r="B444" s="240" t="s">
        <v>1330</v>
      </c>
      <c r="C444" s="240" t="s">
        <v>1331</v>
      </c>
      <c r="D444" s="240" t="s">
        <v>5497</v>
      </c>
      <c r="E444" s="240" t="s">
        <v>5498</v>
      </c>
      <c r="F444" s="240" t="s">
        <v>4235</v>
      </c>
      <c r="G444" s="147"/>
      <c r="H444" s="240" t="s">
        <v>4215</v>
      </c>
      <c r="I444" s="240" t="s">
        <v>4215</v>
      </c>
      <c r="J444" s="147"/>
      <c r="K444" s="147"/>
      <c r="L444" s="147"/>
      <c r="M444" s="147"/>
      <c r="N444" s="147"/>
      <c r="O444" s="147"/>
      <c r="P444" s="147"/>
      <c r="Q444" s="147"/>
      <c r="R444" s="147"/>
      <c r="S444" s="147"/>
      <c r="T444" s="147"/>
      <c r="U444" s="147"/>
      <c r="V444" s="147"/>
    </row>
    <row r="445">
      <c r="A445" s="240" t="s">
        <v>5499</v>
      </c>
      <c r="B445" s="240" t="s">
        <v>1332</v>
      </c>
      <c r="C445" s="240" t="s">
        <v>1333</v>
      </c>
      <c r="D445" s="240" t="s">
        <v>5500</v>
      </c>
      <c r="E445" s="240" t="s">
        <v>5501</v>
      </c>
      <c r="F445" s="240" t="s">
        <v>4235</v>
      </c>
      <c r="G445" s="147"/>
      <c r="H445" s="240" t="s">
        <v>4215</v>
      </c>
      <c r="I445" s="240" t="s">
        <v>4215</v>
      </c>
      <c r="J445" s="147"/>
      <c r="K445" s="147"/>
      <c r="L445" s="147"/>
      <c r="M445" s="147"/>
      <c r="N445" s="147"/>
      <c r="O445" s="147"/>
      <c r="P445" s="147"/>
      <c r="Q445" s="147"/>
      <c r="R445" s="147"/>
      <c r="S445" s="147"/>
      <c r="T445" s="147"/>
      <c r="U445" s="147"/>
      <c r="V445" s="147"/>
    </row>
    <row r="446">
      <c r="A446" s="240" t="s">
        <v>5502</v>
      </c>
      <c r="B446" s="240" t="s">
        <v>1334</v>
      </c>
      <c r="C446" s="240" t="s">
        <v>1335</v>
      </c>
      <c r="D446" s="240" t="s">
        <v>5503</v>
      </c>
      <c r="E446" s="240" t="s">
        <v>5504</v>
      </c>
      <c r="F446" s="240" t="s">
        <v>4264</v>
      </c>
      <c r="G446" s="147"/>
      <c r="H446" s="240" t="s">
        <v>4215</v>
      </c>
      <c r="I446" s="240" t="s">
        <v>4215</v>
      </c>
      <c r="J446" s="147"/>
      <c r="K446" s="147"/>
      <c r="L446" s="147"/>
      <c r="M446" s="147"/>
      <c r="N446" s="147"/>
      <c r="O446" s="147"/>
      <c r="P446" s="147"/>
      <c r="Q446" s="147"/>
      <c r="R446" s="147"/>
      <c r="S446" s="147"/>
      <c r="T446" s="147"/>
      <c r="U446" s="147"/>
      <c r="V446" s="147"/>
    </row>
    <row r="447">
      <c r="A447" s="240" t="s">
        <v>5505</v>
      </c>
      <c r="B447" s="240" t="s">
        <v>1336</v>
      </c>
      <c r="C447" s="240" t="s">
        <v>1337</v>
      </c>
      <c r="D447" s="240" t="s">
        <v>5506</v>
      </c>
      <c r="E447" s="240" t="s">
        <v>5507</v>
      </c>
      <c r="F447" s="240" t="s">
        <v>4264</v>
      </c>
      <c r="G447" s="147"/>
      <c r="H447" s="147"/>
      <c r="I447" s="147"/>
      <c r="J447" s="147"/>
      <c r="K447" s="147"/>
      <c r="L447" s="147"/>
      <c r="M447" s="147"/>
      <c r="N447" s="147"/>
      <c r="O447" s="147"/>
      <c r="P447" s="147"/>
      <c r="Q447" s="147"/>
      <c r="R447" s="147"/>
      <c r="S447" s="147"/>
      <c r="T447" s="147"/>
      <c r="U447" s="147"/>
      <c r="V447" s="147"/>
    </row>
    <row r="448">
      <c r="A448" s="240" t="s">
        <v>5508</v>
      </c>
      <c r="B448" s="240" t="s">
        <v>1338</v>
      </c>
      <c r="C448" s="240" t="s">
        <v>1339</v>
      </c>
      <c r="D448" s="240" t="s">
        <v>5509</v>
      </c>
      <c r="E448" s="240" t="s">
        <v>5510</v>
      </c>
      <c r="F448" s="240" t="s">
        <v>4219</v>
      </c>
      <c r="G448" s="147"/>
      <c r="H448" s="147"/>
      <c r="I448" s="147"/>
      <c r="J448" s="147"/>
      <c r="K448" s="147"/>
      <c r="L448" s="147"/>
      <c r="M448" s="147"/>
      <c r="N448" s="147"/>
      <c r="O448" s="147"/>
      <c r="P448" s="147"/>
      <c r="Q448" s="147"/>
      <c r="R448" s="147"/>
      <c r="S448" s="147"/>
      <c r="T448" s="147"/>
      <c r="U448" s="147"/>
      <c r="V448" s="147"/>
    </row>
    <row r="449">
      <c r="A449" s="240" t="s">
        <v>5511</v>
      </c>
      <c r="B449" s="240" t="s">
        <v>1340</v>
      </c>
      <c r="C449" s="240" t="s">
        <v>1341</v>
      </c>
      <c r="D449" s="240" t="s">
        <v>5512</v>
      </c>
      <c r="E449" s="240" t="s">
        <v>5513</v>
      </c>
      <c r="F449" s="240" t="s">
        <v>4235</v>
      </c>
      <c r="G449" s="147"/>
      <c r="H449" s="240" t="s">
        <v>4215</v>
      </c>
      <c r="I449" s="240" t="s">
        <v>4215</v>
      </c>
      <c r="J449" s="147"/>
      <c r="K449" s="147"/>
      <c r="L449" s="147"/>
      <c r="M449" s="147"/>
      <c r="N449" s="147"/>
      <c r="O449" s="147"/>
      <c r="P449" s="147"/>
      <c r="Q449" s="147"/>
      <c r="R449" s="147"/>
      <c r="S449" s="147"/>
      <c r="T449" s="147"/>
      <c r="U449" s="147"/>
      <c r="V449" s="147"/>
    </row>
    <row r="450">
      <c r="A450" s="240" t="s">
        <v>5514</v>
      </c>
      <c r="B450" s="240" t="s">
        <v>1342</v>
      </c>
      <c r="C450" s="240" t="s">
        <v>1343</v>
      </c>
      <c r="D450" s="240" t="s">
        <v>5515</v>
      </c>
      <c r="E450" s="240" t="s">
        <v>5516</v>
      </c>
      <c r="F450" s="240" t="s">
        <v>4223</v>
      </c>
      <c r="G450" s="147"/>
      <c r="H450" s="240" t="s">
        <v>4215</v>
      </c>
      <c r="I450" s="240" t="s">
        <v>4215</v>
      </c>
      <c r="J450" s="147"/>
      <c r="K450" s="147"/>
      <c r="L450" s="147"/>
      <c r="M450" s="147"/>
      <c r="N450" s="147"/>
      <c r="O450" s="147"/>
      <c r="P450" s="147"/>
      <c r="Q450" s="147"/>
      <c r="R450" s="147"/>
      <c r="S450" s="147"/>
      <c r="T450" s="147"/>
      <c r="U450" s="147"/>
      <c r="V450" s="147"/>
    </row>
    <row r="451">
      <c r="A451" s="240" t="s">
        <v>5517</v>
      </c>
      <c r="B451" s="240" t="s">
        <v>1344</v>
      </c>
      <c r="C451" s="240" t="s">
        <v>1345</v>
      </c>
      <c r="D451" s="240" t="s">
        <v>5518</v>
      </c>
      <c r="E451" s="240" t="s">
        <v>5519</v>
      </c>
      <c r="F451" s="240" t="s">
        <v>4219</v>
      </c>
      <c r="G451" s="147"/>
      <c r="H451" s="240" t="s">
        <v>4215</v>
      </c>
      <c r="I451" s="240" t="s">
        <v>4215</v>
      </c>
      <c r="J451" s="147"/>
      <c r="K451" s="147"/>
      <c r="L451" s="147"/>
      <c r="M451" s="147"/>
      <c r="N451" s="147"/>
      <c r="O451" s="147"/>
      <c r="P451" s="147"/>
      <c r="Q451" s="147"/>
      <c r="R451" s="147"/>
      <c r="S451" s="147"/>
      <c r="T451" s="147"/>
      <c r="U451" s="147"/>
      <c r="V451" s="147"/>
    </row>
    <row r="452">
      <c r="A452" s="240" t="s">
        <v>5520</v>
      </c>
      <c r="B452" s="240" t="s">
        <v>1346</v>
      </c>
      <c r="C452" s="240" t="s">
        <v>1347</v>
      </c>
      <c r="D452" s="240" t="s">
        <v>5521</v>
      </c>
      <c r="E452" s="240" t="s">
        <v>5522</v>
      </c>
      <c r="F452" s="240" t="s">
        <v>4264</v>
      </c>
      <c r="G452" s="147"/>
      <c r="H452" s="240" t="s">
        <v>4215</v>
      </c>
      <c r="I452" s="240" t="s">
        <v>4215</v>
      </c>
      <c r="J452" s="147"/>
      <c r="K452" s="147"/>
      <c r="L452" s="147"/>
      <c r="M452" s="147"/>
      <c r="N452" s="147"/>
      <c r="O452" s="147"/>
      <c r="P452" s="147"/>
      <c r="Q452" s="147"/>
      <c r="R452" s="147"/>
      <c r="S452" s="147"/>
      <c r="T452" s="147"/>
      <c r="U452" s="147"/>
      <c r="V452" s="147"/>
    </row>
    <row r="453">
      <c r="A453" s="240" t="s">
        <v>5523</v>
      </c>
      <c r="B453" s="240" t="s">
        <v>1348</v>
      </c>
      <c r="C453" s="240" t="s">
        <v>1349</v>
      </c>
      <c r="D453" s="240" t="s">
        <v>5524</v>
      </c>
      <c r="E453" s="240" t="s">
        <v>5525</v>
      </c>
      <c r="F453" s="240" t="s">
        <v>4479</v>
      </c>
      <c r="G453" s="147"/>
      <c r="H453" s="240" t="s">
        <v>4215</v>
      </c>
      <c r="I453" s="240" t="s">
        <v>4215</v>
      </c>
      <c r="J453" s="147"/>
      <c r="K453" s="147"/>
      <c r="L453" s="147"/>
      <c r="M453" s="147"/>
      <c r="N453" s="147"/>
      <c r="O453" s="147"/>
      <c r="P453" s="147"/>
      <c r="Q453" s="147"/>
      <c r="R453" s="147"/>
      <c r="S453" s="147"/>
      <c r="T453" s="147"/>
      <c r="U453" s="147"/>
      <c r="V453" s="147"/>
    </row>
    <row r="454">
      <c r="A454" s="240" t="s">
        <v>5526</v>
      </c>
      <c r="B454" s="240" t="s">
        <v>1350</v>
      </c>
      <c r="C454" s="240" t="s">
        <v>1351</v>
      </c>
      <c r="D454" s="240" t="s">
        <v>5527</v>
      </c>
      <c r="E454" s="240" t="s">
        <v>5528</v>
      </c>
      <c r="F454" s="240" t="s">
        <v>4264</v>
      </c>
      <c r="G454" s="147"/>
      <c r="H454" s="240" t="s">
        <v>4215</v>
      </c>
      <c r="I454" s="240" t="s">
        <v>4215</v>
      </c>
      <c r="J454" s="147"/>
      <c r="K454" s="147"/>
      <c r="L454" s="147"/>
      <c r="M454" s="147"/>
      <c r="N454" s="147"/>
      <c r="O454" s="147"/>
      <c r="P454" s="147"/>
      <c r="Q454" s="147"/>
      <c r="R454" s="147"/>
      <c r="S454" s="147"/>
      <c r="T454" s="147"/>
      <c r="U454" s="147"/>
      <c r="V454" s="147"/>
    </row>
    <row r="455">
      <c r="A455" s="240" t="s">
        <v>5529</v>
      </c>
      <c r="B455" s="240" t="s">
        <v>1352</v>
      </c>
      <c r="C455" s="240" t="s">
        <v>1353</v>
      </c>
      <c r="D455" s="240" t="s">
        <v>5530</v>
      </c>
      <c r="E455" s="240" t="s">
        <v>5531</v>
      </c>
      <c r="F455" s="240" t="s">
        <v>4223</v>
      </c>
      <c r="G455" s="147"/>
      <c r="H455" s="240" t="s">
        <v>4215</v>
      </c>
      <c r="I455" s="240" t="s">
        <v>4215</v>
      </c>
      <c r="J455" s="147"/>
      <c r="K455" s="147"/>
      <c r="L455" s="147"/>
      <c r="M455" s="147"/>
      <c r="N455" s="147"/>
      <c r="O455" s="147"/>
      <c r="P455" s="147"/>
      <c r="Q455" s="147"/>
      <c r="R455" s="147"/>
      <c r="S455" s="147"/>
      <c r="T455" s="147"/>
      <c r="U455" s="147"/>
      <c r="V455" s="147"/>
    </row>
    <row r="456">
      <c r="A456" s="240" t="s">
        <v>5532</v>
      </c>
      <c r="B456" s="240" t="s">
        <v>1354</v>
      </c>
      <c r="C456" s="240" t="s">
        <v>1355</v>
      </c>
      <c r="D456" s="240" t="s">
        <v>5533</v>
      </c>
      <c r="E456" s="240" t="s">
        <v>5534</v>
      </c>
      <c r="F456" s="240" t="s">
        <v>4235</v>
      </c>
      <c r="G456" s="147"/>
      <c r="H456" s="240" t="s">
        <v>4215</v>
      </c>
      <c r="I456" s="240" t="s">
        <v>4215</v>
      </c>
      <c r="J456" s="147"/>
      <c r="K456" s="147"/>
      <c r="L456" s="147"/>
      <c r="M456" s="147"/>
      <c r="N456" s="147"/>
      <c r="O456" s="147"/>
      <c r="P456" s="147"/>
      <c r="Q456" s="147"/>
      <c r="R456" s="147"/>
      <c r="S456" s="147"/>
      <c r="T456" s="147"/>
      <c r="U456" s="147"/>
      <c r="V456" s="147"/>
    </row>
    <row r="457">
      <c r="A457" s="240" t="s">
        <v>5535</v>
      </c>
      <c r="B457" s="240" t="s">
        <v>1356</v>
      </c>
      <c r="C457" s="240" t="s">
        <v>1357</v>
      </c>
      <c r="D457" s="240" t="s">
        <v>5536</v>
      </c>
      <c r="E457" s="240" t="s">
        <v>5537</v>
      </c>
      <c r="F457" s="240" t="s">
        <v>4223</v>
      </c>
      <c r="G457" s="147"/>
      <c r="H457" s="240" t="s">
        <v>4215</v>
      </c>
      <c r="I457" s="240" t="s">
        <v>4215</v>
      </c>
      <c r="J457" s="147"/>
      <c r="K457" s="147"/>
      <c r="L457" s="147"/>
      <c r="M457" s="147"/>
      <c r="N457" s="147"/>
      <c r="O457" s="147"/>
      <c r="P457" s="147"/>
      <c r="Q457" s="147"/>
      <c r="R457" s="147"/>
      <c r="S457" s="147"/>
      <c r="T457" s="147"/>
      <c r="U457" s="147"/>
      <c r="V457" s="147"/>
    </row>
    <row r="458">
      <c r="A458" s="240" t="s">
        <v>5538</v>
      </c>
      <c r="B458" s="240" t="s">
        <v>1358</v>
      </c>
      <c r="C458" s="240" t="s">
        <v>1359</v>
      </c>
      <c r="D458" s="240" t="s">
        <v>5539</v>
      </c>
      <c r="E458" s="240" t="s">
        <v>5377</v>
      </c>
      <c r="F458" s="240" t="s">
        <v>4235</v>
      </c>
      <c r="G458" s="147"/>
      <c r="H458" s="240" t="s">
        <v>4215</v>
      </c>
      <c r="I458" s="240" t="s">
        <v>4215</v>
      </c>
      <c r="J458" s="147"/>
      <c r="K458" s="147"/>
      <c r="L458" s="147"/>
      <c r="M458" s="147"/>
      <c r="N458" s="147"/>
      <c r="O458" s="147"/>
      <c r="P458" s="147"/>
      <c r="Q458" s="147"/>
      <c r="R458" s="147"/>
      <c r="S458" s="147"/>
      <c r="T458" s="147"/>
      <c r="U458" s="147"/>
      <c r="V458" s="147"/>
    </row>
    <row r="459">
      <c r="A459" s="240" t="s">
        <v>5540</v>
      </c>
      <c r="B459" s="240" t="s">
        <v>1360</v>
      </c>
      <c r="C459" s="240" t="s">
        <v>1361</v>
      </c>
      <c r="D459" s="240" t="s">
        <v>5541</v>
      </c>
      <c r="E459" s="240" t="s">
        <v>4517</v>
      </c>
      <c r="F459" s="240" t="s">
        <v>4223</v>
      </c>
      <c r="G459" s="147"/>
      <c r="H459" s="147"/>
      <c r="I459" s="147"/>
      <c r="J459" s="147"/>
      <c r="K459" s="147"/>
      <c r="L459" s="147"/>
      <c r="M459" s="147"/>
      <c r="N459" s="147"/>
      <c r="O459" s="147"/>
      <c r="P459" s="147"/>
      <c r="Q459" s="147"/>
      <c r="R459" s="147"/>
      <c r="S459" s="147"/>
      <c r="T459" s="147"/>
      <c r="U459" s="147"/>
      <c r="V459" s="147"/>
    </row>
    <row r="460">
      <c r="A460" s="240" t="s">
        <v>5542</v>
      </c>
      <c r="B460" s="240" t="s">
        <v>1362</v>
      </c>
      <c r="C460" s="240" t="s">
        <v>1363</v>
      </c>
      <c r="D460" s="240" t="s">
        <v>5543</v>
      </c>
      <c r="E460" s="240" t="s">
        <v>5544</v>
      </c>
      <c r="F460" s="240" t="s">
        <v>4227</v>
      </c>
      <c r="G460" s="147"/>
      <c r="H460" s="240" t="s">
        <v>4215</v>
      </c>
      <c r="I460" s="240" t="s">
        <v>4215</v>
      </c>
      <c r="J460" s="147"/>
      <c r="K460" s="147"/>
      <c r="L460" s="147"/>
      <c r="M460" s="147"/>
      <c r="N460" s="147"/>
      <c r="O460" s="147"/>
      <c r="P460" s="147"/>
      <c r="Q460" s="147"/>
      <c r="R460" s="147"/>
      <c r="S460" s="147"/>
      <c r="T460" s="147"/>
      <c r="U460" s="147"/>
      <c r="V460" s="147"/>
    </row>
    <row r="461">
      <c r="A461" s="240" t="s">
        <v>5545</v>
      </c>
      <c r="B461" s="240" t="s">
        <v>1364</v>
      </c>
      <c r="C461" s="240" t="s">
        <v>1365</v>
      </c>
      <c r="D461" s="240" t="s">
        <v>5546</v>
      </c>
      <c r="E461" s="240" t="s">
        <v>5547</v>
      </c>
      <c r="F461" s="240" t="s">
        <v>4235</v>
      </c>
      <c r="G461" s="147"/>
      <c r="H461" s="240" t="s">
        <v>4215</v>
      </c>
      <c r="I461" s="240" t="s">
        <v>4215</v>
      </c>
      <c r="J461" s="147"/>
      <c r="K461" s="147"/>
      <c r="L461" s="147"/>
      <c r="M461" s="147"/>
      <c r="N461" s="147"/>
      <c r="O461" s="147"/>
      <c r="P461" s="147"/>
      <c r="Q461" s="147"/>
      <c r="R461" s="147"/>
      <c r="S461" s="147"/>
      <c r="T461" s="147"/>
      <c r="U461" s="147"/>
      <c r="V461" s="147"/>
    </row>
    <row r="462">
      <c r="A462" s="240" t="s">
        <v>5548</v>
      </c>
      <c r="B462" s="240" t="s">
        <v>1366</v>
      </c>
      <c r="C462" s="240" t="s">
        <v>1367</v>
      </c>
      <c r="D462" s="240" t="s">
        <v>5549</v>
      </c>
      <c r="E462" s="240" t="s">
        <v>5550</v>
      </c>
      <c r="F462" s="240" t="s">
        <v>4264</v>
      </c>
      <c r="G462" s="147"/>
      <c r="H462" s="147"/>
      <c r="I462" s="147"/>
      <c r="J462" s="147"/>
      <c r="K462" s="147"/>
      <c r="L462" s="147"/>
      <c r="M462" s="147"/>
      <c r="N462" s="147"/>
      <c r="O462" s="147"/>
      <c r="P462" s="147"/>
      <c r="Q462" s="147"/>
      <c r="R462" s="147"/>
      <c r="S462" s="147"/>
      <c r="T462" s="147"/>
      <c r="U462" s="147"/>
      <c r="V462" s="147"/>
    </row>
    <row r="463">
      <c r="A463" s="240" t="s">
        <v>5551</v>
      </c>
      <c r="B463" s="240" t="s">
        <v>1368</v>
      </c>
      <c r="C463" s="240" t="s">
        <v>1369</v>
      </c>
      <c r="D463" s="240" t="s">
        <v>5552</v>
      </c>
      <c r="E463" s="240" t="s">
        <v>5553</v>
      </c>
      <c r="F463" s="240" t="s">
        <v>4227</v>
      </c>
      <c r="G463" s="147"/>
      <c r="H463" s="240" t="s">
        <v>4215</v>
      </c>
      <c r="I463" s="240" t="s">
        <v>4215</v>
      </c>
      <c r="J463" s="147"/>
      <c r="K463" s="147"/>
      <c r="L463" s="147"/>
      <c r="M463" s="147"/>
      <c r="N463" s="147"/>
      <c r="O463" s="147"/>
      <c r="P463" s="147"/>
      <c r="Q463" s="147"/>
      <c r="R463" s="147"/>
      <c r="S463" s="147"/>
      <c r="T463" s="147"/>
      <c r="U463" s="147"/>
      <c r="V463" s="147"/>
    </row>
    <row r="464">
      <c r="A464" s="240" t="s">
        <v>5554</v>
      </c>
      <c r="B464" s="240" t="s">
        <v>1370</v>
      </c>
      <c r="C464" s="240" t="s">
        <v>1371</v>
      </c>
      <c r="D464" s="240" t="s">
        <v>5555</v>
      </c>
      <c r="E464" s="240" t="s">
        <v>5556</v>
      </c>
      <c r="F464" s="240" t="s">
        <v>4231</v>
      </c>
      <c r="G464" s="147"/>
      <c r="H464" s="240" t="s">
        <v>4215</v>
      </c>
      <c r="I464" s="240" t="s">
        <v>4215</v>
      </c>
      <c r="J464" s="147"/>
      <c r="K464" s="147"/>
      <c r="L464" s="147"/>
      <c r="M464" s="147"/>
      <c r="N464" s="147"/>
      <c r="O464" s="147"/>
      <c r="P464" s="147"/>
      <c r="Q464" s="147"/>
      <c r="R464" s="147"/>
      <c r="S464" s="147"/>
      <c r="T464" s="147"/>
      <c r="U464" s="147"/>
      <c r="V464" s="147"/>
    </row>
    <row r="465">
      <c r="A465" s="240" t="s">
        <v>5557</v>
      </c>
      <c r="B465" s="240" t="s">
        <v>1372</v>
      </c>
      <c r="C465" s="240" t="s">
        <v>1373</v>
      </c>
      <c r="D465" s="240" t="s">
        <v>5558</v>
      </c>
      <c r="E465" s="240" t="s">
        <v>5559</v>
      </c>
      <c r="F465" s="240" t="s">
        <v>4223</v>
      </c>
      <c r="G465" s="147"/>
      <c r="H465" s="240" t="s">
        <v>4215</v>
      </c>
      <c r="I465" s="240" t="s">
        <v>4215</v>
      </c>
      <c r="J465" s="147"/>
      <c r="K465" s="147"/>
      <c r="L465" s="147"/>
      <c r="M465" s="147"/>
      <c r="N465" s="147"/>
      <c r="O465" s="147"/>
      <c r="P465" s="147"/>
      <c r="Q465" s="147"/>
      <c r="R465" s="147"/>
      <c r="S465" s="147"/>
      <c r="T465" s="147"/>
      <c r="U465" s="147"/>
      <c r="V465" s="147"/>
    </row>
    <row r="466">
      <c r="A466" s="240" t="s">
        <v>5560</v>
      </c>
      <c r="B466" s="240" t="s">
        <v>1374</v>
      </c>
      <c r="C466" s="240" t="s">
        <v>1375</v>
      </c>
      <c r="D466" s="240" t="s">
        <v>5561</v>
      </c>
      <c r="E466" s="240" t="s">
        <v>5562</v>
      </c>
      <c r="F466" s="240" t="s">
        <v>4235</v>
      </c>
      <c r="G466" s="147"/>
      <c r="H466" s="240" t="s">
        <v>4215</v>
      </c>
      <c r="I466" s="240" t="s">
        <v>4215</v>
      </c>
      <c r="J466" s="147"/>
      <c r="K466" s="147"/>
      <c r="L466" s="147"/>
      <c r="M466" s="147"/>
      <c r="N466" s="147"/>
      <c r="O466" s="147"/>
      <c r="P466" s="147"/>
      <c r="Q466" s="147"/>
      <c r="R466" s="147"/>
      <c r="S466" s="147"/>
      <c r="T466" s="147"/>
      <c r="U466" s="147"/>
      <c r="V466" s="147"/>
    </row>
    <row r="467">
      <c r="A467" s="240" t="s">
        <v>5563</v>
      </c>
      <c r="B467" s="240" t="s">
        <v>1376</v>
      </c>
      <c r="C467" s="240" t="s">
        <v>1377</v>
      </c>
      <c r="D467" s="240" t="s">
        <v>5564</v>
      </c>
      <c r="E467" s="240" t="s">
        <v>5565</v>
      </c>
      <c r="F467" s="240" t="s">
        <v>4264</v>
      </c>
      <c r="G467" s="147"/>
      <c r="H467" s="240" t="s">
        <v>4215</v>
      </c>
      <c r="I467" s="240" t="s">
        <v>4215</v>
      </c>
      <c r="J467" s="147"/>
      <c r="K467" s="147"/>
      <c r="L467" s="147"/>
      <c r="M467" s="147"/>
      <c r="N467" s="147"/>
      <c r="O467" s="147"/>
      <c r="P467" s="147"/>
      <c r="Q467" s="147"/>
      <c r="R467" s="147"/>
      <c r="S467" s="147"/>
      <c r="T467" s="147"/>
      <c r="U467" s="147"/>
      <c r="V467" s="147"/>
    </row>
    <row r="468">
      <c r="A468" s="240" t="s">
        <v>5566</v>
      </c>
      <c r="B468" s="240" t="s">
        <v>1378</v>
      </c>
      <c r="C468" s="240" t="s">
        <v>1379</v>
      </c>
      <c r="D468" s="240" t="s">
        <v>5567</v>
      </c>
      <c r="E468" s="240" t="s">
        <v>5568</v>
      </c>
      <c r="F468" s="240" t="s">
        <v>4235</v>
      </c>
      <c r="G468" s="147"/>
      <c r="H468" s="240" t="s">
        <v>4215</v>
      </c>
      <c r="I468" s="240" t="s">
        <v>4215</v>
      </c>
      <c r="J468" s="147"/>
      <c r="K468" s="147"/>
      <c r="L468" s="147"/>
      <c r="M468" s="147"/>
      <c r="N468" s="147"/>
      <c r="O468" s="147"/>
      <c r="P468" s="147"/>
      <c r="Q468" s="147"/>
      <c r="R468" s="147"/>
      <c r="S468" s="147"/>
      <c r="T468" s="147"/>
      <c r="U468" s="147"/>
      <c r="V468" s="147"/>
    </row>
    <row r="469">
      <c r="A469" s="240" t="s">
        <v>5569</v>
      </c>
      <c r="B469" s="240" t="s">
        <v>1380</v>
      </c>
      <c r="C469" s="240" t="s">
        <v>1381</v>
      </c>
      <c r="D469" s="240" t="s">
        <v>5570</v>
      </c>
      <c r="E469" s="240" t="s">
        <v>5571</v>
      </c>
      <c r="F469" s="240" t="s">
        <v>4235</v>
      </c>
      <c r="G469" s="147"/>
      <c r="H469" s="147"/>
      <c r="I469" s="147"/>
      <c r="J469" s="147"/>
      <c r="K469" s="147"/>
      <c r="L469" s="147"/>
      <c r="M469" s="147"/>
      <c r="N469" s="147"/>
      <c r="O469" s="147"/>
      <c r="P469" s="147"/>
      <c r="Q469" s="147"/>
      <c r="R469" s="147"/>
      <c r="S469" s="147"/>
      <c r="T469" s="147"/>
      <c r="U469" s="147"/>
      <c r="V469" s="147"/>
    </row>
    <row r="470">
      <c r="A470" s="240" t="s">
        <v>5572</v>
      </c>
      <c r="B470" s="240" t="s">
        <v>1382</v>
      </c>
      <c r="C470" s="240" t="s">
        <v>1383</v>
      </c>
      <c r="D470" s="240" t="s">
        <v>5573</v>
      </c>
      <c r="E470" s="240" t="s">
        <v>4509</v>
      </c>
      <c r="F470" s="240" t="s">
        <v>4223</v>
      </c>
      <c r="G470" s="147"/>
      <c r="H470" s="240" t="s">
        <v>4215</v>
      </c>
      <c r="I470" s="240" t="s">
        <v>4215</v>
      </c>
      <c r="J470" s="147"/>
      <c r="K470" s="147"/>
      <c r="L470" s="147"/>
      <c r="M470" s="147"/>
      <c r="N470" s="147"/>
      <c r="O470" s="147"/>
      <c r="P470" s="147"/>
      <c r="Q470" s="147"/>
      <c r="R470" s="147"/>
      <c r="S470" s="147"/>
      <c r="T470" s="147"/>
      <c r="U470" s="147"/>
      <c r="V470" s="147"/>
    </row>
    <row r="471">
      <c r="A471" s="240" t="s">
        <v>5574</v>
      </c>
      <c r="B471" s="240" t="s">
        <v>1384</v>
      </c>
      <c r="C471" s="240" t="s">
        <v>1385</v>
      </c>
      <c r="D471" s="240" t="s">
        <v>5575</v>
      </c>
      <c r="E471" s="240" t="s">
        <v>5576</v>
      </c>
      <c r="F471" s="240" t="s">
        <v>4828</v>
      </c>
      <c r="G471" s="147"/>
      <c r="H471" s="240" t="s">
        <v>4215</v>
      </c>
      <c r="I471" s="240" t="s">
        <v>4215</v>
      </c>
      <c r="J471" s="147"/>
      <c r="K471" s="147"/>
      <c r="L471" s="147"/>
      <c r="M471" s="147"/>
      <c r="N471" s="147"/>
      <c r="O471" s="147"/>
      <c r="P471" s="147"/>
      <c r="Q471" s="147"/>
      <c r="R471" s="147"/>
      <c r="S471" s="147"/>
      <c r="T471" s="147"/>
      <c r="U471" s="147"/>
      <c r="V471" s="147"/>
    </row>
    <row r="472">
      <c r="A472" s="240" t="s">
        <v>5577</v>
      </c>
      <c r="B472" s="240" t="s">
        <v>1386</v>
      </c>
      <c r="C472" s="240" t="s">
        <v>1387</v>
      </c>
      <c r="D472" s="240" t="s">
        <v>5578</v>
      </c>
      <c r="E472" s="240" t="s">
        <v>5579</v>
      </c>
      <c r="F472" s="240" t="s">
        <v>4264</v>
      </c>
      <c r="G472" s="147"/>
      <c r="H472" s="240" t="s">
        <v>4215</v>
      </c>
      <c r="I472" s="240" t="s">
        <v>4215</v>
      </c>
      <c r="J472" s="147"/>
      <c r="K472" s="147"/>
      <c r="L472" s="147"/>
      <c r="M472" s="147"/>
      <c r="N472" s="147"/>
      <c r="O472" s="147"/>
      <c r="P472" s="147"/>
      <c r="Q472" s="147"/>
      <c r="R472" s="147"/>
      <c r="S472" s="147"/>
      <c r="T472" s="147"/>
      <c r="U472" s="147"/>
      <c r="V472" s="147"/>
    </row>
    <row r="473">
      <c r="A473" s="240" t="s">
        <v>5580</v>
      </c>
      <c r="B473" s="240" t="s">
        <v>1388</v>
      </c>
      <c r="C473" s="240" t="s">
        <v>1389</v>
      </c>
      <c r="D473" s="240" t="s">
        <v>5581</v>
      </c>
      <c r="E473" s="240" t="s">
        <v>5582</v>
      </c>
      <c r="F473" s="240" t="s">
        <v>4828</v>
      </c>
      <c r="G473" s="147"/>
      <c r="H473" s="147"/>
      <c r="I473" s="147"/>
      <c r="J473" s="147"/>
      <c r="K473" s="147"/>
      <c r="L473" s="147"/>
      <c r="M473" s="147"/>
      <c r="N473" s="147"/>
      <c r="O473" s="147"/>
      <c r="P473" s="147"/>
      <c r="Q473" s="147"/>
      <c r="R473" s="147"/>
      <c r="S473" s="147"/>
      <c r="T473" s="147"/>
      <c r="U473" s="147"/>
      <c r="V473" s="147"/>
    </row>
    <row r="474">
      <c r="A474" s="240" t="s">
        <v>5583</v>
      </c>
      <c r="B474" s="240" t="s">
        <v>1390</v>
      </c>
      <c r="C474" s="240" t="s">
        <v>1391</v>
      </c>
      <c r="D474" s="240" t="s">
        <v>5584</v>
      </c>
      <c r="E474" s="240" t="s">
        <v>5585</v>
      </c>
      <c r="F474" s="240" t="s">
        <v>4223</v>
      </c>
      <c r="G474" s="147"/>
      <c r="H474" s="240" t="s">
        <v>4215</v>
      </c>
      <c r="I474" s="240" t="s">
        <v>4215</v>
      </c>
      <c r="J474" s="147"/>
      <c r="K474" s="147"/>
      <c r="L474" s="147"/>
      <c r="M474" s="147"/>
      <c r="N474" s="147"/>
      <c r="O474" s="147"/>
      <c r="P474" s="147"/>
      <c r="Q474" s="147"/>
      <c r="R474" s="147"/>
      <c r="S474" s="147"/>
      <c r="T474" s="147"/>
      <c r="U474" s="147"/>
      <c r="V474" s="147"/>
    </row>
    <row r="475">
      <c r="A475" s="240" t="s">
        <v>5586</v>
      </c>
      <c r="B475" s="240" t="s">
        <v>1392</v>
      </c>
      <c r="C475" s="240" t="s">
        <v>1393</v>
      </c>
      <c r="D475" s="240" t="s">
        <v>5587</v>
      </c>
      <c r="E475" s="240" t="s">
        <v>5588</v>
      </c>
      <c r="F475" s="240" t="s">
        <v>4235</v>
      </c>
      <c r="G475" s="147"/>
      <c r="H475" s="147"/>
      <c r="I475" s="147"/>
      <c r="J475" s="147"/>
      <c r="K475" s="147"/>
      <c r="L475" s="147"/>
      <c r="M475" s="147"/>
      <c r="N475" s="147"/>
      <c r="O475" s="147"/>
      <c r="P475" s="147"/>
      <c r="Q475" s="147"/>
      <c r="R475" s="147"/>
      <c r="S475" s="147"/>
      <c r="T475" s="147"/>
      <c r="U475" s="147"/>
      <c r="V475" s="147"/>
    </row>
    <row r="476">
      <c r="A476" s="240" t="s">
        <v>5589</v>
      </c>
      <c r="B476" s="240" t="s">
        <v>1394</v>
      </c>
      <c r="C476" s="240" t="s">
        <v>1395</v>
      </c>
      <c r="D476" s="240" t="s">
        <v>5590</v>
      </c>
      <c r="E476" s="240" t="s">
        <v>5591</v>
      </c>
      <c r="F476" s="147"/>
      <c r="G476" s="147"/>
      <c r="H476" s="240" t="s">
        <v>4215</v>
      </c>
      <c r="I476" s="240" t="s">
        <v>4215</v>
      </c>
      <c r="J476" s="147"/>
      <c r="K476" s="147"/>
      <c r="L476" s="147"/>
      <c r="M476" s="147"/>
      <c r="N476" s="147"/>
      <c r="O476" s="147"/>
      <c r="P476" s="147"/>
      <c r="Q476" s="147"/>
      <c r="R476" s="147"/>
      <c r="S476" s="147"/>
      <c r="T476" s="147"/>
      <c r="U476" s="147"/>
      <c r="V476" s="147"/>
    </row>
    <row r="477">
      <c r="A477" s="240" t="s">
        <v>5592</v>
      </c>
      <c r="B477" s="240" t="s">
        <v>1396</v>
      </c>
      <c r="C477" s="240" t="s">
        <v>1397</v>
      </c>
      <c r="D477" s="240" t="s">
        <v>5593</v>
      </c>
      <c r="E477" s="240" t="s">
        <v>5594</v>
      </c>
      <c r="F477" s="240" t="s">
        <v>4223</v>
      </c>
      <c r="G477" s="147"/>
      <c r="H477" s="147"/>
      <c r="I477" s="147"/>
      <c r="J477" s="147"/>
      <c r="K477" s="147"/>
      <c r="L477" s="147"/>
      <c r="M477" s="147"/>
      <c r="N477" s="147"/>
      <c r="O477" s="147"/>
      <c r="P477" s="147"/>
      <c r="Q477" s="147"/>
      <c r="R477" s="147"/>
      <c r="S477" s="147"/>
      <c r="T477" s="147"/>
      <c r="U477" s="147"/>
      <c r="V477" s="147"/>
    </row>
    <row r="478">
      <c r="A478" s="240" t="s">
        <v>5595</v>
      </c>
      <c r="B478" s="240" t="s">
        <v>1398</v>
      </c>
      <c r="C478" s="240" t="s">
        <v>1399</v>
      </c>
      <c r="D478" s="240" t="s">
        <v>5596</v>
      </c>
      <c r="E478" s="240" t="s">
        <v>5597</v>
      </c>
      <c r="F478" s="240" t="s">
        <v>4219</v>
      </c>
      <c r="G478" s="147"/>
      <c r="H478" s="147"/>
      <c r="I478" s="147"/>
      <c r="J478" s="147"/>
      <c r="K478" s="147"/>
      <c r="L478" s="147"/>
      <c r="M478" s="147"/>
      <c r="N478" s="147"/>
      <c r="O478" s="147"/>
      <c r="P478" s="147"/>
      <c r="Q478" s="147"/>
      <c r="R478" s="147"/>
      <c r="S478" s="147"/>
      <c r="T478" s="147"/>
      <c r="U478" s="147"/>
      <c r="V478" s="147"/>
    </row>
    <row r="479">
      <c r="A479" s="240" t="s">
        <v>5598</v>
      </c>
      <c r="B479" s="240" t="s">
        <v>1400</v>
      </c>
      <c r="C479" s="240" t="s">
        <v>1401</v>
      </c>
      <c r="D479" s="240" t="s">
        <v>5599</v>
      </c>
      <c r="E479" s="240" t="s">
        <v>5600</v>
      </c>
      <c r="F479" s="240" t="s">
        <v>4227</v>
      </c>
      <c r="G479" s="147"/>
      <c r="H479" s="240" t="s">
        <v>4215</v>
      </c>
      <c r="I479" s="240" t="s">
        <v>4215</v>
      </c>
      <c r="J479" s="147"/>
      <c r="K479" s="147"/>
      <c r="L479" s="147"/>
      <c r="M479" s="147"/>
      <c r="N479" s="147"/>
      <c r="O479" s="147"/>
      <c r="P479" s="147"/>
      <c r="Q479" s="147"/>
      <c r="R479" s="147"/>
      <c r="S479" s="147"/>
      <c r="T479" s="147"/>
      <c r="U479" s="147"/>
      <c r="V479" s="147"/>
    </row>
    <row r="480">
      <c r="A480" s="240" t="s">
        <v>5601</v>
      </c>
      <c r="B480" s="240" t="s">
        <v>1402</v>
      </c>
      <c r="C480" s="240" t="s">
        <v>1403</v>
      </c>
      <c r="D480" s="240" t="s">
        <v>5602</v>
      </c>
      <c r="E480" s="240" t="s">
        <v>5603</v>
      </c>
      <c r="F480" s="240" t="s">
        <v>4223</v>
      </c>
      <c r="G480" s="147"/>
      <c r="H480" s="240" t="s">
        <v>4215</v>
      </c>
      <c r="I480" s="240" t="s">
        <v>4215</v>
      </c>
      <c r="J480" s="147"/>
      <c r="K480" s="147"/>
      <c r="L480" s="147"/>
      <c r="M480" s="147"/>
      <c r="N480" s="147"/>
      <c r="O480" s="147"/>
      <c r="P480" s="147"/>
      <c r="Q480" s="147"/>
      <c r="R480" s="147"/>
      <c r="S480" s="147"/>
      <c r="T480" s="147"/>
      <c r="U480" s="147"/>
      <c r="V480" s="147"/>
    </row>
    <row r="481">
      <c r="A481" s="240" t="s">
        <v>5604</v>
      </c>
      <c r="B481" s="240" t="s">
        <v>1404</v>
      </c>
      <c r="C481" s="240" t="s">
        <v>1405</v>
      </c>
      <c r="D481" s="240" t="s">
        <v>5605</v>
      </c>
      <c r="E481" s="240" t="s">
        <v>5606</v>
      </c>
      <c r="F481" s="240" t="s">
        <v>4235</v>
      </c>
      <c r="G481" s="147"/>
      <c r="H481" s="240" t="s">
        <v>4215</v>
      </c>
      <c r="I481" s="240" t="s">
        <v>4215</v>
      </c>
      <c r="J481" s="147"/>
      <c r="K481" s="147"/>
      <c r="L481" s="147"/>
      <c r="M481" s="147"/>
      <c r="N481" s="147"/>
      <c r="O481" s="147"/>
      <c r="P481" s="147"/>
      <c r="Q481" s="147"/>
      <c r="R481" s="147"/>
      <c r="S481" s="147"/>
      <c r="T481" s="147"/>
      <c r="U481" s="147"/>
      <c r="V481" s="147"/>
    </row>
    <row r="482">
      <c r="A482" s="240" t="s">
        <v>5607</v>
      </c>
      <c r="B482" s="240" t="s">
        <v>1406</v>
      </c>
      <c r="C482" s="240" t="s">
        <v>1407</v>
      </c>
      <c r="D482" s="240" t="s">
        <v>5608</v>
      </c>
      <c r="E482" s="240" t="s">
        <v>5609</v>
      </c>
      <c r="F482" s="240" t="s">
        <v>4223</v>
      </c>
      <c r="G482" s="147"/>
      <c r="H482" s="240" t="s">
        <v>4215</v>
      </c>
      <c r="I482" s="147"/>
      <c r="J482" s="147"/>
      <c r="K482" s="147"/>
      <c r="L482" s="147"/>
      <c r="M482" s="147"/>
      <c r="N482" s="147"/>
      <c r="O482" s="147"/>
      <c r="P482" s="147"/>
      <c r="Q482" s="147"/>
      <c r="R482" s="147"/>
      <c r="S482" s="147"/>
      <c r="T482" s="147"/>
      <c r="U482" s="147"/>
      <c r="V482" s="147"/>
    </row>
    <row r="483">
      <c r="A483" s="240" t="s">
        <v>5610</v>
      </c>
      <c r="B483" s="240" t="s">
        <v>1408</v>
      </c>
      <c r="C483" s="240" t="s">
        <v>1409</v>
      </c>
      <c r="D483" s="240" t="s">
        <v>5611</v>
      </c>
      <c r="E483" s="240" t="s">
        <v>5612</v>
      </c>
      <c r="F483" s="240" t="s">
        <v>4235</v>
      </c>
      <c r="G483" s="147"/>
      <c r="H483" s="240" t="s">
        <v>4215</v>
      </c>
      <c r="I483" s="240" t="s">
        <v>4215</v>
      </c>
      <c r="J483" s="147"/>
      <c r="K483" s="147"/>
      <c r="L483" s="147"/>
      <c r="M483" s="147"/>
      <c r="N483" s="147"/>
      <c r="O483" s="147"/>
      <c r="P483" s="147"/>
      <c r="Q483" s="147"/>
      <c r="R483" s="147"/>
      <c r="S483" s="147"/>
      <c r="T483" s="147"/>
      <c r="U483" s="147"/>
      <c r="V483" s="147"/>
    </row>
    <row r="484">
      <c r="A484" s="240" t="s">
        <v>5613</v>
      </c>
      <c r="B484" s="240" t="s">
        <v>1410</v>
      </c>
      <c r="C484" s="240" t="s">
        <v>1411</v>
      </c>
      <c r="D484" s="240" t="s">
        <v>5614</v>
      </c>
      <c r="E484" s="240" t="s">
        <v>4946</v>
      </c>
      <c r="F484" s="240" t="s">
        <v>4223</v>
      </c>
      <c r="G484" s="147"/>
      <c r="H484" s="240" t="s">
        <v>4215</v>
      </c>
      <c r="I484" s="240" t="s">
        <v>4215</v>
      </c>
      <c r="J484" s="147"/>
      <c r="K484" s="147"/>
      <c r="L484" s="147"/>
      <c r="M484" s="147"/>
      <c r="N484" s="147"/>
      <c r="O484" s="147"/>
      <c r="P484" s="147"/>
      <c r="Q484" s="147"/>
      <c r="R484" s="147"/>
      <c r="S484" s="147"/>
      <c r="T484" s="147"/>
      <c r="U484" s="147"/>
      <c r="V484" s="147"/>
    </row>
    <row r="485">
      <c r="A485" s="240" t="s">
        <v>5615</v>
      </c>
      <c r="B485" s="240" t="s">
        <v>1412</v>
      </c>
      <c r="C485" s="240" t="s">
        <v>1413</v>
      </c>
      <c r="D485" s="240" t="s">
        <v>5616</v>
      </c>
      <c r="E485" s="240" t="s">
        <v>5617</v>
      </c>
      <c r="F485" s="240" t="s">
        <v>4227</v>
      </c>
      <c r="G485" s="147"/>
      <c r="H485" s="240" t="s">
        <v>4215</v>
      </c>
      <c r="I485" s="240" t="s">
        <v>4215</v>
      </c>
      <c r="J485" s="147"/>
      <c r="K485" s="147"/>
      <c r="L485" s="147"/>
      <c r="M485" s="147"/>
      <c r="N485" s="147"/>
      <c r="O485" s="147"/>
      <c r="P485" s="147"/>
      <c r="Q485" s="147"/>
      <c r="R485" s="147"/>
      <c r="S485" s="147"/>
      <c r="T485" s="147"/>
      <c r="U485" s="147"/>
      <c r="V485" s="147"/>
    </row>
    <row r="486">
      <c r="A486" s="240" t="s">
        <v>5618</v>
      </c>
      <c r="B486" s="240" t="s">
        <v>1414</v>
      </c>
      <c r="C486" s="240" t="s">
        <v>1415</v>
      </c>
      <c r="D486" s="240" t="s">
        <v>5619</v>
      </c>
      <c r="E486" s="240" t="s">
        <v>5620</v>
      </c>
      <c r="F486" s="240" t="s">
        <v>4235</v>
      </c>
      <c r="G486" s="147"/>
      <c r="H486" s="147"/>
      <c r="I486" s="147"/>
      <c r="J486" s="147"/>
      <c r="K486" s="147"/>
      <c r="L486" s="147"/>
      <c r="M486" s="147"/>
      <c r="N486" s="147"/>
      <c r="O486" s="147"/>
      <c r="P486" s="147"/>
      <c r="Q486" s="147"/>
      <c r="R486" s="147"/>
      <c r="S486" s="147"/>
      <c r="T486" s="147"/>
      <c r="U486" s="147"/>
      <c r="V486" s="147"/>
    </row>
    <row r="487">
      <c r="A487" s="240" t="s">
        <v>5621</v>
      </c>
      <c r="B487" s="240" t="s">
        <v>1416</v>
      </c>
      <c r="C487" s="240" t="s">
        <v>1417</v>
      </c>
      <c r="D487" s="240" t="s">
        <v>5622</v>
      </c>
      <c r="E487" s="240" t="s">
        <v>5623</v>
      </c>
      <c r="F487" s="240" t="s">
        <v>4538</v>
      </c>
      <c r="G487" s="147"/>
      <c r="H487" s="240" t="s">
        <v>4215</v>
      </c>
      <c r="I487" s="240" t="s">
        <v>4215</v>
      </c>
      <c r="J487" s="147"/>
      <c r="K487" s="147"/>
      <c r="L487" s="147"/>
      <c r="M487" s="147"/>
      <c r="N487" s="147"/>
      <c r="O487" s="147"/>
      <c r="P487" s="147"/>
      <c r="Q487" s="147"/>
      <c r="R487" s="147"/>
      <c r="S487" s="147"/>
      <c r="T487" s="147"/>
      <c r="U487" s="147"/>
      <c r="V487" s="147"/>
    </row>
    <row r="488">
      <c r="A488" s="240" t="s">
        <v>5624</v>
      </c>
      <c r="B488" s="240" t="s">
        <v>1418</v>
      </c>
      <c r="C488" s="240" t="s">
        <v>1419</v>
      </c>
      <c r="D488" s="240" t="s">
        <v>5625</v>
      </c>
      <c r="E488" s="240" t="s">
        <v>5626</v>
      </c>
      <c r="F488" s="240" t="s">
        <v>4264</v>
      </c>
      <c r="G488" s="147"/>
      <c r="H488" s="240" t="s">
        <v>4215</v>
      </c>
      <c r="I488" s="240" t="s">
        <v>4215</v>
      </c>
      <c r="J488" s="147"/>
      <c r="K488" s="147"/>
      <c r="L488" s="147"/>
      <c r="M488" s="147"/>
      <c r="N488" s="147"/>
      <c r="O488" s="147"/>
      <c r="P488" s="147"/>
      <c r="Q488" s="147"/>
      <c r="R488" s="147"/>
      <c r="S488" s="147"/>
      <c r="T488" s="147"/>
      <c r="U488" s="147"/>
      <c r="V488" s="147"/>
    </row>
    <row r="489">
      <c r="A489" s="240" t="s">
        <v>5627</v>
      </c>
      <c r="B489" s="240" t="s">
        <v>1420</v>
      </c>
      <c r="C489" s="240" t="s">
        <v>1421</v>
      </c>
      <c r="D489" s="240" t="s">
        <v>5628</v>
      </c>
      <c r="E489" s="240" t="s">
        <v>5629</v>
      </c>
      <c r="F489" s="240" t="s">
        <v>4227</v>
      </c>
      <c r="G489" s="147"/>
      <c r="H489" s="240" t="s">
        <v>4215</v>
      </c>
      <c r="I489" s="240" t="s">
        <v>4215</v>
      </c>
      <c r="J489" s="147"/>
      <c r="K489" s="147"/>
      <c r="L489" s="147"/>
      <c r="M489" s="147"/>
      <c r="N489" s="147"/>
      <c r="O489" s="147"/>
      <c r="P489" s="147"/>
      <c r="Q489" s="147"/>
      <c r="R489" s="147"/>
      <c r="S489" s="147"/>
      <c r="T489" s="147"/>
      <c r="U489" s="147"/>
      <c r="V489" s="147"/>
    </row>
    <row r="490">
      <c r="A490" s="240" t="s">
        <v>5630</v>
      </c>
      <c r="B490" s="240" t="s">
        <v>1422</v>
      </c>
      <c r="C490" s="240" t="s">
        <v>1423</v>
      </c>
      <c r="D490" s="240" t="s">
        <v>5631</v>
      </c>
      <c r="E490" s="240" t="s">
        <v>5632</v>
      </c>
      <c r="F490" s="240" t="s">
        <v>4231</v>
      </c>
      <c r="G490" s="147"/>
      <c r="H490" s="147"/>
      <c r="I490" s="147"/>
      <c r="J490" s="147"/>
      <c r="K490" s="147"/>
      <c r="L490" s="147"/>
      <c r="M490" s="147"/>
      <c r="N490" s="147"/>
      <c r="O490" s="147"/>
      <c r="P490" s="147"/>
      <c r="Q490" s="147"/>
      <c r="R490" s="147"/>
      <c r="S490" s="147"/>
      <c r="T490" s="147"/>
      <c r="U490" s="147"/>
      <c r="V490" s="147"/>
    </row>
    <row r="491">
      <c r="A491" s="240" t="s">
        <v>5633</v>
      </c>
      <c r="B491" s="240" t="s">
        <v>1424</v>
      </c>
      <c r="C491" s="240" t="s">
        <v>1425</v>
      </c>
      <c r="D491" s="240" t="s">
        <v>5634</v>
      </c>
      <c r="E491" s="240" t="s">
        <v>5635</v>
      </c>
      <c r="F491" s="240" t="s">
        <v>4264</v>
      </c>
      <c r="G491" s="147"/>
      <c r="H491" s="147"/>
      <c r="I491" s="147"/>
      <c r="J491" s="147"/>
      <c r="K491" s="147"/>
      <c r="L491" s="147"/>
      <c r="M491" s="147"/>
      <c r="N491" s="147"/>
      <c r="O491" s="147"/>
      <c r="P491" s="147"/>
      <c r="Q491" s="147"/>
      <c r="R491" s="147"/>
      <c r="S491" s="147"/>
      <c r="T491" s="147"/>
      <c r="U491" s="147"/>
      <c r="V491" s="147"/>
    </row>
    <row r="492">
      <c r="A492" s="240" t="s">
        <v>5636</v>
      </c>
      <c r="B492" s="240" t="s">
        <v>1426</v>
      </c>
      <c r="C492" s="240" t="s">
        <v>1427</v>
      </c>
      <c r="D492" s="240" t="s">
        <v>5637</v>
      </c>
      <c r="E492" s="240" t="s">
        <v>5638</v>
      </c>
      <c r="F492" s="240" t="s">
        <v>4231</v>
      </c>
      <c r="G492" s="147"/>
      <c r="H492" s="240" t="s">
        <v>4215</v>
      </c>
      <c r="I492" s="240" t="s">
        <v>4215</v>
      </c>
      <c r="J492" s="147"/>
      <c r="K492" s="147"/>
      <c r="L492" s="147"/>
      <c r="M492" s="147"/>
      <c r="N492" s="147"/>
      <c r="O492" s="147"/>
      <c r="P492" s="147"/>
      <c r="Q492" s="147"/>
      <c r="R492" s="147"/>
      <c r="S492" s="147"/>
      <c r="T492" s="147"/>
      <c r="U492" s="147"/>
      <c r="V492" s="147"/>
    </row>
    <row r="493">
      <c r="A493" s="240" t="s">
        <v>5639</v>
      </c>
      <c r="B493" s="240" t="s">
        <v>1428</v>
      </c>
      <c r="C493" s="240" t="s">
        <v>1429</v>
      </c>
      <c r="D493" s="240" t="s">
        <v>5640</v>
      </c>
      <c r="E493" s="240" t="s">
        <v>4399</v>
      </c>
      <c r="F493" s="240" t="s">
        <v>4235</v>
      </c>
      <c r="G493" s="147"/>
      <c r="H493" s="240" t="s">
        <v>4215</v>
      </c>
      <c r="I493" s="240" t="s">
        <v>4215</v>
      </c>
      <c r="J493" s="147"/>
      <c r="K493" s="147"/>
      <c r="L493" s="147"/>
      <c r="M493" s="147"/>
      <c r="N493" s="147"/>
      <c r="O493" s="147"/>
      <c r="P493" s="147"/>
      <c r="Q493" s="147"/>
      <c r="R493" s="147"/>
      <c r="S493" s="147"/>
      <c r="T493" s="147"/>
      <c r="U493" s="147"/>
      <c r="V493" s="147"/>
    </row>
    <row r="494">
      <c r="A494" s="240" t="s">
        <v>5641</v>
      </c>
      <c r="B494" s="240" t="s">
        <v>1430</v>
      </c>
      <c r="C494" s="240" t="s">
        <v>1431</v>
      </c>
      <c r="D494" s="240" t="s">
        <v>5642</v>
      </c>
      <c r="E494" s="240" t="s">
        <v>5643</v>
      </c>
      <c r="F494" s="240" t="s">
        <v>4235</v>
      </c>
      <c r="G494" s="147"/>
      <c r="H494" s="240" t="s">
        <v>4215</v>
      </c>
      <c r="I494" s="240" t="s">
        <v>4215</v>
      </c>
      <c r="J494" s="147"/>
      <c r="K494" s="147"/>
      <c r="L494" s="147"/>
      <c r="M494" s="147"/>
      <c r="N494" s="147"/>
      <c r="O494" s="147"/>
      <c r="P494" s="147"/>
      <c r="Q494" s="147"/>
      <c r="R494" s="147"/>
      <c r="S494" s="147"/>
      <c r="T494" s="147"/>
      <c r="U494" s="147"/>
      <c r="V494" s="147"/>
    </row>
    <row r="495">
      <c r="A495" s="240" t="s">
        <v>5644</v>
      </c>
      <c r="B495" s="240" t="s">
        <v>1432</v>
      </c>
      <c r="C495" s="240" t="s">
        <v>1433</v>
      </c>
      <c r="D495" s="240" t="s">
        <v>5645</v>
      </c>
      <c r="E495" s="240" t="s">
        <v>5646</v>
      </c>
      <c r="F495" s="240" t="s">
        <v>4223</v>
      </c>
      <c r="G495" s="147"/>
      <c r="H495" s="240" t="s">
        <v>4215</v>
      </c>
      <c r="I495" s="240" t="s">
        <v>4215</v>
      </c>
      <c r="J495" s="147"/>
      <c r="K495" s="147"/>
      <c r="L495" s="147"/>
      <c r="M495" s="147"/>
      <c r="N495" s="147"/>
      <c r="O495" s="147"/>
      <c r="P495" s="147"/>
      <c r="Q495" s="147"/>
      <c r="R495" s="147"/>
      <c r="S495" s="147"/>
      <c r="T495" s="147"/>
      <c r="U495" s="147"/>
      <c r="V495" s="147"/>
    </row>
    <row r="496">
      <c r="A496" s="240" t="s">
        <v>5647</v>
      </c>
      <c r="B496" s="240" t="s">
        <v>1434</v>
      </c>
      <c r="C496" s="240" t="s">
        <v>1435</v>
      </c>
      <c r="D496" s="240" t="s">
        <v>5648</v>
      </c>
      <c r="E496" s="240" t="s">
        <v>5649</v>
      </c>
      <c r="F496" s="240" t="s">
        <v>4264</v>
      </c>
      <c r="G496" s="147"/>
      <c r="H496" s="240" t="s">
        <v>4215</v>
      </c>
      <c r="I496" s="240" t="s">
        <v>4215</v>
      </c>
      <c r="J496" s="147"/>
      <c r="K496" s="147"/>
      <c r="L496" s="147"/>
      <c r="M496" s="147"/>
      <c r="N496" s="147"/>
      <c r="O496" s="147"/>
      <c r="P496" s="147"/>
      <c r="Q496" s="147"/>
      <c r="R496" s="147"/>
      <c r="S496" s="147"/>
      <c r="T496" s="147"/>
      <c r="U496" s="147"/>
      <c r="V496" s="147"/>
    </row>
    <row r="497">
      <c r="A497" s="240" t="s">
        <v>5650</v>
      </c>
      <c r="B497" s="240" t="s">
        <v>1436</v>
      </c>
      <c r="C497" s="240" t="s">
        <v>1437</v>
      </c>
      <c r="D497" s="240" t="s">
        <v>5651</v>
      </c>
      <c r="E497" s="240" t="s">
        <v>5516</v>
      </c>
      <c r="F497" s="240" t="s">
        <v>4264</v>
      </c>
      <c r="G497" s="147"/>
      <c r="H497" s="240" t="s">
        <v>4215</v>
      </c>
      <c r="I497" s="240" t="s">
        <v>4215</v>
      </c>
      <c r="J497" s="147"/>
      <c r="K497" s="147"/>
      <c r="L497" s="147"/>
      <c r="M497" s="147"/>
      <c r="N497" s="147"/>
      <c r="O497" s="147"/>
      <c r="P497" s="147"/>
      <c r="Q497" s="147"/>
      <c r="R497" s="147"/>
      <c r="S497" s="147"/>
      <c r="T497" s="147"/>
      <c r="U497" s="147"/>
      <c r="V497" s="147"/>
    </row>
    <row r="498">
      <c r="A498" s="240" t="s">
        <v>5652</v>
      </c>
      <c r="B498" s="240" t="s">
        <v>1438</v>
      </c>
      <c r="C498" s="240" t="s">
        <v>1439</v>
      </c>
      <c r="D498" s="240" t="s">
        <v>5653</v>
      </c>
      <c r="E498" s="240" t="s">
        <v>5654</v>
      </c>
      <c r="F498" s="240" t="s">
        <v>4219</v>
      </c>
      <c r="G498" s="147"/>
      <c r="H498" s="240" t="s">
        <v>4215</v>
      </c>
      <c r="I498" s="240" t="s">
        <v>4215</v>
      </c>
      <c r="J498" s="147"/>
      <c r="K498" s="147"/>
      <c r="L498" s="147"/>
      <c r="M498" s="147"/>
      <c r="N498" s="147"/>
      <c r="O498" s="147"/>
      <c r="P498" s="147"/>
      <c r="Q498" s="147"/>
      <c r="R498" s="147"/>
      <c r="S498" s="147"/>
      <c r="T498" s="147"/>
      <c r="U498" s="147"/>
      <c r="V498" s="147"/>
    </row>
    <row r="499">
      <c r="A499" s="240" t="s">
        <v>5655</v>
      </c>
      <c r="B499" s="240" t="s">
        <v>1440</v>
      </c>
      <c r="C499" s="240" t="s">
        <v>1441</v>
      </c>
      <c r="D499" s="240" t="s">
        <v>5656</v>
      </c>
      <c r="E499" s="240" t="s">
        <v>5657</v>
      </c>
      <c r="F499" s="240" t="s">
        <v>4227</v>
      </c>
      <c r="G499" s="147"/>
      <c r="H499" s="240" t="s">
        <v>4215</v>
      </c>
      <c r="I499" s="240" t="s">
        <v>4215</v>
      </c>
      <c r="J499" s="147"/>
      <c r="K499" s="147"/>
      <c r="L499" s="147"/>
      <c r="M499" s="147"/>
      <c r="N499" s="147"/>
      <c r="O499" s="147"/>
      <c r="P499" s="147"/>
      <c r="Q499" s="147"/>
      <c r="R499" s="147"/>
      <c r="S499" s="147"/>
      <c r="T499" s="147"/>
      <c r="U499" s="147"/>
      <c r="V499" s="147"/>
    </row>
    <row r="500">
      <c r="A500" s="240" t="s">
        <v>5658</v>
      </c>
      <c r="B500" s="240" t="s">
        <v>1442</v>
      </c>
      <c r="C500" s="240" t="s">
        <v>1443</v>
      </c>
      <c r="D500" s="240" t="s">
        <v>5659</v>
      </c>
      <c r="E500" s="240" t="s">
        <v>5660</v>
      </c>
      <c r="F500" s="240" t="s">
        <v>4235</v>
      </c>
      <c r="G500" s="147"/>
      <c r="H500" s="240" t="s">
        <v>4215</v>
      </c>
      <c r="I500" s="240" t="s">
        <v>4215</v>
      </c>
      <c r="J500" s="147"/>
      <c r="K500" s="147"/>
      <c r="L500" s="147"/>
      <c r="M500" s="147"/>
      <c r="N500" s="147"/>
      <c r="O500" s="147"/>
      <c r="P500" s="147"/>
      <c r="Q500" s="147"/>
      <c r="R500" s="147"/>
      <c r="S500" s="147"/>
      <c r="T500" s="147"/>
      <c r="U500" s="147"/>
      <c r="V500" s="147"/>
    </row>
    <row r="501">
      <c r="A501" s="240" t="s">
        <v>5661</v>
      </c>
      <c r="B501" s="240" t="s">
        <v>1444</v>
      </c>
      <c r="C501" s="240" t="s">
        <v>1445</v>
      </c>
      <c r="D501" s="240" t="s">
        <v>5662</v>
      </c>
      <c r="E501" s="240" t="s">
        <v>5663</v>
      </c>
      <c r="F501" s="240" t="s">
        <v>4349</v>
      </c>
      <c r="G501" s="147"/>
      <c r="H501" s="240" t="s">
        <v>4215</v>
      </c>
      <c r="I501" s="240" t="s">
        <v>4215</v>
      </c>
      <c r="J501" s="147"/>
      <c r="K501" s="147"/>
      <c r="L501" s="147"/>
      <c r="M501" s="147"/>
      <c r="N501" s="147"/>
      <c r="O501" s="147"/>
      <c r="P501" s="147"/>
      <c r="Q501" s="147"/>
      <c r="R501" s="147"/>
      <c r="S501" s="147"/>
      <c r="T501" s="147"/>
      <c r="U501" s="147"/>
      <c r="V501" s="147"/>
    </row>
    <row r="502">
      <c r="A502" s="240" t="s">
        <v>5664</v>
      </c>
      <c r="B502" s="240" t="s">
        <v>1446</v>
      </c>
      <c r="C502" s="240" t="s">
        <v>1447</v>
      </c>
      <c r="D502" s="240" t="s">
        <v>5665</v>
      </c>
      <c r="E502" s="240" t="s">
        <v>5666</v>
      </c>
      <c r="F502" s="240" t="s">
        <v>4264</v>
      </c>
      <c r="G502" s="147"/>
      <c r="H502" s="240" t="s">
        <v>4215</v>
      </c>
      <c r="I502" s="240" t="s">
        <v>4215</v>
      </c>
      <c r="J502" s="147"/>
      <c r="K502" s="147"/>
      <c r="L502" s="147"/>
      <c r="M502" s="147"/>
      <c r="N502" s="147"/>
      <c r="O502" s="147"/>
      <c r="P502" s="147"/>
      <c r="Q502" s="147"/>
      <c r="R502" s="147"/>
      <c r="S502" s="147"/>
      <c r="T502" s="147"/>
      <c r="U502" s="147"/>
      <c r="V502" s="147"/>
    </row>
    <row r="503">
      <c r="A503" s="240" t="s">
        <v>5667</v>
      </c>
      <c r="B503" s="240" t="s">
        <v>1448</v>
      </c>
      <c r="C503" s="240" t="s">
        <v>1449</v>
      </c>
      <c r="D503" s="240" t="s">
        <v>5668</v>
      </c>
      <c r="E503" s="240" t="s">
        <v>5669</v>
      </c>
      <c r="F503" s="240" t="s">
        <v>4223</v>
      </c>
      <c r="G503" s="147"/>
      <c r="H503" s="147"/>
      <c r="I503" s="240" t="s">
        <v>4215</v>
      </c>
      <c r="J503" s="147"/>
      <c r="K503" s="147"/>
      <c r="L503" s="147"/>
      <c r="M503" s="147"/>
      <c r="N503" s="147"/>
      <c r="O503" s="147"/>
      <c r="P503" s="147"/>
      <c r="Q503" s="147"/>
      <c r="R503" s="147"/>
      <c r="S503" s="147"/>
      <c r="T503" s="147"/>
      <c r="U503" s="147"/>
      <c r="V503" s="147"/>
    </row>
    <row r="504">
      <c r="A504" s="240" t="s">
        <v>5670</v>
      </c>
      <c r="B504" s="240" t="s">
        <v>1450</v>
      </c>
      <c r="C504" s="240" t="s">
        <v>1451</v>
      </c>
      <c r="D504" s="240" t="s">
        <v>5671</v>
      </c>
      <c r="E504" s="240" t="s">
        <v>5672</v>
      </c>
      <c r="F504" s="240" t="s">
        <v>4349</v>
      </c>
      <c r="G504" s="147"/>
      <c r="H504" s="147"/>
      <c r="I504" s="147"/>
      <c r="J504" s="147"/>
      <c r="K504" s="147"/>
      <c r="L504" s="147"/>
      <c r="M504" s="147"/>
      <c r="N504" s="147"/>
      <c r="O504" s="147"/>
      <c r="P504" s="147"/>
      <c r="Q504" s="147"/>
      <c r="R504" s="147"/>
      <c r="S504" s="147"/>
      <c r="T504" s="147"/>
      <c r="U504" s="147"/>
      <c r="V504" s="147"/>
    </row>
    <row r="505">
      <c r="A505" s="240" t="s">
        <v>5673</v>
      </c>
      <c r="B505" s="240" t="s">
        <v>1452</v>
      </c>
      <c r="C505" s="240" t="s">
        <v>1453</v>
      </c>
      <c r="D505" s="240" t="s">
        <v>5674</v>
      </c>
      <c r="E505" s="240" t="s">
        <v>5675</v>
      </c>
      <c r="F505" s="240" t="s">
        <v>4227</v>
      </c>
      <c r="G505" s="147"/>
      <c r="H505" s="147"/>
      <c r="I505" s="147"/>
      <c r="J505" s="147"/>
      <c r="K505" s="147"/>
      <c r="L505" s="147"/>
      <c r="M505" s="147"/>
      <c r="N505" s="147"/>
      <c r="O505" s="147"/>
      <c r="P505" s="147"/>
      <c r="Q505" s="147"/>
      <c r="R505" s="147"/>
      <c r="S505" s="147"/>
      <c r="T505" s="147"/>
      <c r="U505" s="147"/>
      <c r="V505" s="147"/>
    </row>
    <row r="506">
      <c r="A506" s="240" t="s">
        <v>5676</v>
      </c>
      <c r="B506" s="240" t="s">
        <v>1454</v>
      </c>
      <c r="C506" s="240" t="s">
        <v>1455</v>
      </c>
      <c r="D506" s="240" t="s">
        <v>5677</v>
      </c>
      <c r="E506" s="240" t="s">
        <v>5678</v>
      </c>
      <c r="F506" s="240" t="s">
        <v>4235</v>
      </c>
      <c r="G506" s="147"/>
      <c r="H506" s="240" t="s">
        <v>4215</v>
      </c>
      <c r="I506" s="240" t="s">
        <v>4215</v>
      </c>
      <c r="J506" s="147"/>
      <c r="K506" s="147"/>
      <c r="L506" s="147"/>
      <c r="M506" s="147"/>
      <c r="N506" s="147"/>
      <c r="O506" s="147"/>
      <c r="P506" s="147"/>
      <c r="Q506" s="147"/>
      <c r="R506" s="147"/>
      <c r="S506" s="147"/>
      <c r="T506" s="147"/>
      <c r="U506" s="147"/>
      <c r="V506" s="147"/>
    </row>
    <row r="507">
      <c r="A507" s="240" t="s">
        <v>5679</v>
      </c>
      <c r="B507" s="240" t="s">
        <v>1456</v>
      </c>
      <c r="C507" s="240" t="s">
        <v>1457</v>
      </c>
      <c r="D507" s="240" t="s">
        <v>5680</v>
      </c>
      <c r="E507" s="240" t="s">
        <v>5681</v>
      </c>
      <c r="F507" s="240" t="s">
        <v>4264</v>
      </c>
      <c r="G507" s="147"/>
      <c r="H507" s="240" t="s">
        <v>4215</v>
      </c>
      <c r="I507" s="240" t="s">
        <v>4215</v>
      </c>
      <c r="J507" s="147"/>
      <c r="K507" s="147"/>
      <c r="L507" s="147"/>
      <c r="M507" s="147"/>
      <c r="N507" s="147"/>
      <c r="O507" s="147"/>
      <c r="P507" s="147"/>
      <c r="Q507" s="147"/>
      <c r="R507" s="147"/>
      <c r="S507" s="147"/>
      <c r="T507" s="147"/>
      <c r="U507" s="147"/>
      <c r="V507" s="147"/>
    </row>
    <row r="508">
      <c r="A508" s="240" t="s">
        <v>5682</v>
      </c>
      <c r="B508" s="240" t="s">
        <v>1458</v>
      </c>
      <c r="C508" s="240" t="s">
        <v>1459</v>
      </c>
      <c r="D508" s="240" t="s">
        <v>5683</v>
      </c>
      <c r="E508" s="240" t="s">
        <v>4747</v>
      </c>
      <c r="F508" s="240" t="s">
        <v>4223</v>
      </c>
      <c r="G508" s="147"/>
      <c r="H508" s="240" t="s">
        <v>4215</v>
      </c>
      <c r="I508" s="240" t="s">
        <v>4215</v>
      </c>
      <c r="J508" s="147"/>
      <c r="K508" s="147"/>
      <c r="L508" s="147"/>
      <c r="M508" s="147"/>
      <c r="N508" s="147"/>
      <c r="O508" s="147"/>
      <c r="P508" s="147"/>
      <c r="Q508" s="147"/>
      <c r="R508" s="147"/>
      <c r="S508" s="147"/>
      <c r="T508" s="147"/>
      <c r="U508" s="147"/>
      <c r="V508" s="147"/>
    </row>
    <row r="509">
      <c r="A509" s="240" t="s">
        <v>5684</v>
      </c>
      <c r="B509" s="240" t="s">
        <v>1460</v>
      </c>
      <c r="C509" s="240" t="s">
        <v>1461</v>
      </c>
      <c r="D509" s="240" t="s">
        <v>5685</v>
      </c>
      <c r="E509" s="240" t="s">
        <v>5686</v>
      </c>
      <c r="F509" s="240" t="s">
        <v>4223</v>
      </c>
      <c r="G509" s="147"/>
      <c r="H509" s="147"/>
      <c r="I509" s="147"/>
      <c r="J509" s="147"/>
      <c r="K509" s="147"/>
      <c r="L509" s="147"/>
      <c r="M509" s="147"/>
      <c r="N509" s="147"/>
      <c r="O509" s="147"/>
      <c r="P509" s="147"/>
      <c r="Q509" s="147"/>
      <c r="R509" s="147"/>
      <c r="S509" s="147"/>
      <c r="T509" s="147"/>
      <c r="U509" s="147"/>
      <c r="V509" s="147"/>
    </row>
    <row r="510">
      <c r="A510" s="240" t="s">
        <v>5687</v>
      </c>
      <c r="B510" s="240" t="s">
        <v>1462</v>
      </c>
      <c r="C510" s="240" t="s">
        <v>1463</v>
      </c>
      <c r="D510" s="240" t="s">
        <v>5688</v>
      </c>
      <c r="E510" s="240" t="s">
        <v>5689</v>
      </c>
      <c r="F510" s="240" t="s">
        <v>4223</v>
      </c>
      <c r="G510" s="147"/>
      <c r="H510" s="240" t="s">
        <v>4215</v>
      </c>
      <c r="I510" s="240" t="s">
        <v>4215</v>
      </c>
      <c r="J510" s="147"/>
      <c r="K510" s="147"/>
      <c r="L510" s="147"/>
      <c r="M510" s="147"/>
      <c r="N510" s="147"/>
      <c r="O510" s="147"/>
      <c r="P510" s="147"/>
      <c r="Q510" s="147"/>
      <c r="R510" s="147"/>
      <c r="S510" s="147"/>
      <c r="T510" s="147"/>
      <c r="U510" s="147"/>
      <c r="V510" s="147"/>
    </row>
    <row r="511">
      <c r="A511" s="240" t="s">
        <v>5690</v>
      </c>
      <c r="B511" s="240" t="s">
        <v>1464</v>
      </c>
      <c r="C511" s="240" t="s">
        <v>1465</v>
      </c>
      <c r="D511" s="240" t="s">
        <v>5691</v>
      </c>
      <c r="E511" s="240" t="s">
        <v>5692</v>
      </c>
      <c r="F511" s="240" t="s">
        <v>4349</v>
      </c>
      <c r="G511" s="147"/>
      <c r="H511" s="240" t="s">
        <v>4215</v>
      </c>
      <c r="I511" s="240" t="s">
        <v>4215</v>
      </c>
      <c r="J511" s="147"/>
      <c r="K511" s="147"/>
      <c r="L511" s="147"/>
      <c r="M511" s="147"/>
      <c r="N511" s="147"/>
      <c r="O511" s="147"/>
      <c r="P511" s="147"/>
      <c r="Q511" s="147"/>
      <c r="R511" s="147"/>
      <c r="S511" s="147"/>
      <c r="T511" s="147"/>
      <c r="U511" s="147"/>
      <c r="V511" s="147"/>
    </row>
    <row r="512">
      <c r="A512" s="240" t="s">
        <v>5693</v>
      </c>
      <c r="B512" s="240" t="s">
        <v>1466</v>
      </c>
      <c r="C512" s="240" t="s">
        <v>1467</v>
      </c>
      <c r="D512" s="240" t="s">
        <v>5694</v>
      </c>
      <c r="E512" s="240" t="s">
        <v>5689</v>
      </c>
      <c r="F512" s="240" t="s">
        <v>4223</v>
      </c>
      <c r="G512" s="147"/>
      <c r="H512" s="240" t="s">
        <v>4215</v>
      </c>
      <c r="I512" s="240" t="s">
        <v>4215</v>
      </c>
      <c r="J512" s="147"/>
      <c r="K512" s="147"/>
      <c r="L512" s="147"/>
      <c r="M512" s="147"/>
      <c r="N512" s="147"/>
      <c r="O512" s="147"/>
      <c r="P512" s="147"/>
      <c r="Q512" s="147"/>
      <c r="R512" s="147"/>
      <c r="S512" s="147"/>
      <c r="T512" s="147"/>
      <c r="U512" s="147"/>
      <c r="V512" s="147"/>
    </row>
    <row r="513">
      <c r="A513" s="240" t="s">
        <v>5695</v>
      </c>
      <c r="B513" s="240" t="s">
        <v>1468</v>
      </c>
      <c r="C513" s="240" t="s">
        <v>1469</v>
      </c>
      <c r="D513" s="240" t="s">
        <v>5696</v>
      </c>
      <c r="E513" s="240" t="s">
        <v>5697</v>
      </c>
      <c r="F513" s="240" t="s">
        <v>4223</v>
      </c>
      <c r="G513" s="147"/>
      <c r="H513" s="240" t="s">
        <v>4215</v>
      </c>
      <c r="I513" s="240" t="s">
        <v>4215</v>
      </c>
      <c r="J513" s="147"/>
      <c r="K513" s="147"/>
      <c r="L513" s="147"/>
      <c r="M513" s="147"/>
      <c r="N513" s="147"/>
      <c r="O513" s="147"/>
      <c r="P513" s="147"/>
      <c r="Q513" s="147"/>
      <c r="R513" s="147"/>
      <c r="S513" s="147"/>
      <c r="T513" s="147"/>
      <c r="U513" s="147"/>
      <c r="V513" s="147"/>
    </row>
    <row r="514">
      <c r="A514" s="240" t="s">
        <v>5698</v>
      </c>
      <c r="B514" s="240" t="s">
        <v>1470</v>
      </c>
      <c r="C514" s="240" t="s">
        <v>1471</v>
      </c>
      <c r="D514" s="240" t="s">
        <v>5699</v>
      </c>
      <c r="E514" s="240" t="s">
        <v>5700</v>
      </c>
      <c r="F514" s="240" t="s">
        <v>4223</v>
      </c>
      <c r="G514" s="147"/>
      <c r="H514" s="147"/>
      <c r="I514" s="147"/>
      <c r="J514" s="147"/>
      <c r="K514" s="147"/>
      <c r="L514" s="147"/>
      <c r="M514" s="147"/>
      <c r="N514" s="147"/>
      <c r="O514" s="147"/>
      <c r="P514" s="147"/>
      <c r="Q514" s="147"/>
      <c r="R514" s="147"/>
      <c r="S514" s="147"/>
      <c r="T514" s="147"/>
      <c r="U514" s="147"/>
      <c r="V514" s="147"/>
    </row>
    <row r="515">
      <c r="A515" s="240" t="s">
        <v>5701</v>
      </c>
      <c r="B515" s="240" t="s">
        <v>1472</v>
      </c>
      <c r="C515" s="240" t="s">
        <v>1473</v>
      </c>
      <c r="D515" s="240" t="s">
        <v>5702</v>
      </c>
      <c r="E515" s="240" t="s">
        <v>5703</v>
      </c>
      <c r="F515" s="240" t="s">
        <v>4235</v>
      </c>
      <c r="G515" s="147"/>
      <c r="H515" s="147"/>
      <c r="I515" s="147"/>
      <c r="J515" s="147"/>
      <c r="K515" s="147"/>
      <c r="L515" s="147"/>
      <c r="M515" s="147"/>
      <c r="N515" s="147"/>
      <c r="O515" s="147"/>
      <c r="P515" s="147"/>
      <c r="Q515" s="147"/>
      <c r="R515" s="147"/>
      <c r="S515" s="147"/>
      <c r="T515" s="147"/>
      <c r="U515" s="147"/>
      <c r="V515" s="147"/>
    </row>
    <row r="516">
      <c r="A516" s="240" t="s">
        <v>5704</v>
      </c>
      <c r="B516" s="240" t="s">
        <v>1474</v>
      </c>
      <c r="C516" s="240" t="s">
        <v>1475</v>
      </c>
      <c r="D516" s="240" t="s">
        <v>5705</v>
      </c>
      <c r="E516" s="240" t="s">
        <v>5706</v>
      </c>
      <c r="F516" s="240" t="s">
        <v>4223</v>
      </c>
      <c r="G516" s="147"/>
      <c r="H516" s="240" t="s">
        <v>4215</v>
      </c>
      <c r="I516" s="240" t="s">
        <v>4215</v>
      </c>
      <c r="J516" s="147"/>
      <c r="K516" s="147"/>
      <c r="L516" s="147"/>
      <c r="M516" s="147"/>
      <c r="N516" s="147"/>
      <c r="O516" s="147"/>
      <c r="P516" s="147"/>
      <c r="Q516" s="147"/>
      <c r="R516" s="147"/>
      <c r="S516" s="147"/>
      <c r="T516" s="147"/>
      <c r="U516" s="147"/>
      <c r="V516" s="147"/>
    </row>
    <row r="517">
      <c r="A517" s="240" t="s">
        <v>5707</v>
      </c>
      <c r="B517" s="240" t="s">
        <v>1476</v>
      </c>
      <c r="C517" s="240" t="s">
        <v>1477</v>
      </c>
      <c r="D517" s="240" t="s">
        <v>5708</v>
      </c>
      <c r="E517" s="240" t="s">
        <v>5709</v>
      </c>
      <c r="F517" s="240" t="s">
        <v>4231</v>
      </c>
      <c r="G517" s="147"/>
      <c r="H517" s="240" t="s">
        <v>4215</v>
      </c>
      <c r="I517" s="240" t="s">
        <v>4215</v>
      </c>
      <c r="J517" s="147"/>
      <c r="K517" s="147"/>
      <c r="L517" s="147"/>
      <c r="M517" s="147"/>
      <c r="N517" s="147"/>
      <c r="O517" s="147"/>
      <c r="P517" s="147"/>
      <c r="Q517" s="147"/>
      <c r="R517" s="147"/>
      <c r="S517" s="147"/>
      <c r="T517" s="147"/>
      <c r="U517" s="147"/>
      <c r="V517" s="147"/>
    </row>
    <row r="518">
      <c r="A518" s="240" t="s">
        <v>5710</v>
      </c>
      <c r="B518" s="240" t="s">
        <v>1478</v>
      </c>
      <c r="C518" s="240" t="s">
        <v>1479</v>
      </c>
      <c r="D518" s="240" t="s">
        <v>5711</v>
      </c>
      <c r="E518" s="240" t="s">
        <v>5712</v>
      </c>
      <c r="F518" s="240" t="s">
        <v>4231</v>
      </c>
      <c r="G518" s="147"/>
      <c r="H518" s="240" t="s">
        <v>4215</v>
      </c>
      <c r="I518" s="240" t="s">
        <v>4215</v>
      </c>
      <c r="J518" s="147"/>
      <c r="K518" s="147"/>
      <c r="L518" s="147"/>
      <c r="M518" s="147"/>
      <c r="N518" s="147"/>
      <c r="O518" s="147"/>
      <c r="P518" s="147"/>
      <c r="Q518" s="147"/>
      <c r="R518" s="147"/>
      <c r="S518" s="147"/>
      <c r="T518" s="147"/>
      <c r="U518" s="147"/>
      <c r="V518" s="147"/>
    </row>
    <row r="519">
      <c r="A519" s="240" t="s">
        <v>5713</v>
      </c>
      <c r="B519" s="240" t="s">
        <v>1480</v>
      </c>
      <c r="C519" s="240" t="s">
        <v>1481</v>
      </c>
      <c r="D519" s="240" t="s">
        <v>5714</v>
      </c>
      <c r="E519" s="240" t="s">
        <v>5715</v>
      </c>
      <c r="F519" s="240" t="s">
        <v>4223</v>
      </c>
      <c r="G519" s="147"/>
      <c r="H519" s="240" t="s">
        <v>4215</v>
      </c>
      <c r="I519" s="240" t="s">
        <v>4215</v>
      </c>
      <c r="J519" s="147"/>
      <c r="K519" s="147"/>
      <c r="L519" s="147"/>
      <c r="M519" s="147"/>
      <c r="N519" s="147"/>
      <c r="O519" s="147"/>
      <c r="P519" s="147"/>
      <c r="Q519" s="147"/>
      <c r="R519" s="147"/>
      <c r="S519" s="147"/>
      <c r="T519" s="147"/>
      <c r="U519" s="147"/>
      <c r="V519" s="147"/>
    </row>
    <row r="520">
      <c r="A520" s="240" t="s">
        <v>5716</v>
      </c>
      <c r="B520" s="240" t="s">
        <v>1482</v>
      </c>
      <c r="C520" s="240" t="s">
        <v>1483</v>
      </c>
      <c r="D520" s="240" t="s">
        <v>5717</v>
      </c>
      <c r="E520" s="240" t="s">
        <v>5718</v>
      </c>
      <c r="F520" s="240" t="s">
        <v>4223</v>
      </c>
      <c r="G520" s="147"/>
      <c r="H520" s="240" t="s">
        <v>4215</v>
      </c>
      <c r="I520" s="240" t="s">
        <v>4215</v>
      </c>
      <c r="J520" s="147"/>
      <c r="K520" s="147"/>
      <c r="L520" s="147"/>
      <c r="M520" s="147"/>
      <c r="N520" s="147"/>
      <c r="O520" s="147"/>
      <c r="P520" s="147"/>
      <c r="Q520" s="147"/>
      <c r="R520" s="147"/>
      <c r="S520" s="147"/>
      <c r="T520" s="147"/>
      <c r="U520" s="147"/>
      <c r="V520" s="147"/>
    </row>
    <row r="521">
      <c r="A521" s="240" t="s">
        <v>5719</v>
      </c>
      <c r="B521" s="240" t="s">
        <v>1484</v>
      </c>
      <c r="C521" s="240" t="s">
        <v>1485</v>
      </c>
      <c r="D521" s="240" t="s">
        <v>5720</v>
      </c>
      <c r="E521" s="240" t="s">
        <v>5721</v>
      </c>
      <c r="F521" s="240" t="s">
        <v>4227</v>
      </c>
      <c r="G521" s="147"/>
      <c r="H521" s="147"/>
      <c r="I521" s="147"/>
      <c r="J521" s="147"/>
      <c r="K521" s="147"/>
      <c r="L521" s="147"/>
      <c r="M521" s="147"/>
      <c r="N521" s="147"/>
      <c r="O521" s="147"/>
      <c r="P521" s="147"/>
      <c r="Q521" s="147"/>
      <c r="R521" s="147"/>
      <c r="S521" s="147"/>
      <c r="T521" s="147"/>
      <c r="U521" s="147"/>
      <c r="V521" s="147"/>
    </row>
    <row r="522">
      <c r="A522" s="240" t="s">
        <v>5722</v>
      </c>
      <c r="B522" s="240" t="s">
        <v>1486</v>
      </c>
      <c r="C522" s="240" t="s">
        <v>1487</v>
      </c>
      <c r="D522" s="240" t="s">
        <v>5723</v>
      </c>
      <c r="E522" s="240" t="s">
        <v>5504</v>
      </c>
      <c r="F522" s="240" t="s">
        <v>4264</v>
      </c>
      <c r="G522" s="147"/>
      <c r="H522" s="240" t="s">
        <v>4215</v>
      </c>
      <c r="I522" s="240" t="s">
        <v>4215</v>
      </c>
      <c r="J522" s="147"/>
      <c r="K522" s="147"/>
      <c r="L522" s="147"/>
      <c r="M522" s="147"/>
      <c r="N522" s="147"/>
      <c r="O522" s="147"/>
      <c r="P522" s="147"/>
      <c r="Q522" s="147"/>
      <c r="R522" s="147"/>
      <c r="S522" s="147"/>
      <c r="T522" s="147"/>
      <c r="U522" s="147"/>
      <c r="V522" s="147"/>
    </row>
    <row r="523">
      <c r="A523" s="240" t="s">
        <v>5724</v>
      </c>
      <c r="B523" s="240" t="s">
        <v>1488</v>
      </c>
      <c r="C523" s="240" t="s">
        <v>1489</v>
      </c>
      <c r="D523" s="240" t="s">
        <v>5725</v>
      </c>
      <c r="E523" s="240" t="s">
        <v>5726</v>
      </c>
      <c r="F523" s="240" t="s">
        <v>4223</v>
      </c>
      <c r="G523" s="147"/>
      <c r="H523" s="240" t="s">
        <v>4215</v>
      </c>
      <c r="I523" s="240" t="s">
        <v>4215</v>
      </c>
      <c r="J523" s="147"/>
      <c r="K523" s="147"/>
      <c r="L523" s="147"/>
      <c r="M523" s="147"/>
      <c r="N523" s="147"/>
      <c r="O523" s="147"/>
      <c r="P523" s="147"/>
      <c r="Q523" s="147"/>
      <c r="R523" s="147"/>
      <c r="S523" s="147"/>
      <c r="T523" s="147"/>
      <c r="U523" s="147"/>
      <c r="V523" s="147"/>
    </row>
    <row r="524">
      <c r="A524" s="240" t="s">
        <v>5727</v>
      </c>
      <c r="B524" s="240" t="s">
        <v>1490</v>
      </c>
      <c r="C524" s="240" t="s">
        <v>1491</v>
      </c>
      <c r="D524" s="240" t="s">
        <v>5728</v>
      </c>
      <c r="E524" s="240" t="s">
        <v>5729</v>
      </c>
      <c r="F524" s="240" t="s">
        <v>4231</v>
      </c>
      <c r="G524" s="147"/>
      <c r="H524" s="240" t="s">
        <v>4215</v>
      </c>
      <c r="I524" s="240" t="s">
        <v>4215</v>
      </c>
      <c r="J524" s="147"/>
      <c r="K524" s="147"/>
      <c r="L524" s="147"/>
      <c r="M524" s="147"/>
      <c r="N524" s="147"/>
      <c r="O524" s="147"/>
      <c r="P524" s="147"/>
      <c r="Q524" s="147"/>
      <c r="R524" s="147"/>
      <c r="S524" s="147"/>
      <c r="T524" s="147"/>
      <c r="U524" s="147"/>
      <c r="V524" s="147"/>
    </row>
    <row r="525">
      <c r="A525" s="240" t="s">
        <v>5730</v>
      </c>
      <c r="B525" s="240" t="s">
        <v>1492</v>
      </c>
      <c r="C525" s="240" t="s">
        <v>1493</v>
      </c>
      <c r="D525" s="240" t="s">
        <v>5731</v>
      </c>
      <c r="E525" s="240" t="s">
        <v>5732</v>
      </c>
      <c r="F525" s="240" t="s">
        <v>4235</v>
      </c>
      <c r="G525" s="147"/>
      <c r="H525" s="240" t="s">
        <v>4215</v>
      </c>
      <c r="I525" s="240" t="s">
        <v>4215</v>
      </c>
      <c r="J525" s="147"/>
      <c r="K525" s="147"/>
      <c r="L525" s="147"/>
      <c r="M525" s="147"/>
      <c r="N525" s="147"/>
      <c r="O525" s="147"/>
      <c r="P525" s="147"/>
      <c r="Q525" s="147"/>
      <c r="R525" s="147"/>
      <c r="S525" s="147"/>
      <c r="T525" s="147"/>
      <c r="U525" s="147"/>
      <c r="V525" s="147"/>
    </row>
    <row r="526">
      <c r="A526" s="240" t="s">
        <v>5733</v>
      </c>
      <c r="B526" s="240" t="s">
        <v>1494</v>
      </c>
      <c r="C526" s="240" t="s">
        <v>1495</v>
      </c>
      <c r="D526" s="240" t="s">
        <v>5734</v>
      </c>
      <c r="E526" s="240" t="s">
        <v>5726</v>
      </c>
      <c r="F526" s="240" t="s">
        <v>4227</v>
      </c>
      <c r="G526" s="147"/>
      <c r="H526" s="240" t="s">
        <v>4215</v>
      </c>
      <c r="I526" s="240" t="s">
        <v>4215</v>
      </c>
      <c r="J526" s="147"/>
      <c r="K526" s="147"/>
      <c r="L526" s="147"/>
      <c r="M526" s="147"/>
      <c r="N526" s="147"/>
      <c r="O526" s="147"/>
      <c r="P526" s="147"/>
      <c r="Q526" s="147"/>
      <c r="R526" s="147"/>
      <c r="S526" s="147"/>
      <c r="T526" s="147"/>
      <c r="U526" s="147"/>
      <c r="V526" s="147"/>
    </row>
    <row r="527">
      <c r="A527" s="240" t="s">
        <v>5735</v>
      </c>
      <c r="B527" s="240" t="s">
        <v>1496</v>
      </c>
      <c r="C527" s="240" t="s">
        <v>1497</v>
      </c>
      <c r="D527" s="240" t="s">
        <v>5736</v>
      </c>
      <c r="E527" s="240" t="s">
        <v>5737</v>
      </c>
      <c r="F527" s="240" t="s">
        <v>4590</v>
      </c>
      <c r="G527" s="147"/>
      <c r="H527" s="240" t="s">
        <v>4215</v>
      </c>
      <c r="I527" s="240" t="s">
        <v>4215</v>
      </c>
      <c r="J527" s="147"/>
      <c r="K527" s="147"/>
      <c r="L527" s="147"/>
      <c r="M527" s="147"/>
      <c r="N527" s="147"/>
      <c r="O527" s="147"/>
      <c r="P527" s="147"/>
      <c r="Q527" s="147"/>
      <c r="R527" s="147"/>
      <c r="S527" s="147"/>
      <c r="T527" s="147"/>
      <c r="U527" s="147"/>
      <c r="V527" s="147"/>
    </row>
    <row r="528">
      <c r="A528" s="240" t="s">
        <v>5738</v>
      </c>
      <c r="B528" s="240" t="s">
        <v>1498</v>
      </c>
      <c r="C528" s="240" t="s">
        <v>1499</v>
      </c>
      <c r="D528" s="240" t="s">
        <v>5739</v>
      </c>
      <c r="E528" s="240" t="s">
        <v>5740</v>
      </c>
      <c r="F528" s="240" t="s">
        <v>4231</v>
      </c>
      <c r="G528" s="147"/>
      <c r="H528" s="240" t="s">
        <v>4215</v>
      </c>
      <c r="I528" s="240" t="s">
        <v>4215</v>
      </c>
      <c r="J528" s="147"/>
      <c r="K528" s="147"/>
      <c r="L528" s="147"/>
      <c r="M528" s="147"/>
      <c r="N528" s="147"/>
      <c r="O528" s="147"/>
      <c r="P528" s="147"/>
      <c r="Q528" s="147"/>
      <c r="R528" s="147"/>
      <c r="S528" s="147"/>
      <c r="T528" s="147"/>
      <c r="U528" s="147"/>
      <c r="V528" s="147"/>
    </row>
    <row r="529">
      <c r="A529" s="240" t="s">
        <v>5741</v>
      </c>
      <c r="B529" s="240" t="s">
        <v>1500</v>
      </c>
      <c r="C529" s="240" t="s">
        <v>1501</v>
      </c>
      <c r="D529" s="240" t="s">
        <v>5742</v>
      </c>
      <c r="E529" s="240" t="s">
        <v>5743</v>
      </c>
      <c r="F529" s="240" t="s">
        <v>4219</v>
      </c>
      <c r="G529" s="147"/>
      <c r="H529" s="240" t="s">
        <v>4215</v>
      </c>
      <c r="I529" s="240" t="s">
        <v>4215</v>
      </c>
      <c r="J529" s="147"/>
      <c r="K529" s="147"/>
      <c r="L529" s="147"/>
      <c r="M529" s="147"/>
      <c r="N529" s="147"/>
      <c r="O529" s="147"/>
      <c r="P529" s="147"/>
      <c r="Q529" s="147"/>
      <c r="R529" s="147"/>
      <c r="S529" s="147"/>
      <c r="T529" s="147"/>
      <c r="U529" s="147"/>
      <c r="V529" s="147"/>
    </row>
    <row r="530">
      <c r="A530" s="240" t="s">
        <v>5744</v>
      </c>
      <c r="B530" s="240" t="s">
        <v>1502</v>
      </c>
      <c r="C530" s="240" t="s">
        <v>1503</v>
      </c>
      <c r="D530" s="240" t="s">
        <v>5745</v>
      </c>
      <c r="E530" s="240" t="s">
        <v>5746</v>
      </c>
      <c r="F530" s="240" t="s">
        <v>4235</v>
      </c>
      <c r="G530" s="147"/>
      <c r="H530" s="240" t="s">
        <v>4215</v>
      </c>
      <c r="I530" s="240" t="s">
        <v>4215</v>
      </c>
      <c r="J530" s="147"/>
      <c r="K530" s="147"/>
      <c r="L530" s="147"/>
      <c r="M530" s="147"/>
      <c r="N530" s="147"/>
      <c r="O530" s="147"/>
      <c r="P530" s="147"/>
      <c r="Q530" s="147"/>
      <c r="R530" s="147"/>
      <c r="S530" s="147"/>
      <c r="T530" s="147"/>
      <c r="U530" s="147"/>
      <c r="V530" s="147"/>
    </row>
    <row r="531">
      <c r="A531" s="240" t="s">
        <v>5747</v>
      </c>
      <c r="B531" s="240" t="s">
        <v>1504</v>
      </c>
      <c r="C531" s="240" t="s">
        <v>1505</v>
      </c>
      <c r="D531" s="240" t="s">
        <v>5748</v>
      </c>
      <c r="E531" s="240" t="s">
        <v>5749</v>
      </c>
      <c r="F531" s="240" t="s">
        <v>4223</v>
      </c>
      <c r="G531" s="147"/>
      <c r="H531" s="147"/>
      <c r="I531" s="147"/>
      <c r="J531" s="147"/>
      <c r="K531" s="147"/>
      <c r="L531" s="147"/>
      <c r="M531" s="147"/>
      <c r="N531" s="147"/>
      <c r="O531" s="147"/>
      <c r="P531" s="147"/>
      <c r="Q531" s="147"/>
      <c r="R531" s="147"/>
      <c r="S531" s="147"/>
      <c r="T531" s="147"/>
      <c r="U531" s="147"/>
      <c r="V531" s="147"/>
    </row>
    <row r="532">
      <c r="A532" s="240" t="s">
        <v>5750</v>
      </c>
      <c r="B532" s="240" t="s">
        <v>1506</v>
      </c>
      <c r="C532" s="240" t="s">
        <v>1507</v>
      </c>
      <c r="D532" s="240" t="s">
        <v>5751</v>
      </c>
      <c r="E532" s="240" t="s">
        <v>5752</v>
      </c>
      <c r="F532" s="240" t="s">
        <v>4231</v>
      </c>
      <c r="G532" s="147"/>
      <c r="H532" s="240" t="s">
        <v>4215</v>
      </c>
      <c r="I532" s="240" t="s">
        <v>4215</v>
      </c>
      <c r="J532" s="147"/>
      <c r="K532" s="147"/>
      <c r="L532" s="147"/>
      <c r="M532" s="147"/>
      <c r="N532" s="147"/>
      <c r="O532" s="147"/>
      <c r="P532" s="147"/>
      <c r="Q532" s="147"/>
      <c r="R532" s="147"/>
      <c r="S532" s="147"/>
      <c r="T532" s="147"/>
      <c r="U532" s="147"/>
      <c r="V532" s="147"/>
    </row>
    <row r="533">
      <c r="A533" s="240" t="s">
        <v>5753</v>
      </c>
      <c r="B533" s="240" t="s">
        <v>1508</v>
      </c>
      <c r="C533" s="240" t="s">
        <v>1509</v>
      </c>
      <c r="D533" s="240" t="s">
        <v>5754</v>
      </c>
      <c r="E533" s="240" t="s">
        <v>5755</v>
      </c>
      <c r="F533" s="240" t="s">
        <v>4231</v>
      </c>
      <c r="G533" s="147"/>
      <c r="H533" s="240" t="s">
        <v>4215</v>
      </c>
      <c r="I533" s="240" t="s">
        <v>4215</v>
      </c>
      <c r="J533" s="147"/>
      <c r="K533" s="147"/>
      <c r="L533" s="147"/>
      <c r="M533" s="147"/>
      <c r="N533" s="147"/>
      <c r="O533" s="147"/>
      <c r="P533" s="147"/>
      <c r="Q533" s="147"/>
      <c r="R533" s="147"/>
      <c r="S533" s="147"/>
      <c r="T533" s="147"/>
      <c r="U533" s="147"/>
      <c r="V533" s="147"/>
    </row>
    <row r="534">
      <c r="A534" s="240" t="s">
        <v>5756</v>
      </c>
      <c r="B534" s="240" t="s">
        <v>1510</v>
      </c>
      <c r="C534" s="240" t="s">
        <v>1511</v>
      </c>
      <c r="D534" s="240" t="s">
        <v>5757</v>
      </c>
      <c r="E534" s="240" t="s">
        <v>5758</v>
      </c>
      <c r="F534" s="240" t="s">
        <v>4223</v>
      </c>
      <c r="G534" s="147"/>
      <c r="H534" s="240" t="s">
        <v>4215</v>
      </c>
      <c r="I534" s="240" t="s">
        <v>4215</v>
      </c>
      <c r="J534" s="147"/>
      <c r="K534" s="147"/>
      <c r="L534" s="147"/>
      <c r="M534" s="147"/>
      <c r="N534" s="147"/>
      <c r="O534" s="147"/>
      <c r="P534" s="147"/>
      <c r="Q534" s="147"/>
      <c r="R534" s="147"/>
      <c r="S534" s="147"/>
      <c r="T534" s="147"/>
      <c r="U534" s="147"/>
      <c r="V534" s="147"/>
    </row>
    <row r="535">
      <c r="A535" s="240" t="s">
        <v>5759</v>
      </c>
      <c r="B535" s="240" t="s">
        <v>1512</v>
      </c>
      <c r="C535" s="240" t="s">
        <v>1513</v>
      </c>
      <c r="D535" s="240" t="s">
        <v>5760</v>
      </c>
      <c r="E535" s="240" t="s">
        <v>5761</v>
      </c>
      <c r="F535" s="240" t="s">
        <v>4235</v>
      </c>
      <c r="G535" s="147"/>
      <c r="H535" s="240" t="s">
        <v>4215</v>
      </c>
      <c r="I535" s="240" t="s">
        <v>4215</v>
      </c>
      <c r="J535" s="147"/>
      <c r="K535" s="147"/>
      <c r="L535" s="147"/>
      <c r="M535" s="147"/>
      <c r="N535" s="147"/>
      <c r="O535" s="147"/>
      <c r="P535" s="147"/>
      <c r="Q535" s="147"/>
      <c r="R535" s="147"/>
      <c r="S535" s="147"/>
      <c r="T535" s="147"/>
      <c r="U535" s="147"/>
      <c r="V535" s="147"/>
    </row>
    <row r="536">
      <c r="A536" s="240" t="s">
        <v>5762</v>
      </c>
      <c r="B536" s="240" t="s">
        <v>1514</v>
      </c>
      <c r="C536" s="240" t="s">
        <v>1515</v>
      </c>
      <c r="D536" s="240" t="s">
        <v>5763</v>
      </c>
      <c r="E536" s="240" t="s">
        <v>5764</v>
      </c>
      <c r="F536" s="240" t="s">
        <v>4264</v>
      </c>
      <c r="G536" s="147"/>
      <c r="H536" s="240" t="s">
        <v>4215</v>
      </c>
      <c r="I536" s="240" t="s">
        <v>4215</v>
      </c>
      <c r="J536" s="147"/>
      <c r="K536" s="147"/>
      <c r="L536" s="147"/>
      <c r="M536" s="147"/>
      <c r="N536" s="147"/>
      <c r="O536" s="147"/>
      <c r="P536" s="147"/>
      <c r="Q536" s="147"/>
      <c r="R536" s="147"/>
      <c r="S536" s="147"/>
      <c r="T536" s="147"/>
      <c r="U536" s="147"/>
      <c r="V536" s="147"/>
    </row>
    <row r="537">
      <c r="A537" s="240" t="s">
        <v>5765</v>
      </c>
      <c r="B537" s="240" t="s">
        <v>1516</v>
      </c>
      <c r="C537" s="240" t="s">
        <v>1517</v>
      </c>
      <c r="D537" s="240" t="s">
        <v>5766</v>
      </c>
      <c r="E537" s="240" t="s">
        <v>5767</v>
      </c>
      <c r="F537" s="240" t="s">
        <v>4219</v>
      </c>
      <c r="G537" s="147"/>
      <c r="H537" s="240" t="s">
        <v>4215</v>
      </c>
      <c r="I537" s="240" t="s">
        <v>4215</v>
      </c>
      <c r="J537" s="147"/>
      <c r="K537" s="147"/>
      <c r="L537" s="147"/>
      <c r="M537" s="147"/>
      <c r="N537" s="147"/>
      <c r="O537" s="147"/>
      <c r="P537" s="147"/>
      <c r="Q537" s="147"/>
      <c r="R537" s="147"/>
      <c r="S537" s="147"/>
      <c r="T537" s="147"/>
      <c r="U537" s="147"/>
      <c r="V537" s="147"/>
    </row>
    <row r="538">
      <c r="A538" s="240" t="s">
        <v>5768</v>
      </c>
      <c r="B538" s="240" t="s">
        <v>1518</v>
      </c>
      <c r="C538" s="240" t="s">
        <v>1519</v>
      </c>
      <c r="D538" s="240" t="s">
        <v>5769</v>
      </c>
      <c r="E538" s="240" t="s">
        <v>5770</v>
      </c>
      <c r="F538" s="240" t="s">
        <v>4235</v>
      </c>
      <c r="G538" s="147"/>
      <c r="H538" s="240" t="s">
        <v>4215</v>
      </c>
      <c r="I538" s="240" t="s">
        <v>4215</v>
      </c>
      <c r="J538" s="147"/>
      <c r="K538" s="147"/>
      <c r="L538" s="147"/>
      <c r="M538" s="147"/>
      <c r="N538" s="147"/>
      <c r="O538" s="147"/>
      <c r="P538" s="147"/>
      <c r="Q538" s="147"/>
      <c r="R538" s="147"/>
      <c r="S538" s="147"/>
      <c r="T538" s="147"/>
      <c r="U538" s="147"/>
      <c r="V538" s="147"/>
    </row>
    <row r="539">
      <c r="A539" s="240" t="s">
        <v>5771</v>
      </c>
      <c r="B539" s="240" t="s">
        <v>1520</v>
      </c>
      <c r="C539" s="240" t="s">
        <v>1521</v>
      </c>
      <c r="D539" s="240" t="s">
        <v>5772</v>
      </c>
      <c r="E539" s="240" t="s">
        <v>5157</v>
      </c>
      <c r="F539" s="240" t="s">
        <v>4297</v>
      </c>
      <c r="G539" s="147"/>
      <c r="H539" s="240" t="s">
        <v>4215</v>
      </c>
      <c r="I539" s="240" t="s">
        <v>4215</v>
      </c>
      <c r="J539" s="147"/>
      <c r="K539" s="147"/>
      <c r="L539" s="147"/>
      <c r="M539" s="147"/>
      <c r="N539" s="147"/>
      <c r="O539" s="147"/>
      <c r="P539" s="147"/>
      <c r="Q539" s="147"/>
      <c r="R539" s="147"/>
      <c r="S539" s="147"/>
      <c r="T539" s="147"/>
      <c r="U539" s="147"/>
      <c r="V539" s="147"/>
    </row>
    <row r="540">
      <c r="A540" s="240" t="s">
        <v>5773</v>
      </c>
      <c r="B540" s="240" t="s">
        <v>1522</v>
      </c>
      <c r="C540" s="240" t="s">
        <v>1523</v>
      </c>
      <c r="D540" s="240" t="s">
        <v>5774</v>
      </c>
      <c r="E540" s="240" t="s">
        <v>5775</v>
      </c>
      <c r="F540" s="240" t="s">
        <v>4223</v>
      </c>
      <c r="G540" s="147"/>
      <c r="H540" s="240" t="s">
        <v>4215</v>
      </c>
      <c r="I540" s="240" t="s">
        <v>4215</v>
      </c>
      <c r="J540" s="147"/>
      <c r="K540" s="147"/>
      <c r="L540" s="147"/>
      <c r="M540" s="147"/>
      <c r="N540" s="147"/>
      <c r="O540" s="147"/>
      <c r="P540" s="147"/>
      <c r="Q540" s="147"/>
      <c r="R540" s="147"/>
      <c r="S540" s="147"/>
      <c r="T540" s="147"/>
      <c r="U540" s="147"/>
      <c r="V540" s="147"/>
    </row>
    <row r="541">
      <c r="A541" s="240" t="s">
        <v>5776</v>
      </c>
      <c r="B541" s="240" t="s">
        <v>1524</v>
      </c>
      <c r="C541" s="240" t="s">
        <v>1525</v>
      </c>
      <c r="D541" s="240" t="s">
        <v>5777</v>
      </c>
      <c r="E541" s="240" t="s">
        <v>5778</v>
      </c>
      <c r="F541" s="240" t="s">
        <v>4223</v>
      </c>
      <c r="G541" s="147"/>
      <c r="H541" s="147"/>
      <c r="I541" s="147"/>
      <c r="J541" s="147"/>
      <c r="K541" s="147"/>
      <c r="L541" s="147"/>
      <c r="M541" s="147"/>
      <c r="N541" s="147"/>
      <c r="O541" s="147"/>
      <c r="P541" s="147"/>
      <c r="Q541" s="147"/>
      <c r="R541" s="147"/>
      <c r="S541" s="147"/>
      <c r="T541" s="147"/>
      <c r="U541" s="147"/>
      <c r="V541" s="147"/>
    </row>
    <row r="542">
      <c r="A542" s="240" t="s">
        <v>5779</v>
      </c>
      <c r="B542" s="240" t="s">
        <v>1526</v>
      </c>
      <c r="C542" s="240" t="s">
        <v>1527</v>
      </c>
      <c r="D542" s="240" t="s">
        <v>5780</v>
      </c>
      <c r="E542" s="240" t="s">
        <v>5689</v>
      </c>
      <c r="F542" s="240" t="s">
        <v>4264</v>
      </c>
      <c r="G542" s="147"/>
      <c r="H542" s="147"/>
      <c r="I542" s="147"/>
      <c r="J542" s="147"/>
      <c r="K542" s="147"/>
      <c r="L542" s="147"/>
      <c r="M542" s="147"/>
      <c r="N542" s="147"/>
      <c r="O542" s="147"/>
      <c r="P542" s="147"/>
      <c r="Q542" s="147"/>
      <c r="R542" s="147"/>
      <c r="S542" s="147"/>
      <c r="T542" s="147"/>
      <c r="U542" s="147"/>
      <c r="V542" s="147"/>
    </row>
    <row r="543">
      <c r="A543" s="240" t="s">
        <v>5781</v>
      </c>
      <c r="B543" s="240" t="s">
        <v>1528</v>
      </c>
      <c r="C543" s="240" t="s">
        <v>1529</v>
      </c>
      <c r="D543" s="240" t="s">
        <v>5782</v>
      </c>
      <c r="E543" s="240" t="s">
        <v>5783</v>
      </c>
      <c r="F543" s="240" t="s">
        <v>4223</v>
      </c>
      <c r="G543" s="147"/>
      <c r="H543" s="147"/>
      <c r="I543" s="240" t="s">
        <v>4215</v>
      </c>
      <c r="J543" s="147"/>
      <c r="K543" s="147"/>
      <c r="L543" s="147"/>
      <c r="M543" s="147"/>
      <c r="N543" s="147"/>
      <c r="O543" s="147"/>
      <c r="P543" s="147"/>
      <c r="Q543" s="147"/>
      <c r="R543" s="147"/>
      <c r="S543" s="147"/>
      <c r="T543" s="147"/>
      <c r="U543" s="147"/>
      <c r="V543" s="147"/>
    </row>
    <row r="544">
      <c r="A544" s="240" t="s">
        <v>5784</v>
      </c>
      <c r="B544" s="240" t="s">
        <v>1530</v>
      </c>
      <c r="C544" s="240" t="s">
        <v>1531</v>
      </c>
      <c r="D544" s="240" t="s">
        <v>5785</v>
      </c>
      <c r="E544" s="240" t="s">
        <v>5157</v>
      </c>
      <c r="F544" s="240" t="s">
        <v>4590</v>
      </c>
      <c r="G544" s="147"/>
      <c r="H544" s="240" t="s">
        <v>4215</v>
      </c>
      <c r="I544" s="240" t="s">
        <v>4215</v>
      </c>
      <c r="J544" s="147"/>
      <c r="K544" s="147"/>
      <c r="L544" s="147"/>
      <c r="M544" s="147"/>
      <c r="N544" s="147"/>
      <c r="O544" s="147"/>
      <c r="P544" s="147"/>
      <c r="Q544" s="147"/>
      <c r="R544" s="147"/>
      <c r="S544" s="147"/>
      <c r="T544" s="147"/>
      <c r="U544" s="147"/>
      <c r="V544" s="147"/>
    </row>
    <row r="545">
      <c r="A545" s="240" t="s">
        <v>5786</v>
      </c>
      <c r="B545" s="240" t="s">
        <v>1532</v>
      </c>
      <c r="C545" s="240" t="s">
        <v>1533</v>
      </c>
      <c r="D545" s="240" t="s">
        <v>5787</v>
      </c>
      <c r="E545" s="240" t="s">
        <v>5788</v>
      </c>
      <c r="F545" s="240" t="s">
        <v>4227</v>
      </c>
      <c r="G545" s="147"/>
      <c r="H545" s="240" t="s">
        <v>4215</v>
      </c>
      <c r="I545" s="240" t="s">
        <v>4215</v>
      </c>
      <c r="J545" s="147"/>
      <c r="K545" s="147"/>
      <c r="L545" s="147"/>
      <c r="M545" s="147"/>
      <c r="N545" s="147"/>
      <c r="O545" s="147"/>
      <c r="P545" s="147"/>
      <c r="Q545" s="147"/>
      <c r="R545" s="147"/>
      <c r="S545" s="147"/>
      <c r="T545" s="147"/>
      <c r="U545" s="147"/>
      <c r="V545" s="147"/>
    </row>
    <row r="546">
      <c r="A546" s="240" t="s">
        <v>5789</v>
      </c>
      <c r="B546" s="240" t="s">
        <v>1534</v>
      </c>
      <c r="C546" s="240" t="s">
        <v>1535</v>
      </c>
      <c r="D546" s="240" t="s">
        <v>5790</v>
      </c>
      <c r="E546" s="240" t="s">
        <v>5791</v>
      </c>
      <c r="F546" s="240" t="s">
        <v>4264</v>
      </c>
      <c r="G546" s="147"/>
      <c r="H546" s="240" t="s">
        <v>4215</v>
      </c>
      <c r="I546" s="240" t="s">
        <v>4215</v>
      </c>
      <c r="J546" s="147"/>
      <c r="K546" s="147"/>
      <c r="L546" s="147"/>
      <c r="M546" s="147"/>
      <c r="N546" s="147"/>
      <c r="O546" s="147"/>
      <c r="P546" s="147"/>
      <c r="Q546" s="147"/>
      <c r="R546" s="147"/>
      <c r="S546" s="147"/>
      <c r="T546" s="147"/>
      <c r="U546" s="147"/>
      <c r="V546" s="147"/>
    </row>
    <row r="547">
      <c r="A547" s="240" t="s">
        <v>5792</v>
      </c>
      <c r="B547" s="240" t="s">
        <v>1536</v>
      </c>
      <c r="C547" s="240" t="s">
        <v>1537</v>
      </c>
      <c r="D547" s="240" t="s">
        <v>5793</v>
      </c>
      <c r="E547" s="240" t="s">
        <v>5794</v>
      </c>
      <c r="F547" s="240" t="s">
        <v>4235</v>
      </c>
      <c r="G547" s="147"/>
      <c r="H547" s="240" t="s">
        <v>4215</v>
      </c>
      <c r="I547" s="240" t="s">
        <v>4215</v>
      </c>
      <c r="J547" s="147"/>
      <c r="K547" s="147"/>
      <c r="L547" s="147"/>
      <c r="M547" s="147"/>
      <c r="N547" s="147"/>
      <c r="O547" s="147"/>
      <c r="P547" s="147"/>
      <c r="Q547" s="147"/>
      <c r="R547" s="147"/>
      <c r="S547" s="147"/>
      <c r="T547" s="147"/>
      <c r="U547" s="147"/>
      <c r="V547" s="147"/>
    </row>
    <row r="548">
      <c r="A548" s="240" t="s">
        <v>5795</v>
      </c>
      <c r="B548" s="240" t="s">
        <v>1538</v>
      </c>
      <c r="C548" s="240" t="s">
        <v>1539</v>
      </c>
      <c r="D548" s="240" t="s">
        <v>5796</v>
      </c>
      <c r="E548" s="240" t="s">
        <v>5797</v>
      </c>
      <c r="F548" s="240" t="s">
        <v>4231</v>
      </c>
      <c r="G548" s="147"/>
      <c r="H548" s="240" t="s">
        <v>4215</v>
      </c>
      <c r="I548" s="240" t="s">
        <v>4215</v>
      </c>
      <c r="J548" s="147"/>
      <c r="K548" s="147"/>
      <c r="L548" s="147"/>
      <c r="M548" s="147"/>
      <c r="N548" s="147"/>
      <c r="O548" s="147"/>
      <c r="P548" s="147"/>
      <c r="Q548" s="147"/>
      <c r="R548" s="147"/>
      <c r="S548" s="147"/>
      <c r="T548" s="147"/>
      <c r="U548" s="147"/>
      <c r="V548" s="147"/>
    </row>
    <row r="549">
      <c r="A549" s="240" t="s">
        <v>5798</v>
      </c>
      <c r="B549" s="240" t="s">
        <v>1540</v>
      </c>
      <c r="C549" s="240" t="s">
        <v>1541</v>
      </c>
      <c r="D549" s="240" t="s">
        <v>5799</v>
      </c>
      <c r="E549" s="240" t="s">
        <v>5800</v>
      </c>
      <c r="F549" s="240" t="s">
        <v>4590</v>
      </c>
      <c r="G549" s="147"/>
      <c r="H549" s="240" t="s">
        <v>4215</v>
      </c>
      <c r="I549" s="240" t="s">
        <v>4215</v>
      </c>
      <c r="J549" s="147"/>
      <c r="K549" s="147"/>
      <c r="L549" s="147"/>
      <c r="M549" s="147"/>
      <c r="N549" s="147"/>
      <c r="O549" s="147"/>
      <c r="P549" s="147"/>
      <c r="Q549" s="147"/>
      <c r="R549" s="147"/>
      <c r="S549" s="147"/>
      <c r="T549" s="147"/>
      <c r="U549" s="147"/>
      <c r="V549" s="147"/>
    </row>
    <row r="550">
      <c r="A550" s="240" t="s">
        <v>5801</v>
      </c>
      <c r="B550" s="240" t="s">
        <v>1542</v>
      </c>
      <c r="C550" s="240" t="s">
        <v>1543</v>
      </c>
      <c r="D550" s="240" t="s">
        <v>5802</v>
      </c>
      <c r="E550" s="240" t="s">
        <v>5803</v>
      </c>
      <c r="F550" s="240" t="s">
        <v>4264</v>
      </c>
      <c r="G550" s="147"/>
      <c r="H550" s="147"/>
      <c r="I550" s="147"/>
      <c r="J550" s="147"/>
      <c r="K550" s="147"/>
      <c r="L550" s="147"/>
      <c r="M550" s="147"/>
      <c r="N550" s="147"/>
      <c r="O550" s="147"/>
      <c r="P550" s="147"/>
      <c r="Q550" s="147"/>
      <c r="R550" s="147"/>
      <c r="S550" s="147"/>
      <c r="T550" s="147"/>
      <c r="U550" s="147"/>
      <c r="V550" s="147"/>
    </row>
    <row r="551">
      <c r="A551" s="240" t="s">
        <v>5804</v>
      </c>
      <c r="B551" s="240" t="s">
        <v>1544</v>
      </c>
      <c r="C551" s="240" t="s">
        <v>1545</v>
      </c>
      <c r="D551" s="240" t="s">
        <v>5805</v>
      </c>
      <c r="E551" s="240" t="s">
        <v>5806</v>
      </c>
      <c r="F551" s="240" t="s">
        <v>4264</v>
      </c>
      <c r="G551" s="147"/>
      <c r="H551" s="240" t="s">
        <v>4215</v>
      </c>
      <c r="I551" s="240" t="s">
        <v>4215</v>
      </c>
      <c r="J551" s="147"/>
      <c r="K551" s="147"/>
      <c r="L551" s="147"/>
      <c r="M551" s="147"/>
      <c r="N551" s="147"/>
      <c r="O551" s="147"/>
      <c r="P551" s="147"/>
      <c r="Q551" s="147"/>
      <c r="R551" s="147"/>
      <c r="S551" s="147"/>
      <c r="T551" s="147"/>
      <c r="U551" s="147"/>
      <c r="V551" s="147"/>
    </row>
    <row r="552">
      <c r="A552" s="240" t="s">
        <v>5807</v>
      </c>
      <c r="B552" s="240" t="s">
        <v>1546</v>
      </c>
      <c r="C552" s="240" t="s">
        <v>1547</v>
      </c>
      <c r="D552" s="240" t="s">
        <v>5808</v>
      </c>
      <c r="E552" s="240" t="s">
        <v>5809</v>
      </c>
      <c r="F552" s="240" t="s">
        <v>4590</v>
      </c>
      <c r="G552" s="147"/>
      <c r="H552" s="240" t="s">
        <v>4215</v>
      </c>
      <c r="I552" s="240" t="s">
        <v>4215</v>
      </c>
      <c r="J552" s="147"/>
      <c r="K552" s="147"/>
      <c r="L552" s="147"/>
      <c r="M552" s="147"/>
      <c r="N552" s="147"/>
      <c r="O552" s="147"/>
      <c r="P552" s="147"/>
      <c r="Q552" s="147"/>
      <c r="R552" s="147"/>
      <c r="S552" s="147"/>
      <c r="T552" s="147"/>
      <c r="U552" s="147"/>
      <c r="V552" s="147"/>
    </row>
    <row r="553">
      <c r="A553" s="240" t="s">
        <v>5810</v>
      </c>
      <c r="B553" s="240" t="s">
        <v>1548</v>
      </c>
      <c r="C553" s="240" t="s">
        <v>1549</v>
      </c>
      <c r="D553" s="240" t="s">
        <v>5811</v>
      </c>
      <c r="E553" s="240" t="s">
        <v>5812</v>
      </c>
      <c r="F553" s="240" t="s">
        <v>4479</v>
      </c>
      <c r="G553" s="147"/>
      <c r="H553" s="240" t="s">
        <v>4215</v>
      </c>
      <c r="I553" s="240" t="s">
        <v>4215</v>
      </c>
      <c r="J553" s="147"/>
      <c r="K553" s="147"/>
      <c r="L553" s="147"/>
      <c r="M553" s="147"/>
      <c r="N553" s="147"/>
      <c r="O553" s="147"/>
      <c r="P553" s="147"/>
      <c r="Q553" s="147"/>
      <c r="R553" s="147"/>
      <c r="S553" s="147"/>
      <c r="T553" s="147"/>
      <c r="U553" s="147"/>
      <c r="V553" s="147"/>
    </row>
    <row r="554">
      <c r="A554" s="240" t="s">
        <v>5813</v>
      </c>
      <c r="B554" s="240" t="s">
        <v>1550</v>
      </c>
      <c r="C554" s="240" t="s">
        <v>1551</v>
      </c>
      <c r="D554" s="240" t="s">
        <v>5814</v>
      </c>
      <c r="E554" s="240" t="s">
        <v>5815</v>
      </c>
      <c r="F554" s="240" t="s">
        <v>4223</v>
      </c>
      <c r="G554" s="147"/>
      <c r="H554" s="240" t="s">
        <v>4215</v>
      </c>
      <c r="I554" s="240" t="s">
        <v>4215</v>
      </c>
      <c r="J554" s="147"/>
      <c r="K554" s="147"/>
      <c r="L554" s="147"/>
      <c r="M554" s="147"/>
      <c r="N554" s="147"/>
      <c r="O554" s="147"/>
      <c r="P554" s="147"/>
      <c r="Q554" s="147"/>
      <c r="R554" s="147"/>
      <c r="S554" s="147"/>
      <c r="T554" s="147"/>
      <c r="U554" s="147"/>
      <c r="V554" s="147"/>
    </row>
    <row r="555">
      <c r="A555" s="240" t="s">
        <v>5816</v>
      </c>
      <c r="B555" s="240" t="s">
        <v>1552</v>
      </c>
      <c r="C555" s="240" t="s">
        <v>1553</v>
      </c>
      <c r="D555" s="240" t="s">
        <v>5817</v>
      </c>
      <c r="E555" s="240" t="s">
        <v>5818</v>
      </c>
      <c r="F555" s="240" t="s">
        <v>4223</v>
      </c>
      <c r="G555" s="147"/>
      <c r="H555" s="240" t="s">
        <v>4215</v>
      </c>
      <c r="I555" s="147"/>
      <c r="J555" s="147"/>
      <c r="K555" s="147"/>
      <c r="L555" s="147"/>
      <c r="M555" s="147"/>
      <c r="N555" s="147"/>
      <c r="O555" s="147"/>
      <c r="P555" s="147"/>
      <c r="Q555" s="147"/>
      <c r="R555" s="147"/>
      <c r="S555" s="147"/>
      <c r="T555" s="147"/>
      <c r="U555" s="147"/>
      <c r="V555" s="147"/>
    </row>
    <row r="556">
      <c r="A556" s="240" t="s">
        <v>5819</v>
      </c>
      <c r="B556" s="240" t="s">
        <v>1554</v>
      </c>
      <c r="C556" s="240" t="s">
        <v>1555</v>
      </c>
      <c r="D556" s="240" t="s">
        <v>5820</v>
      </c>
      <c r="E556" s="240" t="s">
        <v>5821</v>
      </c>
      <c r="F556" s="240" t="s">
        <v>4264</v>
      </c>
      <c r="G556" s="147"/>
      <c r="H556" s="240" t="s">
        <v>4215</v>
      </c>
      <c r="I556" s="240" t="s">
        <v>4215</v>
      </c>
      <c r="J556" s="147"/>
      <c r="K556" s="147"/>
      <c r="L556" s="147"/>
      <c r="M556" s="147"/>
      <c r="N556" s="147"/>
      <c r="O556" s="147"/>
      <c r="P556" s="147"/>
      <c r="Q556" s="147"/>
      <c r="R556" s="147"/>
      <c r="S556" s="147"/>
      <c r="T556" s="147"/>
      <c r="U556" s="147"/>
      <c r="V556" s="147"/>
    </row>
    <row r="557">
      <c r="A557" s="240" t="s">
        <v>5822</v>
      </c>
      <c r="B557" s="240" t="s">
        <v>1556</v>
      </c>
      <c r="C557" s="240" t="s">
        <v>1557</v>
      </c>
      <c r="D557" s="240" t="s">
        <v>5823</v>
      </c>
      <c r="E557" s="240" t="s">
        <v>5824</v>
      </c>
      <c r="F557" s="240" t="s">
        <v>4479</v>
      </c>
      <c r="G557" s="147"/>
      <c r="H557" s="147"/>
      <c r="I557" s="147"/>
      <c r="J557" s="147"/>
      <c r="K557" s="147"/>
      <c r="L557" s="147"/>
      <c r="M557" s="147"/>
      <c r="N557" s="147"/>
      <c r="O557" s="147"/>
      <c r="P557" s="147"/>
      <c r="Q557" s="147"/>
      <c r="R557" s="147"/>
      <c r="S557" s="147"/>
      <c r="T557" s="147"/>
      <c r="U557" s="147"/>
      <c r="V557" s="147"/>
    </row>
    <row r="558">
      <c r="A558" s="240" t="s">
        <v>5825</v>
      </c>
      <c r="B558" s="240" t="s">
        <v>1558</v>
      </c>
      <c r="C558" s="240" t="s">
        <v>1559</v>
      </c>
      <c r="D558" s="240" t="s">
        <v>5826</v>
      </c>
      <c r="E558" s="240" t="s">
        <v>5827</v>
      </c>
      <c r="F558" s="240" t="s">
        <v>4223</v>
      </c>
      <c r="G558" s="147"/>
      <c r="H558" s="240" t="s">
        <v>4215</v>
      </c>
      <c r="I558" s="147"/>
      <c r="J558" s="147"/>
      <c r="K558" s="147"/>
      <c r="L558" s="147"/>
      <c r="M558" s="147"/>
      <c r="N558" s="147"/>
      <c r="O558" s="147"/>
      <c r="P558" s="147"/>
      <c r="Q558" s="147"/>
      <c r="R558" s="147"/>
      <c r="S558" s="147"/>
      <c r="T558" s="147"/>
      <c r="U558" s="147"/>
      <c r="V558" s="147"/>
    </row>
    <row r="559">
      <c r="A559" s="240" t="s">
        <v>5828</v>
      </c>
      <c r="B559" s="240" t="s">
        <v>1560</v>
      </c>
      <c r="C559" s="240" t="s">
        <v>1561</v>
      </c>
      <c r="D559" s="240" t="s">
        <v>5829</v>
      </c>
      <c r="E559" s="240" t="s">
        <v>5830</v>
      </c>
      <c r="F559" s="240" t="s">
        <v>4231</v>
      </c>
      <c r="G559" s="147"/>
      <c r="H559" s="240" t="s">
        <v>4215</v>
      </c>
      <c r="I559" s="240" t="s">
        <v>4215</v>
      </c>
      <c r="J559" s="147"/>
      <c r="K559" s="147"/>
      <c r="L559" s="147"/>
      <c r="M559" s="147"/>
      <c r="N559" s="147"/>
      <c r="O559" s="147"/>
      <c r="P559" s="147"/>
      <c r="Q559" s="147"/>
      <c r="R559" s="147"/>
      <c r="S559" s="147"/>
      <c r="T559" s="147"/>
      <c r="U559" s="147"/>
      <c r="V559" s="147"/>
    </row>
    <row r="560">
      <c r="A560" s="240" t="s">
        <v>5831</v>
      </c>
      <c r="B560" s="240" t="s">
        <v>1562</v>
      </c>
      <c r="C560" s="240" t="s">
        <v>1563</v>
      </c>
      <c r="D560" s="240" t="s">
        <v>5832</v>
      </c>
      <c r="E560" s="240" t="s">
        <v>5833</v>
      </c>
      <c r="F560" s="240" t="s">
        <v>4264</v>
      </c>
      <c r="G560" s="147"/>
      <c r="H560" s="240" t="s">
        <v>4215</v>
      </c>
      <c r="I560" s="240" t="s">
        <v>4215</v>
      </c>
      <c r="J560" s="147"/>
      <c r="K560" s="147"/>
      <c r="L560" s="147"/>
      <c r="M560" s="147"/>
      <c r="N560" s="147"/>
      <c r="O560" s="147"/>
      <c r="P560" s="147"/>
      <c r="Q560" s="147"/>
      <c r="R560" s="147"/>
      <c r="S560" s="147"/>
      <c r="T560" s="147"/>
      <c r="U560" s="147"/>
      <c r="V560" s="147"/>
    </row>
    <row r="561">
      <c r="A561" s="240" t="s">
        <v>5834</v>
      </c>
      <c r="B561" s="240" t="s">
        <v>1564</v>
      </c>
      <c r="C561" s="240" t="s">
        <v>1565</v>
      </c>
      <c r="D561" s="240" t="s">
        <v>5835</v>
      </c>
      <c r="E561" s="240" t="s">
        <v>5836</v>
      </c>
      <c r="F561" s="240" t="s">
        <v>4219</v>
      </c>
      <c r="G561" s="147"/>
      <c r="H561" s="240" t="s">
        <v>4215</v>
      </c>
      <c r="I561" s="240" t="s">
        <v>4215</v>
      </c>
      <c r="J561" s="147"/>
      <c r="K561" s="147"/>
      <c r="L561" s="147"/>
      <c r="M561" s="147"/>
      <c r="N561" s="147"/>
      <c r="O561" s="147"/>
      <c r="P561" s="147"/>
      <c r="Q561" s="147"/>
      <c r="R561" s="147"/>
      <c r="S561" s="147"/>
      <c r="T561" s="147"/>
      <c r="U561" s="147"/>
      <c r="V561" s="147"/>
    </row>
    <row r="562">
      <c r="A562" s="240" t="s">
        <v>5837</v>
      </c>
      <c r="B562" s="240" t="s">
        <v>1566</v>
      </c>
      <c r="C562" s="240" t="s">
        <v>1567</v>
      </c>
      <c r="D562" s="240" t="s">
        <v>5838</v>
      </c>
      <c r="E562" s="240" t="s">
        <v>5839</v>
      </c>
      <c r="F562" s="240" t="s">
        <v>4235</v>
      </c>
      <c r="G562" s="147"/>
      <c r="H562" s="240" t="s">
        <v>4215</v>
      </c>
      <c r="I562" s="240" t="s">
        <v>4215</v>
      </c>
      <c r="J562" s="147"/>
      <c r="K562" s="147"/>
      <c r="L562" s="147"/>
      <c r="M562" s="147"/>
      <c r="N562" s="147"/>
      <c r="O562" s="147"/>
      <c r="P562" s="147"/>
      <c r="Q562" s="147"/>
      <c r="R562" s="147"/>
      <c r="S562" s="147"/>
      <c r="T562" s="147"/>
      <c r="U562" s="147"/>
      <c r="V562" s="147"/>
    </row>
    <row r="563">
      <c r="A563" s="240" t="s">
        <v>5840</v>
      </c>
      <c r="B563" s="240" t="s">
        <v>1568</v>
      </c>
      <c r="C563" s="240" t="s">
        <v>1569</v>
      </c>
      <c r="D563" s="240" t="s">
        <v>5841</v>
      </c>
      <c r="E563" s="240" t="s">
        <v>5672</v>
      </c>
      <c r="F563" s="240" t="s">
        <v>4227</v>
      </c>
      <c r="G563" s="147"/>
      <c r="H563" s="147"/>
      <c r="I563" s="147"/>
      <c r="J563" s="147"/>
      <c r="K563" s="147"/>
      <c r="L563" s="147"/>
      <c r="M563" s="147"/>
      <c r="N563" s="147"/>
      <c r="O563" s="147"/>
      <c r="P563" s="147"/>
      <c r="Q563" s="147"/>
      <c r="R563" s="147"/>
      <c r="S563" s="147"/>
      <c r="T563" s="147"/>
      <c r="U563" s="147"/>
      <c r="V563" s="147"/>
    </row>
    <row r="564">
      <c r="A564" s="240" t="s">
        <v>5842</v>
      </c>
      <c r="B564" s="240" t="s">
        <v>1570</v>
      </c>
      <c r="C564" s="240" t="s">
        <v>1571</v>
      </c>
      <c r="D564" s="240" t="s">
        <v>5843</v>
      </c>
      <c r="E564" s="240" t="s">
        <v>5844</v>
      </c>
      <c r="F564" s="240" t="s">
        <v>4223</v>
      </c>
      <c r="G564" s="147"/>
      <c r="H564" s="240" t="s">
        <v>4215</v>
      </c>
      <c r="I564" s="240" t="s">
        <v>4215</v>
      </c>
      <c r="J564" s="147"/>
      <c r="K564" s="147"/>
      <c r="L564" s="147"/>
      <c r="M564" s="147"/>
      <c r="N564" s="147"/>
      <c r="O564" s="147"/>
      <c r="P564" s="147"/>
      <c r="Q564" s="147"/>
      <c r="R564" s="147"/>
      <c r="S564" s="147"/>
      <c r="T564" s="147"/>
      <c r="U564" s="147"/>
      <c r="V564" s="147"/>
    </row>
    <row r="565">
      <c r="A565" s="240" t="s">
        <v>5845</v>
      </c>
      <c r="B565" s="240" t="s">
        <v>1572</v>
      </c>
      <c r="C565" s="240" t="s">
        <v>1573</v>
      </c>
      <c r="D565" s="240" t="s">
        <v>5846</v>
      </c>
      <c r="E565" s="240" t="s">
        <v>5847</v>
      </c>
      <c r="F565" s="240" t="s">
        <v>4219</v>
      </c>
      <c r="G565" s="147"/>
      <c r="H565" s="240" t="s">
        <v>4215</v>
      </c>
      <c r="I565" s="240" t="s">
        <v>4215</v>
      </c>
      <c r="J565" s="147"/>
      <c r="K565" s="147"/>
      <c r="L565" s="147"/>
      <c r="M565" s="147"/>
      <c r="N565" s="147"/>
      <c r="O565" s="147"/>
      <c r="P565" s="147"/>
      <c r="Q565" s="147"/>
      <c r="R565" s="147"/>
      <c r="S565" s="147"/>
      <c r="T565" s="147"/>
      <c r="U565" s="147"/>
      <c r="V565" s="147"/>
    </row>
    <row r="566">
      <c r="A566" s="240" t="s">
        <v>5848</v>
      </c>
      <c r="B566" s="240" t="s">
        <v>1574</v>
      </c>
      <c r="C566" s="240" t="s">
        <v>1575</v>
      </c>
      <c r="D566" s="240" t="s">
        <v>5849</v>
      </c>
      <c r="E566" s="240" t="s">
        <v>5850</v>
      </c>
      <c r="F566" s="240" t="s">
        <v>4223</v>
      </c>
      <c r="G566" s="147"/>
      <c r="H566" s="240" t="s">
        <v>4215</v>
      </c>
      <c r="I566" s="240" t="s">
        <v>4215</v>
      </c>
      <c r="J566" s="147"/>
      <c r="K566" s="147"/>
      <c r="L566" s="147"/>
      <c r="M566" s="147"/>
      <c r="N566" s="147"/>
      <c r="O566" s="147"/>
      <c r="P566" s="147"/>
      <c r="Q566" s="147"/>
      <c r="R566" s="147"/>
      <c r="S566" s="147"/>
      <c r="T566" s="147"/>
      <c r="U566" s="147"/>
      <c r="V566" s="147"/>
    </row>
    <row r="567">
      <c r="A567" s="240" t="s">
        <v>5851</v>
      </c>
      <c r="B567" s="240" t="s">
        <v>1576</v>
      </c>
      <c r="C567" s="240" t="s">
        <v>1577</v>
      </c>
      <c r="D567" s="240" t="s">
        <v>5852</v>
      </c>
      <c r="E567" s="240" t="s">
        <v>5853</v>
      </c>
      <c r="F567" s="240" t="s">
        <v>4235</v>
      </c>
      <c r="G567" s="147"/>
      <c r="H567" s="147"/>
      <c r="I567" s="147"/>
      <c r="J567" s="147"/>
      <c r="K567" s="147"/>
      <c r="L567" s="147"/>
      <c r="M567" s="147"/>
      <c r="N567" s="147"/>
      <c r="O567" s="147"/>
      <c r="P567" s="147"/>
      <c r="Q567" s="147"/>
      <c r="R567" s="147"/>
      <c r="S567" s="147"/>
      <c r="T567" s="147"/>
      <c r="U567" s="147"/>
      <c r="V567" s="147"/>
    </row>
    <row r="568">
      <c r="A568" s="240" t="s">
        <v>5854</v>
      </c>
      <c r="B568" s="240" t="s">
        <v>1578</v>
      </c>
      <c r="C568" s="240" t="s">
        <v>1579</v>
      </c>
      <c r="D568" s="240" t="s">
        <v>5855</v>
      </c>
      <c r="E568" s="240" t="s">
        <v>5856</v>
      </c>
      <c r="F568" s="240" t="s">
        <v>4828</v>
      </c>
      <c r="G568" s="147"/>
      <c r="H568" s="240" t="s">
        <v>4215</v>
      </c>
      <c r="I568" s="240" t="s">
        <v>4215</v>
      </c>
      <c r="J568" s="147"/>
      <c r="K568" s="147"/>
      <c r="L568" s="147"/>
      <c r="M568" s="147"/>
      <c r="N568" s="147"/>
      <c r="O568" s="147"/>
      <c r="P568" s="147"/>
      <c r="Q568" s="147"/>
      <c r="R568" s="147"/>
      <c r="S568" s="147"/>
      <c r="T568" s="147"/>
      <c r="U568" s="147"/>
      <c r="V568" s="147"/>
    </row>
    <row r="569">
      <c r="A569" s="240" t="s">
        <v>5857</v>
      </c>
      <c r="B569" s="240" t="s">
        <v>1580</v>
      </c>
      <c r="C569" s="240" t="s">
        <v>1581</v>
      </c>
      <c r="D569" s="240" t="s">
        <v>5858</v>
      </c>
      <c r="E569" s="240" t="s">
        <v>5859</v>
      </c>
      <c r="F569" s="240" t="s">
        <v>4231</v>
      </c>
      <c r="G569" s="147"/>
      <c r="H569" s="240" t="s">
        <v>4215</v>
      </c>
      <c r="I569" s="240" t="s">
        <v>4215</v>
      </c>
      <c r="J569" s="147"/>
      <c r="K569" s="147"/>
      <c r="L569" s="147"/>
      <c r="M569" s="147"/>
      <c r="N569" s="147"/>
      <c r="O569" s="147"/>
      <c r="P569" s="147"/>
      <c r="Q569" s="147"/>
      <c r="R569" s="147"/>
      <c r="S569" s="147"/>
      <c r="T569" s="147"/>
      <c r="U569" s="147"/>
      <c r="V569" s="147"/>
    </row>
    <row r="570">
      <c r="A570" s="240" t="s">
        <v>5860</v>
      </c>
      <c r="B570" s="240" t="s">
        <v>1582</v>
      </c>
      <c r="C570" s="240" t="s">
        <v>1583</v>
      </c>
      <c r="D570" s="240" t="s">
        <v>5861</v>
      </c>
      <c r="E570" s="240" t="s">
        <v>5862</v>
      </c>
      <c r="F570" s="240" t="s">
        <v>4223</v>
      </c>
      <c r="G570" s="147"/>
      <c r="H570" s="240" t="s">
        <v>4215</v>
      </c>
      <c r="I570" s="240" t="s">
        <v>4215</v>
      </c>
      <c r="J570" s="147"/>
      <c r="K570" s="147"/>
      <c r="L570" s="147"/>
      <c r="M570" s="147"/>
      <c r="N570" s="147"/>
      <c r="O570" s="147"/>
      <c r="P570" s="147"/>
      <c r="Q570" s="147"/>
      <c r="R570" s="147"/>
      <c r="S570" s="147"/>
      <c r="T570" s="147"/>
      <c r="U570" s="147"/>
      <c r="V570" s="147"/>
    </row>
    <row r="571">
      <c r="A571" s="240" t="s">
        <v>5863</v>
      </c>
      <c r="B571" s="240" t="s">
        <v>1584</v>
      </c>
      <c r="C571" s="240" t="s">
        <v>1585</v>
      </c>
      <c r="D571" s="240" t="s">
        <v>5864</v>
      </c>
      <c r="E571" s="240" t="s">
        <v>5865</v>
      </c>
      <c r="F571" s="240" t="s">
        <v>4264</v>
      </c>
      <c r="G571" s="147"/>
      <c r="H571" s="240" t="s">
        <v>4215</v>
      </c>
      <c r="I571" s="240" t="s">
        <v>4215</v>
      </c>
      <c r="J571" s="147"/>
      <c r="K571" s="147"/>
      <c r="L571" s="147"/>
      <c r="M571" s="147"/>
      <c r="N571" s="147"/>
      <c r="O571" s="147"/>
      <c r="P571" s="147"/>
      <c r="Q571" s="147"/>
      <c r="R571" s="147"/>
      <c r="S571" s="147"/>
      <c r="T571" s="147"/>
      <c r="U571" s="147"/>
      <c r="V571" s="147"/>
    </row>
    <row r="572">
      <c r="A572" s="240" t="s">
        <v>5866</v>
      </c>
      <c r="B572" s="240" t="s">
        <v>1586</v>
      </c>
      <c r="C572" s="240" t="s">
        <v>1587</v>
      </c>
      <c r="D572" s="240" t="s">
        <v>5867</v>
      </c>
      <c r="E572" s="240" t="s">
        <v>5868</v>
      </c>
      <c r="F572" s="240" t="s">
        <v>4219</v>
      </c>
      <c r="G572" s="147"/>
      <c r="H572" s="240" t="s">
        <v>4215</v>
      </c>
      <c r="I572" s="240" t="s">
        <v>4215</v>
      </c>
      <c r="J572" s="147"/>
      <c r="K572" s="147"/>
      <c r="L572" s="147"/>
      <c r="M572" s="147"/>
      <c r="N572" s="147"/>
      <c r="O572" s="147"/>
      <c r="P572" s="147"/>
      <c r="Q572" s="147"/>
      <c r="R572" s="147"/>
      <c r="S572" s="147"/>
      <c r="T572" s="147"/>
      <c r="U572" s="147"/>
      <c r="V572" s="147"/>
    </row>
    <row r="573">
      <c r="A573" s="240" t="s">
        <v>5869</v>
      </c>
      <c r="B573" s="240" t="s">
        <v>1588</v>
      </c>
      <c r="C573" s="240" t="s">
        <v>1589</v>
      </c>
      <c r="D573" s="240" t="s">
        <v>5870</v>
      </c>
      <c r="E573" s="240" t="s">
        <v>5871</v>
      </c>
      <c r="F573" s="240" t="s">
        <v>4828</v>
      </c>
      <c r="G573" s="147"/>
      <c r="H573" s="240" t="s">
        <v>4215</v>
      </c>
      <c r="I573" s="240" t="s">
        <v>4215</v>
      </c>
      <c r="J573" s="147"/>
      <c r="K573" s="147"/>
      <c r="L573" s="147"/>
      <c r="M573" s="147"/>
      <c r="N573" s="147"/>
      <c r="O573" s="147"/>
      <c r="P573" s="147"/>
      <c r="Q573" s="147"/>
      <c r="R573" s="147"/>
      <c r="S573" s="147"/>
      <c r="T573" s="147"/>
      <c r="U573" s="147"/>
      <c r="V573" s="147"/>
    </row>
    <row r="574">
      <c r="A574" s="240" t="s">
        <v>5872</v>
      </c>
      <c r="B574" s="240" t="s">
        <v>1590</v>
      </c>
      <c r="C574" s="240" t="s">
        <v>1591</v>
      </c>
      <c r="D574" s="240" t="s">
        <v>5873</v>
      </c>
      <c r="E574" s="240" t="s">
        <v>5874</v>
      </c>
      <c r="F574" s="240" t="s">
        <v>4621</v>
      </c>
      <c r="G574" s="147"/>
      <c r="H574" s="240" t="s">
        <v>4215</v>
      </c>
      <c r="I574" s="240" t="s">
        <v>4215</v>
      </c>
      <c r="J574" s="147"/>
      <c r="K574" s="147"/>
      <c r="L574" s="147"/>
      <c r="M574" s="147"/>
      <c r="N574" s="147"/>
      <c r="O574" s="147"/>
      <c r="P574" s="147"/>
      <c r="Q574" s="147"/>
      <c r="R574" s="147"/>
      <c r="S574" s="147"/>
      <c r="T574" s="147"/>
      <c r="U574" s="147"/>
      <c r="V574" s="147"/>
    </row>
    <row r="575">
      <c r="A575" s="240" t="s">
        <v>5875</v>
      </c>
      <c r="B575" s="240" t="s">
        <v>1592</v>
      </c>
      <c r="C575" s="240" t="s">
        <v>1593</v>
      </c>
      <c r="D575" s="240" t="s">
        <v>5876</v>
      </c>
      <c r="E575" s="240" t="s">
        <v>5877</v>
      </c>
      <c r="F575" s="240" t="s">
        <v>4235</v>
      </c>
      <c r="G575" s="147"/>
      <c r="H575" s="240" t="s">
        <v>4215</v>
      </c>
      <c r="I575" s="240" t="s">
        <v>4215</v>
      </c>
      <c r="J575" s="147"/>
      <c r="K575" s="147"/>
      <c r="L575" s="147"/>
      <c r="M575" s="147"/>
      <c r="N575" s="147"/>
      <c r="O575" s="147"/>
      <c r="P575" s="147"/>
      <c r="Q575" s="147"/>
      <c r="R575" s="147"/>
      <c r="S575" s="147"/>
      <c r="T575" s="147"/>
      <c r="U575" s="147"/>
      <c r="V575" s="147"/>
    </row>
    <row r="576">
      <c r="A576" s="240" t="s">
        <v>5878</v>
      </c>
      <c r="B576" s="240" t="s">
        <v>1594</v>
      </c>
      <c r="C576" s="240" t="s">
        <v>1595</v>
      </c>
      <c r="D576" s="240" t="s">
        <v>5879</v>
      </c>
      <c r="E576" s="240" t="s">
        <v>5874</v>
      </c>
      <c r="F576" s="240" t="s">
        <v>4590</v>
      </c>
      <c r="G576" s="147"/>
      <c r="H576" s="240" t="s">
        <v>4215</v>
      </c>
      <c r="I576" s="240" t="s">
        <v>4215</v>
      </c>
      <c r="J576" s="147"/>
      <c r="K576" s="147"/>
      <c r="L576" s="147"/>
      <c r="M576" s="147"/>
      <c r="N576" s="147"/>
      <c r="O576" s="147"/>
      <c r="P576" s="147"/>
      <c r="Q576" s="147"/>
      <c r="R576" s="147"/>
      <c r="S576" s="147"/>
      <c r="T576" s="147"/>
      <c r="U576" s="147"/>
      <c r="V576" s="147"/>
    </row>
    <row r="577">
      <c r="A577" s="240" t="s">
        <v>5880</v>
      </c>
      <c r="B577" s="240" t="s">
        <v>1596</v>
      </c>
      <c r="C577" s="240" t="s">
        <v>1597</v>
      </c>
      <c r="D577" s="240" t="s">
        <v>5881</v>
      </c>
      <c r="E577" s="240" t="s">
        <v>5882</v>
      </c>
      <c r="F577" s="240" t="s">
        <v>4349</v>
      </c>
      <c r="G577" s="147"/>
      <c r="H577" s="240" t="s">
        <v>4215</v>
      </c>
      <c r="I577" s="240" t="s">
        <v>4215</v>
      </c>
      <c r="J577" s="147"/>
      <c r="K577" s="147"/>
      <c r="L577" s="147"/>
      <c r="M577" s="147"/>
      <c r="N577" s="147"/>
      <c r="O577" s="147"/>
      <c r="P577" s="147"/>
      <c r="Q577" s="147"/>
      <c r="R577" s="147"/>
      <c r="S577" s="147"/>
      <c r="T577" s="147"/>
      <c r="U577" s="147"/>
      <c r="V577" s="147"/>
    </row>
    <row r="578">
      <c r="A578" s="240" t="s">
        <v>5883</v>
      </c>
      <c r="B578" s="240" t="s">
        <v>1598</v>
      </c>
      <c r="C578" s="240" t="s">
        <v>1599</v>
      </c>
      <c r="D578" s="240" t="s">
        <v>5884</v>
      </c>
      <c r="E578" s="240" t="s">
        <v>5885</v>
      </c>
      <c r="F578" s="240" t="s">
        <v>4264</v>
      </c>
      <c r="G578" s="147"/>
      <c r="H578" s="240" t="s">
        <v>4215</v>
      </c>
      <c r="I578" s="240" t="s">
        <v>4215</v>
      </c>
      <c r="J578" s="147"/>
      <c r="K578" s="147"/>
      <c r="L578" s="147"/>
      <c r="M578" s="147"/>
      <c r="N578" s="147"/>
      <c r="O578" s="147"/>
      <c r="P578" s="147"/>
      <c r="Q578" s="147"/>
      <c r="R578" s="147"/>
      <c r="S578" s="147"/>
      <c r="T578" s="147"/>
      <c r="U578" s="147"/>
      <c r="V578" s="147"/>
    </row>
    <row r="579">
      <c r="A579" s="240" t="s">
        <v>5886</v>
      </c>
      <c r="B579" s="240" t="s">
        <v>1600</v>
      </c>
      <c r="C579" s="240" t="s">
        <v>1601</v>
      </c>
      <c r="D579" s="240" t="s">
        <v>5887</v>
      </c>
      <c r="E579" s="240" t="s">
        <v>5888</v>
      </c>
      <c r="F579" s="240" t="s">
        <v>4223</v>
      </c>
      <c r="G579" s="147"/>
      <c r="H579" s="240" t="s">
        <v>4215</v>
      </c>
      <c r="I579" s="240" t="s">
        <v>4215</v>
      </c>
      <c r="J579" s="147"/>
      <c r="K579" s="147"/>
      <c r="L579" s="147"/>
      <c r="M579" s="147"/>
      <c r="N579" s="147"/>
      <c r="O579" s="147"/>
      <c r="P579" s="147"/>
      <c r="Q579" s="147"/>
      <c r="R579" s="147"/>
      <c r="S579" s="147"/>
      <c r="T579" s="147"/>
      <c r="U579" s="147"/>
      <c r="V579" s="147"/>
    </row>
    <row r="580">
      <c r="A580" s="240" t="s">
        <v>5889</v>
      </c>
      <c r="B580" s="240" t="s">
        <v>1602</v>
      </c>
      <c r="C580" s="240" t="s">
        <v>1603</v>
      </c>
      <c r="D580" s="240" t="s">
        <v>5890</v>
      </c>
      <c r="E580" s="240" t="s">
        <v>5891</v>
      </c>
      <c r="F580" s="240" t="s">
        <v>4219</v>
      </c>
      <c r="G580" s="147"/>
      <c r="H580" s="240" t="s">
        <v>4215</v>
      </c>
      <c r="I580" s="240" t="s">
        <v>4215</v>
      </c>
      <c r="J580" s="147"/>
      <c r="K580" s="147"/>
      <c r="L580" s="147"/>
      <c r="M580" s="147"/>
      <c r="N580" s="147"/>
      <c r="O580" s="147"/>
      <c r="P580" s="147"/>
      <c r="Q580" s="147"/>
      <c r="R580" s="147"/>
      <c r="S580" s="147"/>
      <c r="T580" s="147"/>
      <c r="U580" s="147"/>
      <c r="V580" s="147"/>
    </row>
    <row r="581">
      <c r="A581" s="240" t="s">
        <v>5892</v>
      </c>
      <c r="B581" s="240" t="s">
        <v>1604</v>
      </c>
      <c r="C581" s="240" t="s">
        <v>1605</v>
      </c>
      <c r="D581" s="240" t="s">
        <v>5893</v>
      </c>
      <c r="E581" s="240" t="s">
        <v>5894</v>
      </c>
      <c r="F581" s="240" t="s">
        <v>4264</v>
      </c>
      <c r="G581" s="147"/>
      <c r="H581" s="240" t="s">
        <v>4215</v>
      </c>
      <c r="I581" s="240" t="s">
        <v>4215</v>
      </c>
      <c r="J581" s="147"/>
      <c r="K581" s="147"/>
      <c r="L581" s="147"/>
      <c r="M581" s="147"/>
      <c r="N581" s="147"/>
      <c r="O581" s="147"/>
      <c r="P581" s="147"/>
      <c r="Q581" s="147"/>
      <c r="R581" s="147"/>
      <c r="S581" s="147"/>
      <c r="T581" s="147"/>
      <c r="U581" s="147"/>
      <c r="V581" s="147"/>
    </row>
    <row r="582">
      <c r="A582" s="240" t="s">
        <v>5895</v>
      </c>
      <c r="B582" s="240" t="s">
        <v>1606</v>
      </c>
      <c r="C582" s="240" t="s">
        <v>1607</v>
      </c>
      <c r="D582" s="240" t="s">
        <v>5896</v>
      </c>
      <c r="E582" s="240" t="s">
        <v>5897</v>
      </c>
      <c r="F582" s="240" t="s">
        <v>4621</v>
      </c>
      <c r="G582" s="147"/>
      <c r="H582" s="240" t="s">
        <v>4215</v>
      </c>
      <c r="I582" s="240" t="s">
        <v>4215</v>
      </c>
      <c r="J582" s="147"/>
      <c r="K582" s="147"/>
      <c r="L582" s="147"/>
      <c r="M582" s="147"/>
      <c r="N582" s="147"/>
      <c r="O582" s="147"/>
      <c r="P582" s="147"/>
      <c r="Q582" s="147"/>
      <c r="R582" s="147"/>
      <c r="S582" s="147"/>
      <c r="T582" s="147"/>
      <c r="U582" s="147"/>
      <c r="V582" s="147"/>
    </row>
    <row r="583">
      <c r="A583" s="240" t="s">
        <v>5898</v>
      </c>
      <c r="B583" s="240" t="s">
        <v>1608</v>
      </c>
      <c r="C583" s="240" t="s">
        <v>1609</v>
      </c>
      <c r="D583" s="240" t="s">
        <v>5899</v>
      </c>
      <c r="E583" s="240" t="s">
        <v>5900</v>
      </c>
      <c r="F583" s="240" t="s">
        <v>4828</v>
      </c>
      <c r="G583" s="147"/>
      <c r="H583" s="240" t="s">
        <v>4215</v>
      </c>
      <c r="I583" s="240" t="s">
        <v>4215</v>
      </c>
      <c r="J583" s="147"/>
      <c r="K583" s="147"/>
      <c r="L583" s="147"/>
      <c r="M583" s="147"/>
      <c r="N583" s="147"/>
      <c r="O583" s="147"/>
      <c r="P583" s="147"/>
      <c r="Q583" s="147"/>
      <c r="R583" s="147"/>
      <c r="S583" s="147"/>
      <c r="T583" s="147"/>
      <c r="U583" s="147"/>
      <c r="V583" s="147"/>
    </row>
    <row r="584">
      <c r="A584" s="240" t="s">
        <v>5901</v>
      </c>
      <c r="B584" s="240" t="s">
        <v>1610</v>
      </c>
      <c r="C584" s="240" t="s">
        <v>1611</v>
      </c>
      <c r="D584" s="240" t="s">
        <v>5902</v>
      </c>
      <c r="E584" s="240" t="s">
        <v>5903</v>
      </c>
      <c r="F584" s="240" t="s">
        <v>4223</v>
      </c>
      <c r="G584" s="147"/>
      <c r="H584" s="240" t="s">
        <v>4215</v>
      </c>
      <c r="I584" s="240" t="s">
        <v>4215</v>
      </c>
      <c r="J584" s="147"/>
      <c r="K584" s="147"/>
      <c r="L584" s="147"/>
      <c r="M584" s="147"/>
      <c r="N584" s="147"/>
      <c r="O584" s="147"/>
      <c r="P584" s="147"/>
      <c r="Q584" s="147"/>
      <c r="R584" s="147"/>
      <c r="S584" s="147"/>
      <c r="T584" s="147"/>
      <c r="U584" s="147"/>
      <c r="V584" s="147"/>
    </row>
    <row r="585">
      <c r="A585" s="240" t="s">
        <v>5904</v>
      </c>
      <c r="B585" s="240" t="s">
        <v>1612</v>
      </c>
      <c r="C585" s="240" t="s">
        <v>1613</v>
      </c>
      <c r="D585" s="240" t="s">
        <v>5905</v>
      </c>
      <c r="E585" s="240" t="s">
        <v>5906</v>
      </c>
      <c r="F585" s="240" t="s">
        <v>4235</v>
      </c>
      <c r="G585" s="147"/>
      <c r="H585" s="240" t="s">
        <v>4215</v>
      </c>
      <c r="I585" s="240" t="s">
        <v>4215</v>
      </c>
      <c r="J585" s="147"/>
      <c r="K585" s="147"/>
      <c r="L585" s="147"/>
      <c r="M585" s="147"/>
      <c r="N585" s="147"/>
      <c r="O585" s="147"/>
      <c r="P585" s="147"/>
      <c r="Q585" s="147"/>
      <c r="R585" s="147"/>
      <c r="S585" s="147"/>
      <c r="T585" s="147"/>
      <c r="U585" s="147"/>
      <c r="V585" s="147"/>
    </row>
    <row r="586">
      <c r="A586" s="240" t="s">
        <v>5907</v>
      </c>
      <c r="B586" s="240" t="s">
        <v>1614</v>
      </c>
      <c r="C586" s="240" t="s">
        <v>1615</v>
      </c>
      <c r="D586" s="240" t="s">
        <v>5908</v>
      </c>
      <c r="E586" s="240" t="s">
        <v>5909</v>
      </c>
      <c r="F586" s="240" t="s">
        <v>4349</v>
      </c>
      <c r="G586" s="147"/>
      <c r="H586" s="147"/>
      <c r="I586" s="147"/>
      <c r="J586" s="147"/>
      <c r="K586" s="147"/>
      <c r="L586" s="147"/>
      <c r="M586" s="147"/>
      <c r="N586" s="147"/>
      <c r="O586" s="147"/>
      <c r="P586" s="147"/>
      <c r="Q586" s="147"/>
      <c r="R586" s="147"/>
      <c r="S586" s="147"/>
      <c r="T586" s="147"/>
      <c r="U586" s="147"/>
      <c r="V586" s="147"/>
    </row>
    <row r="587">
      <c r="A587" s="240" t="s">
        <v>5910</v>
      </c>
      <c r="B587" s="240" t="s">
        <v>1616</v>
      </c>
      <c r="C587" s="240" t="s">
        <v>1617</v>
      </c>
      <c r="D587" s="240" t="s">
        <v>5911</v>
      </c>
      <c r="E587" s="240" t="s">
        <v>5912</v>
      </c>
      <c r="F587" s="240" t="s">
        <v>4621</v>
      </c>
      <c r="G587" s="147"/>
      <c r="H587" s="240" t="s">
        <v>4215</v>
      </c>
      <c r="I587" s="240" t="s">
        <v>4215</v>
      </c>
      <c r="J587" s="147"/>
      <c r="K587" s="147"/>
      <c r="L587" s="147"/>
      <c r="M587" s="147"/>
      <c r="N587" s="147"/>
      <c r="O587" s="147"/>
      <c r="P587" s="147"/>
      <c r="Q587" s="147"/>
      <c r="R587" s="147"/>
      <c r="S587" s="147"/>
      <c r="T587" s="147"/>
      <c r="U587" s="147"/>
      <c r="V587" s="147"/>
    </row>
    <row r="588">
      <c r="A588" s="240" t="s">
        <v>5913</v>
      </c>
      <c r="B588" s="240" t="s">
        <v>1618</v>
      </c>
      <c r="C588" s="240" t="s">
        <v>1619</v>
      </c>
      <c r="D588" s="240" t="s">
        <v>5914</v>
      </c>
      <c r="E588" s="240" t="s">
        <v>5915</v>
      </c>
      <c r="F588" s="240" t="s">
        <v>4223</v>
      </c>
      <c r="G588" s="147"/>
      <c r="H588" s="240" t="s">
        <v>4215</v>
      </c>
      <c r="I588" s="240" t="s">
        <v>4215</v>
      </c>
      <c r="J588" s="147"/>
      <c r="K588" s="147"/>
      <c r="L588" s="147"/>
      <c r="M588" s="147"/>
      <c r="N588" s="147"/>
      <c r="O588" s="147"/>
      <c r="P588" s="147"/>
      <c r="Q588" s="147"/>
      <c r="R588" s="147"/>
      <c r="S588" s="147"/>
      <c r="T588" s="147"/>
      <c r="U588" s="147"/>
      <c r="V588" s="147"/>
    </row>
    <row r="589">
      <c r="A589" s="240" t="s">
        <v>5916</v>
      </c>
      <c r="B589" s="240" t="s">
        <v>1620</v>
      </c>
      <c r="C589" s="240" t="s">
        <v>1621</v>
      </c>
      <c r="D589" s="240" t="s">
        <v>5917</v>
      </c>
      <c r="E589" s="240" t="s">
        <v>4263</v>
      </c>
      <c r="F589" s="240" t="s">
        <v>4264</v>
      </c>
      <c r="G589" s="147"/>
      <c r="H589" s="240" t="s">
        <v>4215</v>
      </c>
      <c r="I589" s="240" t="s">
        <v>4215</v>
      </c>
      <c r="J589" s="147"/>
      <c r="K589" s="147"/>
      <c r="L589" s="147"/>
      <c r="M589" s="147"/>
      <c r="N589" s="147"/>
      <c r="O589" s="147"/>
      <c r="P589" s="147"/>
      <c r="Q589" s="147"/>
      <c r="R589" s="147"/>
      <c r="S589" s="147"/>
      <c r="T589" s="147"/>
      <c r="U589" s="147"/>
      <c r="V589" s="147"/>
    </row>
    <row r="590">
      <c r="A590" s="240" t="s">
        <v>5918</v>
      </c>
      <c r="B590" s="240" t="s">
        <v>1622</v>
      </c>
      <c r="C590" s="240" t="s">
        <v>1623</v>
      </c>
      <c r="D590" s="240" t="s">
        <v>5919</v>
      </c>
      <c r="E590" s="240" t="s">
        <v>5920</v>
      </c>
      <c r="F590" s="240" t="s">
        <v>4219</v>
      </c>
      <c r="G590" s="147"/>
      <c r="H590" s="147"/>
      <c r="I590" s="147"/>
      <c r="J590" s="147"/>
      <c r="K590" s="147"/>
      <c r="L590" s="147"/>
      <c r="M590" s="147"/>
      <c r="N590" s="147"/>
      <c r="O590" s="147"/>
      <c r="P590" s="147"/>
      <c r="Q590" s="147"/>
      <c r="R590" s="147"/>
      <c r="S590" s="147"/>
      <c r="T590" s="147"/>
      <c r="U590" s="147"/>
      <c r="V590" s="147"/>
    </row>
    <row r="591">
      <c r="A591" s="240" t="s">
        <v>5921</v>
      </c>
      <c r="B591" s="240" t="s">
        <v>1624</v>
      </c>
      <c r="C591" s="240" t="s">
        <v>1625</v>
      </c>
      <c r="D591" s="240" t="s">
        <v>5922</v>
      </c>
      <c r="E591" s="240" t="s">
        <v>5923</v>
      </c>
      <c r="F591" s="240" t="s">
        <v>4590</v>
      </c>
      <c r="G591" s="147"/>
      <c r="H591" s="240" t="s">
        <v>4215</v>
      </c>
      <c r="I591" s="240" t="s">
        <v>4215</v>
      </c>
      <c r="J591" s="147"/>
      <c r="K591" s="147"/>
      <c r="L591" s="147"/>
      <c r="M591" s="147"/>
      <c r="N591" s="147"/>
      <c r="O591" s="147"/>
      <c r="P591" s="147"/>
      <c r="Q591" s="147"/>
      <c r="R591" s="147"/>
      <c r="S591" s="147"/>
      <c r="T591" s="147"/>
      <c r="U591" s="147"/>
      <c r="V591" s="147"/>
    </row>
    <row r="592">
      <c r="A592" s="240" t="s">
        <v>5924</v>
      </c>
      <c r="B592" s="240" t="s">
        <v>1626</v>
      </c>
      <c r="C592" s="240" t="s">
        <v>1627</v>
      </c>
      <c r="D592" s="240" t="s">
        <v>5925</v>
      </c>
      <c r="E592" s="240" t="s">
        <v>5926</v>
      </c>
      <c r="F592" s="240" t="s">
        <v>4231</v>
      </c>
      <c r="G592" s="147"/>
      <c r="H592" s="240" t="s">
        <v>4215</v>
      </c>
      <c r="I592" s="240" t="s">
        <v>4215</v>
      </c>
      <c r="J592" s="147"/>
      <c r="K592" s="147"/>
      <c r="L592" s="147"/>
      <c r="M592" s="147"/>
      <c r="N592" s="147"/>
      <c r="O592" s="147"/>
      <c r="P592" s="147"/>
      <c r="Q592" s="147"/>
      <c r="R592" s="147"/>
      <c r="S592" s="147"/>
      <c r="T592" s="147"/>
      <c r="U592" s="147"/>
      <c r="V592" s="147"/>
    </row>
    <row r="593">
      <c r="A593" s="240" t="s">
        <v>5927</v>
      </c>
      <c r="B593" s="240" t="s">
        <v>1628</v>
      </c>
      <c r="C593" s="240" t="s">
        <v>1629</v>
      </c>
      <c r="D593" s="240" t="s">
        <v>5928</v>
      </c>
      <c r="E593" s="240" t="s">
        <v>5929</v>
      </c>
      <c r="F593" s="240" t="s">
        <v>4297</v>
      </c>
      <c r="G593" s="147"/>
      <c r="H593" s="240" t="s">
        <v>4215</v>
      </c>
      <c r="I593" s="147"/>
      <c r="J593" s="147"/>
      <c r="K593" s="147"/>
      <c r="L593" s="147"/>
      <c r="M593" s="147"/>
      <c r="N593" s="147"/>
      <c r="O593" s="147"/>
      <c r="P593" s="147"/>
      <c r="Q593" s="147"/>
      <c r="R593" s="147"/>
      <c r="S593" s="147"/>
      <c r="T593" s="147"/>
      <c r="U593" s="147"/>
      <c r="V593" s="147"/>
    </row>
    <row r="594">
      <c r="A594" s="240" t="s">
        <v>5930</v>
      </c>
      <c r="B594" s="240" t="s">
        <v>1630</v>
      </c>
      <c r="C594" s="240" t="s">
        <v>1631</v>
      </c>
      <c r="D594" s="240" t="s">
        <v>5931</v>
      </c>
      <c r="E594" s="240" t="s">
        <v>5932</v>
      </c>
      <c r="F594" s="240" t="s">
        <v>4219</v>
      </c>
      <c r="G594" s="147"/>
      <c r="H594" s="240" t="s">
        <v>4215</v>
      </c>
      <c r="I594" s="240" t="s">
        <v>4215</v>
      </c>
      <c r="J594" s="147"/>
      <c r="K594" s="147"/>
      <c r="L594" s="147"/>
      <c r="M594" s="147"/>
      <c r="N594" s="147"/>
      <c r="O594" s="147"/>
      <c r="P594" s="147"/>
      <c r="Q594" s="147"/>
      <c r="R594" s="147"/>
      <c r="S594" s="147"/>
      <c r="T594" s="147"/>
      <c r="U594" s="147"/>
      <c r="V594" s="147"/>
    </row>
    <row r="595">
      <c r="A595" s="240" t="s">
        <v>5933</v>
      </c>
      <c r="B595" s="240" t="s">
        <v>1632</v>
      </c>
      <c r="C595" s="240" t="s">
        <v>1633</v>
      </c>
      <c r="D595" s="240" t="s">
        <v>5934</v>
      </c>
      <c r="E595" s="240" t="s">
        <v>5935</v>
      </c>
      <c r="F595" s="240" t="s">
        <v>4219</v>
      </c>
      <c r="G595" s="147"/>
      <c r="H595" s="240" t="s">
        <v>4215</v>
      </c>
      <c r="I595" s="240" t="s">
        <v>4215</v>
      </c>
      <c r="J595" s="147"/>
      <c r="K595" s="147"/>
      <c r="L595" s="147"/>
      <c r="M595" s="147"/>
      <c r="N595" s="147"/>
      <c r="O595" s="147"/>
      <c r="P595" s="147"/>
      <c r="Q595" s="147"/>
      <c r="R595" s="147"/>
      <c r="S595" s="147"/>
      <c r="T595" s="147"/>
      <c r="U595" s="147"/>
      <c r="V595" s="147"/>
    </row>
    <row r="596">
      <c r="A596" s="240" t="s">
        <v>5936</v>
      </c>
      <c r="B596" s="240" t="s">
        <v>1634</v>
      </c>
      <c r="C596" s="240" t="s">
        <v>1635</v>
      </c>
      <c r="D596" s="240" t="s">
        <v>5937</v>
      </c>
      <c r="E596" s="240" t="s">
        <v>5609</v>
      </c>
      <c r="F596" s="240" t="s">
        <v>4223</v>
      </c>
      <c r="G596" s="147"/>
      <c r="H596" s="240" t="s">
        <v>4215</v>
      </c>
      <c r="I596" s="147"/>
      <c r="J596" s="147"/>
      <c r="K596" s="147"/>
      <c r="L596" s="147"/>
      <c r="M596" s="147"/>
      <c r="N596" s="147"/>
      <c r="O596" s="147"/>
      <c r="P596" s="147"/>
      <c r="Q596" s="147"/>
      <c r="R596" s="147"/>
      <c r="S596" s="147"/>
      <c r="T596" s="147"/>
      <c r="U596" s="147"/>
      <c r="V596" s="147"/>
    </row>
    <row r="597">
      <c r="A597" s="240" t="s">
        <v>5938</v>
      </c>
      <c r="B597" s="240" t="s">
        <v>1636</v>
      </c>
      <c r="C597" s="240" t="s">
        <v>1637</v>
      </c>
      <c r="D597" s="240" t="s">
        <v>5939</v>
      </c>
      <c r="E597" s="240" t="s">
        <v>5940</v>
      </c>
      <c r="F597" s="240" t="s">
        <v>4223</v>
      </c>
      <c r="G597" s="147"/>
      <c r="H597" s="240" t="s">
        <v>4215</v>
      </c>
      <c r="I597" s="240" t="s">
        <v>4215</v>
      </c>
      <c r="J597" s="147"/>
      <c r="K597" s="147"/>
      <c r="L597" s="147"/>
      <c r="M597" s="147"/>
      <c r="N597" s="147"/>
      <c r="O597" s="147"/>
      <c r="P597" s="147"/>
      <c r="Q597" s="147"/>
      <c r="R597" s="147"/>
      <c r="S597" s="147"/>
      <c r="T597" s="147"/>
      <c r="U597" s="147"/>
      <c r="V597" s="147"/>
    </row>
    <row r="598">
      <c r="A598" s="240" t="s">
        <v>5941</v>
      </c>
      <c r="B598" s="240" t="s">
        <v>1638</v>
      </c>
      <c r="C598" s="240" t="s">
        <v>1639</v>
      </c>
      <c r="D598" s="240" t="s">
        <v>5942</v>
      </c>
      <c r="E598" s="240" t="s">
        <v>5943</v>
      </c>
      <c r="F598" s="240" t="s">
        <v>4223</v>
      </c>
      <c r="G598" s="147"/>
      <c r="H598" s="240" t="s">
        <v>4215</v>
      </c>
      <c r="I598" s="240" t="s">
        <v>4215</v>
      </c>
      <c r="J598" s="147"/>
      <c r="K598" s="147"/>
      <c r="L598" s="147"/>
      <c r="M598" s="147"/>
      <c r="N598" s="147"/>
      <c r="O598" s="147"/>
      <c r="P598" s="147"/>
      <c r="Q598" s="147"/>
      <c r="R598" s="147"/>
      <c r="S598" s="147"/>
      <c r="T598" s="147"/>
      <c r="U598" s="147"/>
      <c r="V598" s="147"/>
    </row>
    <row r="599">
      <c r="A599" s="240" t="s">
        <v>5944</v>
      </c>
      <c r="B599" s="240" t="s">
        <v>1640</v>
      </c>
      <c r="C599" s="240" t="s">
        <v>1641</v>
      </c>
      <c r="D599" s="240" t="s">
        <v>5945</v>
      </c>
      <c r="E599" s="240" t="s">
        <v>5946</v>
      </c>
      <c r="F599" s="240" t="s">
        <v>4264</v>
      </c>
      <c r="G599" s="147"/>
      <c r="H599" s="147"/>
      <c r="I599" s="147"/>
      <c r="J599" s="147"/>
      <c r="K599" s="147"/>
      <c r="L599" s="147"/>
      <c r="M599" s="147"/>
      <c r="N599" s="147"/>
      <c r="O599" s="147"/>
      <c r="P599" s="147"/>
      <c r="Q599" s="147"/>
      <c r="R599" s="147"/>
      <c r="S599" s="147"/>
      <c r="T599" s="147"/>
      <c r="U599" s="147"/>
      <c r="V599" s="147"/>
    </row>
    <row r="600">
      <c r="A600" s="240" t="s">
        <v>5947</v>
      </c>
      <c r="B600" s="240" t="s">
        <v>1642</v>
      </c>
      <c r="C600" s="240" t="s">
        <v>1643</v>
      </c>
      <c r="D600" s="240" t="s">
        <v>5948</v>
      </c>
      <c r="E600" s="240" t="s">
        <v>442</v>
      </c>
      <c r="F600" s="240" t="s">
        <v>4231</v>
      </c>
      <c r="G600" s="147"/>
      <c r="H600" s="240" t="s">
        <v>4215</v>
      </c>
      <c r="I600" s="240" t="s">
        <v>4215</v>
      </c>
      <c r="J600" s="147"/>
      <c r="K600" s="147"/>
      <c r="L600" s="147"/>
      <c r="M600" s="147"/>
      <c r="N600" s="147"/>
      <c r="O600" s="147"/>
      <c r="P600" s="147"/>
      <c r="Q600" s="147"/>
      <c r="R600" s="147"/>
      <c r="S600" s="147"/>
      <c r="T600" s="147"/>
      <c r="U600" s="147"/>
      <c r="V600" s="147"/>
    </row>
    <row r="601">
      <c r="A601" s="240" t="s">
        <v>5949</v>
      </c>
      <c r="B601" s="240" t="s">
        <v>1644</v>
      </c>
      <c r="C601" s="240" t="s">
        <v>1645</v>
      </c>
      <c r="D601" s="240" t="s">
        <v>5950</v>
      </c>
      <c r="E601" s="240" t="s">
        <v>5951</v>
      </c>
      <c r="F601" s="240" t="s">
        <v>4227</v>
      </c>
      <c r="G601" s="147"/>
      <c r="H601" s="240" t="s">
        <v>4215</v>
      </c>
      <c r="I601" s="240" t="s">
        <v>4215</v>
      </c>
      <c r="J601" s="147"/>
      <c r="K601" s="147"/>
      <c r="L601" s="147"/>
      <c r="M601" s="147"/>
      <c r="N601" s="147"/>
      <c r="O601" s="147"/>
      <c r="P601" s="147"/>
      <c r="Q601" s="147"/>
      <c r="R601" s="147"/>
      <c r="S601" s="147"/>
      <c r="T601" s="147"/>
      <c r="U601" s="147"/>
      <c r="V601" s="147"/>
    </row>
    <row r="602">
      <c r="A602" s="240" t="s">
        <v>5952</v>
      </c>
      <c r="B602" s="240" t="s">
        <v>1646</v>
      </c>
      <c r="C602" s="240" t="s">
        <v>1647</v>
      </c>
      <c r="D602" s="240" t="s">
        <v>5953</v>
      </c>
      <c r="E602" s="240" t="s">
        <v>5951</v>
      </c>
      <c r="F602" s="240" t="s">
        <v>4227</v>
      </c>
      <c r="G602" s="147"/>
      <c r="H602" s="240" t="s">
        <v>4215</v>
      </c>
      <c r="I602" s="240" t="s">
        <v>4215</v>
      </c>
      <c r="J602" s="147"/>
      <c r="K602" s="147"/>
      <c r="L602" s="147"/>
      <c r="M602" s="147"/>
      <c r="N602" s="147"/>
      <c r="O602" s="147"/>
      <c r="P602" s="147"/>
      <c r="Q602" s="147"/>
      <c r="R602" s="147"/>
      <c r="S602" s="147"/>
      <c r="T602" s="147"/>
      <c r="U602" s="147"/>
      <c r="V602" s="147"/>
    </row>
    <row r="603">
      <c r="A603" s="240" t="s">
        <v>5954</v>
      </c>
      <c r="B603" s="240" t="s">
        <v>1648</v>
      </c>
      <c r="C603" s="240" t="s">
        <v>1649</v>
      </c>
      <c r="D603" s="240" t="s">
        <v>5955</v>
      </c>
      <c r="E603" s="240" t="s">
        <v>5956</v>
      </c>
      <c r="F603" s="240" t="s">
        <v>4621</v>
      </c>
      <c r="G603" s="147"/>
      <c r="H603" s="240" t="s">
        <v>4215</v>
      </c>
      <c r="I603" s="240" t="s">
        <v>4215</v>
      </c>
      <c r="J603" s="147"/>
      <c r="K603" s="147"/>
      <c r="L603" s="147"/>
      <c r="M603" s="147"/>
      <c r="N603" s="147"/>
      <c r="O603" s="147"/>
      <c r="P603" s="147"/>
      <c r="Q603" s="147"/>
      <c r="R603" s="147"/>
      <c r="S603" s="147"/>
      <c r="T603" s="147"/>
      <c r="U603" s="147"/>
      <c r="V603" s="147"/>
    </row>
    <row r="604">
      <c r="A604" s="240" t="s">
        <v>5957</v>
      </c>
      <c r="B604" s="240" t="s">
        <v>1650</v>
      </c>
      <c r="C604" s="240" t="s">
        <v>1651</v>
      </c>
      <c r="D604" s="240" t="s">
        <v>5958</v>
      </c>
      <c r="E604" s="240" t="s">
        <v>5959</v>
      </c>
      <c r="F604" s="240" t="s">
        <v>4231</v>
      </c>
      <c r="G604" s="147"/>
      <c r="H604" s="147"/>
      <c r="I604" s="147"/>
      <c r="J604" s="147"/>
      <c r="K604" s="147"/>
      <c r="L604" s="147"/>
      <c r="M604" s="147"/>
      <c r="N604" s="147"/>
      <c r="O604" s="147"/>
      <c r="P604" s="147"/>
      <c r="Q604" s="147"/>
      <c r="R604" s="147"/>
      <c r="S604" s="147"/>
      <c r="T604" s="147"/>
      <c r="U604" s="147"/>
      <c r="V604" s="147"/>
    </row>
    <row r="605">
      <c r="A605" s="240" t="s">
        <v>5960</v>
      </c>
      <c r="B605" s="240" t="s">
        <v>1652</v>
      </c>
      <c r="C605" s="240" t="s">
        <v>1653</v>
      </c>
      <c r="D605" s="240" t="s">
        <v>5961</v>
      </c>
      <c r="E605" s="240" t="s">
        <v>5962</v>
      </c>
      <c r="F605" s="240" t="s">
        <v>4264</v>
      </c>
      <c r="G605" s="147"/>
      <c r="H605" s="240" t="s">
        <v>4215</v>
      </c>
      <c r="I605" s="240" t="s">
        <v>4215</v>
      </c>
      <c r="J605" s="147"/>
      <c r="K605" s="147"/>
      <c r="L605" s="147"/>
      <c r="M605" s="147"/>
      <c r="N605" s="147"/>
      <c r="O605" s="147"/>
      <c r="P605" s="147"/>
      <c r="Q605" s="147"/>
      <c r="R605" s="147"/>
      <c r="S605" s="147"/>
      <c r="T605" s="147"/>
      <c r="U605" s="147"/>
      <c r="V605" s="147"/>
    </row>
    <row r="606">
      <c r="A606" s="240" t="s">
        <v>5963</v>
      </c>
      <c r="B606" s="240" t="s">
        <v>1654</v>
      </c>
      <c r="C606" s="240" t="s">
        <v>1655</v>
      </c>
      <c r="D606" s="240" t="s">
        <v>5964</v>
      </c>
      <c r="E606" s="240" t="s">
        <v>5965</v>
      </c>
      <c r="F606" s="240" t="s">
        <v>4227</v>
      </c>
      <c r="G606" s="147"/>
      <c r="H606" s="240" t="s">
        <v>4215</v>
      </c>
      <c r="I606" s="240" t="s">
        <v>4215</v>
      </c>
      <c r="J606" s="147"/>
      <c r="K606" s="147"/>
      <c r="L606" s="147"/>
      <c r="M606" s="147"/>
      <c r="N606" s="147"/>
      <c r="O606" s="147"/>
      <c r="P606" s="147"/>
      <c r="Q606" s="147"/>
      <c r="R606" s="147"/>
      <c r="S606" s="147"/>
      <c r="T606" s="147"/>
      <c r="U606" s="147"/>
      <c r="V606" s="147"/>
    </row>
    <row r="607">
      <c r="A607" s="240" t="s">
        <v>5966</v>
      </c>
      <c r="B607" s="240" t="s">
        <v>1656</v>
      </c>
      <c r="C607" s="240" t="s">
        <v>1657</v>
      </c>
      <c r="D607" s="240" t="s">
        <v>5967</v>
      </c>
      <c r="E607" s="240" t="s">
        <v>5968</v>
      </c>
      <c r="F607" s="240" t="s">
        <v>4264</v>
      </c>
      <c r="G607" s="147"/>
      <c r="H607" s="240" t="s">
        <v>4215</v>
      </c>
      <c r="I607" s="240" t="s">
        <v>4215</v>
      </c>
      <c r="J607" s="147"/>
      <c r="K607" s="147"/>
      <c r="L607" s="147"/>
      <c r="M607" s="147"/>
      <c r="N607" s="147"/>
      <c r="O607" s="147"/>
      <c r="P607" s="147"/>
      <c r="Q607" s="147"/>
      <c r="R607" s="147"/>
      <c r="S607" s="147"/>
      <c r="T607" s="147"/>
      <c r="U607" s="147"/>
      <c r="V607" s="147"/>
    </row>
    <row r="608">
      <c r="A608" s="240" t="s">
        <v>5969</v>
      </c>
      <c r="B608" s="240" t="s">
        <v>1658</v>
      </c>
      <c r="C608" s="240" t="s">
        <v>1659</v>
      </c>
      <c r="D608" s="240" t="s">
        <v>5970</v>
      </c>
      <c r="E608" s="240" t="s">
        <v>5971</v>
      </c>
      <c r="F608" s="240" t="s">
        <v>4235</v>
      </c>
      <c r="G608" s="147"/>
      <c r="H608" s="240" t="s">
        <v>4215</v>
      </c>
      <c r="I608" s="240" t="s">
        <v>4215</v>
      </c>
      <c r="J608" s="147"/>
      <c r="K608" s="147"/>
      <c r="L608" s="147"/>
      <c r="M608" s="147"/>
      <c r="N608" s="147"/>
      <c r="O608" s="147"/>
      <c r="P608" s="147"/>
      <c r="Q608" s="147"/>
      <c r="R608" s="147"/>
      <c r="S608" s="147"/>
      <c r="T608" s="147"/>
      <c r="U608" s="147"/>
      <c r="V608" s="147"/>
    </row>
    <row r="609">
      <c r="A609" s="240" t="s">
        <v>5972</v>
      </c>
      <c r="B609" s="240" t="s">
        <v>1660</v>
      </c>
      <c r="C609" s="240" t="s">
        <v>1661</v>
      </c>
      <c r="D609" s="240" t="s">
        <v>5973</v>
      </c>
      <c r="E609" s="240" t="s">
        <v>5974</v>
      </c>
      <c r="F609" s="240" t="s">
        <v>4264</v>
      </c>
      <c r="G609" s="147"/>
      <c r="H609" s="240" t="s">
        <v>4215</v>
      </c>
      <c r="I609" s="240" t="s">
        <v>4215</v>
      </c>
      <c r="J609" s="147"/>
      <c r="K609" s="147"/>
      <c r="L609" s="147"/>
      <c r="M609" s="147"/>
      <c r="N609" s="147"/>
      <c r="O609" s="147"/>
      <c r="P609" s="147"/>
      <c r="Q609" s="147"/>
      <c r="R609" s="147"/>
      <c r="S609" s="147"/>
      <c r="T609" s="147"/>
      <c r="U609" s="147"/>
      <c r="V609" s="147"/>
    </row>
    <row r="610">
      <c r="A610" s="240" t="s">
        <v>5975</v>
      </c>
      <c r="B610" s="240" t="s">
        <v>1662</v>
      </c>
      <c r="C610" s="240" t="s">
        <v>1663</v>
      </c>
      <c r="D610" s="240" t="s">
        <v>5976</v>
      </c>
      <c r="E610" s="240" t="s">
        <v>4741</v>
      </c>
      <c r="F610" s="240" t="s">
        <v>4231</v>
      </c>
      <c r="G610" s="147"/>
      <c r="H610" s="240" t="s">
        <v>4215</v>
      </c>
      <c r="I610" s="240" t="s">
        <v>4215</v>
      </c>
      <c r="J610" s="147"/>
      <c r="K610" s="147"/>
      <c r="L610" s="147"/>
      <c r="M610" s="147"/>
      <c r="N610" s="147"/>
      <c r="O610" s="147"/>
      <c r="P610" s="147"/>
      <c r="Q610" s="147"/>
      <c r="R610" s="147"/>
      <c r="S610" s="147"/>
      <c r="T610" s="147"/>
      <c r="U610" s="147"/>
      <c r="V610" s="147"/>
    </row>
    <row r="611">
      <c r="A611" s="240" t="s">
        <v>5977</v>
      </c>
      <c r="B611" s="240" t="s">
        <v>1664</v>
      </c>
      <c r="C611" s="240" t="s">
        <v>1665</v>
      </c>
      <c r="D611" s="240" t="s">
        <v>5978</v>
      </c>
      <c r="E611" s="240" t="s">
        <v>5979</v>
      </c>
      <c r="F611" s="240" t="s">
        <v>4235</v>
      </c>
      <c r="G611" s="147"/>
      <c r="H611" s="240" t="s">
        <v>4215</v>
      </c>
      <c r="I611" s="240" t="s">
        <v>4215</v>
      </c>
      <c r="J611" s="147"/>
      <c r="K611" s="147"/>
      <c r="L611" s="147"/>
      <c r="M611" s="147"/>
      <c r="N611" s="147"/>
      <c r="O611" s="147"/>
      <c r="P611" s="147"/>
      <c r="Q611" s="147"/>
      <c r="R611" s="147"/>
      <c r="S611" s="147"/>
      <c r="T611" s="147"/>
      <c r="U611" s="147"/>
      <c r="V611" s="147"/>
    </row>
    <row r="612">
      <c r="A612" s="240" t="s">
        <v>5980</v>
      </c>
      <c r="B612" s="240" t="s">
        <v>1666</v>
      </c>
      <c r="C612" s="240" t="s">
        <v>1667</v>
      </c>
      <c r="D612" s="240" t="s">
        <v>5981</v>
      </c>
      <c r="E612" s="240" t="s">
        <v>5982</v>
      </c>
      <c r="F612" s="240" t="s">
        <v>5430</v>
      </c>
      <c r="G612" s="147"/>
      <c r="H612" s="240" t="s">
        <v>4215</v>
      </c>
      <c r="I612" s="240" t="s">
        <v>4215</v>
      </c>
      <c r="J612" s="147"/>
      <c r="K612" s="147"/>
      <c r="L612" s="147"/>
      <c r="M612" s="147"/>
      <c r="N612" s="147"/>
      <c r="O612" s="147"/>
      <c r="P612" s="147"/>
      <c r="Q612" s="147"/>
      <c r="R612" s="147"/>
      <c r="S612" s="147"/>
      <c r="T612" s="147"/>
      <c r="U612" s="147"/>
      <c r="V612" s="147"/>
    </row>
    <row r="613">
      <c r="A613" s="240" t="s">
        <v>5983</v>
      </c>
      <c r="B613" s="240" t="s">
        <v>1668</v>
      </c>
      <c r="C613" s="240" t="s">
        <v>1669</v>
      </c>
      <c r="D613" s="240" t="s">
        <v>5984</v>
      </c>
      <c r="E613" s="240" t="s">
        <v>5985</v>
      </c>
      <c r="F613" s="240" t="s">
        <v>4223</v>
      </c>
      <c r="G613" s="147"/>
      <c r="H613" s="240" t="s">
        <v>4215</v>
      </c>
      <c r="I613" s="240" t="s">
        <v>4215</v>
      </c>
      <c r="J613" s="147"/>
      <c r="K613" s="147"/>
      <c r="L613" s="147"/>
      <c r="M613" s="147"/>
      <c r="N613" s="147"/>
      <c r="O613" s="147"/>
      <c r="P613" s="147"/>
      <c r="Q613" s="147"/>
      <c r="R613" s="147"/>
      <c r="S613" s="147"/>
      <c r="T613" s="147"/>
      <c r="U613" s="147"/>
      <c r="V613" s="147"/>
    </row>
    <row r="614">
      <c r="A614" s="240" t="s">
        <v>5986</v>
      </c>
      <c r="B614" s="240" t="s">
        <v>1670</v>
      </c>
      <c r="C614" s="240" t="s">
        <v>1671</v>
      </c>
      <c r="D614" s="240" t="s">
        <v>5987</v>
      </c>
      <c r="E614" s="240" t="s">
        <v>5988</v>
      </c>
      <c r="F614" s="240" t="s">
        <v>4223</v>
      </c>
      <c r="G614" s="147"/>
      <c r="H614" s="240" t="s">
        <v>4215</v>
      </c>
      <c r="I614" s="240" t="s">
        <v>4215</v>
      </c>
      <c r="J614" s="147"/>
      <c r="K614" s="147"/>
      <c r="L614" s="147"/>
      <c r="M614" s="147"/>
      <c r="N614" s="147"/>
      <c r="O614" s="147"/>
      <c r="P614" s="147"/>
      <c r="Q614" s="147"/>
      <c r="R614" s="147"/>
      <c r="S614" s="147"/>
      <c r="T614" s="147"/>
      <c r="U614" s="147"/>
      <c r="V614" s="147"/>
    </row>
    <row r="615">
      <c r="A615" s="240" t="s">
        <v>5989</v>
      </c>
      <c r="B615" s="240" t="s">
        <v>1672</v>
      </c>
      <c r="C615" s="240" t="s">
        <v>1673</v>
      </c>
      <c r="D615" s="240" t="s">
        <v>5990</v>
      </c>
      <c r="E615" s="240" t="s">
        <v>5991</v>
      </c>
      <c r="F615" s="240" t="s">
        <v>4355</v>
      </c>
      <c r="G615" s="147"/>
      <c r="H615" s="240" t="s">
        <v>4215</v>
      </c>
      <c r="I615" s="240" t="s">
        <v>4215</v>
      </c>
      <c r="J615" s="147"/>
      <c r="K615" s="147"/>
      <c r="L615" s="147"/>
      <c r="M615" s="147"/>
      <c r="N615" s="147"/>
      <c r="O615" s="147"/>
      <c r="P615" s="147"/>
      <c r="Q615" s="147"/>
      <c r="R615" s="147"/>
      <c r="S615" s="147"/>
      <c r="T615" s="147"/>
      <c r="U615" s="147"/>
      <c r="V615" s="147"/>
    </row>
    <row r="616">
      <c r="A616" s="240" t="s">
        <v>5992</v>
      </c>
      <c r="B616" s="240" t="s">
        <v>1674</v>
      </c>
      <c r="C616" s="240" t="s">
        <v>1675</v>
      </c>
      <c r="D616" s="240" t="s">
        <v>5993</v>
      </c>
      <c r="E616" s="240" t="s">
        <v>5994</v>
      </c>
      <c r="F616" s="240" t="s">
        <v>4231</v>
      </c>
      <c r="G616" s="147"/>
      <c r="H616" s="240" t="s">
        <v>4215</v>
      </c>
      <c r="I616" s="240" t="s">
        <v>4215</v>
      </c>
      <c r="J616" s="147"/>
      <c r="K616" s="147"/>
      <c r="L616" s="147"/>
      <c r="M616" s="147"/>
      <c r="N616" s="147"/>
      <c r="O616" s="147"/>
      <c r="P616" s="147"/>
      <c r="Q616" s="147"/>
      <c r="R616" s="147"/>
      <c r="S616" s="147"/>
      <c r="T616" s="147"/>
      <c r="U616" s="147"/>
      <c r="V616" s="147"/>
    </row>
    <row r="617">
      <c r="A617" s="240" t="s">
        <v>5995</v>
      </c>
      <c r="B617" s="240" t="s">
        <v>1676</v>
      </c>
      <c r="C617" s="240" t="s">
        <v>1677</v>
      </c>
      <c r="D617" s="240" t="s">
        <v>5996</v>
      </c>
      <c r="E617" s="240" t="s">
        <v>5997</v>
      </c>
      <c r="F617" s="240" t="s">
        <v>4264</v>
      </c>
      <c r="G617" s="147"/>
      <c r="H617" s="240" t="s">
        <v>4215</v>
      </c>
      <c r="I617" s="240" t="s">
        <v>4215</v>
      </c>
      <c r="J617" s="147"/>
      <c r="K617" s="147"/>
      <c r="L617" s="147"/>
      <c r="M617" s="147"/>
      <c r="N617" s="147"/>
      <c r="O617" s="147"/>
      <c r="P617" s="147"/>
      <c r="Q617" s="147"/>
      <c r="R617" s="147"/>
      <c r="S617" s="147"/>
      <c r="T617" s="147"/>
      <c r="U617" s="147"/>
      <c r="V617" s="147"/>
    </row>
    <row r="618">
      <c r="A618" s="240" t="s">
        <v>5998</v>
      </c>
      <c r="B618" s="240" t="s">
        <v>1678</v>
      </c>
      <c r="C618" s="240" t="s">
        <v>1679</v>
      </c>
      <c r="D618" s="240" t="s">
        <v>5999</v>
      </c>
      <c r="E618" s="240" t="s">
        <v>6000</v>
      </c>
      <c r="F618" s="240" t="s">
        <v>4264</v>
      </c>
      <c r="G618" s="147"/>
      <c r="H618" s="240" t="s">
        <v>4215</v>
      </c>
      <c r="I618" s="240" t="s">
        <v>4215</v>
      </c>
      <c r="J618" s="147"/>
      <c r="K618" s="147"/>
      <c r="L618" s="147"/>
      <c r="M618" s="147"/>
      <c r="N618" s="147"/>
      <c r="O618" s="147"/>
      <c r="P618" s="147"/>
      <c r="Q618" s="147"/>
      <c r="R618" s="147"/>
      <c r="S618" s="147"/>
      <c r="T618" s="147"/>
      <c r="U618" s="147"/>
      <c r="V618" s="147"/>
    </row>
    <row r="619">
      <c r="A619" s="240" t="s">
        <v>6001</v>
      </c>
      <c r="B619" s="240" t="s">
        <v>1680</v>
      </c>
      <c r="C619" s="240" t="s">
        <v>1681</v>
      </c>
      <c r="D619" s="240" t="s">
        <v>6002</v>
      </c>
      <c r="E619" s="240" t="s">
        <v>293</v>
      </c>
      <c r="F619" s="240" t="s">
        <v>4219</v>
      </c>
      <c r="G619" s="147"/>
      <c r="H619" s="240" t="s">
        <v>4215</v>
      </c>
      <c r="I619" s="240" t="s">
        <v>4215</v>
      </c>
      <c r="J619" s="147"/>
      <c r="K619" s="147"/>
      <c r="L619" s="147"/>
      <c r="M619" s="147"/>
      <c r="N619" s="147"/>
      <c r="O619" s="147"/>
      <c r="P619" s="147"/>
      <c r="Q619" s="147"/>
      <c r="R619" s="147"/>
      <c r="S619" s="147"/>
      <c r="T619" s="147"/>
      <c r="U619" s="147"/>
      <c r="V619" s="147"/>
    </row>
    <row r="620">
      <c r="A620" s="240" t="s">
        <v>6003</v>
      </c>
      <c r="B620" s="240" t="s">
        <v>1682</v>
      </c>
      <c r="C620" s="240" t="s">
        <v>1683</v>
      </c>
      <c r="D620" s="240" t="s">
        <v>6004</v>
      </c>
      <c r="E620" s="240" t="s">
        <v>6005</v>
      </c>
      <c r="F620" s="240" t="s">
        <v>4621</v>
      </c>
      <c r="G620" s="147"/>
      <c r="H620" s="240" t="s">
        <v>4215</v>
      </c>
      <c r="I620" s="240" t="s">
        <v>4215</v>
      </c>
      <c r="J620" s="147"/>
      <c r="K620" s="147"/>
      <c r="L620" s="147"/>
      <c r="M620" s="147"/>
      <c r="N620" s="147"/>
      <c r="O620" s="147"/>
      <c r="P620" s="147"/>
      <c r="Q620" s="147"/>
      <c r="R620" s="147"/>
      <c r="S620" s="147"/>
      <c r="T620" s="147"/>
      <c r="U620" s="147"/>
      <c r="V620" s="147"/>
    </row>
    <row r="621">
      <c r="A621" s="240" t="s">
        <v>6006</v>
      </c>
      <c r="B621" s="240" t="s">
        <v>1684</v>
      </c>
      <c r="C621" s="240" t="s">
        <v>1685</v>
      </c>
      <c r="D621" s="240" t="s">
        <v>6007</v>
      </c>
      <c r="E621" s="240" t="s">
        <v>331</v>
      </c>
      <c r="F621" s="240" t="s">
        <v>4219</v>
      </c>
      <c r="G621" s="147"/>
      <c r="H621" s="240" t="s">
        <v>4215</v>
      </c>
      <c r="I621" s="240" t="s">
        <v>4215</v>
      </c>
      <c r="J621" s="147"/>
      <c r="K621" s="147"/>
      <c r="L621" s="147"/>
      <c r="M621" s="147"/>
      <c r="N621" s="147"/>
      <c r="O621" s="147"/>
      <c r="P621" s="147"/>
      <c r="Q621" s="147"/>
      <c r="R621" s="147"/>
      <c r="S621" s="147"/>
      <c r="T621" s="147"/>
      <c r="U621" s="147"/>
      <c r="V621" s="147"/>
    </row>
    <row r="622">
      <c r="A622" s="240" t="s">
        <v>6008</v>
      </c>
      <c r="B622" s="240" t="s">
        <v>1686</v>
      </c>
      <c r="C622" s="240" t="s">
        <v>1687</v>
      </c>
      <c r="D622" s="240" t="s">
        <v>6009</v>
      </c>
      <c r="E622" s="240" t="s">
        <v>6010</v>
      </c>
      <c r="F622" s="240" t="s">
        <v>4235</v>
      </c>
      <c r="G622" s="147"/>
      <c r="H622" s="240" t="s">
        <v>4215</v>
      </c>
      <c r="I622" s="240" t="s">
        <v>4215</v>
      </c>
      <c r="J622" s="147"/>
      <c r="K622" s="147"/>
      <c r="L622" s="147"/>
      <c r="M622" s="147"/>
      <c r="N622" s="147"/>
      <c r="O622" s="147"/>
      <c r="P622" s="147"/>
      <c r="Q622" s="147"/>
      <c r="R622" s="147"/>
      <c r="S622" s="147"/>
      <c r="T622" s="147"/>
      <c r="U622" s="147"/>
      <c r="V622" s="147"/>
    </row>
    <row r="623">
      <c r="A623" s="240" t="s">
        <v>6011</v>
      </c>
      <c r="B623" s="240" t="s">
        <v>1688</v>
      </c>
      <c r="C623" s="240" t="s">
        <v>1689</v>
      </c>
      <c r="D623" s="240" t="s">
        <v>6012</v>
      </c>
      <c r="E623" s="240" t="s">
        <v>6013</v>
      </c>
      <c r="F623" s="240" t="s">
        <v>4219</v>
      </c>
      <c r="G623" s="147"/>
      <c r="H623" s="240" t="s">
        <v>4215</v>
      </c>
      <c r="I623" s="240" t="s">
        <v>4215</v>
      </c>
      <c r="J623" s="147"/>
      <c r="K623" s="147"/>
      <c r="L623" s="147"/>
      <c r="M623" s="147"/>
      <c r="N623" s="147"/>
      <c r="O623" s="147"/>
      <c r="P623" s="147"/>
      <c r="Q623" s="147"/>
      <c r="R623" s="147"/>
      <c r="S623" s="147"/>
      <c r="T623" s="147"/>
      <c r="U623" s="147"/>
      <c r="V623" s="147"/>
    </row>
    <row r="624">
      <c r="A624" s="240" t="s">
        <v>6014</v>
      </c>
      <c r="B624" s="240" t="s">
        <v>1690</v>
      </c>
      <c r="C624" s="240" t="s">
        <v>1691</v>
      </c>
      <c r="D624" s="240" t="s">
        <v>6015</v>
      </c>
      <c r="E624" s="240" t="s">
        <v>6016</v>
      </c>
      <c r="F624" s="240" t="s">
        <v>4223</v>
      </c>
      <c r="G624" s="147"/>
      <c r="H624" s="240" t="s">
        <v>4215</v>
      </c>
      <c r="I624" s="240" t="s">
        <v>4215</v>
      </c>
      <c r="J624" s="147"/>
      <c r="K624" s="147"/>
      <c r="L624" s="147"/>
      <c r="M624" s="147"/>
      <c r="N624" s="147"/>
      <c r="O624" s="147"/>
      <c r="P624" s="147"/>
      <c r="Q624" s="147"/>
      <c r="R624" s="147"/>
      <c r="S624" s="147"/>
      <c r="T624" s="147"/>
      <c r="U624" s="147"/>
      <c r="V624" s="147"/>
    </row>
    <row r="625">
      <c r="A625" s="240" t="s">
        <v>6017</v>
      </c>
      <c r="B625" s="240" t="s">
        <v>1692</v>
      </c>
      <c r="C625" s="240" t="s">
        <v>1693</v>
      </c>
      <c r="D625" s="240" t="s">
        <v>6018</v>
      </c>
      <c r="E625" s="240" t="s">
        <v>6019</v>
      </c>
      <c r="F625" s="240" t="s">
        <v>4231</v>
      </c>
      <c r="G625" s="147"/>
      <c r="H625" s="240" t="s">
        <v>4215</v>
      </c>
      <c r="I625" s="240" t="s">
        <v>4215</v>
      </c>
      <c r="J625" s="147"/>
      <c r="K625" s="147"/>
      <c r="L625" s="147"/>
      <c r="M625" s="147"/>
      <c r="N625" s="147"/>
      <c r="O625" s="147"/>
      <c r="P625" s="147"/>
      <c r="Q625" s="147"/>
      <c r="R625" s="147"/>
      <c r="S625" s="147"/>
      <c r="T625" s="147"/>
      <c r="U625" s="147"/>
      <c r="V625" s="147"/>
    </row>
    <row r="626">
      <c r="A626" s="240" t="s">
        <v>6020</v>
      </c>
      <c r="B626" s="240" t="s">
        <v>1694</v>
      </c>
      <c r="C626" s="240" t="s">
        <v>1695</v>
      </c>
      <c r="D626" s="240" t="s">
        <v>6021</v>
      </c>
      <c r="E626" s="240" t="s">
        <v>6022</v>
      </c>
      <c r="F626" s="240" t="s">
        <v>4231</v>
      </c>
      <c r="G626" s="147"/>
      <c r="H626" s="240" t="s">
        <v>4215</v>
      </c>
      <c r="I626" s="240" t="s">
        <v>4215</v>
      </c>
      <c r="J626" s="147"/>
      <c r="K626" s="147"/>
      <c r="L626" s="147"/>
      <c r="M626" s="147"/>
      <c r="N626" s="147"/>
      <c r="O626" s="147"/>
      <c r="P626" s="147"/>
      <c r="Q626" s="147"/>
      <c r="R626" s="147"/>
      <c r="S626" s="147"/>
      <c r="T626" s="147"/>
      <c r="U626" s="147"/>
      <c r="V626" s="147"/>
    </row>
    <row r="627">
      <c r="A627" s="240" t="s">
        <v>6023</v>
      </c>
      <c r="B627" s="240" t="s">
        <v>1696</v>
      </c>
      <c r="C627" s="240" t="s">
        <v>1697</v>
      </c>
      <c r="D627" s="240" t="s">
        <v>6024</v>
      </c>
      <c r="E627" s="240" t="s">
        <v>401</v>
      </c>
      <c r="F627" s="147"/>
      <c r="G627" s="147"/>
      <c r="H627" s="240" t="s">
        <v>4215</v>
      </c>
      <c r="I627" s="240" t="s">
        <v>4215</v>
      </c>
      <c r="J627" s="147"/>
      <c r="K627" s="147"/>
      <c r="L627" s="147"/>
      <c r="M627" s="147"/>
      <c r="N627" s="147"/>
      <c r="O627" s="147"/>
      <c r="P627" s="147"/>
      <c r="Q627" s="147"/>
      <c r="R627" s="147"/>
      <c r="S627" s="147"/>
      <c r="T627" s="147"/>
      <c r="U627" s="147"/>
      <c r="V627" s="147"/>
    </row>
    <row r="628">
      <c r="A628" s="240" t="s">
        <v>6025</v>
      </c>
      <c r="B628" s="240" t="s">
        <v>1698</v>
      </c>
      <c r="C628" s="240" t="s">
        <v>1699</v>
      </c>
      <c r="D628" s="240" t="s">
        <v>6026</v>
      </c>
      <c r="E628" s="240" t="s">
        <v>6027</v>
      </c>
      <c r="F628" s="240" t="s">
        <v>4235</v>
      </c>
      <c r="G628" s="147"/>
      <c r="H628" s="240" t="s">
        <v>4215</v>
      </c>
      <c r="I628" s="240" t="s">
        <v>4215</v>
      </c>
      <c r="J628" s="147"/>
      <c r="K628" s="147"/>
      <c r="L628" s="147"/>
      <c r="M628" s="147"/>
      <c r="N628" s="147"/>
      <c r="O628" s="147"/>
      <c r="P628" s="147"/>
      <c r="Q628" s="147"/>
      <c r="R628" s="147"/>
      <c r="S628" s="147"/>
      <c r="T628" s="147"/>
      <c r="U628" s="147"/>
      <c r="V628" s="147"/>
    </row>
    <row r="629">
      <c r="A629" s="240" t="s">
        <v>6028</v>
      </c>
      <c r="B629" s="240" t="s">
        <v>1700</v>
      </c>
      <c r="C629" s="240" t="s">
        <v>1701</v>
      </c>
      <c r="D629" s="240" t="s">
        <v>6029</v>
      </c>
      <c r="E629" s="240" t="s">
        <v>6030</v>
      </c>
      <c r="F629" s="240" t="s">
        <v>4264</v>
      </c>
      <c r="G629" s="147"/>
      <c r="H629" s="147"/>
      <c r="I629" s="147"/>
      <c r="J629" s="147"/>
      <c r="K629" s="147"/>
      <c r="L629" s="147"/>
      <c r="M629" s="147"/>
      <c r="N629" s="147"/>
      <c r="O629" s="147"/>
      <c r="P629" s="147"/>
      <c r="Q629" s="147"/>
      <c r="R629" s="147"/>
      <c r="S629" s="147"/>
      <c r="T629" s="147"/>
      <c r="U629" s="147"/>
      <c r="V629" s="147"/>
    </row>
    <row r="630">
      <c r="A630" s="240" t="s">
        <v>6031</v>
      </c>
      <c r="B630" s="240" t="s">
        <v>1702</v>
      </c>
      <c r="C630" s="240" t="s">
        <v>1703</v>
      </c>
      <c r="D630" s="240" t="s">
        <v>6032</v>
      </c>
      <c r="E630" s="240" t="s">
        <v>6033</v>
      </c>
      <c r="F630" s="240" t="s">
        <v>4227</v>
      </c>
      <c r="G630" s="147"/>
      <c r="H630" s="240" t="s">
        <v>4215</v>
      </c>
      <c r="I630" s="240" t="s">
        <v>4215</v>
      </c>
      <c r="J630" s="147"/>
      <c r="K630" s="147"/>
      <c r="L630" s="147"/>
      <c r="M630" s="147"/>
      <c r="N630" s="147"/>
      <c r="O630" s="147"/>
      <c r="P630" s="147"/>
      <c r="Q630" s="147"/>
      <c r="R630" s="147"/>
      <c r="S630" s="147"/>
      <c r="T630" s="147"/>
      <c r="U630" s="147"/>
      <c r="V630" s="147"/>
    </row>
    <row r="631">
      <c r="A631" s="240" t="s">
        <v>6034</v>
      </c>
      <c r="B631" s="240" t="s">
        <v>1704</v>
      </c>
      <c r="C631" s="240" t="s">
        <v>1705</v>
      </c>
      <c r="D631" s="240" t="s">
        <v>6035</v>
      </c>
      <c r="E631" s="240" t="s">
        <v>6036</v>
      </c>
      <c r="F631" s="240" t="s">
        <v>4223</v>
      </c>
      <c r="G631" s="147"/>
      <c r="H631" s="240" t="s">
        <v>4215</v>
      </c>
      <c r="I631" s="240" t="s">
        <v>4215</v>
      </c>
      <c r="J631" s="147"/>
      <c r="K631" s="147"/>
      <c r="L631" s="147"/>
      <c r="M631" s="147"/>
      <c r="N631" s="147"/>
      <c r="O631" s="147"/>
      <c r="P631" s="147"/>
      <c r="Q631" s="147"/>
      <c r="R631" s="147"/>
      <c r="S631" s="147"/>
      <c r="T631" s="147"/>
      <c r="U631" s="147"/>
      <c r="V631" s="147"/>
    </row>
    <row r="632">
      <c r="A632" s="240" t="s">
        <v>6037</v>
      </c>
      <c r="B632" s="240" t="s">
        <v>1706</v>
      </c>
      <c r="C632" s="240" t="s">
        <v>1707</v>
      </c>
      <c r="D632" s="240" t="s">
        <v>6038</v>
      </c>
      <c r="E632" s="240" t="s">
        <v>6039</v>
      </c>
      <c r="F632" s="240" t="s">
        <v>4235</v>
      </c>
      <c r="G632" s="147"/>
      <c r="H632" s="240" t="s">
        <v>4215</v>
      </c>
      <c r="I632" s="240" t="s">
        <v>4215</v>
      </c>
      <c r="J632" s="147"/>
      <c r="K632" s="147"/>
      <c r="L632" s="147"/>
      <c r="M632" s="147"/>
      <c r="N632" s="147"/>
      <c r="O632" s="147"/>
      <c r="P632" s="147"/>
      <c r="Q632" s="147"/>
      <c r="R632" s="147"/>
      <c r="S632" s="147"/>
      <c r="T632" s="147"/>
      <c r="U632" s="147"/>
      <c r="V632" s="147"/>
    </row>
    <row r="633">
      <c r="A633" s="240" t="s">
        <v>6040</v>
      </c>
      <c r="B633" s="240" t="s">
        <v>1708</v>
      </c>
      <c r="C633" s="240" t="s">
        <v>1709</v>
      </c>
      <c r="D633" s="240" t="s">
        <v>6041</v>
      </c>
      <c r="E633" s="240" t="s">
        <v>6042</v>
      </c>
      <c r="F633" s="240" t="s">
        <v>4223</v>
      </c>
      <c r="G633" s="147"/>
      <c r="H633" s="147"/>
      <c r="I633" s="147"/>
      <c r="J633" s="147"/>
      <c r="K633" s="147"/>
      <c r="L633" s="147"/>
      <c r="M633" s="147"/>
      <c r="N633" s="147"/>
      <c r="O633" s="147"/>
      <c r="P633" s="147"/>
      <c r="Q633" s="147"/>
      <c r="R633" s="147"/>
      <c r="S633" s="147"/>
      <c r="T633" s="147"/>
      <c r="U633" s="147"/>
      <c r="V633" s="147"/>
    </row>
    <row r="634">
      <c r="A634" s="240" t="s">
        <v>6043</v>
      </c>
      <c r="B634" s="240" t="s">
        <v>1710</v>
      </c>
      <c r="C634" s="240" t="s">
        <v>1711</v>
      </c>
      <c r="D634" s="240" t="s">
        <v>6044</v>
      </c>
      <c r="E634" s="240" t="s">
        <v>6045</v>
      </c>
      <c r="F634" s="240" t="s">
        <v>4219</v>
      </c>
      <c r="G634" s="147"/>
      <c r="H634" s="240" t="s">
        <v>4215</v>
      </c>
      <c r="I634" s="240" t="s">
        <v>4215</v>
      </c>
      <c r="J634" s="147"/>
      <c r="K634" s="147"/>
      <c r="L634" s="147"/>
      <c r="M634" s="147"/>
      <c r="N634" s="147"/>
      <c r="O634" s="147"/>
      <c r="P634" s="147"/>
      <c r="Q634" s="147"/>
      <c r="R634" s="147"/>
      <c r="S634" s="147"/>
      <c r="T634" s="147"/>
      <c r="U634" s="147"/>
      <c r="V634" s="147"/>
    </row>
    <row r="635">
      <c r="A635" s="240" t="s">
        <v>6046</v>
      </c>
      <c r="B635" s="240" t="s">
        <v>1712</v>
      </c>
      <c r="C635" s="240" t="s">
        <v>1713</v>
      </c>
      <c r="D635" s="240" t="s">
        <v>6047</v>
      </c>
      <c r="E635" s="240" t="s">
        <v>6048</v>
      </c>
      <c r="F635" s="240" t="s">
        <v>4223</v>
      </c>
      <c r="G635" s="147"/>
      <c r="H635" s="240" t="s">
        <v>4215</v>
      </c>
      <c r="I635" s="240" t="s">
        <v>4215</v>
      </c>
      <c r="J635" s="147"/>
      <c r="K635" s="147"/>
      <c r="L635" s="147"/>
      <c r="M635" s="147"/>
      <c r="N635" s="147"/>
      <c r="O635" s="147"/>
      <c r="P635" s="147"/>
      <c r="Q635" s="147"/>
      <c r="R635" s="147"/>
      <c r="S635" s="147"/>
      <c r="T635" s="147"/>
      <c r="U635" s="147"/>
      <c r="V635" s="147"/>
    </row>
    <row r="636">
      <c r="A636" s="240" t="s">
        <v>6049</v>
      </c>
      <c r="B636" s="240" t="s">
        <v>1714</v>
      </c>
      <c r="C636" s="240" t="s">
        <v>1715</v>
      </c>
      <c r="D636" s="240" t="s">
        <v>6050</v>
      </c>
      <c r="E636" s="240" t="s">
        <v>6051</v>
      </c>
      <c r="F636" s="240" t="s">
        <v>4223</v>
      </c>
      <c r="G636" s="147"/>
      <c r="H636" s="240" t="s">
        <v>4215</v>
      </c>
      <c r="I636" s="240" t="s">
        <v>4215</v>
      </c>
      <c r="J636" s="147"/>
      <c r="K636" s="147"/>
      <c r="L636" s="147"/>
      <c r="M636" s="147"/>
      <c r="N636" s="147"/>
      <c r="O636" s="147"/>
      <c r="P636" s="147"/>
      <c r="Q636" s="147"/>
      <c r="R636" s="147"/>
      <c r="S636" s="147"/>
      <c r="T636" s="147"/>
      <c r="U636" s="147"/>
      <c r="V636" s="147"/>
    </row>
    <row r="637">
      <c r="A637" s="240" t="s">
        <v>6052</v>
      </c>
      <c r="B637" s="240" t="s">
        <v>1716</v>
      </c>
      <c r="C637" s="240" t="s">
        <v>1717</v>
      </c>
      <c r="D637" s="240" t="s">
        <v>6053</v>
      </c>
      <c r="E637" s="240" t="s">
        <v>6054</v>
      </c>
      <c r="F637" s="240" t="s">
        <v>4227</v>
      </c>
      <c r="G637" s="147"/>
      <c r="H637" s="240" t="s">
        <v>4215</v>
      </c>
      <c r="I637" s="240" t="s">
        <v>4215</v>
      </c>
      <c r="J637" s="147"/>
      <c r="K637" s="147"/>
      <c r="L637" s="147"/>
      <c r="M637" s="147"/>
      <c r="N637" s="147"/>
      <c r="O637" s="147"/>
      <c r="P637" s="147"/>
      <c r="Q637" s="147"/>
      <c r="R637" s="147"/>
      <c r="S637" s="147"/>
      <c r="T637" s="147"/>
      <c r="U637" s="147"/>
      <c r="V637" s="147"/>
    </row>
    <row r="638">
      <c r="A638" s="240" t="s">
        <v>6055</v>
      </c>
      <c r="B638" s="240" t="s">
        <v>1718</v>
      </c>
      <c r="C638" s="240" t="s">
        <v>1719</v>
      </c>
      <c r="D638" s="240" t="s">
        <v>6056</v>
      </c>
      <c r="E638" s="240" t="s">
        <v>442</v>
      </c>
      <c r="F638" s="240" t="s">
        <v>4223</v>
      </c>
      <c r="G638" s="147"/>
      <c r="H638" s="240" t="s">
        <v>4215</v>
      </c>
      <c r="I638" s="240" t="s">
        <v>4215</v>
      </c>
      <c r="J638" s="147"/>
      <c r="K638" s="147"/>
      <c r="L638" s="147"/>
      <c r="M638" s="147"/>
      <c r="N638" s="147"/>
      <c r="O638" s="147"/>
      <c r="P638" s="147"/>
      <c r="Q638" s="147"/>
      <c r="R638" s="147"/>
      <c r="S638" s="147"/>
      <c r="T638" s="147"/>
      <c r="U638" s="147"/>
      <c r="V638" s="147"/>
    </row>
    <row r="639">
      <c r="A639" s="240" t="s">
        <v>6057</v>
      </c>
      <c r="B639" s="240" t="s">
        <v>1720</v>
      </c>
      <c r="C639" s="240" t="s">
        <v>1721</v>
      </c>
      <c r="D639" s="240" t="s">
        <v>6058</v>
      </c>
      <c r="E639" s="240" t="s">
        <v>6059</v>
      </c>
      <c r="F639" s="240" t="s">
        <v>4264</v>
      </c>
      <c r="G639" s="147"/>
      <c r="H639" s="147"/>
      <c r="I639" s="147"/>
      <c r="J639" s="147"/>
      <c r="K639" s="147"/>
      <c r="L639" s="147"/>
      <c r="M639" s="147"/>
      <c r="N639" s="147"/>
      <c r="O639" s="147"/>
      <c r="P639" s="147"/>
      <c r="Q639" s="147"/>
      <c r="R639" s="147"/>
      <c r="S639" s="147"/>
      <c r="T639" s="147"/>
      <c r="U639" s="147"/>
      <c r="V639" s="147"/>
    </row>
    <row r="640">
      <c r="A640" s="240" t="s">
        <v>6060</v>
      </c>
      <c r="B640" s="240" t="s">
        <v>1722</v>
      </c>
      <c r="C640" s="240" t="s">
        <v>1723</v>
      </c>
      <c r="D640" s="240" t="s">
        <v>6061</v>
      </c>
      <c r="E640" s="240" t="s">
        <v>6062</v>
      </c>
      <c r="F640" s="240" t="s">
        <v>4223</v>
      </c>
      <c r="G640" s="147"/>
      <c r="H640" s="240" t="s">
        <v>4215</v>
      </c>
      <c r="I640" s="240" t="s">
        <v>4215</v>
      </c>
      <c r="J640" s="147"/>
      <c r="K640" s="147"/>
      <c r="L640" s="147"/>
      <c r="M640" s="147"/>
      <c r="N640" s="147"/>
      <c r="O640" s="147"/>
      <c r="P640" s="147"/>
      <c r="Q640" s="147"/>
      <c r="R640" s="147"/>
      <c r="S640" s="147"/>
      <c r="T640" s="147"/>
      <c r="U640" s="147"/>
      <c r="V640" s="147"/>
    </row>
    <row r="641">
      <c r="A641" s="240" t="s">
        <v>6063</v>
      </c>
      <c r="B641" s="240" t="s">
        <v>1724</v>
      </c>
      <c r="C641" s="240" t="s">
        <v>1725</v>
      </c>
      <c r="D641" s="240" t="s">
        <v>6064</v>
      </c>
      <c r="E641" s="240" t="s">
        <v>6065</v>
      </c>
      <c r="F641" s="240" t="s">
        <v>4264</v>
      </c>
      <c r="G641" s="147"/>
      <c r="H641" s="240" t="s">
        <v>4215</v>
      </c>
      <c r="I641" s="240" t="s">
        <v>4215</v>
      </c>
      <c r="J641" s="147"/>
      <c r="K641" s="147"/>
      <c r="L641" s="147"/>
      <c r="M641" s="147"/>
      <c r="N641" s="147"/>
      <c r="O641" s="147"/>
      <c r="P641" s="147"/>
      <c r="Q641" s="147"/>
      <c r="R641" s="147"/>
      <c r="S641" s="147"/>
      <c r="T641" s="147"/>
      <c r="U641" s="147"/>
      <c r="V641" s="147"/>
    </row>
    <row r="642">
      <c r="A642" s="240" t="s">
        <v>6066</v>
      </c>
      <c r="B642" s="240" t="s">
        <v>1726</v>
      </c>
      <c r="C642" s="240" t="s">
        <v>1727</v>
      </c>
      <c r="D642" s="240" t="s">
        <v>6067</v>
      </c>
      <c r="E642" s="240" t="s">
        <v>6068</v>
      </c>
      <c r="F642" s="240" t="s">
        <v>4223</v>
      </c>
      <c r="G642" s="147"/>
      <c r="H642" s="240" t="s">
        <v>4215</v>
      </c>
      <c r="I642" s="240" t="s">
        <v>4215</v>
      </c>
      <c r="J642" s="147"/>
      <c r="K642" s="147"/>
      <c r="L642" s="147"/>
      <c r="M642" s="147"/>
      <c r="N642" s="147"/>
      <c r="O642" s="147"/>
      <c r="P642" s="147"/>
      <c r="Q642" s="147"/>
      <c r="R642" s="147"/>
      <c r="S642" s="147"/>
      <c r="T642" s="147"/>
      <c r="U642" s="147"/>
      <c r="V642" s="147"/>
    </row>
    <row r="643">
      <c r="A643" s="240" t="s">
        <v>6069</v>
      </c>
      <c r="B643" s="240" t="s">
        <v>1728</v>
      </c>
      <c r="C643" s="240" t="s">
        <v>1729</v>
      </c>
      <c r="D643" s="240" t="s">
        <v>6070</v>
      </c>
      <c r="E643" s="240" t="s">
        <v>6071</v>
      </c>
      <c r="F643" s="240" t="s">
        <v>4223</v>
      </c>
      <c r="G643" s="147"/>
      <c r="H643" s="240" t="s">
        <v>4215</v>
      </c>
      <c r="I643" s="240" t="s">
        <v>4215</v>
      </c>
      <c r="J643" s="147"/>
      <c r="K643" s="147"/>
      <c r="L643" s="147"/>
      <c r="M643" s="147"/>
      <c r="N643" s="147"/>
      <c r="O643" s="147"/>
      <c r="P643" s="147"/>
      <c r="Q643" s="147"/>
      <c r="R643" s="147"/>
      <c r="S643" s="147"/>
      <c r="T643" s="147"/>
      <c r="U643" s="147"/>
      <c r="V643" s="147"/>
    </row>
    <row r="644">
      <c r="A644" s="240" t="s">
        <v>6072</v>
      </c>
      <c r="B644" s="240" t="s">
        <v>1730</v>
      </c>
      <c r="C644" s="240" t="s">
        <v>1731</v>
      </c>
      <c r="D644" s="240" t="s">
        <v>6073</v>
      </c>
      <c r="E644" s="240" t="s">
        <v>6074</v>
      </c>
      <c r="F644" s="240" t="s">
        <v>5283</v>
      </c>
      <c r="G644" s="147"/>
      <c r="H644" s="240" t="s">
        <v>4215</v>
      </c>
      <c r="I644" s="240" t="s">
        <v>4215</v>
      </c>
      <c r="J644" s="147"/>
      <c r="K644" s="147"/>
      <c r="L644" s="147"/>
      <c r="M644" s="147"/>
      <c r="N644" s="147"/>
      <c r="O644" s="147"/>
      <c r="P644" s="147"/>
      <c r="Q644" s="147"/>
      <c r="R644" s="147"/>
      <c r="S644" s="147"/>
      <c r="T644" s="147"/>
      <c r="U644" s="147"/>
      <c r="V644" s="147"/>
    </row>
    <row r="645">
      <c r="A645" s="240" t="s">
        <v>6075</v>
      </c>
      <c r="B645" s="240" t="s">
        <v>1732</v>
      </c>
      <c r="C645" s="240" t="s">
        <v>1733</v>
      </c>
      <c r="D645" s="240" t="s">
        <v>6076</v>
      </c>
      <c r="E645" s="240" t="s">
        <v>6077</v>
      </c>
      <c r="F645" s="240" t="s">
        <v>4349</v>
      </c>
      <c r="G645" s="147"/>
      <c r="H645" s="240" t="s">
        <v>4215</v>
      </c>
      <c r="I645" s="240" t="s">
        <v>4215</v>
      </c>
      <c r="J645" s="147"/>
      <c r="K645" s="147"/>
      <c r="L645" s="147"/>
      <c r="M645" s="147"/>
      <c r="N645" s="147"/>
      <c r="O645" s="147"/>
      <c r="P645" s="147"/>
      <c r="Q645" s="147"/>
      <c r="R645" s="147"/>
      <c r="S645" s="147"/>
      <c r="T645" s="147"/>
      <c r="U645" s="147"/>
      <c r="V645" s="147"/>
    </row>
    <row r="646">
      <c r="A646" s="240" t="s">
        <v>6078</v>
      </c>
      <c r="B646" s="240" t="s">
        <v>1734</v>
      </c>
      <c r="C646" s="240" t="s">
        <v>1735</v>
      </c>
      <c r="D646" s="240" t="s">
        <v>6079</v>
      </c>
      <c r="E646" s="240" t="s">
        <v>6080</v>
      </c>
      <c r="F646" s="240" t="s">
        <v>4223</v>
      </c>
      <c r="G646" s="147"/>
      <c r="H646" s="147"/>
      <c r="I646" s="240" t="s">
        <v>4215</v>
      </c>
      <c r="J646" s="147"/>
      <c r="K646" s="147"/>
      <c r="L646" s="147"/>
      <c r="M646" s="147"/>
      <c r="N646" s="147"/>
      <c r="O646" s="147"/>
      <c r="P646" s="147"/>
      <c r="Q646" s="147"/>
      <c r="R646" s="147"/>
      <c r="S646" s="147"/>
      <c r="T646" s="147"/>
      <c r="U646" s="147"/>
      <c r="V646" s="147"/>
    </row>
    <row r="647">
      <c r="A647" s="240" t="s">
        <v>6081</v>
      </c>
      <c r="B647" s="240" t="s">
        <v>1736</v>
      </c>
      <c r="C647" s="240" t="s">
        <v>1737</v>
      </c>
      <c r="D647" s="240" t="s">
        <v>6082</v>
      </c>
      <c r="E647" s="240" t="s">
        <v>6083</v>
      </c>
      <c r="F647" s="240" t="s">
        <v>4235</v>
      </c>
      <c r="G647" s="147"/>
      <c r="H647" s="240" t="s">
        <v>4215</v>
      </c>
      <c r="I647" s="240" t="s">
        <v>4215</v>
      </c>
      <c r="J647" s="147"/>
      <c r="K647" s="147"/>
      <c r="L647" s="147"/>
      <c r="M647" s="147"/>
      <c r="N647" s="147"/>
      <c r="O647" s="147"/>
      <c r="P647" s="147"/>
      <c r="Q647" s="147"/>
      <c r="R647" s="147"/>
      <c r="S647" s="147"/>
      <c r="T647" s="147"/>
      <c r="U647" s="147"/>
      <c r="V647" s="147"/>
    </row>
    <row r="648">
      <c r="A648" s="240" t="s">
        <v>6084</v>
      </c>
      <c r="B648" s="240" t="s">
        <v>1738</v>
      </c>
      <c r="C648" s="240" t="s">
        <v>1739</v>
      </c>
      <c r="D648" s="240" t="s">
        <v>6085</v>
      </c>
      <c r="E648" s="240" t="s">
        <v>6086</v>
      </c>
      <c r="F648" s="240" t="s">
        <v>4235</v>
      </c>
      <c r="G648" s="147"/>
      <c r="H648" s="240" t="s">
        <v>4215</v>
      </c>
      <c r="I648" s="240" t="s">
        <v>4215</v>
      </c>
      <c r="J648" s="147"/>
      <c r="K648" s="147"/>
      <c r="L648" s="147"/>
      <c r="M648" s="147"/>
      <c r="N648" s="147"/>
      <c r="O648" s="147"/>
      <c r="P648" s="147"/>
      <c r="Q648" s="147"/>
      <c r="R648" s="147"/>
      <c r="S648" s="147"/>
      <c r="T648" s="147"/>
      <c r="U648" s="147"/>
      <c r="V648" s="147"/>
    </row>
    <row r="649">
      <c r="A649" s="240" t="s">
        <v>6087</v>
      </c>
      <c r="B649" s="240" t="s">
        <v>1740</v>
      </c>
      <c r="C649" s="240" t="s">
        <v>1741</v>
      </c>
      <c r="D649" s="240" t="s">
        <v>6088</v>
      </c>
      <c r="E649" s="240" t="s">
        <v>6089</v>
      </c>
      <c r="F649" s="240" t="s">
        <v>4235</v>
      </c>
      <c r="G649" s="147"/>
      <c r="H649" s="240" t="s">
        <v>4215</v>
      </c>
      <c r="I649" s="240" t="s">
        <v>4215</v>
      </c>
      <c r="J649" s="147"/>
      <c r="K649" s="147"/>
      <c r="L649" s="147"/>
      <c r="M649" s="147"/>
      <c r="N649" s="147"/>
      <c r="O649" s="147"/>
      <c r="P649" s="147"/>
      <c r="Q649" s="147"/>
      <c r="R649" s="147"/>
      <c r="S649" s="147"/>
      <c r="T649" s="147"/>
      <c r="U649" s="147"/>
      <c r="V649" s="147"/>
    </row>
    <row r="650">
      <c r="A650" s="240" t="s">
        <v>6090</v>
      </c>
      <c r="B650" s="240" t="s">
        <v>1742</v>
      </c>
      <c r="C650" s="240" t="s">
        <v>1743</v>
      </c>
      <c r="D650" s="240" t="s">
        <v>6091</v>
      </c>
      <c r="E650" s="240" t="s">
        <v>6092</v>
      </c>
      <c r="F650" s="240" t="s">
        <v>4264</v>
      </c>
      <c r="G650" s="147"/>
      <c r="H650" s="240" t="s">
        <v>4215</v>
      </c>
      <c r="I650" s="240" t="s">
        <v>4215</v>
      </c>
      <c r="J650" s="147"/>
      <c r="K650" s="147"/>
      <c r="L650" s="147"/>
      <c r="M650" s="147"/>
      <c r="N650" s="147"/>
      <c r="O650" s="147"/>
      <c r="P650" s="147"/>
      <c r="Q650" s="147"/>
      <c r="R650" s="147"/>
      <c r="S650" s="147"/>
      <c r="T650" s="147"/>
      <c r="U650" s="147"/>
      <c r="V650" s="147"/>
    </row>
    <row r="651">
      <c r="A651" s="240" t="s">
        <v>6093</v>
      </c>
      <c r="B651" s="240" t="s">
        <v>1744</v>
      </c>
      <c r="C651" s="240" t="s">
        <v>1745</v>
      </c>
      <c r="D651" s="240" t="s">
        <v>6094</v>
      </c>
      <c r="E651" s="240" t="s">
        <v>6095</v>
      </c>
      <c r="F651" s="240" t="s">
        <v>4264</v>
      </c>
      <c r="G651" s="147"/>
      <c r="H651" s="240" t="s">
        <v>4215</v>
      </c>
      <c r="I651" s="147"/>
      <c r="J651" s="147"/>
      <c r="K651" s="147"/>
      <c r="L651" s="147"/>
      <c r="M651" s="147"/>
      <c r="N651" s="147"/>
      <c r="O651" s="147"/>
      <c r="P651" s="147"/>
      <c r="Q651" s="147"/>
      <c r="R651" s="147"/>
      <c r="S651" s="147"/>
      <c r="T651" s="147"/>
      <c r="U651" s="147"/>
      <c r="V651" s="147"/>
    </row>
    <row r="652">
      <c r="A652" s="240" t="s">
        <v>6096</v>
      </c>
      <c r="B652" s="240" t="s">
        <v>1746</v>
      </c>
      <c r="C652" s="240" t="s">
        <v>1747</v>
      </c>
      <c r="D652" s="240" t="s">
        <v>6097</v>
      </c>
      <c r="E652" s="240" t="s">
        <v>6098</v>
      </c>
      <c r="F652" s="240" t="s">
        <v>4264</v>
      </c>
      <c r="G652" s="147"/>
      <c r="H652" s="240" t="s">
        <v>4215</v>
      </c>
      <c r="I652" s="240" t="s">
        <v>4215</v>
      </c>
      <c r="J652" s="147"/>
      <c r="K652" s="147"/>
      <c r="L652" s="147"/>
      <c r="M652" s="147"/>
      <c r="N652" s="147"/>
      <c r="O652" s="147"/>
      <c r="P652" s="147"/>
      <c r="Q652" s="147"/>
      <c r="R652" s="147"/>
      <c r="S652" s="147"/>
      <c r="T652" s="147"/>
      <c r="U652" s="147"/>
      <c r="V652" s="147"/>
    </row>
    <row r="653">
      <c r="A653" s="240" t="s">
        <v>6099</v>
      </c>
      <c r="B653" s="240" t="s">
        <v>1748</v>
      </c>
      <c r="C653" s="240" t="s">
        <v>1749</v>
      </c>
      <c r="D653" s="240" t="s">
        <v>6100</v>
      </c>
      <c r="E653" s="240" t="s">
        <v>6101</v>
      </c>
      <c r="F653" s="240" t="s">
        <v>4231</v>
      </c>
      <c r="G653" s="147"/>
      <c r="H653" s="240" t="s">
        <v>4215</v>
      </c>
      <c r="I653" s="240" t="s">
        <v>4215</v>
      </c>
      <c r="J653" s="147"/>
      <c r="K653" s="147"/>
      <c r="L653" s="147"/>
      <c r="M653" s="147"/>
      <c r="N653" s="147"/>
      <c r="O653" s="147"/>
      <c r="P653" s="147"/>
      <c r="Q653" s="147"/>
      <c r="R653" s="147"/>
      <c r="S653" s="147"/>
      <c r="T653" s="147"/>
      <c r="U653" s="147"/>
      <c r="V653" s="147"/>
    </row>
    <row r="654">
      <c r="A654" s="240" t="s">
        <v>6102</v>
      </c>
      <c r="B654" s="240" t="s">
        <v>1750</v>
      </c>
      <c r="C654" s="240" t="s">
        <v>1751</v>
      </c>
      <c r="D654" s="240" t="s">
        <v>6103</v>
      </c>
      <c r="E654" s="240" t="s">
        <v>5157</v>
      </c>
      <c r="F654" s="240" t="s">
        <v>4349</v>
      </c>
      <c r="G654" s="147"/>
      <c r="H654" s="240" t="s">
        <v>4215</v>
      </c>
      <c r="I654" s="240" t="s">
        <v>4215</v>
      </c>
      <c r="J654" s="147"/>
      <c r="K654" s="147"/>
      <c r="L654" s="147"/>
      <c r="M654" s="147"/>
      <c r="N654" s="147"/>
      <c r="O654" s="147"/>
      <c r="P654" s="147"/>
      <c r="Q654" s="147"/>
      <c r="R654" s="147"/>
      <c r="S654" s="147"/>
      <c r="T654" s="147"/>
      <c r="U654" s="147"/>
      <c r="V654" s="147"/>
    </row>
    <row r="655">
      <c r="A655" s="240" t="s">
        <v>6104</v>
      </c>
      <c r="B655" s="240" t="s">
        <v>1752</v>
      </c>
      <c r="C655" s="240" t="s">
        <v>1753</v>
      </c>
      <c r="D655" s="240" t="s">
        <v>6105</v>
      </c>
      <c r="E655" s="240" t="s">
        <v>6106</v>
      </c>
      <c r="F655" s="240" t="s">
        <v>4235</v>
      </c>
      <c r="G655" s="147"/>
      <c r="H655" s="240" t="s">
        <v>4215</v>
      </c>
      <c r="I655" s="240" t="s">
        <v>4215</v>
      </c>
      <c r="J655" s="147"/>
      <c r="K655" s="147"/>
      <c r="L655" s="147"/>
      <c r="M655" s="147"/>
      <c r="N655" s="147"/>
      <c r="O655" s="147"/>
      <c r="P655" s="147"/>
      <c r="Q655" s="147"/>
      <c r="R655" s="147"/>
      <c r="S655" s="147"/>
      <c r="T655" s="147"/>
      <c r="U655" s="147"/>
      <c r="V655" s="147"/>
    </row>
    <row r="656">
      <c r="A656" s="240" t="s">
        <v>6107</v>
      </c>
      <c r="B656" s="240" t="s">
        <v>1754</v>
      </c>
      <c r="C656" s="240" t="s">
        <v>1755</v>
      </c>
      <c r="D656" s="240" t="s">
        <v>6108</v>
      </c>
      <c r="E656" s="240" t="s">
        <v>6109</v>
      </c>
      <c r="F656" s="240" t="s">
        <v>4264</v>
      </c>
      <c r="G656" s="147"/>
      <c r="H656" s="240" t="s">
        <v>4215</v>
      </c>
      <c r="I656" s="240" t="s">
        <v>4215</v>
      </c>
      <c r="J656" s="147"/>
      <c r="K656" s="147"/>
      <c r="L656" s="147"/>
      <c r="M656" s="147"/>
      <c r="N656" s="147"/>
      <c r="O656" s="147"/>
      <c r="P656" s="147"/>
      <c r="Q656" s="147"/>
      <c r="R656" s="147"/>
      <c r="S656" s="147"/>
      <c r="T656" s="147"/>
      <c r="U656" s="147"/>
      <c r="V656" s="147"/>
    </row>
    <row r="657">
      <c r="A657" s="240" t="s">
        <v>6110</v>
      </c>
      <c r="B657" s="240" t="s">
        <v>1756</v>
      </c>
      <c r="C657" s="240" t="s">
        <v>1757</v>
      </c>
      <c r="D657" s="240" t="s">
        <v>6111</v>
      </c>
      <c r="E657" s="240" t="s">
        <v>6112</v>
      </c>
      <c r="F657" s="240" t="s">
        <v>4231</v>
      </c>
      <c r="G657" s="147"/>
      <c r="H657" s="240" t="s">
        <v>4215</v>
      </c>
      <c r="I657" s="240" t="s">
        <v>4215</v>
      </c>
      <c r="J657" s="147"/>
      <c r="K657" s="147"/>
      <c r="L657" s="147"/>
      <c r="M657" s="147"/>
      <c r="N657" s="147"/>
      <c r="O657" s="147"/>
      <c r="P657" s="147"/>
      <c r="Q657" s="147"/>
      <c r="R657" s="147"/>
      <c r="S657" s="147"/>
      <c r="T657" s="147"/>
      <c r="U657" s="147"/>
      <c r="V657" s="147"/>
    </row>
    <row r="658">
      <c r="A658" s="240" t="s">
        <v>6113</v>
      </c>
      <c r="B658" s="240" t="s">
        <v>1758</v>
      </c>
      <c r="C658" s="240" t="s">
        <v>1759</v>
      </c>
      <c r="D658" s="240" t="s">
        <v>6114</v>
      </c>
      <c r="E658" s="240" t="s">
        <v>6115</v>
      </c>
      <c r="F658" s="240" t="s">
        <v>4231</v>
      </c>
      <c r="G658" s="147"/>
      <c r="H658" s="240" t="s">
        <v>4215</v>
      </c>
      <c r="I658" s="240" t="s">
        <v>4215</v>
      </c>
      <c r="J658" s="147"/>
      <c r="K658" s="147"/>
      <c r="L658" s="147"/>
      <c r="M658" s="147"/>
      <c r="N658" s="147"/>
      <c r="O658" s="147"/>
      <c r="P658" s="147"/>
      <c r="Q658" s="147"/>
      <c r="R658" s="147"/>
      <c r="S658" s="147"/>
      <c r="T658" s="147"/>
      <c r="U658" s="147"/>
      <c r="V658" s="147"/>
    </row>
    <row r="659">
      <c r="A659" s="240" t="s">
        <v>6116</v>
      </c>
      <c r="B659" s="240" t="s">
        <v>1760</v>
      </c>
      <c r="C659" s="240" t="s">
        <v>1761</v>
      </c>
      <c r="D659" s="240" t="s">
        <v>6117</v>
      </c>
      <c r="E659" s="240" t="s">
        <v>6118</v>
      </c>
      <c r="F659" s="240" t="s">
        <v>4227</v>
      </c>
      <c r="G659" s="147"/>
      <c r="H659" s="147"/>
      <c r="I659" s="147"/>
      <c r="J659" s="147"/>
      <c r="K659" s="147"/>
      <c r="L659" s="147"/>
      <c r="M659" s="147"/>
      <c r="N659" s="147"/>
      <c r="O659" s="147"/>
      <c r="P659" s="147"/>
      <c r="Q659" s="147"/>
      <c r="R659" s="147"/>
      <c r="S659" s="147"/>
      <c r="T659" s="147"/>
      <c r="U659" s="147"/>
      <c r="V659" s="147"/>
    </row>
    <row r="660">
      <c r="A660" s="240" t="s">
        <v>6119</v>
      </c>
      <c r="B660" s="240" t="s">
        <v>1762</v>
      </c>
      <c r="C660" s="240" t="s">
        <v>1763</v>
      </c>
      <c r="D660" s="240" t="s">
        <v>6120</v>
      </c>
      <c r="E660" s="240" t="s">
        <v>4512</v>
      </c>
      <c r="F660" s="240" t="s">
        <v>4235</v>
      </c>
      <c r="G660" s="147"/>
      <c r="H660" s="240" t="s">
        <v>4215</v>
      </c>
      <c r="I660" s="240" t="s">
        <v>4215</v>
      </c>
      <c r="J660" s="147"/>
      <c r="K660" s="147"/>
      <c r="L660" s="147"/>
      <c r="M660" s="147"/>
      <c r="N660" s="147"/>
      <c r="O660" s="147"/>
      <c r="P660" s="147"/>
      <c r="Q660" s="147"/>
      <c r="R660" s="147"/>
      <c r="S660" s="147"/>
      <c r="T660" s="147"/>
      <c r="U660" s="147"/>
      <c r="V660" s="147"/>
    </row>
    <row r="661">
      <c r="A661" s="240" t="s">
        <v>6121</v>
      </c>
      <c r="B661" s="240" t="s">
        <v>1764</v>
      </c>
      <c r="C661" s="240" t="s">
        <v>1765</v>
      </c>
      <c r="D661" s="240" t="s">
        <v>6122</v>
      </c>
      <c r="E661" s="240" t="s">
        <v>6123</v>
      </c>
      <c r="F661" s="240" t="s">
        <v>4235</v>
      </c>
      <c r="G661" s="147"/>
      <c r="H661" s="240" t="s">
        <v>4215</v>
      </c>
      <c r="I661" s="240" t="s">
        <v>4215</v>
      </c>
      <c r="J661" s="147"/>
      <c r="K661" s="147"/>
      <c r="L661" s="147"/>
      <c r="M661" s="147"/>
      <c r="N661" s="147"/>
      <c r="O661" s="147"/>
      <c r="P661" s="147"/>
      <c r="Q661" s="147"/>
      <c r="R661" s="147"/>
      <c r="S661" s="147"/>
      <c r="T661" s="147"/>
      <c r="U661" s="147"/>
      <c r="V661" s="147"/>
    </row>
    <row r="662">
      <c r="A662" s="240" t="s">
        <v>6124</v>
      </c>
      <c r="B662" s="240" t="s">
        <v>1766</v>
      </c>
      <c r="C662" s="240" t="s">
        <v>1767</v>
      </c>
      <c r="D662" s="240" t="s">
        <v>6125</v>
      </c>
      <c r="E662" s="240" t="s">
        <v>6126</v>
      </c>
      <c r="F662" s="240" t="s">
        <v>4219</v>
      </c>
      <c r="G662" s="147"/>
      <c r="H662" s="240" t="s">
        <v>4215</v>
      </c>
      <c r="I662" s="240" t="s">
        <v>4215</v>
      </c>
      <c r="J662" s="147"/>
      <c r="K662" s="147"/>
      <c r="L662" s="147"/>
      <c r="M662" s="147"/>
      <c r="N662" s="147"/>
      <c r="O662" s="147"/>
      <c r="P662" s="147"/>
      <c r="Q662" s="147"/>
      <c r="R662" s="147"/>
      <c r="S662" s="147"/>
      <c r="T662" s="147"/>
      <c r="U662" s="147"/>
      <c r="V662" s="147"/>
    </row>
    <row r="663">
      <c r="A663" s="240" t="s">
        <v>6127</v>
      </c>
      <c r="B663" s="240" t="s">
        <v>1768</v>
      </c>
      <c r="C663" s="240" t="s">
        <v>1769</v>
      </c>
      <c r="D663" s="240" t="s">
        <v>6128</v>
      </c>
      <c r="E663" s="240" t="s">
        <v>6129</v>
      </c>
      <c r="F663" s="240" t="s">
        <v>4621</v>
      </c>
      <c r="G663" s="147"/>
      <c r="H663" s="240" t="s">
        <v>4215</v>
      </c>
      <c r="I663" s="240" t="s">
        <v>4215</v>
      </c>
      <c r="J663" s="147"/>
      <c r="K663" s="147"/>
      <c r="L663" s="147"/>
      <c r="M663" s="147"/>
      <c r="N663" s="147"/>
      <c r="O663" s="147"/>
      <c r="P663" s="147"/>
      <c r="Q663" s="147"/>
      <c r="R663" s="147"/>
      <c r="S663" s="147"/>
      <c r="T663" s="147"/>
      <c r="U663" s="147"/>
      <c r="V663" s="147"/>
    </row>
    <row r="664">
      <c r="A664" s="240" t="s">
        <v>6130</v>
      </c>
      <c r="B664" s="240" t="s">
        <v>1770</v>
      </c>
      <c r="C664" s="240" t="s">
        <v>1771</v>
      </c>
      <c r="D664" s="240" t="s">
        <v>6131</v>
      </c>
      <c r="E664" s="240" t="s">
        <v>6132</v>
      </c>
      <c r="F664" s="240" t="s">
        <v>4349</v>
      </c>
      <c r="G664" s="147"/>
      <c r="H664" s="240" t="s">
        <v>4215</v>
      </c>
      <c r="I664" s="240" t="s">
        <v>4215</v>
      </c>
      <c r="J664" s="147"/>
      <c r="K664" s="147"/>
      <c r="L664" s="147"/>
      <c r="M664" s="147"/>
      <c r="N664" s="147"/>
      <c r="O664" s="147"/>
      <c r="P664" s="147"/>
      <c r="Q664" s="147"/>
      <c r="R664" s="147"/>
      <c r="S664" s="147"/>
      <c r="T664" s="147"/>
      <c r="U664" s="147"/>
      <c r="V664" s="147"/>
    </row>
    <row r="665">
      <c r="A665" s="240" t="s">
        <v>6133</v>
      </c>
      <c r="B665" s="240" t="s">
        <v>1772</v>
      </c>
      <c r="C665" s="240" t="s">
        <v>1773</v>
      </c>
      <c r="D665" s="240" t="s">
        <v>6134</v>
      </c>
      <c r="E665" s="240" t="s">
        <v>6135</v>
      </c>
      <c r="F665" s="240" t="s">
        <v>4223</v>
      </c>
      <c r="G665" s="147"/>
      <c r="H665" s="240" t="s">
        <v>4215</v>
      </c>
      <c r="I665" s="240" t="s">
        <v>4215</v>
      </c>
      <c r="J665" s="147"/>
      <c r="K665" s="147"/>
      <c r="L665" s="147"/>
      <c r="M665" s="147"/>
      <c r="N665" s="147"/>
      <c r="O665" s="147"/>
      <c r="P665" s="147"/>
      <c r="Q665" s="147"/>
      <c r="R665" s="147"/>
      <c r="S665" s="147"/>
      <c r="T665" s="147"/>
      <c r="U665" s="147"/>
      <c r="V665" s="147"/>
    </row>
    <row r="666">
      <c r="A666" s="240" t="s">
        <v>6136</v>
      </c>
      <c r="B666" s="240" t="s">
        <v>1774</v>
      </c>
      <c r="C666" s="240" t="s">
        <v>1775</v>
      </c>
      <c r="D666" s="240" t="s">
        <v>6137</v>
      </c>
      <c r="E666" s="240" t="s">
        <v>6138</v>
      </c>
      <c r="F666" s="240" t="s">
        <v>4235</v>
      </c>
      <c r="G666" s="147"/>
      <c r="H666" s="240" t="s">
        <v>4215</v>
      </c>
      <c r="I666" s="240" t="s">
        <v>4215</v>
      </c>
      <c r="J666" s="147"/>
      <c r="K666" s="147"/>
      <c r="L666" s="147"/>
      <c r="M666" s="147"/>
      <c r="N666" s="147"/>
      <c r="O666" s="147"/>
      <c r="P666" s="147"/>
      <c r="Q666" s="147"/>
      <c r="R666" s="147"/>
      <c r="S666" s="147"/>
      <c r="T666" s="147"/>
      <c r="U666" s="147"/>
      <c r="V666" s="147"/>
    </row>
    <row r="667">
      <c r="A667" s="240" t="s">
        <v>6139</v>
      </c>
      <c r="B667" s="240" t="s">
        <v>1776</v>
      </c>
      <c r="C667" s="240" t="s">
        <v>1777</v>
      </c>
      <c r="D667" s="240" t="s">
        <v>6140</v>
      </c>
      <c r="E667" s="240" t="s">
        <v>6141</v>
      </c>
      <c r="F667" s="240" t="s">
        <v>4235</v>
      </c>
      <c r="G667" s="147"/>
      <c r="H667" s="240" t="s">
        <v>4215</v>
      </c>
      <c r="I667" s="240" t="s">
        <v>4215</v>
      </c>
      <c r="J667" s="147"/>
      <c r="K667" s="147"/>
      <c r="L667" s="147"/>
      <c r="M667" s="147"/>
      <c r="N667" s="147"/>
      <c r="O667" s="147"/>
      <c r="P667" s="147"/>
      <c r="Q667" s="147"/>
      <c r="R667" s="147"/>
      <c r="S667" s="147"/>
      <c r="T667" s="147"/>
      <c r="U667" s="147"/>
      <c r="V667" s="147"/>
    </row>
    <row r="668">
      <c r="A668" s="240" t="s">
        <v>6142</v>
      </c>
      <c r="B668" s="240" t="s">
        <v>1778</v>
      </c>
      <c r="C668" s="240" t="s">
        <v>1779</v>
      </c>
      <c r="D668" s="240" t="s">
        <v>6143</v>
      </c>
      <c r="E668" s="240" t="s">
        <v>6144</v>
      </c>
      <c r="F668" s="240" t="s">
        <v>4264</v>
      </c>
      <c r="G668" s="147"/>
      <c r="H668" s="240" t="s">
        <v>4215</v>
      </c>
      <c r="I668" s="240" t="s">
        <v>4215</v>
      </c>
      <c r="J668" s="147"/>
      <c r="K668" s="147"/>
      <c r="L668" s="147"/>
      <c r="M668" s="147"/>
      <c r="N668" s="147"/>
      <c r="O668" s="147"/>
      <c r="P668" s="147"/>
      <c r="Q668" s="147"/>
      <c r="R668" s="147"/>
      <c r="S668" s="147"/>
      <c r="T668" s="147"/>
      <c r="U668" s="147"/>
      <c r="V668" s="147"/>
    </row>
    <row r="669">
      <c r="A669" s="240" t="s">
        <v>6145</v>
      </c>
      <c r="B669" s="240" t="s">
        <v>1780</v>
      </c>
      <c r="C669" s="240" t="s">
        <v>1781</v>
      </c>
      <c r="D669" s="240" t="s">
        <v>6146</v>
      </c>
      <c r="E669" s="240" t="s">
        <v>5111</v>
      </c>
      <c r="F669" s="240" t="s">
        <v>5430</v>
      </c>
      <c r="G669" s="147"/>
      <c r="H669" s="240" t="s">
        <v>4215</v>
      </c>
      <c r="I669" s="240" t="s">
        <v>4215</v>
      </c>
      <c r="J669" s="147"/>
      <c r="K669" s="147"/>
      <c r="L669" s="147"/>
      <c r="M669" s="147"/>
      <c r="N669" s="147"/>
      <c r="O669" s="147"/>
      <c r="P669" s="147"/>
      <c r="Q669" s="147"/>
      <c r="R669" s="147"/>
      <c r="S669" s="147"/>
      <c r="T669" s="147"/>
      <c r="U669" s="147"/>
      <c r="V669" s="147"/>
    </row>
    <row r="670">
      <c r="A670" s="240" t="s">
        <v>6147</v>
      </c>
      <c r="B670" s="240" t="s">
        <v>1782</v>
      </c>
      <c r="C670" s="240" t="s">
        <v>1783</v>
      </c>
      <c r="D670" s="240" t="s">
        <v>6148</v>
      </c>
      <c r="E670" s="240" t="s">
        <v>6149</v>
      </c>
      <c r="F670" s="240" t="s">
        <v>4235</v>
      </c>
      <c r="G670" s="147"/>
      <c r="H670" s="240" t="s">
        <v>4215</v>
      </c>
      <c r="I670" s="240" t="s">
        <v>4215</v>
      </c>
      <c r="J670" s="147"/>
      <c r="K670" s="147"/>
      <c r="L670" s="147"/>
      <c r="M670" s="147"/>
      <c r="N670" s="147"/>
      <c r="O670" s="147"/>
      <c r="P670" s="147"/>
      <c r="Q670" s="147"/>
      <c r="R670" s="147"/>
      <c r="S670" s="147"/>
      <c r="T670" s="147"/>
      <c r="U670" s="147"/>
      <c r="V670" s="147"/>
    </row>
    <row r="671">
      <c r="A671" s="240" t="s">
        <v>6150</v>
      </c>
      <c r="B671" s="240" t="s">
        <v>1784</v>
      </c>
      <c r="C671" s="240" t="s">
        <v>1785</v>
      </c>
      <c r="D671" s="240" t="s">
        <v>6151</v>
      </c>
      <c r="E671" s="240" t="s">
        <v>6152</v>
      </c>
      <c r="F671" s="240" t="s">
        <v>4219</v>
      </c>
      <c r="G671" s="147"/>
      <c r="H671" s="147"/>
      <c r="I671" s="147"/>
      <c r="J671" s="147"/>
      <c r="K671" s="147"/>
      <c r="L671" s="147"/>
      <c r="M671" s="147"/>
      <c r="N671" s="147"/>
      <c r="O671" s="147"/>
      <c r="P671" s="147"/>
      <c r="Q671" s="147"/>
      <c r="R671" s="147"/>
      <c r="S671" s="147"/>
      <c r="T671" s="147"/>
      <c r="U671" s="147"/>
      <c r="V671" s="147"/>
    </row>
    <row r="672">
      <c r="A672" s="240" t="s">
        <v>6153</v>
      </c>
      <c r="B672" s="240" t="s">
        <v>1786</v>
      </c>
      <c r="C672" s="240" t="s">
        <v>1787</v>
      </c>
      <c r="D672" s="240" t="s">
        <v>6154</v>
      </c>
      <c r="E672" s="240" t="s">
        <v>6155</v>
      </c>
      <c r="F672" s="240" t="s">
        <v>4223</v>
      </c>
      <c r="G672" s="147"/>
      <c r="H672" s="240" t="s">
        <v>4215</v>
      </c>
      <c r="I672" s="240" t="s">
        <v>4215</v>
      </c>
      <c r="J672" s="147"/>
      <c r="K672" s="147"/>
      <c r="L672" s="147"/>
      <c r="M672" s="147"/>
      <c r="N672" s="147"/>
      <c r="O672" s="147"/>
      <c r="P672" s="147"/>
      <c r="Q672" s="147"/>
      <c r="R672" s="147"/>
      <c r="S672" s="147"/>
      <c r="T672" s="147"/>
      <c r="U672" s="147"/>
      <c r="V672" s="147"/>
    </row>
    <row r="673">
      <c r="A673" s="240" t="s">
        <v>6156</v>
      </c>
      <c r="B673" s="240" t="s">
        <v>1788</v>
      </c>
      <c r="C673" s="240" t="s">
        <v>1789</v>
      </c>
      <c r="D673" s="240" t="s">
        <v>6157</v>
      </c>
      <c r="E673" s="240" t="s">
        <v>5706</v>
      </c>
      <c r="F673" s="240" t="s">
        <v>4223</v>
      </c>
      <c r="G673" s="147"/>
      <c r="H673" s="240" t="s">
        <v>4215</v>
      </c>
      <c r="I673" s="240" t="s">
        <v>4215</v>
      </c>
      <c r="J673" s="147"/>
      <c r="K673" s="147"/>
      <c r="L673" s="147"/>
      <c r="M673" s="147"/>
      <c r="N673" s="147"/>
      <c r="O673" s="147"/>
      <c r="P673" s="147"/>
      <c r="Q673" s="147"/>
      <c r="R673" s="147"/>
      <c r="S673" s="147"/>
      <c r="T673" s="147"/>
      <c r="U673" s="147"/>
      <c r="V673" s="147"/>
    </row>
    <row r="674">
      <c r="A674" s="240" t="s">
        <v>6158</v>
      </c>
      <c r="B674" s="240" t="s">
        <v>1790</v>
      </c>
      <c r="C674" s="240" t="s">
        <v>1791</v>
      </c>
      <c r="D674" s="240" t="s">
        <v>6159</v>
      </c>
      <c r="E674" s="240" t="s">
        <v>6160</v>
      </c>
      <c r="F674" s="240" t="s">
        <v>4227</v>
      </c>
      <c r="G674" s="147"/>
      <c r="H674" s="240" t="s">
        <v>4215</v>
      </c>
      <c r="I674" s="240" t="s">
        <v>4215</v>
      </c>
      <c r="J674" s="147"/>
      <c r="K674" s="147"/>
      <c r="L674" s="147"/>
      <c r="M674" s="147"/>
      <c r="N674" s="147"/>
      <c r="O674" s="147"/>
      <c r="P674" s="147"/>
      <c r="Q674" s="147"/>
      <c r="R674" s="147"/>
      <c r="S674" s="147"/>
      <c r="T674" s="147"/>
      <c r="U674" s="147"/>
      <c r="V674" s="147"/>
    </row>
    <row r="675">
      <c r="A675" s="240" t="s">
        <v>6161</v>
      </c>
      <c r="B675" s="240" t="s">
        <v>1792</v>
      </c>
      <c r="C675" s="240" t="s">
        <v>1793</v>
      </c>
      <c r="D675" s="240" t="s">
        <v>6162</v>
      </c>
      <c r="E675" s="240" t="s">
        <v>6163</v>
      </c>
      <c r="F675" s="240" t="s">
        <v>4479</v>
      </c>
      <c r="G675" s="147"/>
      <c r="H675" s="240" t="s">
        <v>4215</v>
      </c>
      <c r="I675" s="240" t="s">
        <v>4215</v>
      </c>
      <c r="J675" s="147"/>
      <c r="K675" s="147"/>
      <c r="L675" s="147"/>
      <c r="M675" s="147"/>
      <c r="N675" s="147"/>
      <c r="O675" s="147"/>
      <c r="P675" s="147"/>
      <c r="Q675" s="147"/>
      <c r="R675" s="147"/>
      <c r="S675" s="147"/>
      <c r="T675" s="147"/>
      <c r="U675" s="147"/>
      <c r="V675" s="147"/>
    </row>
    <row r="676">
      <c r="A676" s="240" t="s">
        <v>6164</v>
      </c>
      <c r="B676" s="240" t="s">
        <v>1794</v>
      </c>
      <c r="C676" s="240" t="s">
        <v>1795</v>
      </c>
      <c r="D676" s="240" t="s">
        <v>6165</v>
      </c>
      <c r="E676" s="240" t="s">
        <v>5130</v>
      </c>
      <c r="F676" s="240" t="s">
        <v>4297</v>
      </c>
      <c r="G676" s="147"/>
      <c r="H676" s="240" t="s">
        <v>4215</v>
      </c>
      <c r="I676" s="240" t="s">
        <v>4215</v>
      </c>
      <c r="J676" s="147"/>
      <c r="K676" s="147"/>
      <c r="L676" s="147"/>
      <c r="M676" s="147"/>
      <c r="N676" s="147"/>
      <c r="O676" s="147"/>
      <c r="P676" s="147"/>
      <c r="Q676" s="147"/>
      <c r="R676" s="147"/>
      <c r="S676" s="147"/>
      <c r="T676" s="147"/>
      <c r="U676" s="147"/>
      <c r="V676" s="147"/>
    </row>
    <row r="677">
      <c r="A677" s="240" t="s">
        <v>6166</v>
      </c>
      <c r="B677" s="240" t="s">
        <v>1796</v>
      </c>
      <c r="C677" s="240" t="s">
        <v>1797</v>
      </c>
      <c r="D677" s="240" t="s">
        <v>6167</v>
      </c>
      <c r="E677" s="240" t="s">
        <v>281</v>
      </c>
      <c r="F677" s="240" t="s">
        <v>4219</v>
      </c>
      <c r="G677" s="147"/>
      <c r="H677" s="240" t="s">
        <v>4215</v>
      </c>
      <c r="I677" s="240" t="s">
        <v>4215</v>
      </c>
      <c r="J677" s="147"/>
      <c r="K677" s="147"/>
      <c r="L677" s="147"/>
      <c r="M677" s="147"/>
      <c r="N677" s="147"/>
      <c r="O677" s="147"/>
      <c r="P677" s="147"/>
      <c r="Q677" s="147"/>
      <c r="R677" s="147"/>
      <c r="S677" s="147"/>
      <c r="T677" s="147"/>
      <c r="U677" s="147"/>
      <c r="V677" s="147"/>
    </row>
    <row r="678">
      <c r="A678" s="240" t="s">
        <v>6168</v>
      </c>
      <c r="B678" s="240" t="s">
        <v>1798</v>
      </c>
      <c r="C678" s="240" t="s">
        <v>1799</v>
      </c>
      <c r="D678" s="240" t="s">
        <v>6169</v>
      </c>
      <c r="E678" s="240" t="s">
        <v>6170</v>
      </c>
      <c r="F678" s="240" t="s">
        <v>4264</v>
      </c>
      <c r="G678" s="147"/>
      <c r="H678" s="240" t="s">
        <v>4215</v>
      </c>
      <c r="I678" s="240" t="s">
        <v>4215</v>
      </c>
      <c r="J678" s="147"/>
      <c r="K678" s="147"/>
      <c r="L678" s="147"/>
      <c r="M678" s="147"/>
      <c r="N678" s="147"/>
      <c r="O678" s="147"/>
      <c r="P678" s="147"/>
      <c r="Q678" s="147"/>
      <c r="R678" s="147"/>
      <c r="S678" s="147"/>
      <c r="T678" s="147"/>
      <c r="U678" s="147"/>
      <c r="V678" s="147"/>
    </row>
    <row r="679">
      <c r="A679" s="240" t="s">
        <v>6171</v>
      </c>
      <c r="B679" s="240" t="s">
        <v>1800</v>
      </c>
      <c r="C679" s="240" t="s">
        <v>1801</v>
      </c>
      <c r="D679" s="240" t="s">
        <v>6172</v>
      </c>
      <c r="E679" s="240" t="s">
        <v>6173</v>
      </c>
      <c r="F679" s="240" t="s">
        <v>4235</v>
      </c>
      <c r="G679" s="147"/>
      <c r="H679" s="240" t="s">
        <v>4215</v>
      </c>
      <c r="I679" s="240" t="s">
        <v>4215</v>
      </c>
      <c r="J679" s="147"/>
      <c r="K679" s="147"/>
      <c r="L679" s="147"/>
      <c r="M679" s="147"/>
      <c r="N679" s="147"/>
      <c r="O679" s="147"/>
      <c r="P679" s="147"/>
      <c r="Q679" s="147"/>
      <c r="R679" s="147"/>
      <c r="S679" s="147"/>
      <c r="T679" s="147"/>
      <c r="U679" s="147"/>
      <c r="V679" s="147"/>
    </row>
    <row r="680">
      <c r="A680" s="240" t="s">
        <v>6174</v>
      </c>
      <c r="B680" s="240" t="s">
        <v>1802</v>
      </c>
      <c r="C680" s="240" t="s">
        <v>1803</v>
      </c>
      <c r="D680" s="240" t="s">
        <v>6175</v>
      </c>
      <c r="E680" s="240" t="s">
        <v>6176</v>
      </c>
      <c r="F680" s="240" t="s">
        <v>4621</v>
      </c>
      <c r="G680" s="147"/>
      <c r="H680" s="240" t="s">
        <v>4215</v>
      </c>
      <c r="I680" s="240" t="s">
        <v>4215</v>
      </c>
      <c r="J680" s="147"/>
      <c r="K680" s="147"/>
      <c r="L680" s="147"/>
      <c r="M680" s="147"/>
      <c r="N680" s="147"/>
      <c r="O680" s="147"/>
      <c r="P680" s="147"/>
      <c r="Q680" s="147"/>
      <c r="R680" s="147"/>
      <c r="S680" s="147"/>
      <c r="T680" s="147"/>
      <c r="U680" s="147"/>
      <c r="V680" s="147"/>
    </row>
    <row r="681">
      <c r="A681" s="240" t="s">
        <v>6177</v>
      </c>
      <c r="B681" s="240" t="s">
        <v>1804</v>
      </c>
      <c r="C681" s="240" t="s">
        <v>1805</v>
      </c>
      <c r="D681" s="240" t="s">
        <v>6178</v>
      </c>
      <c r="E681" s="240" t="s">
        <v>6179</v>
      </c>
      <c r="F681" s="240" t="s">
        <v>4264</v>
      </c>
      <c r="G681" s="147"/>
      <c r="H681" s="240" t="s">
        <v>4215</v>
      </c>
      <c r="I681" s="240" t="s">
        <v>4215</v>
      </c>
      <c r="J681" s="147"/>
      <c r="K681" s="147"/>
      <c r="L681" s="147"/>
      <c r="M681" s="147"/>
      <c r="N681" s="147"/>
      <c r="O681" s="147"/>
      <c r="P681" s="147"/>
      <c r="Q681" s="147"/>
      <c r="R681" s="147"/>
      <c r="S681" s="147"/>
      <c r="T681" s="147"/>
      <c r="U681" s="147"/>
      <c r="V681" s="147"/>
    </row>
    <row r="682">
      <c r="A682" s="240" t="s">
        <v>6180</v>
      </c>
      <c r="B682" s="240" t="s">
        <v>1806</v>
      </c>
      <c r="C682" s="240" t="s">
        <v>1807</v>
      </c>
      <c r="D682" s="240" t="s">
        <v>6181</v>
      </c>
      <c r="E682" s="240" t="s">
        <v>6182</v>
      </c>
      <c r="F682" s="240" t="s">
        <v>4219</v>
      </c>
      <c r="G682" s="147"/>
      <c r="H682" s="240" t="s">
        <v>4215</v>
      </c>
      <c r="I682" s="240" t="s">
        <v>4215</v>
      </c>
      <c r="J682" s="147"/>
      <c r="K682" s="147"/>
      <c r="L682" s="147"/>
      <c r="M682" s="147"/>
      <c r="N682" s="147"/>
      <c r="O682" s="147"/>
      <c r="P682" s="147"/>
      <c r="Q682" s="147"/>
      <c r="R682" s="147"/>
      <c r="S682" s="147"/>
      <c r="T682" s="147"/>
      <c r="U682" s="147"/>
      <c r="V682" s="147"/>
    </row>
    <row r="683">
      <c r="A683" s="240" t="s">
        <v>6183</v>
      </c>
      <c r="B683" s="240" t="s">
        <v>1808</v>
      </c>
      <c r="C683" s="240" t="s">
        <v>1809</v>
      </c>
      <c r="D683" s="240" t="s">
        <v>4047</v>
      </c>
      <c r="E683" s="240" t="s">
        <v>5244</v>
      </c>
      <c r="F683" s="240" t="s">
        <v>4349</v>
      </c>
      <c r="G683" s="147"/>
      <c r="H683" s="240" t="s">
        <v>4215</v>
      </c>
      <c r="I683" s="240" t="s">
        <v>4215</v>
      </c>
      <c r="J683" s="147"/>
      <c r="K683" s="147"/>
      <c r="L683" s="147"/>
      <c r="M683" s="147"/>
      <c r="N683" s="147"/>
      <c r="O683" s="147"/>
      <c r="P683" s="147"/>
      <c r="Q683" s="147"/>
      <c r="R683" s="147"/>
      <c r="S683" s="147"/>
      <c r="T683" s="147"/>
      <c r="U683" s="147"/>
      <c r="V683" s="147"/>
    </row>
    <row r="684">
      <c r="A684" s="240" t="s">
        <v>6184</v>
      </c>
      <c r="B684" s="240" t="s">
        <v>1810</v>
      </c>
      <c r="C684" s="240" t="s">
        <v>1811</v>
      </c>
      <c r="D684" s="240" t="s">
        <v>4087</v>
      </c>
      <c r="E684" s="240" t="s">
        <v>5211</v>
      </c>
      <c r="F684" s="240" t="s">
        <v>4297</v>
      </c>
      <c r="G684" s="147"/>
      <c r="H684" s="240" t="s">
        <v>4215</v>
      </c>
      <c r="I684" s="240" t="s">
        <v>4215</v>
      </c>
      <c r="J684" s="147"/>
      <c r="K684" s="147"/>
      <c r="L684" s="147"/>
      <c r="M684" s="147"/>
      <c r="N684" s="147"/>
      <c r="O684" s="147"/>
      <c r="P684" s="147"/>
      <c r="Q684" s="147"/>
      <c r="R684" s="147"/>
      <c r="S684" s="147"/>
      <c r="T684" s="147"/>
      <c r="U684" s="147"/>
      <c r="V684" s="147"/>
    </row>
    <row r="685">
      <c r="A685" s="240" t="s">
        <v>6185</v>
      </c>
      <c r="B685" s="240" t="s">
        <v>1812</v>
      </c>
      <c r="C685" s="240" t="s">
        <v>1813</v>
      </c>
      <c r="D685" s="240" t="s">
        <v>4068</v>
      </c>
      <c r="E685" s="240" t="s">
        <v>6186</v>
      </c>
      <c r="F685" s="240" t="s">
        <v>4235</v>
      </c>
      <c r="G685" s="147"/>
      <c r="H685" s="240" t="s">
        <v>4215</v>
      </c>
      <c r="I685" s="240" t="s">
        <v>4215</v>
      </c>
      <c r="J685" s="147"/>
      <c r="K685" s="147"/>
      <c r="L685" s="147"/>
      <c r="M685" s="147"/>
      <c r="N685" s="147"/>
      <c r="O685" s="147"/>
      <c r="P685" s="147"/>
      <c r="Q685" s="147"/>
      <c r="R685" s="147"/>
      <c r="S685" s="147"/>
      <c r="T685" s="147"/>
      <c r="U685" s="147"/>
      <c r="V685" s="147"/>
    </row>
    <row r="686">
      <c r="A686" s="240" t="s">
        <v>6187</v>
      </c>
      <c r="B686" s="240" t="s">
        <v>1814</v>
      </c>
      <c r="C686" s="240" t="s">
        <v>1815</v>
      </c>
      <c r="D686" s="240" t="s">
        <v>4074</v>
      </c>
      <c r="E686" s="240" t="s">
        <v>6188</v>
      </c>
      <c r="F686" s="240" t="s">
        <v>4235</v>
      </c>
      <c r="G686" s="147"/>
      <c r="H686" s="240" t="s">
        <v>4215</v>
      </c>
      <c r="I686" s="240" t="s">
        <v>4215</v>
      </c>
      <c r="J686" s="147"/>
      <c r="K686" s="147"/>
      <c r="L686" s="147"/>
      <c r="M686" s="147"/>
      <c r="N686" s="147"/>
      <c r="O686" s="147"/>
      <c r="P686" s="147"/>
      <c r="Q686" s="147"/>
      <c r="R686" s="147"/>
      <c r="S686" s="147"/>
      <c r="T686" s="147"/>
      <c r="U686" s="147"/>
      <c r="V686" s="147"/>
    </row>
    <row r="687">
      <c r="A687" s="240" t="s">
        <v>6189</v>
      </c>
      <c r="B687" s="240" t="s">
        <v>1816</v>
      </c>
      <c r="C687" s="240" t="s">
        <v>1817</v>
      </c>
      <c r="D687" s="240" t="s">
        <v>4040</v>
      </c>
      <c r="E687" s="240" t="s">
        <v>6190</v>
      </c>
      <c r="F687" s="240" t="s">
        <v>4235</v>
      </c>
      <c r="G687" s="147"/>
      <c r="H687" s="240" t="s">
        <v>4215</v>
      </c>
      <c r="I687" s="240" t="s">
        <v>4215</v>
      </c>
      <c r="J687" s="147"/>
      <c r="K687" s="147"/>
      <c r="L687" s="147"/>
      <c r="M687" s="147"/>
      <c r="N687" s="147"/>
      <c r="O687" s="147"/>
      <c r="P687" s="147"/>
      <c r="Q687" s="147"/>
      <c r="R687" s="147"/>
      <c r="S687" s="147"/>
      <c r="T687" s="147"/>
      <c r="U687" s="147"/>
      <c r="V687" s="147"/>
    </row>
    <row r="688">
      <c r="A688" s="240" t="s">
        <v>6191</v>
      </c>
      <c r="B688" s="240" t="s">
        <v>1818</v>
      </c>
      <c r="C688" s="240" t="s">
        <v>1819</v>
      </c>
      <c r="D688" s="240" t="s">
        <v>4093</v>
      </c>
      <c r="E688" s="240" t="s">
        <v>6192</v>
      </c>
      <c r="F688" s="240" t="s">
        <v>4231</v>
      </c>
      <c r="G688" s="147"/>
      <c r="H688" s="240" t="s">
        <v>4215</v>
      </c>
      <c r="I688" s="147"/>
      <c r="J688" s="147"/>
      <c r="K688" s="147"/>
      <c r="L688" s="147"/>
      <c r="M688" s="147"/>
      <c r="N688" s="147"/>
      <c r="O688" s="147"/>
      <c r="P688" s="147"/>
      <c r="Q688" s="147"/>
      <c r="R688" s="147"/>
      <c r="S688" s="147"/>
      <c r="T688" s="147"/>
      <c r="U688" s="147"/>
      <c r="V688" s="147"/>
    </row>
    <row r="689">
      <c r="A689" s="240" t="s">
        <v>6193</v>
      </c>
      <c r="B689" s="240" t="s">
        <v>1820</v>
      </c>
      <c r="C689" s="240" t="s">
        <v>1821</v>
      </c>
      <c r="D689" s="240" t="s">
        <v>4080</v>
      </c>
      <c r="E689" s="240" t="s">
        <v>6194</v>
      </c>
      <c r="F689" s="240" t="s">
        <v>4223</v>
      </c>
      <c r="G689" s="147"/>
      <c r="H689" s="240" t="s">
        <v>4215</v>
      </c>
      <c r="I689" s="240" t="s">
        <v>4215</v>
      </c>
      <c r="J689" s="147"/>
      <c r="K689" s="147"/>
      <c r="L689" s="147"/>
      <c r="M689" s="147"/>
      <c r="N689" s="147"/>
      <c r="O689" s="147"/>
      <c r="P689" s="147"/>
      <c r="Q689" s="147"/>
      <c r="R689" s="147"/>
      <c r="S689" s="147"/>
      <c r="T689" s="147"/>
      <c r="U689" s="147"/>
      <c r="V689" s="147"/>
    </row>
    <row r="690">
      <c r="A690" s="240" t="s">
        <v>6195</v>
      </c>
      <c r="B690" s="240" t="s">
        <v>1822</v>
      </c>
      <c r="C690" s="240" t="s">
        <v>1823</v>
      </c>
      <c r="D690" s="240" t="s">
        <v>4046</v>
      </c>
      <c r="E690" s="240" t="s">
        <v>6196</v>
      </c>
      <c r="F690" s="240" t="s">
        <v>4828</v>
      </c>
      <c r="G690" s="147"/>
      <c r="H690" s="240" t="s">
        <v>4215</v>
      </c>
      <c r="I690" s="240" t="s">
        <v>4215</v>
      </c>
      <c r="J690" s="147"/>
      <c r="K690" s="147"/>
      <c r="L690" s="147"/>
      <c r="M690" s="147"/>
      <c r="N690" s="147"/>
      <c r="O690" s="147"/>
      <c r="P690" s="147"/>
      <c r="Q690" s="147"/>
      <c r="R690" s="147"/>
      <c r="S690" s="147"/>
      <c r="T690" s="147"/>
      <c r="U690" s="147"/>
      <c r="V690" s="147"/>
    </row>
    <row r="691">
      <c r="A691" s="240" t="s">
        <v>6197</v>
      </c>
      <c r="B691" s="240" t="s">
        <v>1824</v>
      </c>
      <c r="C691" s="240" t="s">
        <v>1825</v>
      </c>
      <c r="D691" s="240" t="s">
        <v>4091</v>
      </c>
      <c r="E691" s="240" t="s">
        <v>6198</v>
      </c>
      <c r="F691" s="240" t="s">
        <v>4227</v>
      </c>
      <c r="G691" s="147"/>
      <c r="H691" s="240" t="s">
        <v>4215</v>
      </c>
      <c r="I691" s="240" t="s">
        <v>4215</v>
      </c>
      <c r="J691" s="147"/>
      <c r="K691" s="147"/>
      <c r="L691" s="147"/>
      <c r="M691" s="147"/>
      <c r="N691" s="147"/>
      <c r="O691" s="147"/>
      <c r="P691" s="147"/>
      <c r="Q691" s="147"/>
      <c r="R691" s="147"/>
      <c r="S691" s="147"/>
      <c r="T691" s="147"/>
      <c r="U691" s="147"/>
      <c r="V691" s="147"/>
    </row>
    <row r="692">
      <c r="A692" s="240" t="s">
        <v>6199</v>
      </c>
      <c r="B692" s="240" t="s">
        <v>1826</v>
      </c>
      <c r="C692" s="240" t="s">
        <v>1827</v>
      </c>
      <c r="D692" s="240" t="s">
        <v>4075</v>
      </c>
      <c r="E692" s="240" t="s">
        <v>4716</v>
      </c>
      <c r="F692" s="240" t="s">
        <v>4223</v>
      </c>
      <c r="G692" s="147"/>
      <c r="H692" s="240" t="s">
        <v>4215</v>
      </c>
      <c r="I692" s="240" t="s">
        <v>4215</v>
      </c>
      <c r="J692" s="147"/>
      <c r="K692" s="147"/>
      <c r="L692" s="147"/>
      <c r="M692" s="147"/>
      <c r="N692" s="147"/>
      <c r="O692" s="147"/>
      <c r="P692" s="147"/>
      <c r="Q692" s="147"/>
      <c r="R692" s="147"/>
      <c r="S692" s="147"/>
      <c r="T692" s="147"/>
      <c r="U692" s="147"/>
      <c r="V692" s="147"/>
    </row>
    <row r="693">
      <c r="A693" s="240" t="s">
        <v>6200</v>
      </c>
      <c r="B693" s="240" t="s">
        <v>1828</v>
      </c>
      <c r="C693" s="240" t="s">
        <v>1829</v>
      </c>
      <c r="D693" s="240" t="s">
        <v>4043</v>
      </c>
      <c r="E693" s="240" t="s">
        <v>6201</v>
      </c>
      <c r="F693" s="240" t="s">
        <v>4349</v>
      </c>
      <c r="G693" s="147"/>
      <c r="H693" s="240" t="s">
        <v>4215</v>
      </c>
      <c r="I693" s="240" t="s">
        <v>4215</v>
      </c>
      <c r="J693" s="147"/>
      <c r="K693" s="147"/>
      <c r="L693" s="147"/>
      <c r="M693" s="147"/>
      <c r="N693" s="147"/>
      <c r="O693" s="147"/>
      <c r="P693" s="147"/>
      <c r="Q693" s="147"/>
      <c r="R693" s="147"/>
      <c r="S693" s="147"/>
      <c r="T693" s="147"/>
      <c r="U693" s="147"/>
      <c r="V693" s="147"/>
    </row>
    <row r="694">
      <c r="A694" s="240" t="s">
        <v>6202</v>
      </c>
      <c r="B694" s="240" t="s">
        <v>1830</v>
      </c>
      <c r="C694" s="240" t="s">
        <v>1831</v>
      </c>
      <c r="D694" s="240" t="s">
        <v>4064</v>
      </c>
      <c r="E694" s="240" t="s">
        <v>6203</v>
      </c>
      <c r="F694" s="240" t="s">
        <v>4231</v>
      </c>
      <c r="G694" s="147"/>
      <c r="H694" s="240" t="s">
        <v>4215</v>
      </c>
      <c r="I694" s="240" t="s">
        <v>4215</v>
      </c>
      <c r="J694" s="147"/>
      <c r="K694" s="147"/>
      <c r="L694" s="147"/>
      <c r="M694" s="147"/>
      <c r="N694" s="147"/>
      <c r="O694" s="147"/>
      <c r="P694" s="147"/>
      <c r="Q694" s="147"/>
      <c r="R694" s="147"/>
      <c r="S694" s="147"/>
      <c r="T694" s="147"/>
      <c r="U694" s="147"/>
      <c r="V694" s="147"/>
    </row>
    <row r="695">
      <c r="A695" s="240" t="s">
        <v>6204</v>
      </c>
      <c r="B695" s="240" t="s">
        <v>1832</v>
      </c>
      <c r="C695" s="240" t="s">
        <v>1833</v>
      </c>
      <c r="D695" s="240" t="s">
        <v>4057</v>
      </c>
      <c r="E695" s="240" t="s">
        <v>6205</v>
      </c>
      <c r="F695" s="240" t="s">
        <v>4231</v>
      </c>
      <c r="G695" s="147"/>
      <c r="H695" s="147"/>
      <c r="I695" s="240" t="s">
        <v>4215</v>
      </c>
      <c r="J695" s="147"/>
      <c r="K695" s="147"/>
      <c r="L695" s="147"/>
      <c r="M695" s="147"/>
      <c r="N695" s="147"/>
      <c r="O695" s="147"/>
      <c r="P695" s="147"/>
      <c r="Q695" s="147"/>
      <c r="R695" s="147"/>
      <c r="S695" s="147"/>
      <c r="T695" s="147"/>
      <c r="U695" s="147"/>
      <c r="V695" s="147"/>
    </row>
    <row r="696">
      <c r="A696" s="240" t="s">
        <v>6206</v>
      </c>
      <c r="B696" s="240" t="s">
        <v>1834</v>
      </c>
      <c r="C696" s="240" t="s">
        <v>1835</v>
      </c>
      <c r="D696" s="240" t="s">
        <v>4089</v>
      </c>
      <c r="E696" s="240" t="s">
        <v>5588</v>
      </c>
      <c r="F696" s="240" t="s">
        <v>4235</v>
      </c>
      <c r="G696" s="147"/>
      <c r="H696" s="147"/>
      <c r="I696" s="147"/>
      <c r="J696" s="147"/>
      <c r="K696" s="147"/>
      <c r="L696" s="147"/>
      <c r="M696" s="147"/>
      <c r="N696" s="147"/>
      <c r="O696" s="147"/>
      <c r="P696" s="147"/>
      <c r="Q696" s="147"/>
      <c r="R696" s="147"/>
      <c r="S696" s="147"/>
      <c r="T696" s="147"/>
      <c r="U696" s="147"/>
      <c r="V696" s="147"/>
    </row>
    <row r="697">
      <c r="A697" s="240" t="s">
        <v>6207</v>
      </c>
      <c r="B697" s="240" t="s">
        <v>1836</v>
      </c>
      <c r="C697" s="240" t="s">
        <v>1837</v>
      </c>
      <c r="D697" s="240" t="s">
        <v>4077</v>
      </c>
      <c r="E697" s="240" t="s">
        <v>6208</v>
      </c>
      <c r="F697" s="240" t="s">
        <v>4223</v>
      </c>
      <c r="G697" s="147"/>
      <c r="H697" s="240" t="s">
        <v>4215</v>
      </c>
      <c r="I697" s="240" t="s">
        <v>4215</v>
      </c>
      <c r="J697" s="147"/>
      <c r="K697" s="147"/>
      <c r="L697" s="147"/>
      <c r="M697" s="147"/>
      <c r="N697" s="147"/>
      <c r="O697" s="147"/>
      <c r="P697" s="147"/>
      <c r="Q697" s="147"/>
      <c r="R697" s="147"/>
      <c r="S697" s="147"/>
      <c r="T697" s="147"/>
      <c r="U697" s="147"/>
      <c r="V697" s="147"/>
    </row>
    <row r="698">
      <c r="A698" s="240" t="s">
        <v>6209</v>
      </c>
      <c r="B698" s="240" t="s">
        <v>1838</v>
      </c>
      <c r="C698" s="240" t="s">
        <v>1839</v>
      </c>
      <c r="D698" s="240" t="s">
        <v>4086</v>
      </c>
      <c r="E698" s="240" t="s">
        <v>6210</v>
      </c>
      <c r="F698" s="240" t="s">
        <v>4227</v>
      </c>
      <c r="G698" s="147"/>
      <c r="H698" s="240" t="s">
        <v>4215</v>
      </c>
      <c r="I698" s="240" t="s">
        <v>4215</v>
      </c>
      <c r="J698" s="147"/>
      <c r="K698" s="147"/>
      <c r="L698" s="147"/>
      <c r="M698" s="147"/>
      <c r="N698" s="147"/>
      <c r="O698" s="147"/>
      <c r="P698" s="147"/>
      <c r="Q698" s="147"/>
      <c r="R698" s="147"/>
      <c r="S698" s="147"/>
      <c r="T698" s="147"/>
      <c r="U698" s="147"/>
      <c r="V698" s="147"/>
    </row>
    <row r="699">
      <c r="A699" s="240" t="s">
        <v>6211</v>
      </c>
      <c r="B699" s="240" t="s">
        <v>1840</v>
      </c>
      <c r="C699" s="240" t="s">
        <v>1841</v>
      </c>
      <c r="D699" s="240" t="s">
        <v>4056</v>
      </c>
      <c r="E699" s="240" t="s">
        <v>4970</v>
      </c>
      <c r="F699" s="240" t="s">
        <v>4355</v>
      </c>
      <c r="G699" s="147"/>
      <c r="H699" s="240" t="s">
        <v>4215</v>
      </c>
      <c r="I699" s="240" t="s">
        <v>4215</v>
      </c>
      <c r="J699" s="147"/>
      <c r="K699" s="147"/>
      <c r="L699" s="147"/>
      <c r="M699" s="147"/>
      <c r="N699" s="147"/>
      <c r="O699" s="147"/>
      <c r="P699" s="147"/>
      <c r="Q699" s="147"/>
      <c r="R699" s="147"/>
      <c r="S699" s="147"/>
      <c r="T699" s="147"/>
      <c r="U699" s="147"/>
      <c r="V699" s="147"/>
    </row>
    <row r="700">
      <c r="A700" s="240" t="s">
        <v>6212</v>
      </c>
      <c r="B700" s="240" t="s">
        <v>1842</v>
      </c>
      <c r="C700" s="240" t="s">
        <v>1843</v>
      </c>
      <c r="D700" s="240" t="s">
        <v>4066</v>
      </c>
      <c r="E700" s="240" t="s">
        <v>5534</v>
      </c>
      <c r="F700" s="240" t="s">
        <v>4479</v>
      </c>
      <c r="G700" s="147"/>
      <c r="H700" s="240" t="s">
        <v>4215</v>
      </c>
      <c r="I700" s="240" t="s">
        <v>4215</v>
      </c>
      <c r="J700" s="147"/>
      <c r="K700" s="147"/>
      <c r="L700" s="147"/>
      <c r="M700" s="147"/>
      <c r="N700" s="147"/>
      <c r="O700" s="147"/>
      <c r="P700" s="147"/>
      <c r="Q700" s="147"/>
      <c r="R700" s="147"/>
      <c r="S700" s="147"/>
      <c r="T700" s="147"/>
      <c r="U700" s="147"/>
      <c r="V700" s="147"/>
    </row>
    <row r="701">
      <c r="A701" s="240" t="s">
        <v>6213</v>
      </c>
      <c r="B701" s="240" t="s">
        <v>1844</v>
      </c>
      <c r="C701" s="240" t="s">
        <v>1845</v>
      </c>
      <c r="D701" s="240" t="s">
        <v>4062</v>
      </c>
      <c r="E701" s="240" t="s">
        <v>6214</v>
      </c>
      <c r="F701" s="240" t="s">
        <v>4621</v>
      </c>
      <c r="G701" s="147"/>
      <c r="H701" s="240" t="s">
        <v>4215</v>
      </c>
      <c r="I701" s="240" t="s">
        <v>4215</v>
      </c>
      <c r="J701" s="147"/>
      <c r="K701" s="147"/>
      <c r="L701" s="147"/>
      <c r="M701" s="147"/>
      <c r="N701" s="147"/>
      <c r="O701" s="147"/>
      <c r="P701" s="147"/>
      <c r="Q701" s="147"/>
      <c r="R701" s="147"/>
      <c r="S701" s="147"/>
      <c r="T701" s="147"/>
      <c r="U701" s="147"/>
      <c r="V701" s="147"/>
    </row>
    <row r="702">
      <c r="A702" s="240" t="s">
        <v>6215</v>
      </c>
      <c r="B702" s="240" t="s">
        <v>1846</v>
      </c>
      <c r="C702" s="240" t="s">
        <v>1847</v>
      </c>
      <c r="D702" s="240" t="s">
        <v>4045</v>
      </c>
      <c r="E702" s="240" t="s">
        <v>6216</v>
      </c>
      <c r="F702" s="240" t="s">
        <v>4223</v>
      </c>
      <c r="G702" s="147"/>
      <c r="H702" s="240" t="s">
        <v>4215</v>
      </c>
      <c r="I702" s="240" t="s">
        <v>4215</v>
      </c>
      <c r="J702" s="147"/>
      <c r="K702" s="147"/>
      <c r="L702" s="147"/>
      <c r="M702" s="147"/>
      <c r="N702" s="147"/>
      <c r="O702" s="147"/>
      <c r="P702" s="147"/>
      <c r="Q702" s="147"/>
      <c r="R702" s="147"/>
      <c r="S702" s="147"/>
      <c r="T702" s="147"/>
      <c r="U702" s="147"/>
      <c r="V702" s="147"/>
    </row>
    <row r="703">
      <c r="A703" s="240" t="s">
        <v>6217</v>
      </c>
      <c r="B703" s="240" t="s">
        <v>1848</v>
      </c>
      <c r="C703" s="240" t="s">
        <v>1849</v>
      </c>
      <c r="D703" s="240" t="s">
        <v>4072</v>
      </c>
      <c r="E703" s="240" t="s">
        <v>6218</v>
      </c>
      <c r="F703" s="240" t="s">
        <v>4223</v>
      </c>
      <c r="G703" s="147"/>
      <c r="H703" s="240" t="s">
        <v>4215</v>
      </c>
      <c r="I703" s="240" t="s">
        <v>4215</v>
      </c>
      <c r="J703" s="147"/>
      <c r="K703" s="147"/>
      <c r="L703" s="147"/>
      <c r="M703" s="147"/>
      <c r="N703" s="147"/>
      <c r="O703" s="147"/>
      <c r="P703" s="147"/>
      <c r="Q703" s="147"/>
      <c r="R703" s="147"/>
      <c r="S703" s="147"/>
      <c r="T703" s="147"/>
      <c r="U703" s="147"/>
      <c r="V703" s="147"/>
    </row>
    <row r="704">
      <c r="A704" s="240" t="s">
        <v>6219</v>
      </c>
      <c r="B704" s="240" t="s">
        <v>1850</v>
      </c>
      <c r="C704" s="240" t="s">
        <v>1851</v>
      </c>
      <c r="D704" s="240" t="s">
        <v>4071</v>
      </c>
      <c r="E704" s="240" t="s">
        <v>6220</v>
      </c>
      <c r="F704" s="147"/>
      <c r="G704" s="147"/>
      <c r="H704" s="147"/>
      <c r="I704" s="147"/>
      <c r="J704" s="147"/>
      <c r="K704" s="147"/>
      <c r="L704" s="147"/>
      <c r="M704" s="147"/>
      <c r="N704" s="147"/>
      <c r="O704" s="147"/>
      <c r="P704" s="147"/>
      <c r="Q704" s="147"/>
      <c r="R704" s="147"/>
      <c r="S704" s="147"/>
      <c r="T704" s="147"/>
      <c r="U704" s="147"/>
      <c r="V704" s="147"/>
    </row>
    <row r="705">
      <c r="A705" s="240" t="s">
        <v>6221</v>
      </c>
      <c r="B705" s="240" t="s">
        <v>1852</v>
      </c>
      <c r="C705" s="240" t="s">
        <v>1853</v>
      </c>
      <c r="D705" s="240" t="s">
        <v>4050</v>
      </c>
      <c r="E705" s="240" t="s">
        <v>6222</v>
      </c>
      <c r="F705" s="240" t="s">
        <v>4355</v>
      </c>
      <c r="G705" s="147"/>
      <c r="H705" s="240" t="s">
        <v>4215</v>
      </c>
      <c r="I705" s="240" t="s">
        <v>4215</v>
      </c>
      <c r="J705" s="147"/>
      <c r="K705" s="147"/>
      <c r="L705" s="147"/>
      <c r="M705" s="147"/>
      <c r="N705" s="147"/>
      <c r="O705" s="147"/>
      <c r="P705" s="147"/>
      <c r="Q705" s="147"/>
      <c r="R705" s="147"/>
      <c r="S705" s="147"/>
      <c r="T705" s="147"/>
      <c r="U705" s="147"/>
      <c r="V705" s="147"/>
    </row>
    <row r="706">
      <c r="A706" s="240" t="s">
        <v>6223</v>
      </c>
      <c r="B706" s="240" t="s">
        <v>1854</v>
      </c>
      <c r="C706" s="240" t="s">
        <v>1855</v>
      </c>
      <c r="D706" s="240" t="s">
        <v>4067</v>
      </c>
      <c r="E706" s="240" t="s">
        <v>6224</v>
      </c>
      <c r="F706" s="240" t="s">
        <v>4479</v>
      </c>
      <c r="G706" s="147"/>
      <c r="H706" s="240" t="s">
        <v>4215</v>
      </c>
      <c r="I706" s="240" t="s">
        <v>4215</v>
      </c>
      <c r="J706" s="147"/>
      <c r="K706" s="147"/>
      <c r="L706" s="147"/>
      <c r="M706" s="147"/>
      <c r="N706" s="147"/>
      <c r="O706" s="147"/>
      <c r="P706" s="147"/>
      <c r="Q706" s="147"/>
      <c r="R706" s="147"/>
      <c r="S706" s="147"/>
      <c r="T706" s="147"/>
      <c r="U706" s="147"/>
      <c r="V706" s="147"/>
    </row>
    <row r="707">
      <c r="A707" s="240" t="s">
        <v>6225</v>
      </c>
      <c r="B707" s="240" t="s">
        <v>1856</v>
      </c>
      <c r="C707" s="240" t="s">
        <v>1857</v>
      </c>
      <c r="D707" s="240" t="s">
        <v>4084</v>
      </c>
      <c r="E707" s="240" t="s">
        <v>6226</v>
      </c>
      <c r="F707" s="240" t="s">
        <v>4479</v>
      </c>
      <c r="G707" s="147"/>
      <c r="H707" s="240" t="s">
        <v>4215</v>
      </c>
      <c r="I707" s="240" t="s">
        <v>4215</v>
      </c>
      <c r="J707" s="147"/>
      <c r="K707" s="147"/>
      <c r="L707" s="147"/>
      <c r="M707" s="147"/>
      <c r="N707" s="147"/>
      <c r="O707" s="147"/>
      <c r="P707" s="147"/>
      <c r="Q707" s="147"/>
      <c r="R707" s="147"/>
      <c r="S707" s="147"/>
      <c r="T707" s="147"/>
      <c r="U707" s="147"/>
      <c r="V707" s="147"/>
    </row>
    <row r="708">
      <c r="A708" s="240" t="s">
        <v>6227</v>
      </c>
      <c r="B708" s="240" t="s">
        <v>1858</v>
      </c>
      <c r="C708" s="240" t="s">
        <v>1859</v>
      </c>
      <c r="D708" s="240" t="s">
        <v>4052</v>
      </c>
      <c r="E708" s="240" t="s">
        <v>6228</v>
      </c>
      <c r="F708" s="240" t="s">
        <v>4219</v>
      </c>
      <c r="G708" s="147"/>
      <c r="H708" s="240" t="s">
        <v>4215</v>
      </c>
      <c r="I708" s="240" t="s">
        <v>4215</v>
      </c>
      <c r="J708" s="147"/>
      <c r="K708" s="147"/>
      <c r="L708" s="147"/>
      <c r="M708" s="147"/>
      <c r="N708" s="147"/>
      <c r="O708" s="147"/>
      <c r="P708" s="147"/>
      <c r="Q708" s="147"/>
      <c r="R708" s="147"/>
      <c r="S708" s="147"/>
      <c r="T708" s="147"/>
      <c r="U708" s="147"/>
      <c r="V708" s="147"/>
    </row>
    <row r="709">
      <c r="A709" s="240" t="s">
        <v>6229</v>
      </c>
      <c r="B709" s="240" t="s">
        <v>1860</v>
      </c>
      <c r="C709" s="240" t="s">
        <v>1861</v>
      </c>
      <c r="D709" s="240" t="s">
        <v>4060</v>
      </c>
      <c r="E709" s="240" t="s">
        <v>6230</v>
      </c>
      <c r="F709" s="240" t="s">
        <v>4219</v>
      </c>
      <c r="G709" s="147"/>
      <c r="H709" s="240" t="s">
        <v>4215</v>
      </c>
      <c r="I709" s="240" t="s">
        <v>4215</v>
      </c>
      <c r="J709" s="147"/>
      <c r="K709" s="147"/>
      <c r="L709" s="147"/>
      <c r="M709" s="147"/>
      <c r="N709" s="147"/>
      <c r="O709" s="147"/>
      <c r="P709" s="147"/>
      <c r="Q709" s="147"/>
      <c r="R709" s="147"/>
      <c r="S709" s="147"/>
      <c r="T709" s="147"/>
      <c r="U709" s="147"/>
      <c r="V709" s="147"/>
    </row>
    <row r="710">
      <c r="A710" s="240" t="s">
        <v>6231</v>
      </c>
      <c r="B710" s="240" t="s">
        <v>1862</v>
      </c>
      <c r="C710" s="240" t="s">
        <v>1863</v>
      </c>
      <c r="D710" s="240" t="s">
        <v>4059</v>
      </c>
      <c r="E710" s="240" t="s">
        <v>6232</v>
      </c>
      <c r="F710" s="240" t="s">
        <v>4223</v>
      </c>
      <c r="G710" s="147"/>
      <c r="H710" s="240" t="s">
        <v>4215</v>
      </c>
      <c r="I710" s="240" t="s">
        <v>4215</v>
      </c>
      <c r="J710" s="147"/>
      <c r="K710" s="147"/>
      <c r="L710" s="147"/>
      <c r="M710" s="147"/>
      <c r="N710" s="147"/>
      <c r="O710" s="147"/>
      <c r="P710" s="147"/>
      <c r="Q710" s="147"/>
      <c r="R710" s="147"/>
      <c r="S710" s="147"/>
      <c r="T710" s="147"/>
      <c r="U710" s="147"/>
      <c r="V710" s="147"/>
    </row>
    <row r="711">
      <c r="A711" s="240" t="s">
        <v>6233</v>
      </c>
      <c r="B711" s="240" t="s">
        <v>1864</v>
      </c>
      <c r="C711" s="240" t="s">
        <v>1865</v>
      </c>
      <c r="D711" s="240" t="s">
        <v>4082</v>
      </c>
      <c r="E711" s="240" t="s">
        <v>6234</v>
      </c>
      <c r="F711" s="240" t="s">
        <v>4349</v>
      </c>
      <c r="G711" s="147"/>
      <c r="H711" s="240" t="s">
        <v>4215</v>
      </c>
      <c r="I711" s="240" t="s">
        <v>4215</v>
      </c>
      <c r="J711" s="147"/>
      <c r="K711" s="147"/>
      <c r="L711" s="147"/>
      <c r="M711" s="147"/>
      <c r="N711" s="147"/>
      <c r="O711" s="147"/>
      <c r="P711" s="147"/>
      <c r="Q711" s="147"/>
      <c r="R711" s="147"/>
      <c r="S711" s="147"/>
      <c r="T711" s="147"/>
      <c r="U711" s="147"/>
      <c r="V711" s="147"/>
    </row>
    <row r="712">
      <c r="A712" s="240" t="s">
        <v>6235</v>
      </c>
      <c r="B712" s="240" t="s">
        <v>1866</v>
      </c>
      <c r="C712" s="240" t="s">
        <v>1867</v>
      </c>
      <c r="D712" s="240" t="s">
        <v>4054</v>
      </c>
      <c r="E712" s="240" t="s">
        <v>5148</v>
      </c>
      <c r="F712" s="240" t="s">
        <v>4264</v>
      </c>
      <c r="G712" s="147"/>
      <c r="H712" s="240" t="s">
        <v>4215</v>
      </c>
      <c r="I712" s="240" t="s">
        <v>4215</v>
      </c>
      <c r="J712" s="147"/>
      <c r="K712" s="147"/>
      <c r="L712" s="147"/>
      <c r="M712" s="147"/>
      <c r="N712" s="147"/>
      <c r="O712" s="147"/>
      <c r="P712" s="147"/>
      <c r="Q712" s="147"/>
      <c r="R712" s="147"/>
      <c r="S712" s="147"/>
      <c r="T712" s="147"/>
      <c r="U712" s="147"/>
      <c r="V712" s="147"/>
    </row>
    <row r="713">
      <c r="A713" s="240" t="s">
        <v>6236</v>
      </c>
      <c r="B713" s="240" t="s">
        <v>1868</v>
      </c>
      <c r="C713" s="240" t="s">
        <v>1869</v>
      </c>
      <c r="D713" s="240" t="s">
        <v>4042</v>
      </c>
      <c r="E713" s="240" t="s">
        <v>6237</v>
      </c>
      <c r="F713" s="240" t="s">
        <v>4219</v>
      </c>
      <c r="G713" s="147"/>
      <c r="H713" s="240" t="s">
        <v>4215</v>
      </c>
      <c r="I713" s="240" t="s">
        <v>4215</v>
      </c>
      <c r="J713" s="147"/>
      <c r="K713" s="147"/>
      <c r="L713" s="147"/>
      <c r="M713" s="147"/>
      <c r="N713" s="147"/>
      <c r="O713" s="147"/>
      <c r="P713" s="147"/>
      <c r="Q713" s="147"/>
      <c r="R713" s="147"/>
      <c r="S713" s="147"/>
      <c r="T713" s="147"/>
      <c r="U713" s="147"/>
      <c r="V713" s="147"/>
    </row>
    <row r="714">
      <c r="A714" s="240" t="s">
        <v>6238</v>
      </c>
      <c r="B714" s="240" t="s">
        <v>1870</v>
      </c>
      <c r="C714" s="240" t="s">
        <v>1871</v>
      </c>
      <c r="D714" s="240" t="s">
        <v>4041</v>
      </c>
      <c r="E714" s="240" t="s">
        <v>4716</v>
      </c>
      <c r="F714" s="240" t="s">
        <v>4264</v>
      </c>
      <c r="G714" s="147"/>
      <c r="H714" s="240" t="s">
        <v>4215</v>
      </c>
      <c r="I714" s="240" t="s">
        <v>4215</v>
      </c>
      <c r="J714" s="147"/>
      <c r="K714" s="147"/>
      <c r="L714" s="147"/>
      <c r="M714" s="147"/>
      <c r="N714" s="147"/>
      <c r="O714" s="147"/>
      <c r="P714" s="147"/>
      <c r="Q714" s="147"/>
      <c r="R714" s="147"/>
      <c r="S714" s="147"/>
      <c r="T714" s="147"/>
      <c r="U714" s="147"/>
      <c r="V714" s="147"/>
    </row>
    <row r="715">
      <c r="A715" s="240" t="s">
        <v>6239</v>
      </c>
      <c r="B715" s="240" t="s">
        <v>1872</v>
      </c>
      <c r="C715" s="240" t="s">
        <v>1873</v>
      </c>
      <c r="D715" s="240" t="s">
        <v>4051</v>
      </c>
      <c r="E715" s="240" t="s">
        <v>6240</v>
      </c>
      <c r="F715" s="240" t="s">
        <v>4235</v>
      </c>
      <c r="G715" s="147"/>
      <c r="H715" s="240" t="s">
        <v>4215</v>
      </c>
      <c r="I715" s="240" t="s">
        <v>4215</v>
      </c>
      <c r="J715" s="147"/>
      <c r="K715" s="147"/>
      <c r="L715" s="147"/>
      <c r="M715" s="147"/>
      <c r="N715" s="147"/>
      <c r="O715" s="147"/>
      <c r="P715" s="147"/>
      <c r="Q715" s="147"/>
      <c r="R715" s="147"/>
      <c r="S715" s="147"/>
      <c r="T715" s="147"/>
      <c r="U715" s="147"/>
      <c r="V715" s="147"/>
    </row>
    <row r="716">
      <c r="A716" s="240" t="s">
        <v>6241</v>
      </c>
      <c r="B716" s="240" t="s">
        <v>1874</v>
      </c>
      <c r="C716" s="240" t="s">
        <v>1875</v>
      </c>
      <c r="D716" s="240" t="s">
        <v>4053</v>
      </c>
      <c r="E716" s="240" t="s">
        <v>6242</v>
      </c>
      <c r="F716" s="240" t="s">
        <v>4349</v>
      </c>
      <c r="G716" s="147"/>
      <c r="H716" s="240" t="s">
        <v>4215</v>
      </c>
      <c r="I716" s="240" t="s">
        <v>4215</v>
      </c>
      <c r="J716" s="147"/>
      <c r="K716" s="147"/>
      <c r="L716" s="147"/>
      <c r="M716" s="147"/>
      <c r="N716" s="147"/>
      <c r="O716" s="147"/>
      <c r="P716" s="147"/>
      <c r="Q716" s="147"/>
      <c r="R716" s="147"/>
      <c r="S716" s="147"/>
      <c r="T716" s="147"/>
      <c r="U716" s="147"/>
      <c r="V716" s="147"/>
    </row>
    <row r="717">
      <c r="A717" s="240" t="s">
        <v>6243</v>
      </c>
      <c r="B717" s="240" t="s">
        <v>1876</v>
      </c>
      <c r="C717" s="240" t="s">
        <v>1877</v>
      </c>
      <c r="D717" s="240" t="s">
        <v>4081</v>
      </c>
      <c r="E717" s="240" t="s">
        <v>6244</v>
      </c>
      <c r="F717" s="240" t="s">
        <v>4235</v>
      </c>
      <c r="G717" s="147"/>
      <c r="H717" s="240" t="s">
        <v>4215</v>
      </c>
      <c r="I717" s="240" t="s">
        <v>4215</v>
      </c>
      <c r="J717" s="147"/>
      <c r="K717" s="147"/>
      <c r="L717" s="147"/>
      <c r="M717" s="147"/>
      <c r="N717" s="147"/>
      <c r="O717" s="147"/>
      <c r="P717" s="147"/>
      <c r="Q717" s="147"/>
      <c r="R717" s="147"/>
      <c r="S717" s="147"/>
      <c r="T717" s="147"/>
      <c r="U717" s="147"/>
      <c r="V717" s="147"/>
    </row>
    <row r="718">
      <c r="A718" s="240" t="s">
        <v>6245</v>
      </c>
      <c r="B718" s="240" t="s">
        <v>1878</v>
      </c>
      <c r="C718" s="240" t="s">
        <v>1879</v>
      </c>
      <c r="D718" s="240" t="s">
        <v>4096</v>
      </c>
      <c r="E718" s="240" t="s">
        <v>6246</v>
      </c>
      <c r="F718" s="240" t="s">
        <v>4538</v>
      </c>
      <c r="G718" s="147"/>
      <c r="H718" s="240" t="s">
        <v>4215</v>
      </c>
      <c r="I718" s="240" t="s">
        <v>4215</v>
      </c>
      <c r="J718" s="147"/>
      <c r="K718" s="147"/>
      <c r="L718" s="147"/>
      <c r="M718" s="147"/>
      <c r="N718" s="147"/>
      <c r="O718" s="147"/>
      <c r="P718" s="147"/>
      <c r="Q718" s="147"/>
      <c r="R718" s="147"/>
      <c r="S718" s="147"/>
      <c r="T718" s="147"/>
      <c r="U718" s="147"/>
      <c r="V718" s="147"/>
    </row>
    <row r="719">
      <c r="A719" s="240" t="s">
        <v>6247</v>
      </c>
      <c r="B719" s="240" t="s">
        <v>1880</v>
      </c>
      <c r="C719" s="240" t="s">
        <v>1881</v>
      </c>
      <c r="D719" s="240" t="s">
        <v>4078</v>
      </c>
      <c r="E719" s="240" t="s">
        <v>6248</v>
      </c>
      <c r="F719" s="240" t="s">
        <v>4297</v>
      </c>
      <c r="G719" s="147"/>
      <c r="H719" s="147"/>
      <c r="I719" s="147"/>
      <c r="J719" s="147"/>
      <c r="K719" s="147"/>
      <c r="L719" s="147"/>
      <c r="M719" s="147"/>
      <c r="N719" s="147"/>
      <c r="O719" s="147"/>
      <c r="P719" s="147"/>
      <c r="Q719" s="147"/>
      <c r="R719" s="147"/>
      <c r="S719" s="147"/>
      <c r="T719" s="147"/>
      <c r="U719" s="147"/>
      <c r="V719" s="147"/>
    </row>
    <row r="720">
      <c r="A720" s="240" t="s">
        <v>6249</v>
      </c>
      <c r="B720" s="240" t="s">
        <v>1882</v>
      </c>
      <c r="C720" s="240" t="s">
        <v>1883</v>
      </c>
      <c r="D720" s="240" t="s">
        <v>4073</v>
      </c>
      <c r="E720" s="240" t="s">
        <v>6250</v>
      </c>
      <c r="F720" s="240" t="s">
        <v>4479</v>
      </c>
      <c r="G720" s="147"/>
      <c r="H720" s="240" t="s">
        <v>4215</v>
      </c>
      <c r="I720" s="240" t="s">
        <v>4215</v>
      </c>
      <c r="J720" s="147"/>
      <c r="K720" s="147"/>
      <c r="L720" s="147"/>
      <c r="M720" s="147"/>
      <c r="N720" s="147"/>
      <c r="O720" s="147"/>
      <c r="P720" s="147"/>
      <c r="Q720" s="147"/>
      <c r="R720" s="147"/>
      <c r="S720" s="147"/>
      <c r="T720" s="147"/>
      <c r="U720" s="147"/>
      <c r="V720" s="147"/>
    </row>
    <row r="721">
      <c r="A721" s="240" t="s">
        <v>6251</v>
      </c>
      <c r="B721" s="240" t="s">
        <v>1884</v>
      </c>
      <c r="C721" s="240" t="s">
        <v>1885</v>
      </c>
      <c r="D721" s="240" t="s">
        <v>4079</v>
      </c>
      <c r="E721" s="240" t="s">
        <v>6252</v>
      </c>
      <c r="F721" s="240" t="s">
        <v>4231</v>
      </c>
      <c r="G721" s="147"/>
      <c r="H721" s="147"/>
      <c r="I721" s="147"/>
      <c r="J721" s="147"/>
      <c r="K721" s="147"/>
      <c r="L721" s="147"/>
      <c r="M721" s="147"/>
      <c r="N721" s="147"/>
      <c r="O721" s="147"/>
      <c r="P721" s="147"/>
      <c r="Q721" s="147"/>
      <c r="R721" s="147"/>
      <c r="S721" s="147"/>
      <c r="T721" s="147"/>
      <c r="U721" s="147"/>
      <c r="V721" s="147"/>
    </row>
    <row r="722">
      <c r="A722" s="240" t="s">
        <v>6253</v>
      </c>
      <c r="B722" s="240" t="s">
        <v>1886</v>
      </c>
      <c r="C722" s="240" t="s">
        <v>1887</v>
      </c>
      <c r="D722" s="240" t="s">
        <v>4058</v>
      </c>
      <c r="E722" s="240" t="s">
        <v>6254</v>
      </c>
      <c r="F722" s="240" t="s">
        <v>4227</v>
      </c>
      <c r="G722" s="147"/>
      <c r="H722" s="240" t="s">
        <v>4215</v>
      </c>
      <c r="I722" s="240" t="s">
        <v>4215</v>
      </c>
      <c r="J722" s="147"/>
      <c r="K722" s="147"/>
      <c r="L722" s="147"/>
      <c r="M722" s="147"/>
      <c r="N722" s="147"/>
      <c r="O722" s="147"/>
      <c r="P722" s="147"/>
      <c r="Q722" s="147"/>
      <c r="R722" s="147"/>
      <c r="S722" s="147"/>
      <c r="T722" s="147"/>
      <c r="U722" s="147"/>
      <c r="V722" s="147"/>
    </row>
    <row r="723">
      <c r="A723" s="240" t="s">
        <v>6255</v>
      </c>
      <c r="B723" s="240" t="s">
        <v>1888</v>
      </c>
      <c r="C723" s="240" t="s">
        <v>1889</v>
      </c>
      <c r="D723" s="240" t="s">
        <v>4094</v>
      </c>
      <c r="E723" s="240" t="s">
        <v>4234</v>
      </c>
      <c r="F723" s="240" t="s">
        <v>4828</v>
      </c>
      <c r="G723" s="147"/>
      <c r="H723" s="147"/>
      <c r="I723" s="147"/>
      <c r="J723" s="147"/>
      <c r="K723" s="147"/>
      <c r="L723" s="147"/>
      <c r="M723" s="147"/>
      <c r="N723" s="147"/>
      <c r="O723" s="147"/>
      <c r="P723" s="147"/>
      <c r="Q723" s="147"/>
      <c r="R723" s="147"/>
      <c r="S723" s="147"/>
      <c r="T723" s="147"/>
      <c r="U723" s="147"/>
      <c r="V723" s="147"/>
    </row>
    <row r="724">
      <c r="A724" s="240" t="s">
        <v>6256</v>
      </c>
      <c r="B724" s="240" t="s">
        <v>1890</v>
      </c>
      <c r="C724" s="240" t="s">
        <v>1891</v>
      </c>
      <c r="D724" s="240" t="s">
        <v>4065</v>
      </c>
      <c r="E724" s="240" t="s">
        <v>6257</v>
      </c>
      <c r="F724" s="240" t="s">
        <v>4264</v>
      </c>
      <c r="G724" s="147"/>
      <c r="H724" s="240" t="s">
        <v>4215</v>
      </c>
      <c r="I724" s="240" t="s">
        <v>4215</v>
      </c>
      <c r="J724" s="147"/>
      <c r="K724" s="147"/>
      <c r="L724" s="147"/>
      <c r="M724" s="147"/>
      <c r="N724" s="147"/>
      <c r="O724" s="147"/>
      <c r="P724" s="147"/>
      <c r="Q724" s="147"/>
      <c r="R724" s="147"/>
      <c r="S724" s="147"/>
      <c r="T724" s="147"/>
      <c r="U724" s="147"/>
      <c r="V724" s="147"/>
    </row>
    <row r="725">
      <c r="A725" s="240" t="s">
        <v>6258</v>
      </c>
      <c r="B725" s="240" t="s">
        <v>1892</v>
      </c>
      <c r="C725" s="240" t="s">
        <v>1893</v>
      </c>
      <c r="D725" s="240" t="s">
        <v>4049</v>
      </c>
      <c r="E725" s="240" t="s">
        <v>6259</v>
      </c>
      <c r="F725" s="240" t="s">
        <v>4828</v>
      </c>
      <c r="G725" s="147"/>
      <c r="H725" s="240" t="s">
        <v>4215</v>
      </c>
      <c r="I725" s="240" t="s">
        <v>4215</v>
      </c>
      <c r="J725" s="147"/>
      <c r="K725" s="147"/>
      <c r="L725" s="147"/>
      <c r="M725" s="147"/>
      <c r="N725" s="147"/>
      <c r="O725" s="147"/>
      <c r="P725" s="147"/>
      <c r="Q725" s="147"/>
      <c r="R725" s="147"/>
      <c r="S725" s="147"/>
      <c r="T725" s="147"/>
      <c r="U725" s="147"/>
      <c r="V725" s="147"/>
    </row>
    <row r="726">
      <c r="A726" s="240" t="s">
        <v>6260</v>
      </c>
      <c r="B726" s="240" t="s">
        <v>1894</v>
      </c>
      <c r="C726" s="240" t="s">
        <v>1895</v>
      </c>
      <c r="D726" s="240" t="s">
        <v>4069</v>
      </c>
      <c r="E726" s="240" t="s">
        <v>6261</v>
      </c>
      <c r="F726" s="240" t="s">
        <v>4219</v>
      </c>
      <c r="G726" s="147"/>
      <c r="H726" s="240" t="s">
        <v>4215</v>
      </c>
      <c r="I726" s="240" t="s">
        <v>4215</v>
      </c>
      <c r="J726" s="147"/>
      <c r="K726" s="147"/>
      <c r="L726" s="147"/>
      <c r="M726" s="147"/>
      <c r="N726" s="147"/>
      <c r="O726" s="147"/>
      <c r="P726" s="147"/>
      <c r="Q726" s="147"/>
      <c r="R726" s="147"/>
      <c r="S726" s="147"/>
      <c r="T726" s="147"/>
      <c r="U726" s="147"/>
      <c r="V726" s="147"/>
    </row>
    <row r="727">
      <c r="A727" s="240" t="s">
        <v>6262</v>
      </c>
      <c r="B727" s="240" t="s">
        <v>1896</v>
      </c>
      <c r="C727" s="240" t="s">
        <v>1897</v>
      </c>
      <c r="D727" s="240" t="s">
        <v>4044</v>
      </c>
      <c r="E727" s="240" t="s">
        <v>6263</v>
      </c>
      <c r="F727" s="240" t="s">
        <v>4231</v>
      </c>
      <c r="G727" s="147"/>
      <c r="H727" s="240" t="s">
        <v>4215</v>
      </c>
      <c r="I727" s="240" t="s">
        <v>4215</v>
      </c>
      <c r="J727" s="147"/>
      <c r="K727" s="147"/>
      <c r="L727" s="147"/>
      <c r="M727" s="147"/>
      <c r="N727" s="147"/>
      <c r="O727" s="147"/>
      <c r="P727" s="147"/>
      <c r="Q727" s="147"/>
      <c r="R727" s="147"/>
      <c r="S727" s="147"/>
      <c r="T727" s="147"/>
      <c r="U727" s="147"/>
      <c r="V727" s="147"/>
    </row>
    <row r="728">
      <c r="A728" s="240" t="s">
        <v>6264</v>
      </c>
      <c r="B728" s="240" t="s">
        <v>1898</v>
      </c>
      <c r="C728" s="240" t="s">
        <v>1899</v>
      </c>
      <c r="D728" s="240" t="s">
        <v>4095</v>
      </c>
      <c r="E728" s="240" t="s">
        <v>6265</v>
      </c>
      <c r="F728" s="240" t="s">
        <v>4590</v>
      </c>
      <c r="G728" s="147"/>
      <c r="H728" s="240" t="s">
        <v>4215</v>
      </c>
      <c r="I728" s="240" t="s">
        <v>4215</v>
      </c>
      <c r="J728" s="147"/>
      <c r="K728" s="147"/>
      <c r="L728" s="147"/>
      <c r="M728" s="147"/>
      <c r="N728" s="147"/>
      <c r="O728" s="147"/>
      <c r="P728" s="147"/>
      <c r="Q728" s="147"/>
      <c r="R728" s="147"/>
      <c r="S728" s="147"/>
      <c r="T728" s="147"/>
      <c r="U728" s="147"/>
      <c r="V728" s="147"/>
    </row>
    <row r="729">
      <c r="A729" s="240" t="s">
        <v>6266</v>
      </c>
      <c r="B729" s="240" t="s">
        <v>1900</v>
      </c>
      <c r="C729" s="240" t="s">
        <v>1901</v>
      </c>
      <c r="D729" s="240" t="s">
        <v>4048</v>
      </c>
      <c r="E729" s="240" t="s">
        <v>6267</v>
      </c>
      <c r="F729" s="147"/>
      <c r="G729" s="147"/>
      <c r="H729" s="240" t="s">
        <v>4215</v>
      </c>
      <c r="I729" s="240" t="s">
        <v>4215</v>
      </c>
      <c r="J729" s="147"/>
      <c r="K729" s="147"/>
      <c r="L729" s="147"/>
      <c r="M729" s="147"/>
      <c r="N729" s="147"/>
      <c r="O729" s="147"/>
      <c r="P729" s="147"/>
      <c r="Q729" s="147"/>
      <c r="R729" s="147"/>
      <c r="S729" s="147"/>
      <c r="T729" s="147"/>
      <c r="U729" s="147"/>
      <c r="V729" s="147"/>
    </row>
    <row r="730">
      <c r="A730" s="240" t="s">
        <v>6268</v>
      </c>
      <c r="B730" s="240" t="s">
        <v>1902</v>
      </c>
      <c r="C730" s="240" t="s">
        <v>1903</v>
      </c>
      <c r="D730" s="240" t="s">
        <v>4070</v>
      </c>
      <c r="E730" s="240" t="s">
        <v>6269</v>
      </c>
      <c r="F730" s="240" t="s">
        <v>4219</v>
      </c>
      <c r="G730" s="147"/>
      <c r="H730" s="240" t="s">
        <v>4215</v>
      </c>
      <c r="I730" s="240" t="s">
        <v>4215</v>
      </c>
      <c r="J730" s="147"/>
      <c r="K730" s="147"/>
      <c r="L730" s="147"/>
      <c r="M730" s="147"/>
      <c r="N730" s="147"/>
      <c r="O730" s="147"/>
      <c r="P730" s="147"/>
      <c r="Q730" s="147"/>
      <c r="R730" s="147"/>
      <c r="S730" s="147"/>
      <c r="T730" s="147"/>
      <c r="U730" s="147"/>
      <c r="V730" s="147"/>
    </row>
    <row r="731">
      <c r="A731" s="240" t="s">
        <v>6270</v>
      </c>
      <c r="B731" s="240" t="s">
        <v>1904</v>
      </c>
      <c r="C731" s="240" t="s">
        <v>1905</v>
      </c>
      <c r="D731" s="240" t="s">
        <v>4088</v>
      </c>
      <c r="E731" s="240" t="s">
        <v>6271</v>
      </c>
      <c r="F731" s="240" t="s">
        <v>4621</v>
      </c>
      <c r="G731" s="147"/>
      <c r="H731" s="240" t="s">
        <v>4215</v>
      </c>
      <c r="I731" s="240" t="s">
        <v>4215</v>
      </c>
      <c r="J731" s="147"/>
      <c r="K731" s="147"/>
      <c r="L731" s="147"/>
      <c r="M731" s="147"/>
      <c r="N731" s="147"/>
      <c r="O731" s="147"/>
      <c r="P731" s="147"/>
      <c r="Q731" s="147"/>
      <c r="R731" s="147"/>
      <c r="S731" s="147"/>
      <c r="T731" s="147"/>
      <c r="U731" s="147"/>
      <c r="V731" s="147"/>
    </row>
    <row r="732">
      <c r="A732" s="240" t="s">
        <v>6272</v>
      </c>
      <c r="B732" s="240" t="s">
        <v>1906</v>
      </c>
      <c r="C732" s="240" t="s">
        <v>1907</v>
      </c>
      <c r="D732" s="240" t="s">
        <v>4063</v>
      </c>
      <c r="E732" s="240" t="s">
        <v>6273</v>
      </c>
      <c r="F732" s="240" t="s">
        <v>4219</v>
      </c>
      <c r="G732" s="147"/>
      <c r="H732" s="240" t="s">
        <v>4215</v>
      </c>
      <c r="I732" s="240" t="s">
        <v>4215</v>
      </c>
      <c r="J732" s="147"/>
      <c r="K732" s="147"/>
      <c r="L732" s="147"/>
      <c r="M732" s="147"/>
      <c r="N732" s="147"/>
      <c r="O732" s="147"/>
      <c r="P732" s="147"/>
      <c r="Q732" s="147"/>
      <c r="R732" s="147"/>
      <c r="S732" s="147"/>
      <c r="T732" s="147"/>
      <c r="U732" s="147"/>
      <c r="V732" s="147"/>
    </row>
    <row r="733">
      <c r="A733" s="240" t="s">
        <v>6274</v>
      </c>
      <c r="B733" s="240" t="s">
        <v>1908</v>
      </c>
      <c r="C733" s="240" t="s">
        <v>1909</v>
      </c>
      <c r="D733" s="240" t="s">
        <v>4083</v>
      </c>
      <c r="E733" s="240" t="s">
        <v>6275</v>
      </c>
      <c r="F733" s="240" t="s">
        <v>4223</v>
      </c>
      <c r="G733" s="147"/>
      <c r="H733" s="240" t="s">
        <v>4215</v>
      </c>
      <c r="I733" s="240" t="s">
        <v>4215</v>
      </c>
      <c r="J733" s="147"/>
      <c r="K733" s="147"/>
      <c r="L733" s="147"/>
      <c r="M733" s="147"/>
      <c r="N733" s="147"/>
      <c r="O733" s="147"/>
      <c r="P733" s="147"/>
      <c r="Q733" s="147"/>
      <c r="R733" s="147"/>
      <c r="S733" s="147"/>
      <c r="T733" s="147"/>
      <c r="U733" s="147"/>
      <c r="V733" s="147"/>
    </row>
    <row r="734">
      <c r="A734" s="240" t="s">
        <v>6276</v>
      </c>
      <c r="B734" s="240" t="s">
        <v>1910</v>
      </c>
      <c r="C734" s="240" t="s">
        <v>1911</v>
      </c>
      <c r="D734" s="240" t="s">
        <v>4076</v>
      </c>
      <c r="E734" s="240" t="s">
        <v>6277</v>
      </c>
      <c r="F734" s="240" t="s">
        <v>4235</v>
      </c>
      <c r="G734" s="147"/>
      <c r="H734" s="240" t="s">
        <v>4215</v>
      </c>
      <c r="I734" s="240" t="s">
        <v>4215</v>
      </c>
      <c r="J734" s="147"/>
      <c r="K734" s="147"/>
      <c r="L734" s="147"/>
      <c r="M734" s="147"/>
      <c r="N734" s="147"/>
      <c r="O734" s="147"/>
      <c r="P734" s="147"/>
      <c r="Q734" s="147"/>
      <c r="R734" s="147"/>
      <c r="S734" s="147"/>
      <c r="T734" s="147"/>
      <c r="U734" s="147"/>
      <c r="V734" s="147"/>
    </row>
    <row r="735">
      <c r="A735" s="240" t="s">
        <v>6278</v>
      </c>
      <c r="B735" s="240" t="s">
        <v>1912</v>
      </c>
      <c r="C735" s="240" t="s">
        <v>1913</v>
      </c>
      <c r="D735" s="240" t="s">
        <v>4092</v>
      </c>
      <c r="E735" s="240" t="s">
        <v>6279</v>
      </c>
      <c r="F735" s="240" t="s">
        <v>4227</v>
      </c>
      <c r="G735" s="147"/>
      <c r="H735" s="147"/>
      <c r="I735" s="147"/>
      <c r="J735" s="147"/>
      <c r="K735" s="147"/>
      <c r="L735" s="147"/>
      <c r="M735" s="147"/>
      <c r="N735" s="147"/>
      <c r="O735" s="147"/>
      <c r="P735" s="147"/>
      <c r="Q735" s="147"/>
      <c r="R735" s="147"/>
      <c r="S735" s="147"/>
      <c r="T735" s="147"/>
      <c r="U735" s="147"/>
      <c r="V735" s="147"/>
    </row>
    <row r="736">
      <c r="A736" s="240" t="s">
        <v>6280</v>
      </c>
      <c r="B736" s="240" t="s">
        <v>1914</v>
      </c>
      <c r="C736" s="240" t="s">
        <v>1915</v>
      </c>
      <c r="D736" s="240" t="s">
        <v>4061</v>
      </c>
      <c r="E736" s="240" t="s">
        <v>6281</v>
      </c>
      <c r="F736" s="240" t="s">
        <v>4223</v>
      </c>
      <c r="G736" s="147"/>
      <c r="H736" s="240" t="s">
        <v>4215</v>
      </c>
      <c r="I736" s="240" t="s">
        <v>4215</v>
      </c>
      <c r="J736" s="147"/>
      <c r="K736" s="147"/>
      <c r="L736" s="147"/>
      <c r="M736" s="147"/>
      <c r="N736" s="147"/>
      <c r="O736" s="147"/>
      <c r="P736" s="147"/>
      <c r="Q736" s="147"/>
      <c r="R736" s="147"/>
      <c r="S736" s="147"/>
      <c r="T736" s="147"/>
      <c r="U736" s="147"/>
      <c r="V736" s="147"/>
    </row>
    <row r="737">
      <c r="A737" s="240" t="s">
        <v>6282</v>
      </c>
      <c r="B737" s="240" t="s">
        <v>1916</v>
      </c>
      <c r="C737" s="240" t="s">
        <v>1917</v>
      </c>
      <c r="D737" s="240" t="s">
        <v>4085</v>
      </c>
      <c r="E737" s="240" t="s">
        <v>6283</v>
      </c>
      <c r="F737" s="240" t="s">
        <v>4479</v>
      </c>
      <c r="G737" s="147"/>
      <c r="H737" s="240" t="s">
        <v>4215</v>
      </c>
      <c r="I737" s="240" t="s">
        <v>4215</v>
      </c>
      <c r="J737" s="147"/>
      <c r="K737" s="147"/>
      <c r="L737" s="147"/>
      <c r="M737" s="147"/>
      <c r="N737" s="147"/>
      <c r="O737" s="147"/>
      <c r="P737" s="147"/>
      <c r="Q737" s="147"/>
      <c r="R737" s="147"/>
      <c r="S737" s="147"/>
      <c r="T737" s="147"/>
      <c r="U737" s="147"/>
      <c r="V737" s="147"/>
    </row>
    <row r="738">
      <c r="A738" s="240" t="s">
        <v>6284</v>
      </c>
      <c r="B738" s="240" t="s">
        <v>1918</v>
      </c>
      <c r="C738" s="240" t="s">
        <v>1919</v>
      </c>
      <c r="D738" s="240" t="s">
        <v>4055</v>
      </c>
      <c r="E738" s="240" t="s">
        <v>6285</v>
      </c>
      <c r="F738" s="240" t="s">
        <v>4621</v>
      </c>
      <c r="G738" s="147"/>
      <c r="H738" s="240" t="s">
        <v>4215</v>
      </c>
      <c r="I738" s="240" t="s">
        <v>4215</v>
      </c>
      <c r="J738" s="147"/>
      <c r="K738" s="147"/>
      <c r="L738" s="147"/>
      <c r="M738" s="147"/>
      <c r="N738" s="147"/>
      <c r="O738" s="147"/>
      <c r="P738" s="147"/>
      <c r="Q738" s="147"/>
      <c r="R738" s="147"/>
      <c r="S738" s="147"/>
      <c r="T738" s="147"/>
      <c r="U738" s="147"/>
      <c r="V738" s="147"/>
    </row>
    <row r="739">
      <c r="A739" s="240" t="s">
        <v>6286</v>
      </c>
      <c r="B739" s="240" t="s">
        <v>1920</v>
      </c>
      <c r="C739" s="240" t="s">
        <v>1921</v>
      </c>
      <c r="D739" s="240" t="s">
        <v>4090</v>
      </c>
      <c r="E739" s="240" t="s">
        <v>6287</v>
      </c>
      <c r="F739" s="240" t="s">
        <v>4235</v>
      </c>
      <c r="G739" s="147"/>
      <c r="H739" s="240" t="s">
        <v>4215</v>
      </c>
      <c r="I739" s="240" t="s">
        <v>4215</v>
      </c>
      <c r="J739" s="147"/>
      <c r="K739" s="147"/>
      <c r="L739" s="147"/>
      <c r="M739" s="147"/>
      <c r="N739" s="147"/>
      <c r="O739" s="147"/>
      <c r="P739" s="147"/>
      <c r="Q739" s="147"/>
      <c r="R739" s="147"/>
      <c r="S739" s="147"/>
      <c r="T739" s="147"/>
      <c r="U739" s="147"/>
      <c r="V739" s="147"/>
    </row>
    <row r="740">
      <c r="A740" s="240" t="s">
        <v>6288</v>
      </c>
      <c r="B740" s="240" t="s">
        <v>1922</v>
      </c>
      <c r="C740" s="240" t="s">
        <v>1923</v>
      </c>
      <c r="D740" s="240" t="s">
        <v>6289</v>
      </c>
      <c r="E740" s="240" t="s">
        <v>6290</v>
      </c>
      <c r="F740" s="240" t="s">
        <v>4223</v>
      </c>
      <c r="G740" s="147"/>
      <c r="H740" s="147"/>
      <c r="I740" s="147"/>
      <c r="J740" s="147"/>
      <c r="K740" s="147"/>
      <c r="L740" s="147"/>
      <c r="M740" s="147"/>
      <c r="N740" s="147"/>
      <c r="O740" s="147"/>
      <c r="P740" s="147"/>
      <c r="Q740" s="147"/>
      <c r="R740" s="147"/>
      <c r="S740" s="147"/>
      <c r="T740" s="147"/>
      <c r="U740" s="147"/>
      <c r="V740" s="147"/>
    </row>
    <row r="741">
      <c r="A741" s="240" t="s">
        <v>6291</v>
      </c>
      <c r="B741" s="240" t="s">
        <v>1924</v>
      </c>
      <c r="C741" s="240" t="s">
        <v>1925</v>
      </c>
      <c r="D741" s="240" t="s">
        <v>6292</v>
      </c>
      <c r="E741" s="240" t="s">
        <v>6293</v>
      </c>
      <c r="F741" s="240" t="s">
        <v>4223</v>
      </c>
      <c r="G741" s="147"/>
      <c r="H741" s="240" t="s">
        <v>4215</v>
      </c>
      <c r="I741" s="240" t="s">
        <v>4215</v>
      </c>
      <c r="J741" s="147"/>
      <c r="K741" s="147"/>
      <c r="L741" s="147"/>
      <c r="M741" s="147"/>
      <c r="N741" s="147"/>
      <c r="O741" s="147"/>
      <c r="P741" s="147"/>
      <c r="Q741" s="147"/>
      <c r="R741" s="147"/>
      <c r="S741" s="147"/>
      <c r="T741" s="147"/>
      <c r="U741" s="147"/>
      <c r="V741" s="147"/>
    </row>
    <row r="742">
      <c r="A742" s="240" t="s">
        <v>6294</v>
      </c>
      <c r="B742" s="240" t="s">
        <v>1926</v>
      </c>
      <c r="C742" s="240" t="s">
        <v>1927</v>
      </c>
      <c r="D742" s="240" t="s">
        <v>6295</v>
      </c>
      <c r="E742" s="240" t="s">
        <v>6296</v>
      </c>
      <c r="F742" s="240" t="s">
        <v>4223</v>
      </c>
      <c r="G742" s="147"/>
      <c r="H742" s="240" t="s">
        <v>4215</v>
      </c>
      <c r="I742" s="240" t="s">
        <v>4215</v>
      </c>
      <c r="J742" s="147"/>
      <c r="K742" s="147"/>
      <c r="L742" s="147"/>
      <c r="M742" s="147"/>
      <c r="N742" s="147"/>
      <c r="O742" s="147"/>
      <c r="P742" s="147"/>
      <c r="Q742" s="147"/>
      <c r="R742" s="147"/>
      <c r="S742" s="147"/>
      <c r="T742" s="147"/>
      <c r="U742" s="147"/>
      <c r="V742" s="147"/>
    </row>
    <row r="743">
      <c r="A743" s="240" t="s">
        <v>6297</v>
      </c>
      <c r="B743" s="240" t="s">
        <v>1928</v>
      </c>
      <c r="C743" s="240" t="s">
        <v>1929</v>
      </c>
      <c r="D743" s="240" t="s">
        <v>6298</v>
      </c>
      <c r="E743" s="240" t="s">
        <v>6299</v>
      </c>
      <c r="F743" s="240" t="s">
        <v>4219</v>
      </c>
      <c r="G743" s="147"/>
      <c r="H743" s="240" t="s">
        <v>4215</v>
      </c>
      <c r="I743" s="240" t="s">
        <v>4215</v>
      </c>
      <c r="J743" s="147"/>
      <c r="K743" s="147"/>
      <c r="L743" s="147"/>
      <c r="M743" s="147"/>
      <c r="N743" s="147"/>
      <c r="O743" s="147"/>
      <c r="P743" s="147"/>
      <c r="Q743" s="147"/>
      <c r="R743" s="147"/>
      <c r="S743" s="147"/>
      <c r="T743" s="147"/>
      <c r="U743" s="147"/>
      <c r="V743" s="147"/>
    </row>
    <row r="744">
      <c r="A744" s="240" t="s">
        <v>6300</v>
      </c>
      <c r="B744" s="240" t="s">
        <v>1930</v>
      </c>
      <c r="C744" s="240" t="s">
        <v>1931</v>
      </c>
      <c r="D744" s="240" t="s">
        <v>6301</v>
      </c>
      <c r="E744" s="240" t="s">
        <v>6302</v>
      </c>
      <c r="F744" s="240" t="s">
        <v>4235</v>
      </c>
      <c r="G744" s="147"/>
      <c r="H744" s="240" t="s">
        <v>4215</v>
      </c>
      <c r="I744" s="240" t="s">
        <v>4215</v>
      </c>
      <c r="J744" s="147"/>
      <c r="K744" s="147"/>
      <c r="L744" s="147"/>
      <c r="M744" s="147"/>
      <c r="N744" s="147"/>
      <c r="O744" s="147"/>
      <c r="P744" s="147"/>
      <c r="Q744" s="147"/>
      <c r="R744" s="147"/>
      <c r="S744" s="147"/>
      <c r="T744" s="147"/>
      <c r="U744" s="147"/>
      <c r="V744" s="147"/>
    </row>
    <row r="745">
      <c r="A745" s="240" t="s">
        <v>6303</v>
      </c>
      <c r="B745" s="240" t="s">
        <v>1932</v>
      </c>
      <c r="C745" s="240" t="s">
        <v>1933</v>
      </c>
      <c r="D745" s="240" t="s">
        <v>6304</v>
      </c>
      <c r="E745" s="240" t="s">
        <v>6305</v>
      </c>
      <c r="F745" s="240" t="s">
        <v>4264</v>
      </c>
      <c r="G745" s="147"/>
      <c r="H745" s="240" t="s">
        <v>4215</v>
      </c>
      <c r="I745" s="240" t="s">
        <v>4215</v>
      </c>
      <c r="J745" s="147"/>
      <c r="K745" s="147"/>
      <c r="L745" s="147"/>
      <c r="M745" s="147"/>
      <c r="N745" s="147"/>
      <c r="O745" s="147"/>
      <c r="P745" s="147"/>
      <c r="Q745" s="147"/>
      <c r="R745" s="147"/>
      <c r="S745" s="147"/>
      <c r="T745" s="147"/>
      <c r="U745" s="147"/>
      <c r="V745" s="147"/>
    </row>
    <row r="746">
      <c r="A746" s="240" t="s">
        <v>6306</v>
      </c>
      <c r="B746" s="240" t="s">
        <v>1934</v>
      </c>
      <c r="C746" s="240" t="s">
        <v>1935</v>
      </c>
      <c r="D746" s="240" t="s">
        <v>6307</v>
      </c>
      <c r="E746" s="240" t="s">
        <v>4436</v>
      </c>
      <c r="F746" s="240" t="s">
        <v>4223</v>
      </c>
      <c r="G746" s="147"/>
      <c r="H746" s="147"/>
      <c r="I746" s="147"/>
      <c r="J746" s="147"/>
      <c r="K746" s="147"/>
      <c r="L746" s="147"/>
      <c r="M746" s="147"/>
      <c r="N746" s="147"/>
      <c r="O746" s="147"/>
      <c r="P746" s="147"/>
      <c r="Q746" s="147"/>
      <c r="R746" s="147"/>
      <c r="S746" s="147"/>
      <c r="T746" s="147"/>
      <c r="U746" s="147"/>
      <c r="V746" s="147"/>
    </row>
    <row r="747">
      <c r="A747" s="240" t="s">
        <v>6308</v>
      </c>
      <c r="B747" s="240" t="s">
        <v>1936</v>
      </c>
      <c r="C747" s="240" t="s">
        <v>1937</v>
      </c>
      <c r="D747" s="240" t="s">
        <v>6309</v>
      </c>
      <c r="E747" s="240" t="s">
        <v>6310</v>
      </c>
      <c r="F747" s="240" t="s">
        <v>4227</v>
      </c>
      <c r="G747" s="147"/>
      <c r="H747" s="240" t="s">
        <v>4215</v>
      </c>
      <c r="I747" s="240" t="s">
        <v>4215</v>
      </c>
      <c r="J747" s="147"/>
      <c r="K747" s="147"/>
      <c r="L747" s="147"/>
      <c r="M747" s="147"/>
      <c r="N747" s="147"/>
      <c r="O747" s="147"/>
      <c r="P747" s="147"/>
      <c r="Q747" s="147"/>
      <c r="R747" s="147"/>
      <c r="S747" s="147"/>
      <c r="T747" s="147"/>
      <c r="U747" s="147"/>
      <c r="V747" s="147"/>
    </row>
    <row r="748">
      <c r="A748" s="240" t="s">
        <v>6311</v>
      </c>
      <c r="B748" s="240" t="s">
        <v>1938</v>
      </c>
      <c r="C748" s="240" t="s">
        <v>1939</v>
      </c>
      <c r="D748" s="240" t="s">
        <v>6312</v>
      </c>
      <c r="E748" s="240" t="s">
        <v>6313</v>
      </c>
      <c r="F748" s="240" t="s">
        <v>4219</v>
      </c>
      <c r="G748" s="147"/>
      <c r="H748" s="240" t="s">
        <v>4215</v>
      </c>
      <c r="I748" s="240" t="s">
        <v>4215</v>
      </c>
      <c r="J748" s="147"/>
      <c r="K748" s="147"/>
      <c r="L748" s="147"/>
      <c r="M748" s="147"/>
      <c r="N748" s="147"/>
      <c r="O748" s="147"/>
      <c r="P748" s="147"/>
      <c r="Q748" s="147"/>
      <c r="R748" s="147"/>
      <c r="S748" s="147"/>
      <c r="T748" s="147"/>
      <c r="U748" s="147"/>
      <c r="V748" s="147"/>
    </row>
    <row r="749">
      <c r="A749" s="240" t="s">
        <v>6314</v>
      </c>
      <c r="B749" s="240" t="s">
        <v>1940</v>
      </c>
      <c r="C749" s="240" t="s">
        <v>1941</v>
      </c>
      <c r="D749" s="240" t="s">
        <v>6315</v>
      </c>
      <c r="E749" s="240" t="s">
        <v>6310</v>
      </c>
      <c r="F749" s="240" t="s">
        <v>4231</v>
      </c>
      <c r="G749" s="147"/>
      <c r="H749" s="240" t="s">
        <v>4215</v>
      </c>
      <c r="I749" s="240" t="s">
        <v>4215</v>
      </c>
      <c r="J749" s="147"/>
      <c r="K749" s="147"/>
      <c r="L749" s="147"/>
      <c r="M749" s="147"/>
      <c r="N749" s="147"/>
      <c r="O749" s="147"/>
      <c r="P749" s="147"/>
      <c r="Q749" s="147"/>
      <c r="R749" s="147"/>
      <c r="S749" s="147"/>
      <c r="T749" s="147"/>
      <c r="U749" s="147"/>
      <c r="V749" s="147"/>
    </row>
    <row r="750">
      <c r="A750" s="240" t="s">
        <v>6316</v>
      </c>
      <c r="B750" s="240" t="s">
        <v>1942</v>
      </c>
      <c r="C750" s="240" t="s">
        <v>1943</v>
      </c>
      <c r="D750" s="240" t="s">
        <v>6317</v>
      </c>
      <c r="E750" s="240" t="s">
        <v>6318</v>
      </c>
      <c r="F750" s="240" t="s">
        <v>4219</v>
      </c>
      <c r="G750" s="147"/>
      <c r="H750" s="147"/>
      <c r="I750" s="147"/>
      <c r="J750" s="147"/>
      <c r="K750" s="147"/>
      <c r="L750" s="147"/>
      <c r="M750" s="147"/>
      <c r="N750" s="147"/>
      <c r="O750" s="147"/>
      <c r="P750" s="147"/>
      <c r="Q750" s="147"/>
      <c r="R750" s="147"/>
      <c r="S750" s="147"/>
      <c r="T750" s="147"/>
      <c r="U750" s="147"/>
      <c r="V750" s="147"/>
    </row>
    <row r="751">
      <c r="A751" s="240" t="s">
        <v>6319</v>
      </c>
      <c r="B751" s="240" t="s">
        <v>1944</v>
      </c>
      <c r="C751" s="240" t="s">
        <v>1945</v>
      </c>
      <c r="D751" s="240" t="s">
        <v>6320</v>
      </c>
      <c r="E751" s="240" t="s">
        <v>6321</v>
      </c>
      <c r="F751" s="240" t="s">
        <v>4219</v>
      </c>
      <c r="G751" s="147"/>
      <c r="H751" s="240" t="s">
        <v>4215</v>
      </c>
      <c r="I751" s="240" t="s">
        <v>4215</v>
      </c>
      <c r="J751" s="147"/>
      <c r="K751" s="147"/>
      <c r="L751" s="147"/>
      <c r="M751" s="147"/>
      <c r="N751" s="147"/>
      <c r="O751" s="147"/>
      <c r="P751" s="147"/>
      <c r="Q751" s="147"/>
      <c r="R751" s="147"/>
      <c r="S751" s="147"/>
      <c r="T751" s="147"/>
      <c r="U751" s="147"/>
      <c r="V751" s="147"/>
    </row>
    <row r="752">
      <c r="A752" s="240" t="s">
        <v>6322</v>
      </c>
      <c r="B752" s="240" t="s">
        <v>1946</v>
      </c>
      <c r="C752" s="240" t="s">
        <v>1947</v>
      </c>
      <c r="D752" s="240" t="s">
        <v>6323</v>
      </c>
      <c r="E752" s="240" t="s">
        <v>6324</v>
      </c>
      <c r="F752" s="240" t="s">
        <v>4219</v>
      </c>
      <c r="G752" s="147"/>
      <c r="H752" s="240" t="s">
        <v>4215</v>
      </c>
      <c r="I752" s="240" t="s">
        <v>4215</v>
      </c>
      <c r="J752" s="147"/>
      <c r="K752" s="147"/>
      <c r="L752" s="147"/>
      <c r="M752" s="147"/>
      <c r="N752" s="147"/>
      <c r="O752" s="147"/>
      <c r="P752" s="147"/>
      <c r="Q752" s="147"/>
      <c r="R752" s="147"/>
      <c r="S752" s="147"/>
      <c r="T752" s="147"/>
      <c r="U752" s="147"/>
      <c r="V752" s="147"/>
    </row>
    <row r="753">
      <c r="A753" s="240" t="s">
        <v>6325</v>
      </c>
      <c r="B753" s="240" t="s">
        <v>1948</v>
      </c>
      <c r="C753" s="240" t="s">
        <v>1949</v>
      </c>
      <c r="D753" s="240" t="s">
        <v>6326</v>
      </c>
      <c r="E753" s="240" t="s">
        <v>6327</v>
      </c>
      <c r="F753" s="240" t="s">
        <v>6328</v>
      </c>
      <c r="G753" s="147"/>
      <c r="H753" s="147"/>
      <c r="I753" s="147"/>
      <c r="J753" s="147"/>
      <c r="K753" s="147"/>
      <c r="L753" s="147"/>
      <c r="M753" s="147"/>
      <c r="N753" s="147"/>
      <c r="O753" s="147"/>
      <c r="P753" s="147"/>
      <c r="Q753" s="147"/>
      <c r="R753" s="147"/>
      <c r="S753" s="147"/>
      <c r="T753" s="147"/>
      <c r="U753" s="147"/>
      <c r="V753" s="147"/>
    </row>
    <row r="754">
      <c r="A754" s="240" t="s">
        <v>6329</v>
      </c>
      <c r="B754" s="240" t="s">
        <v>1950</v>
      </c>
      <c r="C754" s="240" t="s">
        <v>1951</v>
      </c>
      <c r="D754" s="240" t="s">
        <v>6330</v>
      </c>
      <c r="E754" s="240" t="s">
        <v>6331</v>
      </c>
      <c r="F754" s="240" t="s">
        <v>4219</v>
      </c>
      <c r="G754" s="147"/>
      <c r="H754" s="240" t="s">
        <v>4215</v>
      </c>
      <c r="I754" s="240" t="s">
        <v>4215</v>
      </c>
      <c r="J754" s="147"/>
      <c r="K754" s="147"/>
      <c r="L754" s="147"/>
      <c r="M754" s="147"/>
      <c r="N754" s="147"/>
      <c r="O754" s="147"/>
      <c r="P754" s="147"/>
      <c r="Q754" s="147"/>
      <c r="R754" s="147"/>
      <c r="S754" s="147"/>
      <c r="T754" s="147"/>
      <c r="U754" s="147"/>
      <c r="V754" s="147"/>
    </row>
    <row r="755">
      <c r="A755" s="240" t="s">
        <v>6332</v>
      </c>
      <c r="B755" s="240" t="s">
        <v>1952</v>
      </c>
      <c r="C755" s="240" t="s">
        <v>1953</v>
      </c>
      <c r="D755" s="240" t="s">
        <v>6333</v>
      </c>
      <c r="E755" s="240" t="s">
        <v>6334</v>
      </c>
      <c r="F755" s="240" t="s">
        <v>4257</v>
      </c>
      <c r="G755" s="147"/>
      <c r="H755" s="240" t="s">
        <v>4215</v>
      </c>
      <c r="I755" s="240" t="s">
        <v>4215</v>
      </c>
      <c r="J755" s="147"/>
      <c r="K755" s="147"/>
      <c r="L755" s="147"/>
      <c r="M755" s="147"/>
      <c r="N755" s="147"/>
      <c r="O755" s="147"/>
      <c r="P755" s="147"/>
      <c r="Q755" s="147"/>
      <c r="R755" s="147"/>
      <c r="S755" s="147"/>
      <c r="T755" s="147"/>
      <c r="U755" s="147"/>
      <c r="V755" s="147"/>
    </row>
    <row r="756">
      <c r="A756" s="240" t="s">
        <v>6335</v>
      </c>
      <c r="B756" s="240" t="s">
        <v>1954</v>
      </c>
      <c r="C756" s="240" t="s">
        <v>1955</v>
      </c>
      <c r="D756" s="240" t="s">
        <v>6336</v>
      </c>
      <c r="E756" s="240" t="s">
        <v>6337</v>
      </c>
      <c r="F756" s="240" t="s">
        <v>4223</v>
      </c>
      <c r="G756" s="147"/>
      <c r="H756" s="240" t="s">
        <v>4215</v>
      </c>
      <c r="I756" s="240" t="s">
        <v>4215</v>
      </c>
      <c r="J756" s="147"/>
      <c r="K756" s="147"/>
      <c r="L756" s="147"/>
      <c r="M756" s="147"/>
      <c r="N756" s="147"/>
      <c r="O756" s="147"/>
      <c r="P756" s="147"/>
      <c r="Q756" s="147"/>
      <c r="R756" s="147"/>
      <c r="S756" s="147"/>
      <c r="T756" s="147"/>
      <c r="U756" s="147"/>
      <c r="V756" s="147"/>
    </row>
    <row r="757">
      <c r="A757" s="240" t="s">
        <v>6338</v>
      </c>
      <c r="B757" s="240" t="s">
        <v>1956</v>
      </c>
      <c r="C757" s="240" t="s">
        <v>1957</v>
      </c>
      <c r="D757" s="240" t="s">
        <v>6339</v>
      </c>
      <c r="E757" s="240" t="s">
        <v>6340</v>
      </c>
      <c r="F757" s="240" t="s">
        <v>4223</v>
      </c>
      <c r="G757" s="147"/>
      <c r="H757" s="240" t="s">
        <v>4215</v>
      </c>
      <c r="I757" s="240" t="s">
        <v>4215</v>
      </c>
      <c r="J757" s="147"/>
      <c r="K757" s="147"/>
      <c r="L757" s="147"/>
      <c r="M757" s="147"/>
      <c r="N757" s="147"/>
      <c r="O757" s="147"/>
      <c r="P757" s="147"/>
      <c r="Q757" s="147"/>
      <c r="R757" s="147"/>
      <c r="S757" s="147"/>
      <c r="T757" s="147"/>
      <c r="U757" s="147"/>
      <c r="V757" s="147"/>
    </row>
    <row r="758">
      <c r="A758" s="240" t="s">
        <v>6341</v>
      </c>
      <c r="B758" s="240" t="s">
        <v>1958</v>
      </c>
      <c r="C758" s="240" t="s">
        <v>1959</v>
      </c>
      <c r="D758" s="240" t="s">
        <v>6342</v>
      </c>
      <c r="E758" s="240" t="s">
        <v>6343</v>
      </c>
      <c r="F758" s="240" t="s">
        <v>4219</v>
      </c>
      <c r="G758" s="147"/>
      <c r="H758" s="240" t="s">
        <v>4215</v>
      </c>
      <c r="I758" s="240" t="s">
        <v>4215</v>
      </c>
      <c r="J758" s="147"/>
      <c r="K758" s="147"/>
      <c r="L758" s="147"/>
      <c r="M758" s="147"/>
      <c r="N758" s="147"/>
      <c r="O758" s="147"/>
      <c r="P758" s="147"/>
      <c r="Q758" s="147"/>
      <c r="R758" s="147"/>
      <c r="S758" s="147"/>
      <c r="T758" s="147"/>
      <c r="U758" s="147"/>
      <c r="V758" s="147"/>
    </row>
    <row r="759">
      <c r="A759" s="240" t="s">
        <v>6344</v>
      </c>
      <c r="B759" s="240" t="s">
        <v>1960</v>
      </c>
      <c r="C759" s="240" t="s">
        <v>1961</v>
      </c>
      <c r="D759" s="240" t="s">
        <v>6345</v>
      </c>
      <c r="E759" s="240" t="s">
        <v>6346</v>
      </c>
      <c r="F759" s="240" t="s">
        <v>4219</v>
      </c>
      <c r="G759" s="147"/>
      <c r="H759" s="240" t="s">
        <v>4215</v>
      </c>
      <c r="I759" s="240" t="s">
        <v>4215</v>
      </c>
      <c r="J759" s="147"/>
      <c r="K759" s="147"/>
      <c r="L759" s="147"/>
      <c r="M759" s="147"/>
      <c r="N759" s="147"/>
      <c r="O759" s="147"/>
      <c r="P759" s="147"/>
      <c r="Q759" s="147"/>
      <c r="R759" s="147"/>
      <c r="S759" s="147"/>
      <c r="T759" s="147"/>
      <c r="U759" s="147"/>
      <c r="V759" s="147"/>
    </row>
    <row r="760">
      <c r="A760" s="240" t="s">
        <v>6347</v>
      </c>
      <c r="B760" s="240" t="s">
        <v>1962</v>
      </c>
      <c r="C760" s="240" t="s">
        <v>1963</v>
      </c>
      <c r="D760" s="240" t="s">
        <v>6348</v>
      </c>
      <c r="E760" s="240" t="s">
        <v>6349</v>
      </c>
      <c r="F760" s="240" t="s">
        <v>4219</v>
      </c>
      <c r="G760" s="147"/>
      <c r="H760" s="147"/>
      <c r="I760" s="147"/>
      <c r="J760" s="147"/>
      <c r="K760" s="147"/>
      <c r="L760" s="147"/>
      <c r="M760" s="147"/>
      <c r="N760" s="147"/>
      <c r="O760" s="147"/>
      <c r="P760" s="147"/>
      <c r="Q760" s="147"/>
      <c r="R760" s="147"/>
      <c r="S760" s="147"/>
      <c r="T760" s="147"/>
      <c r="U760" s="147"/>
      <c r="V760" s="147"/>
    </row>
    <row r="761">
      <c r="A761" s="240" t="s">
        <v>6350</v>
      </c>
      <c r="B761" s="240" t="s">
        <v>1964</v>
      </c>
      <c r="C761" s="240" t="s">
        <v>1965</v>
      </c>
      <c r="D761" s="240" t="s">
        <v>6351</v>
      </c>
      <c r="E761" s="240" t="s">
        <v>6352</v>
      </c>
      <c r="F761" s="240" t="s">
        <v>4219</v>
      </c>
      <c r="G761" s="147"/>
      <c r="H761" s="147"/>
      <c r="I761" s="147"/>
      <c r="J761" s="147"/>
      <c r="K761" s="147"/>
      <c r="L761" s="147"/>
      <c r="M761" s="147"/>
      <c r="N761" s="147"/>
      <c r="O761" s="147"/>
      <c r="P761" s="147"/>
      <c r="Q761" s="147"/>
      <c r="R761" s="147"/>
      <c r="S761" s="147"/>
      <c r="T761" s="147"/>
      <c r="U761" s="147"/>
      <c r="V761" s="147"/>
    </row>
    <row r="762">
      <c r="A762" s="240" t="s">
        <v>6353</v>
      </c>
      <c r="B762" s="240" t="s">
        <v>1966</v>
      </c>
      <c r="C762" s="240" t="s">
        <v>1967</v>
      </c>
      <c r="D762" s="240" t="s">
        <v>6354</v>
      </c>
      <c r="E762" s="240" t="s">
        <v>6355</v>
      </c>
      <c r="F762" s="240" t="s">
        <v>4231</v>
      </c>
      <c r="G762" s="147"/>
      <c r="H762" s="240" t="s">
        <v>4215</v>
      </c>
      <c r="I762" s="240" t="s">
        <v>4215</v>
      </c>
      <c r="J762" s="147"/>
      <c r="K762" s="147"/>
      <c r="L762" s="147"/>
      <c r="M762" s="147"/>
      <c r="N762" s="147"/>
      <c r="O762" s="147"/>
      <c r="P762" s="147"/>
      <c r="Q762" s="147"/>
      <c r="R762" s="147"/>
      <c r="S762" s="147"/>
      <c r="T762" s="147"/>
      <c r="U762" s="147"/>
      <c r="V762" s="147"/>
    </row>
    <row r="763">
      <c r="A763" s="240" t="s">
        <v>6356</v>
      </c>
      <c r="B763" s="240" t="s">
        <v>1968</v>
      </c>
      <c r="C763" s="240" t="s">
        <v>1969</v>
      </c>
      <c r="D763" s="240" t="s">
        <v>6357</v>
      </c>
      <c r="E763" s="240" t="s">
        <v>6358</v>
      </c>
      <c r="F763" s="240" t="s">
        <v>4235</v>
      </c>
      <c r="G763" s="147"/>
      <c r="H763" s="240" t="s">
        <v>4215</v>
      </c>
      <c r="I763" s="240" t="s">
        <v>4215</v>
      </c>
      <c r="J763" s="147"/>
      <c r="K763" s="147"/>
      <c r="L763" s="147"/>
      <c r="M763" s="147"/>
      <c r="N763" s="147"/>
      <c r="O763" s="147"/>
      <c r="P763" s="147"/>
      <c r="Q763" s="147"/>
      <c r="R763" s="147"/>
      <c r="S763" s="147"/>
      <c r="T763" s="147"/>
      <c r="U763" s="147"/>
      <c r="V763" s="147"/>
    </row>
    <row r="764">
      <c r="A764" s="240" t="s">
        <v>6359</v>
      </c>
      <c r="B764" s="240" t="s">
        <v>1970</v>
      </c>
      <c r="C764" s="240" t="s">
        <v>1971</v>
      </c>
      <c r="D764" s="240" t="s">
        <v>6360</v>
      </c>
      <c r="E764" s="240" t="s">
        <v>6361</v>
      </c>
      <c r="F764" s="240" t="s">
        <v>4219</v>
      </c>
      <c r="G764" s="147"/>
      <c r="H764" s="240" t="s">
        <v>4215</v>
      </c>
      <c r="I764" s="240" t="s">
        <v>4215</v>
      </c>
      <c r="J764" s="147"/>
      <c r="K764" s="147"/>
      <c r="L764" s="147"/>
      <c r="M764" s="147"/>
      <c r="N764" s="147"/>
      <c r="O764" s="147"/>
      <c r="P764" s="147"/>
      <c r="Q764" s="147"/>
      <c r="R764" s="147"/>
      <c r="S764" s="147"/>
      <c r="T764" s="147"/>
      <c r="U764" s="147"/>
      <c r="V764" s="147"/>
    </row>
    <row r="765">
      <c r="A765" s="240" t="s">
        <v>6362</v>
      </c>
      <c r="B765" s="240" t="s">
        <v>1972</v>
      </c>
      <c r="C765" s="240" t="s">
        <v>1973</v>
      </c>
      <c r="D765" s="240" t="s">
        <v>6363</v>
      </c>
      <c r="E765" s="240" t="s">
        <v>6364</v>
      </c>
      <c r="F765" s="240" t="s">
        <v>4223</v>
      </c>
      <c r="G765" s="147"/>
      <c r="H765" s="240" t="s">
        <v>4215</v>
      </c>
      <c r="I765" s="240" t="s">
        <v>4215</v>
      </c>
      <c r="J765" s="147"/>
      <c r="K765" s="147"/>
      <c r="L765" s="147"/>
      <c r="M765" s="147"/>
      <c r="N765" s="147"/>
      <c r="O765" s="147"/>
      <c r="P765" s="147"/>
      <c r="Q765" s="147"/>
      <c r="R765" s="147"/>
      <c r="S765" s="147"/>
      <c r="T765" s="147"/>
      <c r="U765" s="147"/>
      <c r="V765" s="147"/>
    </row>
    <row r="766">
      <c r="A766" s="240" t="s">
        <v>6365</v>
      </c>
      <c r="B766" s="240" t="s">
        <v>1974</v>
      </c>
      <c r="C766" s="240" t="s">
        <v>1975</v>
      </c>
      <c r="D766" s="240" t="s">
        <v>6366</v>
      </c>
      <c r="E766" s="240" t="s">
        <v>6367</v>
      </c>
      <c r="F766" s="240" t="s">
        <v>4590</v>
      </c>
      <c r="G766" s="147"/>
      <c r="H766" s="240" t="s">
        <v>4215</v>
      </c>
      <c r="I766" s="240" t="s">
        <v>4215</v>
      </c>
      <c r="J766" s="147"/>
      <c r="K766" s="147"/>
      <c r="L766" s="147"/>
      <c r="M766" s="147"/>
      <c r="N766" s="147"/>
      <c r="O766" s="147"/>
      <c r="P766" s="147"/>
      <c r="Q766" s="147"/>
      <c r="R766" s="147"/>
      <c r="S766" s="147"/>
      <c r="T766" s="147"/>
      <c r="U766" s="147"/>
      <c r="V766" s="147"/>
    </row>
    <row r="767">
      <c r="A767" s="240" t="s">
        <v>6368</v>
      </c>
      <c r="B767" s="240" t="s">
        <v>1976</v>
      </c>
      <c r="C767" s="240" t="s">
        <v>1977</v>
      </c>
      <c r="D767" s="240" t="s">
        <v>6369</v>
      </c>
      <c r="E767" s="240" t="s">
        <v>6370</v>
      </c>
      <c r="F767" s="240" t="s">
        <v>4235</v>
      </c>
      <c r="G767" s="147"/>
      <c r="H767" s="240" t="s">
        <v>4215</v>
      </c>
      <c r="I767" s="240" t="s">
        <v>4215</v>
      </c>
      <c r="J767" s="147"/>
      <c r="K767" s="147"/>
      <c r="L767" s="147"/>
      <c r="M767" s="147"/>
      <c r="N767" s="147"/>
      <c r="O767" s="147"/>
      <c r="P767" s="147"/>
      <c r="Q767" s="147"/>
      <c r="R767" s="147"/>
      <c r="S767" s="147"/>
      <c r="T767" s="147"/>
      <c r="U767" s="147"/>
      <c r="V767" s="147"/>
    </row>
    <row r="768">
      <c r="A768" s="240" t="s">
        <v>6371</v>
      </c>
      <c r="B768" s="240" t="s">
        <v>1978</v>
      </c>
      <c r="C768" s="240" t="s">
        <v>1979</v>
      </c>
      <c r="D768" s="240" t="s">
        <v>6372</v>
      </c>
      <c r="E768" s="240" t="s">
        <v>6373</v>
      </c>
      <c r="F768" s="240" t="s">
        <v>4227</v>
      </c>
      <c r="G768" s="147"/>
      <c r="H768" s="240" t="s">
        <v>4215</v>
      </c>
      <c r="I768" s="240" t="s">
        <v>4215</v>
      </c>
      <c r="J768" s="147"/>
      <c r="K768" s="147"/>
      <c r="L768" s="147"/>
      <c r="M768" s="147"/>
      <c r="N768" s="147"/>
      <c r="O768" s="147"/>
      <c r="P768" s="147"/>
      <c r="Q768" s="147"/>
      <c r="R768" s="147"/>
      <c r="S768" s="147"/>
      <c r="T768" s="147"/>
      <c r="U768" s="147"/>
      <c r="V768" s="147"/>
    </row>
    <row r="769">
      <c r="A769" s="240" t="s">
        <v>6374</v>
      </c>
      <c r="B769" s="240" t="s">
        <v>1980</v>
      </c>
      <c r="C769" s="240" t="s">
        <v>1981</v>
      </c>
      <c r="D769" s="240" t="s">
        <v>6375</v>
      </c>
      <c r="E769" s="240" t="s">
        <v>6376</v>
      </c>
      <c r="F769" s="240" t="s">
        <v>4223</v>
      </c>
      <c r="G769" s="147"/>
      <c r="H769" s="240" t="s">
        <v>4215</v>
      </c>
      <c r="I769" s="240" t="s">
        <v>4215</v>
      </c>
      <c r="J769" s="147"/>
      <c r="K769" s="147"/>
      <c r="L769" s="147"/>
      <c r="M769" s="147"/>
      <c r="N769" s="147"/>
      <c r="O769" s="147"/>
      <c r="P769" s="147"/>
      <c r="Q769" s="147"/>
      <c r="R769" s="147"/>
      <c r="S769" s="147"/>
      <c r="T769" s="147"/>
      <c r="U769" s="147"/>
      <c r="V769" s="147"/>
    </row>
    <row r="770">
      <c r="A770" s="240" t="s">
        <v>6377</v>
      </c>
      <c r="B770" s="240" t="s">
        <v>1982</v>
      </c>
      <c r="C770" s="240" t="s">
        <v>1983</v>
      </c>
      <c r="D770" s="240" t="s">
        <v>6378</v>
      </c>
      <c r="E770" s="240" t="s">
        <v>6379</v>
      </c>
      <c r="F770" s="240" t="s">
        <v>4223</v>
      </c>
      <c r="G770" s="147"/>
      <c r="H770" s="147"/>
      <c r="I770" s="147"/>
      <c r="J770" s="147"/>
      <c r="K770" s="147"/>
      <c r="L770" s="147"/>
      <c r="M770" s="147"/>
      <c r="N770" s="147"/>
      <c r="O770" s="147"/>
      <c r="P770" s="147"/>
      <c r="Q770" s="147"/>
      <c r="R770" s="147"/>
      <c r="S770" s="147"/>
      <c r="T770" s="147"/>
      <c r="U770" s="147"/>
      <c r="V770" s="147"/>
    </row>
    <row r="771">
      <c r="A771" s="240" t="s">
        <v>6380</v>
      </c>
      <c r="B771" s="240" t="s">
        <v>1984</v>
      </c>
      <c r="C771" s="240" t="s">
        <v>1985</v>
      </c>
      <c r="D771" s="240" t="s">
        <v>6381</v>
      </c>
      <c r="E771" s="240" t="s">
        <v>6382</v>
      </c>
      <c r="F771" s="240" t="s">
        <v>4355</v>
      </c>
      <c r="G771" s="147"/>
      <c r="H771" s="240" t="s">
        <v>4215</v>
      </c>
      <c r="I771" s="240" t="s">
        <v>4215</v>
      </c>
      <c r="J771" s="147"/>
      <c r="K771" s="147"/>
      <c r="L771" s="147"/>
      <c r="M771" s="147"/>
      <c r="N771" s="147"/>
      <c r="O771" s="147"/>
      <c r="P771" s="147"/>
      <c r="Q771" s="147"/>
      <c r="R771" s="147"/>
      <c r="S771" s="147"/>
      <c r="T771" s="147"/>
      <c r="U771" s="147"/>
      <c r="V771" s="147"/>
    </row>
    <row r="772">
      <c r="A772" s="240" t="s">
        <v>6383</v>
      </c>
      <c r="B772" s="240" t="s">
        <v>1986</v>
      </c>
      <c r="C772" s="240" t="s">
        <v>1987</v>
      </c>
      <c r="D772" s="240" t="s">
        <v>6384</v>
      </c>
      <c r="E772" s="240" t="s">
        <v>6385</v>
      </c>
      <c r="F772" s="240" t="s">
        <v>4235</v>
      </c>
      <c r="G772" s="147"/>
      <c r="H772" s="240" t="s">
        <v>4215</v>
      </c>
      <c r="I772" s="240" t="s">
        <v>4215</v>
      </c>
      <c r="J772" s="147"/>
      <c r="K772" s="147"/>
      <c r="L772" s="147"/>
      <c r="M772" s="147"/>
      <c r="N772" s="147"/>
      <c r="O772" s="147"/>
      <c r="P772" s="147"/>
      <c r="Q772" s="147"/>
      <c r="R772" s="147"/>
      <c r="S772" s="147"/>
      <c r="T772" s="147"/>
      <c r="U772" s="147"/>
      <c r="V772" s="147"/>
    </row>
    <row r="773">
      <c r="A773" s="240" t="s">
        <v>6386</v>
      </c>
      <c r="B773" s="240" t="s">
        <v>1988</v>
      </c>
      <c r="C773" s="240" t="s">
        <v>1989</v>
      </c>
      <c r="D773" s="240" t="s">
        <v>6387</v>
      </c>
      <c r="E773" s="240" t="s">
        <v>6388</v>
      </c>
      <c r="F773" s="240" t="s">
        <v>4219</v>
      </c>
      <c r="G773" s="147"/>
      <c r="H773" s="240" t="s">
        <v>4215</v>
      </c>
      <c r="I773" s="147"/>
      <c r="J773" s="147"/>
      <c r="K773" s="147"/>
      <c r="L773" s="147"/>
      <c r="M773" s="147"/>
      <c r="N773" s="147"/>
      <c r="O773" s="147"/>
      <c r="P773" s="147"/>
      <c r="Q773" s="147"/>
      <c r="R773" s="147"/>
      <c r="S773" s="147"/>
      <c r="T773" s="147"/>
      <c r="U773" s="147"/>
      <c r="V773" s="147"/>
    </row>
    <row r="774">
      <c r="A774" s="240" t="s">
        <v>6389</v>
      </c>
      <c r="B774" s="240" t="s">
        <v>1990</v>
      </c>
      <c r="C774" s="240" t="s">
        <v>1991</v>
      </c>
      <c r="D774" s="240" t="s">
        <v>6390</v>
      </c>
      <c r="E774" s="240" t="s">
        <v>6391</v>
      </c>
      <c r="F774" s="240" t="s">
        <v>4235</v>
      </c>
      <c r="G774" s="147"/>
      <c r="H774" s="240" t="s">
        <v>4215</v>
      </c>
      <c r="I774" s="240" t="s">
        <v>4215</v>
      </c>
      <c r="J774" s="147"/>
      <c r="K774" s="147"/>
      <c r="L774" s="147"/>
      <c r="M774" s="147"/>
      <c r="N774" s="147"/>
      <c r="O774" s="147"/>
      <c r="P774" s="147"/>
      <c r="Q774" s="147"/>
      <c r="R774" s="147"/>
      <c r="S774" s="147"/>
      <c r="T774" s="147"/>
      <c r="U774" s="147"/>
      <c r="V774" s="147"/>
    </row>
    <row r="775">
      <c r="A775" s="240" t="s">
        <v>6392</v>
      </c>
      <c r="B775" s="240" t="s">
        <v>1992</v>
      </c>
      <c r="C775" s="240" t="s">
        <v>1993</v>
      </c>
      <c r="D775" s="240" t="s">
        <v>6393</v>
      </c>
      <c r="E775" s="240" t="s">
        <v>5054</v>
      </c>
      <c r="F775" s="240" t="s">
        <v>4223</v>
      </c>
      <c r="G775" s="147"/>
      <c r="H775" s="147"/>
      <c r="I775" s="147"/>
      <c r="J775" s="147"/>
      <c r="K775" s="147"/>
      <c r="L775" s="147"/>
      <c r="M775" s="147"/>
      <c r="N775" s="147"/>
      <c r="O775" s="147"/>
      <c r="P775" s="147"/>
      <c r="Q775" s="147"/>
      <c r="R775" s="147"/>
      <c r="S775" s="147"/>
      <c r="T775" s="147"/>
      <c r="U775" s="147"/>
      <c r="V775" s="147"/>
    </row>
    <row r="776">
      <c r="A776" s="240" t="s">
        <v>6394</v>
      </c>
      <c r="B776" s="240" t="s">
        <v>1994</v>
      </c>
      <c r="C776" s="240" t="s">
        <v>1995</v>
      </c>
      <c r="D776" s="240" t="s">
        <v>6395</v>
      </c>
      <c r="E776" s="240" t="s">
        <v>6396</v>
      </c>
      <c r="F776" s="240" t="s">
        <v>4349</v>
      </c>
      <c r="G776" s="147"/>
      <c r="H776" s="240" t="s">
        <v>4215</v>
      </c>
      <c r="I776" s="240" t="s">
        <v>4215</v>
      </c>
      <c r="J776" s="147"/>
      <c r="K776" s="147"/>
      <c r="L776" s="147"/>
      <c r="M776" s="147"/>
      <c r="N776" s="147"/>
      <c r="O776" s="147"/>
      <c r="P776" s="147"/>
      <c r="Q776" s="147"/>
      <c r="R776" s="147"/>
      <c r="S776" s="147"/>
      <c r="T776" s="147"/>
      <c r="U776" s="147"/>
      <c r="V776" s="147"/>
    </row>
    <row r="777">
      <c r="A777" s="240" t="s">
        <v>6397</v>
      </c>
      <c r="B777" s="240" t="s">
        <v>1996</v>
      </c>
      <c r="C777" s="240" t="s">
        <v>1997</v>
      </c>
      <c r="D777" s="240" t="s">
        <v>6398</v>
      </c>
      <c r="E777" s="240" t="s">
        <v>6399</v>
      </c>
      <c r="F777" s="240" t="s">
        <v>4219</v>
      </c>
      <c r="G777" s="147"/>
      <c r="H777" s="240" t="s">
        <v>4215</v>
      </c>
      <c r="I777" s="240" t="s">
        <v>4215</v>
      </c>
      <c r="J777" s="147"/>
      <c r="K777" s="147"/>
      <c r="L777" s="147"/>
      <c r="M777" s="147"/>
      <c r="N777" s="147"/>
      <c r="O777" s="147"/>
      <c r="P777" s="147"/>
      <c r="Q777" s="147"/>
      <c r="R777" s="147"/>
      <c r="S777" s="147"/>
      <c r="T777" s="147"/>
      <c r="U777" s="147"/>
      <c r="V777" s="147"/>
    </row>
    <row r="778">
      <c r="A778" s="240" t="s">
        <v>6400</v>
      </c>
      <c r="B778" s="240" t="s">
        <v>1998</v>
      </c>
      <c r="C778" s="240" t="s">
        <v>1999</v>
      </c>
      <c r="D778" s="240" t="s">
        <v>6401</v>
      </c>
      <c r="E778" s="240" t="s">
        <v>6402</v>
      </c>
      <c r="F778" s="240" t="s">
        <v>4219</v>
      </c>
      <c r="G778" s="147"/>
      <c r="H778" s="240" t="s">
        <v>4215</v>
      </c>
      <c r="I778" s="240" t="s">
        <v>4215</v>
      </c>
      <c r="J778" s="147"/>
      <c r="K778" s="147"/>
      <c r="L778" s="147"/>
      <c r="M778" s="147"/>
      <c r="N778" s="147"/>
      <c r="O778" s="147"/>
      <c r="P778" s="147"/>
      <c r="Q778" s="147"/>
      <c r="R778" s="147"/>
      <c r="S778" s="147"/>
      <c r="T778" s="147"/>
      <c r="U778" s="147"/>
      <c r="V778" s="147"/>
    </row>
    <row r="779">
      <c r="A779" s="240" t="s">
        <v>6403</v>
      </c>
      <c r="B779" s="240" t="s">
        <v>2000</v>
      </c>
      <c r="C779" s="240" t="s">
        <v>2001</v>
      </c>
      <c r="D779" s="240" t="s">
        <v>6404</v>
      </c>
      <c r="E779" s="240" t="s">
        <v>6405</v>
      </c>
      <c r="F779" s="240" t="s">
        <v>4219</v>
      </c>
      <c r="G779" s="147"/>
      <c r="H779" s="240" t="s">
        <v>4215</v>
      </c>
      <c r="I779" s="240" t="s">
        <v>4215</v>
      </c>
      <c r="J779" s="147"/>
      <c r="K779" s="147"/>
      <c r="L779" s="147"/>
      <c r="M779" s="147"/>
      <c r="N779" s="147"/>
      <c r="O779" s="147"/>
      <c r="P779" s="147"/>
      <c r="Q779" s="147"/>
      <c r="R779" s="147"/>
      <c r="S779" s="147"/>
      <c r="T779" s="147"/>
      <c r="U779" s="147"/>
      <c r="V779" s="147"/>
    </row>
    <row r="780">
      <c r="A780" s="240" t="s">
        <v>6406</v>
      </c>
      <c r="B780" s="240" t="s">
        <v>2002</v>
      </c>
      <c r="C780" s="240" t="s">
        <v>2003</v>
      </c>
      <c r="D780" s="240" t="s">
        <v>6407</v>
      </c>
      <c r="E780" s="240" t="s">
        <v>6334</v>
      </c>
      <c r="F780" s="240" t="s">
        <v>4264</v>
      </c>
      <c r="G780" s="147"/>
      <c r="H780" s="240" t="s">
        <v>4215</v>
      </c>
      <c r="I780" s="240" t="s">
        <v>4215</v>
      </c>
      <c r="J780" s="147"/>
      <c r="K780" s="147"/>
      <c r="L780" s="147"/>
      <c r="M780" s="147"/>
      <c r="N780" s="147"/>
      <c r="O780" s="147"/>
      <c r="P780" s="147"/>
      <c r="Q780" s="147"/>
      <c r="R780" s="147"/>
      <c r="S780" s="147"/>
      <c r="T780" s="147"/>
      <c r="U780" s="147"/>
      <c r="V780" s="147"/>
    </row>
    <row r="781">
      <c r="A781" s="240" t="s">
        <v>6408</v>
      </c>
      <c r="B781" s="240" t="s">
        <v>2004</v>
      </c>
      <c r="C781" s="240" t="s">
        <v>2005</v>
      </c>
      <c r="D781" s="240" t="s">
        <v>6409</v>
      </c>
      <c r="E781" s="240" t="s">
        <v>6410</v>
      </c>
      <c r="F781" s="240" t="s">
        <v>4227</v>
      </c>
      <c r="G781" s="147"/>
      <c r="H781" s="240" t="s">
        <v>4215</v>
      </c>
      <c r="I781" s="240" t="s">
        <v>4215</v>
      </c>
      <c r="J781" s="147"/>
      <c r="K781" s="147"/>
      <c r="L781" s="147"/>
      <c r="M781" s="147"/>
      <c r="N781" s="147"/>
      <c r="O781" s="147"/>
      <c r="P781" s="147"/>
      <c r="Q781" s="147"/>
      <c r="R781" s="147"/>
      <c r="S781" s="147"/>
      <c r="T781" s="147"/>
      <c r="U781" s="147"/>
      <c r="V781" s="147"/>
    </row>
    <row r="782">
      <c r="A782" s="240" t="s">
        <v>6411</v>
      </c>
      <c r="B782" s="240" t="s">
        <v>2006</v>
      </c>
      <c r="C782" s="240" t="s">
        <v>2007</v>
      </c>
      <c r="D782" s="240" t="s">
        <v>6412</v>
      </c>
      <c r="E782" s="240" t="s">
        <v>6413</v>
      </c>
      <c r="F782" s="240" t="s">
        <v>4235</v>
      </c>
      <c r="G782" s="147"/>
      <c r="H782" s="240" t="s">
        <v>4215</v>
      </c>
      <c r="I782" s="240" t="s">
        <v>4215</v>
      </c>
      <c r="J782" s="147"/>
      <c r="K782" s="147"/>
      <c r="L782" s="147"/>
      <c r="M782" s="147"/>
      <c r="N782" s="147"/>
      <c r="O782" s="147"/>
      <c r="P782" s="147"/>
      <c r="Q782" s="147"/>
      <c r="R782" s="147"/>
      <c r="S782" s="147"/>
      <c r="T782" s="147"/>
      <c r="U782" s="147"/>
      <c r="V782" s="147"/>
    </row>
    <row r="783">
      <c r="A783" s="240" t="s">
        <v>6414</v>
      </c>
      <c r="B783" s="240" t="s">
        <v>2008</v>
      </c>
      <c r="C783" s="240" t="s">
        <v>2009</v>
      </c>
      <c r="D783" s="240" t="s">
        <v>6415</v>
      </c>
      <c r="E783" s="240" t="s">
        <v>6416</v>
      </c>
      <c r="F783" s="240" t="s">
        <v>4231</v>
      </c>
      <c r="G783" s="147"/>
      <c r="H783" s="240" t="s">
        <v>4215</v>
      </c>
      <c r="I783" s="240" t="s">
        <v>4215</v>
      </c>
      <c r="J783" s="147"/>
      <c r="K783" s="147"/>
      <c r="L783" s="147"/>
      <c r="M783" s="147"/>
      <c r="N783" s="147"/>
      <c r="O783" s="147"/>
      <c r="P783" s="147"/>
      <c r="Q783" s="147"/>
      <c r="R783" s="147"/>
      <c r="S783" s="147"/>
      <c r="T783" s="147"/>
      <c r="U783" s="147"/>
      <c r="V783" s="147"/>
    </row>
    <row r="784">
      <c r="A784" s="240" t="s">
        <v>6417</v>
      </c>
      <c r="B784" s="240" t="s">
        <v>2010</v>
      </c>
      <c r="C784" s="240" t="s">
        <v>2011</v>
      </c>
      <c r="D784" s="240" t="s">
        <v>6418</v>
      </c>
      <c r="E784" s="240" t="s">
        <v>6419</v>
      </c>
      <c r="F784" s="240" t="s">
        <v>4235</v>
      </c>
      <c r="G784" s="147"/>
      <c r="H784" s="147"/>
      <c r="I784" s="240" t="s">
        <v>4215</v>
      </c>
      <c r="J784" s="147"/>
      <c r="K784" s="147"/>
      <c r="L784" s="147"/>
      <c r="M784" s="147"/>
      <c r="N784" s="147"/>
      <c r="O784" s="147"/>
      <c r="P784" s="147"/>
      <c r="Q784" s="147"/>
      <c r="R784" s="147"/>
      <c r="S784" s="147"/>
      <c r="T784" s="147"/>
      <c r="U784" s="147"/>
      <c r="V784" s="147"/>
    </row>
    <row r="785">
      <c r="A785" s="240" t="s">
        <v>6420</v>
      </c>
      <c r="B785" s="240" t="s">
        <v>2012</v>
      </c>
      <c r="C785" s="240" t="s">
        <v>2013</v>
      </c>
      <c r="D785" s="240" t="s">
        <v>6421</v>
      </c>
      <c r="E785" s="240" t="s">
        <v>6422</v>
      </c>
      <c r="F785" s="240" t="s">
        <v>4223</v>
      </c>
      <c r="G785" s="147"/>
      <c r="H785" s="240" t="s">
        <v>4215</v>
      </c>
      <c r="I785" s="240" t="s">
        <v>4215</v>
      </c>
      <c r="J785" s="147"/>
      <c r="K785" s="147"/>
      <c r="L785" s="147"/>
      <c r="M785" s="147"/>
      <c r="N785" s="147"/>
      <c r="O785" s="147"/>
      <c r="P785" s="147"/>
      <c r="Q785" s="147"/>
      <c r="R785" s="147"/>
      <c r="S785" s="147"/>
      <c r="T785" s="147"/>
      <c r="U785" s="147"/>
      <c r="V785" s="147"/>
    </row>
    <row r="786">
      <c r="A786" s="240" t="s">
        <v>6423</v>
      </c>
      <c r="B786" s="240" t="s">
        <v>2014</v>
      </c>
      <c r="C786" s="240" t="s">
        <v>2015</v>
      </c>
      <c r="D786" s="240" t="s">
        <v>6424</v>
      </c>
      <c r="E786" s="240" t="s">
        <v>5279</v>
      </c>
      <c r="F786" s="240" t="s">
        <v>4227</v>
      </c>
      <c r="G786" s="147"/>
      <c r="H786" s="240" t="s">
        <v>4215</v>
      </c>
      <c r="I786" s="240" t="s">
        <v>4215</v>
      </c>
      <c r="J786" s="147"/>
      <c r="K786" s="147"/>
      <c r="L786" s="147"/>
      <c r="M786" s="147"/>
      <c r="N786" s="147"/>
      <c r="O786" s="147"/>
      <c r="P786" s="147"/>
      <c r="Q786" s="147"/>
      <c r="R786" s="147"/>
      <c r="S786" s="147"/>
      <c r="T786" s="147"/>
      <c r="U786" s="147"/>
      <c r="V786" s="147"/>
    </row>
    <row r="787">
      <c r="A787" s="240" t="s">
        <v>6425</v>
      </c>
      <c r="B787" s="240" t="s">
        <v>2016</v>
      </c>
      <c r="C787" s="240" t="s">
        <v>2017</v>
      </c>
      <c r="D787" s="240" t="s">
        <v>6426</v>
      </c>
      <c r="E787" s="240" t="s">
        <v>6427</v>
      </c>
      <c r="F787" s="240" t="s">
        <v>4590</v>
      </c>
      <c r="G787" s="147"/>
      <c r="H787" s="240" t="s">
        <v>4215</v>
      </c>
      <c r="I787" s="240" t="s">
        <v>4215</v>
      </c>
      <c r="J787" s="147"/>
      <c r="K787" s="147"/>
      <c r="L787" s="147"/>
      <c r="M787" s="147"/>
      <c r="N787" s="147"/>
      <c r="O787" s="147"/>
      <c r="P787" s="147"/>
      <c r="Q787" s="147"/>
      <c r="R787" s="147"/>
      <c r="S787" s="147"/>
      <c r="T787" s="147"/>
      <c r="U787" s="147"/>
      <c r="V787" s="147"/>
    </row>
    <row r="788">
      <c r="A788" s="240" t="s">
        <v>6428</v>
      </c>
      <c r="B788" s="240" t="s">
        <v>2018</v>
      </c>
      <c r="C788" s="240" t="s">
        <v>2019</v>
      </c>
      <c r="D788" s="240" t="s">
        <v>6429</v>
      </c>
      <c r="E788" s="240" t="s">
        <v>6430</v>
      </c>
      <c r="F788" s="240" t="s">
        <v>4219</v>
      </c>
      <c r="G788" s="147"/>
      <c r="H788" s="240" t="s">
        <v>4215</v>
      </c>
      <c r="I788" s="240" t="s">
        <v>4215</v>
      </c>
      <c r="J788" s="147"/>
      <c r="K788" s="147"/>
      <c r="L788" s="147"/>
      <c r="M788" s="147"/>
      <c r="N788" s="147"/>
      <c r="O788" s="147"/>
      <c r="P788" s="147"/>
      <c r="Q788" s="147"/>
      <c r="R788" s="147"/>
      <c r="S788" s="147"/>
      <c r="T788" s="147"/>
      <c r="U788" s="147"/>
      <c r="V788" s="147"/>
    </row>
    <row r="789">
      <c r="A789" s="240" t="s">
        <v>6431</v>
      </c>
      <c r="B789" s="240" t="s">
        <v>2020</v>
      </c>
      <c r="C789" s="240" t="s">
        <v>2021</v>
      </c>
      <c r="D789" s="240" t="s">
        <v>6432</v>
      </c>
      <c r="E789" s="240" t="s">
        <v>6433</v>
      </c>
      <c r="F789" s="240" t="s">
        <v>4219</v>
      </c>
      <c r="G789" s="147"/>
      <c r="H789" s="240" t="s">
        <v>4215</v>
      </c>
      <c r="I789" s="240" t="s">
        <v>4215</v>
      </c>
      <c r="J789" s="147"/>
      <c r="K789" s="147"/>
      <c r="L789" s="147"/>
      <c r="M789" s="147"/>
      <c r="N789" s="147"/>
      <c r="O789" s="147"/>
      <c r="P789" s="147"/>
      <c r="Q789" s="147"/>
      <c r="R789" s="147"/>
      <c r="S789" s="147"/>
      <c r="T789" s="147"/>
      <c r="U789" s="147"/>
      <c r="V789" s="147"/>
    </row>
    <row r="790">
      <c r="A790" s="240" t="s">
        <v>6434</v>
      </c>
      <c r="B790" s="240" t="s">
        <v>2022</v>
      </c>
      <c r="C790" s="240" t="s">
        <v>2023</v>
      </c>
      <c r="D790" s="240" t="s">
        <v>6435</v>
      </c>
      <c r="E790" s="240" t="s">
        <v>305</v>
      </c>
      <c r="F790" s="240" t="s">
        <v>4219</v>
      </c>
      <c r="G790" s="147"/>
      <c r="H790" s="240" t="s">
        <v>4215</v>
      </c>
      <c r="I790" s="240" t="s">
        <v>4215</v>
      </c>
      <c r="J790" s="147"/>
      <c r="K790" s="147"/>
      <c r="L790" s="147"/>
      <c r="M790" s="147"/>
      <c r="N790" s="147"/>
      <c r="O790" s="147"/>
      <c r="P790" s="147"/>
      <c r="Q790" s="147"/>
      <c r="R790" s="147"/>
      <c r="S790" s="147"/>
      <c r="T790" s="147"/>
      <c r="U790" s="147"/>
      <c r="V790" s="147"/>
    </row>
    <row r="791">
      <c r="A791" s="240" t="s">
        <v>6436</v>
      </c>
      <c r="B791" s="240" t="s">
        <v>2024</v>
      </c>
      <c r="C791" s="240" t="s">
        <v>2025</v>
      </c>
      <c r="D791" s="240" t="s">
        <v>6437</v>
      </c>
      <c r="E791" s="240" t="s">
        <v>6438</v>
      </c>
      <c r="F791" s="240" t="s">
        <v>4223</v>
      </c>
      <c r="G791" s="147"/>
      <c r="H791" s="240" t="s">
        <v>4215</v>
      </c>
      <c r="I791" s="240" t="s">
        <v>4215</v>
      </c>
      <c r="J791" s="147"/>
      <c r="K791" s="147"/>
      <c r="L791" s="147"/>
      <c r="M791" s="147"/>
      <c r="N791" s="147"/>
      <c r="O791" s="147"/>
      <c r="P791" s="147"/>
      <c r="Q791" s="147"/>
      <c r="R791" s="147"/>
      <c r="S791" s="147"/>
      <c r="T791" s="147"/>
      <c r="U791" s="147"/>
      <c r="V791" s="147"/>
    </row>
    <row r="792">
      <c r="A792" s="240" t="s">
        <v>6439</v>
      </c>
      <c r="B792" s="240" t="s">
        <v>2026</v>
      </c>
      <c r="C792" s="240" t="s">
        <v>2027</v>
      </c>
      <c r="D792" s="240" t="s">
        <v>6440</v>
      </c>
      <c r="E792" s="240" t="s">
        <v>6441</v>
      </c>
      <c r="F792" s="240" t="s">
        <v>4219</v>
      </c>
      <c r="G792" s="147"/>
      <c r="H792" s="240" t="s">
        <v>4215</v>
      </c>
      <c r="I792" s="240" t="s">
        <v>4215</v>
      </c>
      <c r="J792" s="147"/>
      <c r="K792" s="147"/>
      <c r="L792" s="147"/>
      <c r="M792" s="147"/>
      <c r="N792" s="147"/>
      <c r="O792" s="147"/>
      <c r="P792" s="147"/>
      <c r="Q792" s="147"/>
      <c r="R792" s="147"/>
      <c r="S792" s="147"/>
      <c r="T792" s="147"/>
      <c r="U792" s="147"/>
      <c r="V792" s="147"/>
    </row>
    <row r="793">
      <c r="A793" s="240" t="s">
        <v>6442</v>
      </c>
      <c r="B793" s="240" t="s">
        <v>2028</v>
      </c>
      <c r="C793" s="240" t="s">
        <v>2029</v>
      </c>
      <c r="D793" s="240" t="s">
        <v>6443</v>
      </c>
      <c r="E793" s="240" t="s">
        <v>6444</v>
      </c>
      <c r="F793" s="240" t="s">
        <v>4235</v>
      </c>
      <c r="G793" s="147"/>
      <c r="H793" s="147"/>
      <c r="I793" s="147"/>
      <c r="J793" s="147"/>
      <c r="K793" s="147"/>
      <c r="L793" s="147"/>
      <c r="M793" s="147"/>
      <c r="N793" s="147"/>
      <c r="O793" s="147"/>
      <c r="P793" s="147"/>
      <c r="Q793" s="147"/>
      <c r="R793" s="147"/>
      <c r="S793" s="147"/>
      <c r="T793" s="147"/>
      <c r="U793" s="147"/>
      <c r="V793" s="147"/>
    </row>
    <row r="794">
      <c r="A794" s="240" t="s">
        <v>6445</v>
      </c>
      <c r="B794" s="240" t="s">
        <v>2030</v>
      </c>
      <c r="C794" s="240" t="s">
        <v>2031</v>
      </c>
      <c r="D794" s="240" t="s">
        <v>6446</v>
      </c>
      <c r="E794" s="240" t="s">
        <v>6447</v>
      </c>
      <c r="F794" s="240" t="s">
        <v>4223</v>
      </c>
      <c r="G794" s="147"/>
      <c r="H794" s="240" t="s">
        <v>4215</v>
      </c>
      <c r="I794" s="240" t="s">
        <v>4215</v>
      </c>
      <c r="J794" s="147"/>
      <c r="K794" s="147"/>
      <c r="L794" s="147"/>
      <c r="M794" s="147"/>
      <c r="N794" s="147"/>
      <c r="O794" s="147"/>
      <c r="P794" s="147"/>
      <c r="Q794" s="147"/>
      <c r="R794" s="147"/>
      <c r="S794" s="147"/>
      <c r="T794" s="147"/>
      <c r="U794" s="147"/>
      <c r="V794" s="147"/>
    </row>
    <row r="795">
      <c r="A795" s="240" t="s">
        <v>6448</v>
      </c>
      <c r="B795" s="240" t="s">
        <v>2032</v>
      </c>
      <c r="C795" s="240" t="s">
        <v>2033</v>
      </c>
      <c r="D795" s="240" t="s">
        <v>6449</v>
      </c>
      <c r="E795" s="240" t="s">
        <v>6450</v>
      </c>
      <c r="F795" s="240" t="s">
        <v>4227</v>
      </c>
      <c r="G795" s="147"/>
      <c r="H795" s="240" t="s">
        <v>4215</v>
      </c>
      <c r="I795" s="240" t="s">
        <v>4215</v>
      </c>
      <c r="J795" s="147"/>
      <c r="K795" s="147"/>
      <c r="L795" s="147"/>
      <c r="M795" s="147"/>
      <c r="N795" s="147"/>
      <c r="O795" s="147"/>
      <c r="P795" s="147"/>
      <c r="Q795" s="147"/>
      <c r="R795" s="147"/>
      <c r="S795" s="147"/>
      <c r="T795" s="147"/>
      <c r="U795" s="147"/>
      <c r="V795" s="147"/>
    </row>
    <row r="796">
      <c r="A796" s="240" t="s">
        <v>6451</v>
      </c>
      <c r="B796" s="240" t="s">
        <v>2034</v>
      </c>
      <c r="C796" s="240" t="s">
        <v>2035</v>
      </c>
      <c r="D796" s="240" t="s">
        <v>6452</v>
      </c>
      <c r="E796" s="240" t="s">
        <v>6453</v>
      </c>
      <c r="F796" s="240" t="s">
        <v>4264</v>
      </c>
      <c r="G796" s="147"/>
      <c r="H796" s="240" t="s">
        <v>4215</v>
      </c>
      <c r="I796" s="240" t="s">
        <v>4215</v>
      </c>
      <c r="J796" s="147"/>
      <c r="K796" s="147"/>
      <c r="L796" s="147"/>
      <c r="M796" s="147"/>
      <c r="N796" s="147"/>
      <c r="O796" s="147"/>
      <c r="P796" s="147"/>
      <c r="Q796" s="147"/>
      <c r="R796" s="147"/>
      <c r="S796" s="147"/>
      <c r="T796" s="147"/>
      <c r="U796" s="147"/>
      <c r="V796" s="147"/>
    </row>
    <row r="797">
      <c r="A797" s="240" t="s">
        <v>6454</v>
      </c>
      <c r="B797" s="240" t="s">
        <v>2036</v>
      </c>
      <c r="C797" s="240" t="s">
        <v>2037</v>
      </c>
      <c r="D797" s="240" t="s">
        <v>6455</v>
      </c>
      <c r="E797" s="240" t="s">
        <v>6456</v>
      </c>
      <c r="F797" s="240" t="s">
        <v>4231</v>
      </c>
      <c r="G797" s="147"/>
      <c r="H797" s="240" t="s">
        <v>4215</v>
      </c>
      <c r="I797" s="240" t="s">
        <v>4215</v>
      </c>
      <c r="J797" s="147"/>
      <c r="K797" s="147"/>
      <c r="L797" s="147"/>
      <c r="M797" s="147"/>
      <c r="N797" s="147"/>
      <c r="O797" s="147"/>
      <c r="P797" s="147"/>
      <c r="Q797" s="147"/>
      <c r="R797" s="147"/>
      <c r="S797" s="147"/>
      <c r="T797" s="147"/>
      <c r="U797" s="147"/>
      <c r="V797" s="147"/>
    </row>
    <row r="798">
      <c r="A798" s="240" t="s">
        <v>6457</v>
      </c>
      <c r="B798" s="240" t="s">
        <v>2038</v>
      </c>
      <c r="C798" s="240" t="s">
        <v>2039</v>
      </c>
      <c r="D798" s="240" t="s">
        <v>6458</v>
      </c>
      <c r="E798" s="240" t="s">
        <v>6459</v>
      </c>
      <c r="F798" s="240" t="s">
        <v>4235</v>
      </c>
      <c r="G798" s="147"/>
      <c r="H798" s="147"/>
      <c r="I798" s="147"/>
      <c r="J798" s="147"/>
      <c r="K798" s="147"/>
      <c r="L798" s="147"/>
      <c r="M798" s="147"/>
      <c r="N798" s="147"/>
      <c r="O798" s="147"/>
      <c r="P798" s="147"/>
      <c r="Q798" s="147"/>
      <c r="R798" s="147"/>
      <c r="S798" s="147"/>
      <c r="T798" s="147"/>
      <c r="U798" s="147"/>
      <c r="V798" s="147"/>
    </row>
    <row r="799">
      <c r="A799" s="240" t="s">
        <v>6460</v>
      </c>
      <c r="B799" s="240" t="s">
        <v>2040</v>
      </c>
      <c r="C799" s="240" t="s">
        <v>2041</v>
      </c>
      <c r="D799" s="240" t="s">
        <v>6461</v>
      </c>
      <c r="E799" s="240" t="s">
        <v>6462</v>
      </c>
      <c r="F799" s="240" t="s">
        <v>4231</v>
      </c>
      <c r="G799" s="147"/>
      <c r="H799" s="240" t="s">
        <v>4215</v>
      </c>
      <c r="I799" s="240" t="s">
        <v>4215</v>
      </c>
      <c r="J799" s="147"/>
      <c r="K799" s="147"/>
      <c r="L799" s="147"/>
      <c r="M799" s="147"/>
      <c r="N799" s="147"/>
      <c r="O799" s="147"/>
      <c r="P799" s="147"/>
      <c r="Q799" s="147"/>
      <c r="R799" s="147"/>
      <c r="S799" s="147"/>
      <c r="T799" s="147"/>
      <c r="U799" s="147"/>
      <c r="V799" s="147"/>
    </row>
    <row r="800">
      <c r="A800" s="240" t="s">
        <v>6463</v>
      </c>
      <c r="B800" s="240" t="s">
        <v>2042</v>
      </c>
      <c r="C800" s="240" t="s">
        <v>2043</v>
      </c>
      <c r="D800" s="240" t="s">
        <v>6464</v>
      </c>
      <c r="E800" s="240" t="s">
        <v>6465</v>
      </c>
      <c r="F800" s="240" t="s">
        <v>4235</v>
      </c>
      <c r="G800" s="147"/>
      <c r="H800" s="240" t="s">
        <v>4215</v>
      </c>
      <c r="I800" s="240" t="s">
        <v>4215</v>
      </c>
      <c r="J800" s="147"/>
      <c r="K800" s="147"/>
      <c r="L800" s="147"/>
      <c r="M800" s="147"/>
      <c r="N800" s="147"/>
      <c r="O800" s="147"/>
      <c r="P800" s="147"/>
      <c r="Q800" s="147"/>
      <c r="R800" s="147"/>
      <c r="S800" s="147"/>
      <c r="T800" s="147"/>
      <c r="U800" s="147"/>
      <c r="V800" s="147"/>
    </row>
    <row r="801">
      <c r="A801" s="240" t="s">
        <v>6466</v>
      </c>
      <c r="B801" s="240" t="s">
        <v>2044</v>
      </c>
      <c r="C801" s="240" t="s">
        <v>2045</v>
      </c>
      <c r="D801" s="240" t="s">
        <v>6467</v>
      </c>
      <c r="E801" s="240" t="s">
        <v>6468</v>
      </c>
      <c r="F801" s="240" t="s">
        <v>4219</v>
      </c>
      <c r="G801" s="147"/>
      <c r="H801" s="240" t="s">
        <v>4215</v>
      </c>
      <c r="I801" s="240" t="s">
        <v>4215</v>
      </c>
      <c r="J801" s="147"/>
      <c r="K801" s="147"/>
      <c r="L801" s="147"/>
      <c r="M801" s="147"/>
      <c r="N801" s="147"/>
      <c r="O801" s="147"/>
      <c r="P801" s="147"/>
      <c r="Q801" s="147"/>
      <c r="R801" s="147"/>
      <c r="S801" s="147"/>
      <c r="T801" s="147"/>
      <c r="U801" s="147"/>
      <c r="V801" s="147"/>
    </row>
    <row r="802">
      <c r="A802" s="240" t="s">
        <v>6469</v>
      </c>
      <c r="B802" s="240" t="s">
        <v>2046</v>
      </c>
      <c r="C802" s="240" t="s">
        <v>2047</v>
      </c>
      <c r="D802" s="240" t="s">
        <v>6470</v>
      </c>
      <c r="E802" s="240" t="s">
        <v>6471</v>
      </c>
      <c r="F802" s="240" t="s">
        <v>4264</v>
      </c>
      <c r="G802" s="147"/>
      <c r="H802" s="147"/>
      <c r="I802" s="147"/>
      <c r="J802" s="147"/>
      <c r="K802" s="147"/>
      <c r="L802" s="147"/>
      <c r="M802" s="147"/>
      <c r="N802" s="147"/>
      <c r="O802" s="147"/>
      <c r="P802" s="147"/>
      <c r="Q802" s="147"/>
      <c r="R802" s="147"/>
      <c r="S802" s="147"/>
      <c r="T802" s="147"/>
      <c r="U802" s="147"/>
      <c r="V802" s="147"/>
    </row>
    <row r="803">
      <c r="A803" s="240" t="s">
        <v>6472</v>
      </c>
      <c r="B803" s="240" t="s">
        <v>2048</v>
      </c>
      <c r="C803" s="240" t="s">
        <v>2049</v>
      </c>
      <c r="D803" s="240" t="s">
        <v>6473</v>
      </c>
      <c r="E803" s="240" t="s">
        <v>6474</v>
      </c>
      <c r="F803" s="240" t="s">
        <v>4231</v>
      </c>
      <c r="G803" s="147"/>
      <c r="H803" s="240" t="s">
        <v>4215</v>
      </c>
      <c r="I803" s="240" t="s">
        <v>4215</v>
      </c>
      <c r="J803" s="147"/>
      <c r="K803" s="147"/>
      <c r="L803" s="147"/>
      <c r="M803" s="147"/>
      <c r="N803" s="147"/>
      <c r="O803" s="147"/>
      <c r="P803" s="147"/>
      <c r="Q803" s="147"/>
      <c r="R803" s="147"/>
      <c r="S803" s="147"/>
      <c r="T803" s="147"/>
      <c r="U803" s="147"/>
      <c r="V803" s="147"/>
    </row>
    <row r="804">
      <c r="A804" s="240" t="s">
        <v>6475</v>
      </c>
      <c r="B804" s="240" t="s">
        <v>2050</v>
      </c>
      <c r="C804" s="240" t="s">
        <v>2051</v>
      </c>
      <c r="D804" s="240" t="s">
        <v>6476</v>
      </c>
      <c r="E804" s="240" t="s">
        <v>6477</v>
      </c>
      <c r="F804" s="240" t="s">
        <v>4349</v>
      </c>
      <c r="G804" s="147"/>
      <c r="H804" s="240" t="s">
        <v>4215</v>
      </c>
      <c r="I804" s="240" t="s">
        <v>4215</v>
      </c>
      <c r="J804" s="147"/>
      <c r="K804" s="147"/>
      <c r="L804" s="147"/>
      <c r="M804" s="147"/>
      <c r="N804" s="147"/>
      <c r="O804" s="147"/>
      <c r="P804" s="147"/>
      <c r="Q804" s="147"/>
      <c r="R804" s="147"/>
      <c r="S804" s="147"/>
      <c r="T804" s="147"/>
      <c r="U804" s="147"/>
      <c r="V804" s="147"/>
    </row>
    <row r="805">
      <c r="A805" s="240" t="s">
        <v>6478</v>
      </c>
      <c r="B805" s="240" t="s">
        <v>2052</v>
      </c>
      <c r="C805" s="240" t="s">
        <v>2053</v>
      </c>
      <c r="D805" s="240" t="s">
        <v>6479</v>
      </c>
      <c r="E805" s="240" t="s">
        <v>6480</v>
      </c>
      <c r="F805" s="240" t="s">
        <v>4223</v>
      </c>
      <c r="G805" s="147"/>
      <c r="H805" s="240" t="s">
        <v>4215</v>
      </c>
      <c r="I805" s="240" t="s">
        <v>4215</v>
      </c>
      <c r="J805" s="147"/>
      <c r="K805" s="147"/>
      <c r="L805" s="147"/>
      <c r="M805" s="147"/>
      <c r="N805" s="147"/>
      <c r="O805" s="147"/>
      <c r="P805" s="147"/>
      <c r="Q805" s="147"/>
      <c r="R805" s="147"/>
      <c r="S805" s="147"/>
      <c r="T805" s="147"/>
      <c r="U805" s="147"/>
      <c r="V805" s="147"/>
    </row>
    <row r="806">
      <c r="A806" s="240" t="s">
        <v>6481</v>
      </c>
      <c r="B806" s="240" t="s">
        <v>2054</v>
      </c>
      <c r="C806" s="240" t="s">
        <v>2055</v>
      </c>
      <c r="D806" s="240" t="s">
        <v>6482</v>
      </c>
      <c r="E806" s="240" t="s">
        <v>6483</v>
      </c>
      <c r="F806" s="240" t="s">
        <v>4223</v>
      </c>
      <c r="G806" s="147"/>
      <c r="H806" s="240" t="s">
        <v>4215</v>
      </c>
      <c r="I806" s="240" t="s">
        <v>4215</v>
      </c>
      <c r="J806" s="147"/>
      <c r="K806" s="147"/>
      <c r="L806" s="147"/>
      <c r="M806" s="147"/>
      <c r="N806" s="147"/>
      <c r="O806" s="147"/>
      <c r="P806" s="147"/>
      <c r="Q806" s="147"/>
      <c r="R806" s="147"/>
      <c r="S806" s="147"/>
      <c r="T806" s="147"/>
      <c r="U806" s="147"/>
      <c r="V806" s="147"/>
    </row>
    <row r="807">
      <c r="A807" s="240" t="s">
        <v>6484</v>
      </c>
      <c r="B807" s="240" t="s">
        <v>2056</v>
      </c>
      <c r="C807" s="240" t="s">
        <v>2057</v>
      </c>
      <c r="D807" s="240" t="s">
        <v>6485</v>
      </c>
      <c r="E807" s="240" t="s">
        <v>6486</v>
      </c>
      <c r="F807" s="240" t="s">
        <v>4219</v>
      </c>
      <c r="G807" s="147"/>
      <c r="H807" s="240" t="s">
        <v>4215</v>
      </c>
      <c r="I807" s="240" t="s">
        <v>4215</v>
      </c>
      <c r="J807" s="147"/>
      <c r="K807" s="147"/>
      <c r="L807" s="147"/>
      <c r="M807" s="147"/>
      <c r="N807" s="147"/>
      <c r="O807" s="147"/>
      <c r="P807" s="147"/>
      <c r="Q807" s="147"/>
      <c r="R807" s="147"/>
      <c r="S807" s="147"/>
      <c r="T807" s="147"/>
      <c r="U807" s="147"/>
      <c r="V807" s="147"/>
    </row>
    <row r="808">
      <c r="A808" s="240" t="s">
        <v>6487</v>
      </c>
      <c r="B808" s="240" t="s">
        <v>2058</v>
      </c>
      <c r="C808" s="240" t="s">
        <v>2059</v>
      </c>
      <c r="D808" s="240" t="s">
        <v>5973</v>
      </c>
      <c r="E808" s="240" t="s">
        <v>5974</v>
      </c>
      <c r="F808" s="240" t="s">
        <v>4264</v>
      </c>
      <c r="G808" s="147"/>
      <c r="H808" s="240" t="s">
        <v>4215</v>
      </c>
      <c r="I808" s="240" t="s">
        <v>4215</v>
      </c>
      <c r="J808" s="147"/>
      <c r="K808" s="147"/>
      <c r="L808" s="147"/>
      <c r="M808" s="147"/>
      <c r="N808" s="147"/>
      <c r="O808" s="147"/>
      <c r="P808" s="147"/>
      <c r="Q808" s="147"/>
      <c r="R808" s="147"/>
      <c r="S808" s="147"/>
      <c r="T808" s="147"/>
      <c r="U808" s="147"/>
      <c r="V808" s="147"/>
    </row>
    <row r="809">
      <c r="A809" s="240" t="s">
        <v>6488</v>
      </c>
      <c r="B809" s="240" t="s">
        <v>2060</v>
      </c>
      <c r="C809" s="240" t="s">
        <v>2061</v>
      </c>
      <c r="D809" s="240" t="s">
        <v>6489</v>
      </c>
      <c r="E809" s="240" t="s">
        <v>6490</v>
      </c>
      <c r="F809" s="240" t="s">
        <v>4235</v>
      </c>
      <c r="G809" s="147"/>
      <c r="H809" s="240" t="s">
        <v>4215</v>
      </c>
      <c r="I809" s="240" t="s">
        <v>4215</v>
      </c>
      <c r="J809" s="147"/>
      <c r="K809" s="147"/>
      <c r="L809" s="147"/>
      <c r="M809" s="147"/>
      <c r="N809" s="147"/>
      <c r="O809" s="147"/>
      <c r="P809" s="147"/>
      <c r="Q809" s="147"/>
      <c r="R809" s="147"/>
      <c r="S809" s="147"/>
      <c r="T809" s="147"/>
      <c r="U809" s="147"/>
      <c r="V809" s="147"/>
    </row>
    <row r="810">
      <c r="A810" s="240" t="s">
        <v>6491</v>
      </c>
      <c r="B810" s="240" t="s">
        <v>2062</v>
      </c>
      <c r="C810" s="240" t="s">
        <v>2063</v>
      </c>
      <c r="D810" s="240" t="s">
        <v>6492</v>
      </c>
      <c r="E810" s="240" t="s">
        <v>6493</v>
      </c>
      <c r="F810" s="240" t="s">
        <v>4621</v>
      </c>
      <c r="G810" s="147"/>
      <c r="H810" s="240" t="s">
        <v>4215</v>
      </c>
      <c r="I810" s="240" t="s">
        <v>4215</v>
      </c>
      <c r="J810" s="147"/>
      <c r="K810" s="147"/>
      <c r="L810" s="147"/>
      <c r="M810" s="147"/>
      <c r="N810" s="147"/>
      <c r="O810" s="147"/>
      <c r="P810" s="147"/>
      <c r="Q810" s="147"/>
      <c r="R810" s="147"/>
      <c r="S810" s="147"/>
      <c r="T810" s="147"/>
      <c r="U810" s="147"/>
      <c r="V810" s="147"/>
    </row>
    <row r="811">
      <c r="A811" s="240" t="s">
        <v>6494</v>
      </c>
      <c r="B811" s="240" t="s">
        <v>2064</v>
      </c>
      <c r="C811" s="240" t="s">
        <v>2065</v>
      </c>
      <c r="D811" s="240" t="s">
        <v>6495</v>
      </c>
      <c r="E811" s="240" t="s">
        <v>6496</v>
      </c>
      <c r="F811" s="240" t="s">
        <v>4828</v>
      </c>
      <c r="G811" s="147"/>
      <c r="H811" s="240" t="s">
        <v>4215</v>
      </c>
      <c r="I811" s="240" t="s">
        <v>4215</v>
      </c>
      <c r="J811" s="147"/>
      <c r="K811" s="147"/>
      <c r="L811" s="147"/>
      <c r="M811" s="147"/>
      <c r="N811" s="147"/>
      <c r="O811" s="147"/>
      <c r="P811" s="147"/>
      <c r="Q811" s="147"/>
      <c r="R811" s="147"/>
      <c r="S811" s="147"/>
      <c r="T811" s="147"/>
      <c r="U811" s="147"/>
      <c r="V811" s="147"/>
    </row>
    <row r="812">
      <c r="A812" s="240" t="s">
        <v>6497</v>
      </c>
      <c r="B812" s="240" t="s">
        <v>2066</v>
      </c>
      <c r="C812" s="240" t="s">
        <v>2067</v>
      </c>
      <c r="D812" s="240" t="s">
        <v>6498</v>
      </c>
      <c r="E812" s="240" t="s">
        <v>6499</v>
      </c>
      <c r="F812" s="240" t="s">
        <v>4231</v>
      </c>
      <c r="G812" s="147"/>
      <c r="H812" s="240" t="s">
        <v>4215</v>
      </c>
      <c r="I812" s="240" t="s">
        <v>4215</v>
      </c>
      <c r="J812" s="147"/>
      <c r="K812" s="147"/>
      <c r="L812" s="147"/>
      <c r="M812" s="147"/>
      <c r="N812" s="147"/>
      <c r="O812" s="147"/>
      <c r="P812" s="147"/>
      <c r="Q812" s="147"/>
      <c r="R812" s="147"/>
      <c r="S812" s="147"/>
      <c r="T812" s="147"/>
      <c r="U812" s="147"/>
      <c r="V812" s="147"/>
    </row>
    <row r="813">
      <c r="A813" s="240" t="s">
        <v>6500</v>
      </c>
      <c r="B813" s="240" t="s">
        <v>2068</v>
      </c>
      <c r="C813" s="240" t="s">
        <v>2069</v>
      </c>
      <c r="D813" s="240" t="s">
        <v>6501</v>
      </c>
      <c r="E813" s="240" t="s">
        <v>6502</v>
      </c>
      <c r="F813" s="240" t="s">
        <v>4223</v>
      </c>
      <c r="G813" s="147"/>
      <c r="H813" s="147"/>
      <c r="I813" s="147"/>
      <c r="J813" s="147"/>
      <c r="K813" s="147"/>
      <c r="L813" s="147"/>
      <c r="M813" s="147"/>
      <c r="N813" s="147"/>
      <c r="O813" s="147"/>
      <c r="P813" s="147"/>
      <c r="Q813" s="147"/>
      <c r="R813" s="147"/>
      <c r="S813" s="147"/>
      <c r="T813" s="147"/>
      <c r="U813" s="147"/>
      <c r="V813" s="147"/>
    </row>
    <row r="814">
      <c r="A814" s="240" t="s">
        <v>6503</v>
      </c>
      <c r="B814" s="240" t="s">
        <v>2070</v>
      </c>
      <c r="C814" s="240" t="s">
        <v>2071</v>
      </c>
      <c r="D814" s="240" t="s">
        <v>6504</v>
      </c>
      <c r="E814" s="240" t="s">
        <v>6505</v>
      </c>
      <c r="F814" s="240" t="s">
        <v>4223</v>
      </c>
      <c r="G814" s="147"/>
      <c r="H814" s="240" t="s">
        <v>4215</v>
      </c>
      <c r="I814" s="240" t="s">
        <v>4215</v>
      </c>
      <c r="J814" s="147"/>
      <c r="K814" s="147"/>
      <c r="L814" s="147"/>
      <c r="M814" s="147"/>
      <c r="N814" s="147"/>
      <c r="O814" s="147"/>
      <c r="P814" s="147"/>
      <c r="Q814" s="147"/>
      <c r="R814" s="147"/>
      <c r="S814" s="147"/>
      <c r="T814" s="147"/>
      <c r="U814" s="147"/>
      <c r="V814" s="147"/>
    </row>
    <row r="815">
      <c r="A815" s="240" t="s">
        <v>6506</v>
      </c>
      <c r="B815" s="240" t="s">
        <v>2072</v>
      </c>
      <c r="C815" s="240" t="s">
        <v>2073</v>
      </c>
      <c r="D815" s="240" t="s">
        <v>6507</v>
      </c>
      <c r="E815" s="240" t="s">
        <v>6508</v>
      </c>
      <c r="F815" s="240" t="s">
        <v>4223</v>
      </c>
      <c r="G815" s="147"/>
      <c r="H815" s="240" t="s">
        <v>4215</v>
      </c>
      <c r="I815" s="240" t="s">
        <v>4215</v>
      </c>
      <c r="J815" s="147"/>
      <c r="K815" s="147"/>
      <c r="L815" s="147"/>
      <c r="M815" s="147"/>
      <c r="N815" s="147"/>
      <c r="O815" s="147"/>
      <c r="P815" s="147"/>
      <c r="Q815" s="147"/>
      <c r="R815" s="147"/>
      <c r="S815" s="147"/>
      <c r="T815" s="147"/>
      <c r="U815" s="147"/>
      <c r="V815" s="147"/>
    </row>
    <row r="816">
      <c r="A816" s="240" t="s">
        <v>6509</v>
      </c>
      <c r="B816" s="240" t="s">
        <v>2074</v>
      </c>
      <c r="C816" s="240" t="s">
        <v>2075</v>
      </c>
      <c r="D816" s="240" t="s">
        <v>6510</v>
      </c>
      <c r="E816" s="240" t="s">
        <v>6511</v>
      </c>
      <c r="F816" s="240" t="s">
        <v>4219</v>
      </c>
      <c r="G816" s="147"/>
      <c r="H816" s="147"/>
      <c r="I816" s="147"/>
      <c r="J816" s="147"/>
      <c r="K816" s="147"/>
      <c r="L816" s="147"/>
      <c r="M816" s="147"/>
      <c r="N816" s="147"/>
      <c r="O816" s="147"/>
      <c r="P816" s="147"/>
      <c r="Q816" s="147"/>
      <c r="R816" s="147"/>
      <c r="S816" s="147"/>
      <c r="T816" s="147"/>
      <c r="U816" s="147"/>
      <c r="V816" s="147"/>
    </row>
    <row r="817">
      <c r="A817" s="240" t="s">
        <v>6512</v>
      </c>
      <c r="B817" s="240" t="s">
        <v>2076</v>
      </c>
      <c r="C817" s="240" t="s">
        <v>2077</v>
      </c>
      <c r="D817" s="240" t="s">
        <v>6513</v>
      </c>
      <c r="E817" s="240" t="s">
        <v>6514</v>
      </c>
      <c r="F817" s="240" t="s">
        <v>4219</v>
      </c>
      <c r="G817" s="147"/>
      <c r="H817" s="240" t="s">
        <v>4215</v>
      </c>
      <c r="I817" s="240" t="s">
        <v>4215</v>
      </c>
      <c r="J817" s="147"/>
      <c r="K817" s="147"/>
      <c r="L817" s="147"/>
      <c r="M817" s="147"/>
      <c r="N817" s="147"/>
      <c r="O817" s="147"/>
      <c r="P817" s="147"/>
      <c r="Q817" s="147"/>
      <c r="R817" s="147"/>
      <c r="S817" s="147"/>
      <c r="T817" s="147"/>
      <c r="U817" s="147"/>
      <c r="V817" s="147"/>
    </row>
    <row r="818">
      <c r="A818" s="240" t="s">
        <v>6515</v>
      </c>
      <c r="B818" s="240" t="s">
        <v>2078</v>
      </c>
      <c r="C818" s="240" t="s">
        <v>2079</v>
      </c>
      <c r="D818" s="240" t="s">
        <v>6516</v>
      </c>
      <c r="E818" s="240" t="s">
        <v>6517</v>
      </c>
      <c r="F818" s="240" t="s">
        <v>4227</v>
      </c>
      <c r="G818" s="147"/>
      <c r="H818" s="240" t="s">
        <v>4215</v>
      </c>
      <c r="I818" s="240" t="s">
        <v>4215</v>
      </c>
      <c r="J818" s="147"/>
      <c r="K818" s="147"/>
      <c r="L818" s="147"/>
      <c r="M818" s="147"/>
      <c r="N818" s="147"/>
      <c r="O818" s="147"/>
      <c r="P818" s="147"/>
      <c r="Q818" s="147"/>
      <c r="R818" s="147"/>
      <c r="S818" s="147"/>
      <c r="T818" s="147"/>
      <c r="U818" s="147"/>
      <c r="V818" s="147"/>
    </row>
    <row r="819">
      <c r="A819" s="240" t="s">
        <v>6518</v>
      </c>
      <c r="B819" s="240" t="s">
        <v>2080</v>
      </c>
      <c r="C819" s="240" t="s">
        <v>2081</v>
      </c>
      <c r="D819" s="240" t="s">
        <v>6519</v>
      </c>
      <c r="E819" s="240" t="s">
        <v>6520</v>
      </c>
      <c r="F819" s="240" t="s">
        <v>4223</v>
      </c>
      <c r="G819" s="147"/>
      <c r="H819" s="147"/>
      <c r="I819" s="147"/>
      <c r="J819" s="147"/>
      <c r="K819" s="147"/>
      <c r="L819" s="147"/>
      <c r="M819" s="147"/>
      <c r="N819" s="147"/>
      <c r="O819" s="147"/>
      <c r="P819" s="147"/>
      <c r="Q819" s="147"/>
      <c r="R819" s="147"/>
      <c r="S819" s="147"/>
      <c r="T819" s="147"/>
      <c r="U819" s="147"/>
      <c r="V819" s="147"/>
    </row>
    <row r="820">
      <c r="A820" s="240" t="s">
        <v>6521</v>
      </c>
      <c r="B820" s="240" t="s">
        <v>2082</v>
      </c>
      <c r="C820" s="240" t="s">
        <v>2083</v>
      </c>
      <c r="D820" s="240" t="s">
        <v>6522</v>
      </c>
      <c r="E820" s="240" t="s">
        <v>6523</v>
      </c>
      <c r="F820" s="240" t="s">
        <v>4235</v>
      </c>
      <c r="G820" s="147"/>
      <c r="H820" s="240" t="s">
        <v>4215</v>
      </c>
      <c r="I820" s="240" t="s">
        <v>4215</v>
      </c>
      <c r="J820" s="147"/>
      <c r="K820" s="147"/>
      <c r="L820" s="147"/>
      <c r="M820" s="147"/>
      <c r="N820" s="147"/>
      <c r="O820" s="147"/>
      <c r="P820" s="147"/>
      <c r="Q820" s="147"/>
      <c r="R820" s="147"/>
      <c r="S820" s="147"/>
      <c r="T820" s="147"/>
      <c r="U820" s="147"/>
      <c r="V820" s="147"/>
    </row>
    <row r="821">
      <c r="A821" s="240" t="s">
        <v>6524</v>
      </c>
      <c r="B821" s="240" t="s">
        <v>2084</v>
      </c>
      <c r="C821" s="240" t="s">
        <v>2085</v>
      </c>
      <c r="D821" s="240" t="s">
        <v>6525</v>
      </c>
      <c r="E821" s="240" t="s">
        <v>6520</v>
      </c>
      <c r="F821" s="240" t="s">
        <v>4223</v>
      </c>
      <c r="G821" s="147"/>
      <c r="H821" s="147"/>
      <c r="I821" s="147"/>
      <c r="J821" s="147"/>
      <c r="K821" s="147"/>
      <c r="L821" s="147"/>
      <c r="M821" s="147"/>
      <c r="N821" s="147"/>
      <c r="O821" s="147"/>
      <c r="P821" s="147"/>
      <c r="Q821" s="147"/>
      <c r="R821" s="147"/>
      <c r="S821" s="147"/>
      <c r="T821" s="147"/>
      <c r="U821" s="147"/>
      <c r="V821" s="147"/>
    </row>
    <row r="822">
      <c r="A822" s="240" t="s">
        <v>6526</v>
      </c>
      <c r="B822" s="240" t="s">
        <v>2086</v>
      </c>
      <c r="C822" s="240" t="s">
        <v>2087</v>
      </c>
      <c r="D822" s="240" t="s">
        <v>6527</v>
      </c>
      <c r="E822" s="240" t="s">
        <v>6528</v>
      </c>
      <c r="F822" s="240" t="s">
        <v>4235</v>
      </c>
      <c r="G822" s="147"/>
      <c r="H822" s="240" t="s">
        <v>4215</v>
      </c>
      <c r="I822" s="240" t="s">
        <v>4215</v>
      </c>
      <c r="J822" s="147"/>
      <c r="K822" s="147"/>
      <c r="L822" s="147"/>
      <c r="M822" s="147"/>
      <c r="N822" s="147"/>
      <c r="O822" s="147"/>
      <c r="P822" s="147"/>
      <c r="Q822" s="147"/>
      <c r="R822" s="147"/>
      <c r="S822" s="147"/>
      <c r="T822" s="147"/>
      <c r="U822" s="147"/>
      <c r="V822" s="147"/>
    </row>
    <row r="823">
      <c r="A823" s="240" t="s">
        <v>6529</v>
      </c>
      <c r="B823" s="240" t="s">
        <v>2088</v>
      </c>
      <c r="C823" s="240" t="s">
        <v>2089</v>
      </c>
      <c r="D823" s="240" t="s">
        <v>6530</v>
      </c>
      <c r="E823" s="240" t="s">
        <v>6531</v>
      </c>
      <c r="F823" s="240" t="s">
        <v>4227</v>
      </c>
      <c r="G823" s="147"/>
      <c r="H823" s="240" t="s">
        <v>4215</v>
      </c>
      <c r="I823" s="240" t="s">
        <v>4215</v>
      </c>
      <c r="J823" s="147"/>
      <c r="K823" s="147"/>
      <c r="L823" s="147"/>
      <c r="M823" s="147"/>
      <c r="N823" s="147"/>
      <c r="O823" s="147"/>
      <c r="P823" s="147"/>
      <c r="Q823" s="147"/>
      <c r="R823" s="147"/>
      <c r="S823" s="147"/>
      <c r="T823" s="147"/>
      <c r="U823" s="147"/>
      <c r="V823" s="147"/>
    </row>
    <row r="824">
      <c r="A824" s="240" t="s">
        <v>6532</v>
      </c>
      <c r="B824" s="240" t="s">
        <v>2090</v>
      </c>
      <c r="C824" s="240" t="s">
        <v>2091</v>
      </c>
      <c r="D824" s="240" t="s">
        <v>6533</v>
      </c>
      <c r="E824" s="240" t="s">
        <v>6534</v>
      </c>
      <c r="F824" s="240" t="s">
        <v>4235</v>
      </c>
      <c r="G824" s="147"/>
      <c r="H824" s="240" t="s">
        <v>4215</v>
      </c>
      <c r="I824" s="240" t="s">
        <v>4215</v>
      </c>
      <c r="J824" s="147"/>
      <c r="K824" s="147"/>
      <c r="L824" s="147"/>
      <c r="M824" s="147"/>
      <c r="N824" s="147"/>
      <c r="O824" s="147"/>
      <c r="P824" s="147"/>
      <c r="Q824" s="147"/>
      <c r="R824" s="147"/>
      <c r="S824" s="147"/>
      <c r="T824" s="147"/>
      <c r="U824" s="147"/>
      <c r="V824" s="147"/>
    </row>
    <row r="825">
      <c r="A825" s="240" t="s">
        <v>6535</v>
      </c>
      <c r="B825" s="240" t="s">
        <v>2092</v>
      </c>
      <c r="C825" s="240" t="s">
        <v>2093</v>
      </c>
      <c r="D825" s="240" t="s">
        <v>6536</v>
      </c>
      <c r="E825" s="240" t="s">
        <v>6405</v>
      </c>
      <c r="F825" s="240" t="s">
        <v>4235</v>
      </c>
      <c r="G825" s="147"/>
      <c r="H825" s="240" t="s">
        <v>4215</v>
      </c>
      <c r="I825" s="240" t="s">
        <v>4215</v>
      </c>
      <c r="J825" s="147"/>
      <c r="K825" s="147"/>
      <c r="L825" s="147"/>
      <c r="M825" s="147"/>
      <c r="N825" s="147"/>
      <c r="O825" s="147"/>
      <c r="P825" s="147"/>
      <c r="Q825" s="147"/>
      <c r="R825" s="147"/>
      <c r="S825" s="147"/>
      <c r="T825" s="147"/>
      <c r="U825" s="147"/>
      <c r="V825" s="147"/>
    </row>
    <row r="826">
      <c r="A826" s="240" t="s">
        <v>6537</v>
      </c>
      <c r="B826" s="240" t="s">
        <v>2094</v>
      </c>
      <c r="C826" s="240" t="s">
        <v>2095</v>
      </c>
      <c r="D826" s="240" t="s">
        <v>6538</v>
      </c>
      <c r="E826" s="240" t="s">
        <v>6539</v>
      </c>
      <c r="F826" s="240" t="s">
        <v>4264</v>
      </c>
      <c r="G826" s="147"/>
      <c r="H826" s="240" t="s">
        <v>4215</v>
      </c>
      <c r="I826" s="240" t="s">
        <v>4215</v>
      </c>
      <c r="J826" s="147"/>
      <c r="K826" s="147"/>
      <c r="L826" s="147"/>
      <c r="M826" s="147"/>
      <c r="N826" s="147"/>
      <c r="O826" s="147"/>
      <c r="P826" s="147"/>
      <c r="Q826" s="147"/>
      <c r="R826" s="147"/>
      <c r="S826" s="147"/>
      <c r="T826" s="147"/>
      <c r="U826" s="147"/>
      <c r="V826" s="147"/>
    </row>
    <row r="827">
      <c r="A827" s="240" t="s">
        <v>6540</v>
      </c>
      <c r="B827" s="240" t="s">
        <v>2096</v>
      </c>
      <c r="C827" s="240" t="s">
        <v>2097</v>
      </c>
      <c r="D827" s="240" t="s">
        <v>6541</v>
      </c>
      <c r="E827" s="240" t="s">
        <v>6542</v>
      </c>
      <c r="F827" s="240" t="s">
        <v>4223</v>
      </c>
      <c r="G827" s="147"/>
      <c r="H827" s="240" t="s">
        <v>4215</v>
      </c>
      <c r="I827" s="240" t="s">
        <v>4215</v>
      </c>
      <c r="J827" s="147"/>
      <c r="K827" s="147"/>
      <c r="L827" s="147"/>
      <c r="M827" s="147"/>
      <c r="N827" s="147"/>
      <c r="O827" s="147"/>
      <c r="P827" s="147"/>
      <c r="Q827" s="147"/>
      <c r="R827" s="147"/>
      <c r="S827" s="147"/>
      <c r="T827" s="147"/>
      <c r="U827" s="147"/>
      <c r="V827" s="147"/>
    </row>
    <row r="828">
      <c r="A828" s="240" t="s">
        <v>6543</v>
      </c>
      <c r="B828" s="240" t="s">
        <v>2098</v>
      </c>
      <c r="C828" s="240" t="s">
        <v>2099</v>
      </c>
      <c r="D828" s="240" t="s">
        <v>6544</v>
      </c>
      <c r="E828" s="240" t="s">
        <v>6545</v>
      </c>
      <c r="F828" s="240" t="s">
        <v>4223</v>
      </c>
      <c r="G828" s="147"/>
      <c r="H828" s="240" t="s">
        <v>4215</v>
      </c>
      <c r="I828" s="240" t="s">
        <v>4215</v>
      </c>
      <c r="J828" s="147"/>
      <c r="K828" s="147"/>
      <c r="L828" s="147"/>
      <c r="M828" s="147"/>
      <c r="N828" s="147"/>
      <c r="O828" s="147"/>
      <c r="P828" s="147"/>
      <c r="Q828" s="147"/>
      <c r="R828" s="147"/>
      <c r="S828" s="147"/>
      <c r="T828" s="147"/>
      <c r="U828" s="147"/>
      <c r="V828" s="147"/>
    </row>
    <row r="829">
      <c r="A829" s="240" t="s">
        <v>6546</v>
      </c>
      <c r="B829" s="240" t="s">
        <v>2100</v>
      </c>
      <c r="C829" s="240" t="s">
        <v>2101</v>
      </c>
      <c r="D829" s="240" t="s">
        <v>6547</v>
      </c>
      <c r="E829" s="240" t="s">
        <v>6548</v>
      </c>
      <c r="F829" s="240" t="s">
        <v>4264</v>
      </c>
      <c r="G829" s="147"/>
      <c r="H829" s="240" t="s">
        <v>4215</v>
      </c>
      <c r="I829" s="240" t="s">
        <v>4215</v>
      </c>
      <c r="J829" s="147"/>
      <c r="K829" s="147"/>
      <c r="L829" s="147"/>
      <c r="M829" s="147"/>
      <c r="N829" s="147"/>
      <c r="O829" s="147"/>
      <c r="P829" s="147"/>
      <c r="Q829" s="147"/>
      <c r="R829" s="147"/>
      <c r="S829" s="147"/>
      <c r="T829" s="147"/>
      <c r="U829" s="147"/>
      <c r="V829" s="147"/>
    </row>
    <row r="830">
      <c r="A830" s="240" t="s">
        <v>6549</v>
      </c>
      <c r="B830" s="240" t="s">
        <v>2102</v>
      </c>
      <c r="C830" s="240" t="s">
        <v>2103</v>
      </c>
      <c r="D830" s="240" t="s">
        <v>6550</v>
      </c>
      <c r="E830" s="240" t="s">
        <v>6551</v>
      </c>
      <c r="F830" s="240" t="s">
        <v>4223</v>
      </c>
      <c r="G830" s="147"/>
      <c r="H830" s="240" t="s">
        <v>4215</v>
      </c>
      <c r="I830" s="240" t="s">
        <v>4215</v>
      </c>
      <c r="J830" s="147"/>
      <c r="K830" s="147"/>
      <c r="L830" s="147"/>
      <c r="M830" s="147"/>
      <c r="N830" s="147"/>
      <c r="O830" s="147"/>
      <c r="P830" s="147"/>
      <c r="Q830" s="147"/>
      <c r="R830" s="147"/>
      <c r="S830" s="147"/>
      <c r="T830" s="147"/>
      <c r="U830" s="147"/>
      <c r="V830" s="147"/>
    </row>
    <row r="831">
      <c r="A831" s="240" t="s">
        <v>6552</v>
      </c>
      <c r="B831" s="240" t="s">
        <v>2104</v>
      </c>
      <c r="C831" s="240" t="s">
        <v>2105</v>
      </c>
      <c r="D831" s="240" t="s">
        <v>6553</v>
      </c>
      <c r="E831" s="240" t="s">
        <v>6520</v>
      </c>
      <c r="F831" s="240" t="s">
        <v>4223</v>
      </c>
      <c r="G831" s="147"/>
      <c r="H831" s="147"/>
      <c r="I831" s="147"/>
      <c r="J831" s="147"/>
      <c r="K831" s="147"/>
      <c r="L831" s="147"/>
      <c r="M831" s="147"/>
      <c r="N831" s="147"/>
      <c r="O831" s="147"/>
      <c r="P831" s="147"/>
      <c r="Q831" s="147"/>
      <c r="R831" s="147"/>
      <c r="S831" s="147"/>
      <c r="T831" s="147"/>
      <c r="U831" s="147"/>
      <c r="V831" s="147"/>
    </row>
    <row r="832">
      <c r="A832" s="240" t="s">
        <v>6554</v>
      </c>
      <c r="B832" s="240" t="s">
        <v>2106</v>
      </c>
      <c r="C832" s="240" t="s">
        <v>2107</v>
      </c>
      <c r="D832" s="240" t="s">
        <v>6555</v>
      </c>
      <c r="E832" s="240" t="s">
        <v>6517</v>
      </c>
      <c r="F832" s="240" t="s">
        <v>4479</v>
      </c>
      <c r="G832" s="147"/>
      <c r="H832" s="240" t="s">
        <v>4215</v>
      </c>
      <c r="I832" s="240" t="s">
        <v>4215</v>
      </c>
      <c r="J832" s="147"/>
      <c r="K832" s="147"/>
      <c r="L832" s="147"/>
      <c r="M832" s="147"/>
      <c r="N832" s="147"/>
      <c r="O832" s="147"/>
      <c r="P832" s="147"/>
      <c r="Q832" s="147"/>
      <c r="R832" s="147"/>
      <c r="S832" s="147"/>
      <c r="T832" s="147"/>
      <c r="U832" s="147"/>
      <c r="V832" s="147"/>
    </row>
    <row r="833">
      <c r="A833" s="240" t="s">
        <v>6556</v>
      </c>
      <c r="B833" s="240" t="s">
        <v>2108</v>
      </c>
      <c r="C833" s="240" t="s">
        <v>2109</v>
      </c>
      <c r="D833" s="240" t="s">
        <v>6557</v>
      </c>
      <c r="E833" s="240" t="s">
        <v>6558</v>
      </c>
      <c r="F833" s="240" t="s">
        <v>4219</v>
      </c>
      <c r="G833" s="147"/>
      <c r="H833" s="240" t="s">
        <v>4215</v>
      </c>
      <c r="I833" s="240" t="s">
        <v>4215</v>
      </c>
      <c r="J833" s="147"/>
      <c r="K833" s="147"/>
      <c r="L833" s="147"/>
      <c r="M833" s="147"/>
      <c r="N833" s="147"/>
      <c r="O833" s="147"/>
      <c r="P833" s="147"/>
      <c r="Q833" s="147"/>
      <c r="R833" s="147"/>
      <c r="S833" s="147"/>
      <c r="T833" s="147"/>
      <c r="U833" s="147"/>
      <c r="V833" s="147"/>
    </row>
    <row r="834">
      <c r="A834" s="240" t="s">
        <v>6559</v>
      </c>
      <c r="B834" s="240" t="s">
        <v>2110</v>
      </c>
      <c r="C834" s="240" t="s">
        <v>2111</v>
      </c>
      <c r="D834" s="240" t="s">
        <v>6560</v>
      </c>
      <c r="E834" s="240" t="s">
        <v>6561</v>
      </c>
      <c r="F834" s="240" t="s">
        <v>4223</v>
      </c>
      <c r="G834" s="147"/>
      <c r="H834" s="147"/>
      <c r="I834" s="147"/>
      <c r="J834" s="147"/>
      <c r="K834" s="147"/>
      <c r="L834" s="147"/>
      <c r="M834" s="147"/>
      <c r="N834" s="147"/>
      <c r="O834" s="147"/>
      <c r="P834" s="147"/>
      <c r="Q834" s="147"/>
      <c r="R834" s="147"/>
      <c r="S834" s="147"/>
      <c r="T834" s="147"/>
      <c r="U834" s="147"/>
      <c r="V834" s="147"/>
    </row>
    <row r="835">
      <c r="A835" s="240" t="s">
        <v>6562</v>
      </c>
      <c r="B835" s="240" t="s">
        <v>2112</v>
      </c>
      <c r="C835" s="240" t="s">
        <v>2113</v>
      </c>
      <c r="D835" s="240" t="s">
        <v>6563</v>
      </c>
      <c r="E835" s="240" t="s">
        <v>6564</v>
      </c>
      <c r="F835" s="147"/>
      <c r="G835" s="147"/>
      <c r="H835" s="240" t="s">
        <v>4215</v>
      </c>
      <c r="I835" s="240" t="s">
        <v>4215</v>
      </c>
      <c r="J835" s="147"/>
      <c r="K835" s="147"/>
      <c r="L835" s="147"/>
      <c r="M835" s="147"/>
      <c r="N835" s="147"/>
      <c r="O835" s="147"/>
      <c r="P835" s="147"/>
      <c r="Q835" s="147"/>
      <c r="R835" s="147"/>
      <c r="S835" s="147"/>
      <c r="T835" s="147"/>
      <c r="U835" s="147"/>
      <c r="V835" s="147"/>
    </row>
    <row r="836">
      <c r="A836" s="240" t="s">
        <v>6565</v>
      </c>
      <c r="B836" s="240" t="s">
        <v>2114</v>
      </c>
      <c r="C836" s="240" t="s">
        <v>2115</v>
      </c>
      <c r="D836" s="240" t="s">
        <v>6566</v>
      </c>
      <c r="E836" s="240" t="s">
        <v>374</v>
      </c>
      <c r="F836" s="240" t="s">
        <v>4223</v>
      </c>
      <c r="G836" s="147"/>
      <c r="H836" s="240" t="s">
        <v>4215</v>
      </c>
      <c r="I836" s="240" t="s">
        <v>4215</v>
      </c>
      <c r="J836" s="147"/>
      <c r="K836" s="147"/>
      <c r="L836" s="147"/>
      <c r="M836" s="147"/>
      <c r="N836" s="147"/>
      <c r="O836" s="147"/>
      <c r="P836" s="147"/>
      <c r="Q836" s="147"/>
      <c r="R836" s="147"/>
      <c r="S836" s="147"/>
      <c r="T836" s="147"/>
      <c r="U836" s="147"/>
      <c r="V836" s="147"/>
    </row>
    <row r="837">
      <c r="A837" s="240" t="s">
        <v>6567</v>
      </c>
      <c r="B837" s="240" t="s">
        <v>2116</v>
      </c>
      <c r="C837" s="240" t="s">
        <v>2117</v>
      </c>
      <c r="D837" s="240" t="s">
        <v>6568</v>
      </c>
      <c r="E837" s="240" t="s">
        <v>6569</v>
      </c>
      <c r="F837" s="240" t="s">
        <v>4235</v>
      </c>
      <c r="G837" s="147"/>
      <c r="H837" s="240" t="s">
        <v>4215</v>
      </c>
      <c r="I837" s="240" t="s">
        <v>4215</v>
      </c>
      <c r="J837" s="147"/>
      <c r="K837" s="147"/>
      <c r="L837" s="147"/>
      <c r="M837" s="147"/>
      <c r="N837" s="147"/>
      <c r="O837" s="147"/>
      <c r="P837" s="147"/>
      <c r="Q837" s="147"/>
      <c r="R837" s="147"/>
      <c r="S837" s="147"/>
      <c r="T837" s="147"/>
      <c r="U837" s="147"/>
      <c r="V837" s="147"/>
    </row>
    <row r="838">
      <c r="A838" s="240" t="s">
        <v>6570</v>
      </c>
      <c r="B838" s="240" t="s">
        <v>2118</v>
      </c>
      <c r="C838" s="240" t="s">
        <v>2119</v>
      </c>
      <c r="D838" s="240" t="s">
        <v>6571</v>
      </c>
      <c r="E838" s="240" t="s">
        <v>6572</v>
      </c>
      <c r="F838" s="240" t="s">
        <v>4219</v>
      </c>
      <c r="G838" s="147"/>
      <c r="H838" s="240" t="s">
        <v>4215</v>
      </c>
      <c r="I838" s="240" t="s">
        <v>4215</v>
      </c>
      <c r="J838" s="147"/>
      <c r="K838" s="147"/>
      <c r="L838" s="147"/>
      <c r="M838" s="147"/>
      <c r="N838" s="147"/>
      <c r="O838" s="147"/>
      <c r="P838" s="147"/>
      <c r="Q838" s="147"/>
      <c r="R838" s="147"/>
      <c r="S838" s="147"/>
      <c r="T838" s="147"/>
      <c r="U838" s="147"/>
      <c r="V838" s="147"/>
    </row>
    <row r="839">
      <c r="A839" s="240" t="s">
        <v>6573</v>
      </c>
      <c r="B839" s="240" t="s">
        <v>2120</v>
      </c>
      <c r="C839" s="240" t="s">
        <v>2121</v>
      </c>
      <c r="D839" s="240" t="s">
        <v>6574</v>
      </c>
      <c r="E839" s="240" t="s">
        <v>6575</v>
      </c>
      <c r="F839" s="147"/>
      <c r="G839" s="147"/>
      <c r="H839" s="147"/>
      <c r="I839" s="147"/>
      <c r="J839" s="147"/>
      <c r="K839" s="147"/>
      <c r="L839" s="147"/>
      <c r="M839" s="147"/>
      <c r="N839" s="147"/>
      <c r="O839" s="147"/>
      <c r="P839" s="147"/>
      <c r="Q839" s="147"/>
      <c r="R839" s="147"/>
      <c r="S839" s="147"/>
      <c r="T839" s="147"/>
      <c r="U839" s="147"/>
      <c r="V839" s="147"/>
    </row>
    <row r="840">
      <c r="A840" s="240" t="s">
        <v>6576</v>
      </c>
      <c r="B840" s="240" t="s">
        <v>2122</v>
      </c>
      <c r="C840" s="240" t="s">
        <v>2123</v>
      </c>
      <c r="D840" s="240" t="s">
        <v>6577</v>
      </c>
      <c r="E840" s="240" t="s">
        <v>6578</v>
      </c>
      <c r="F840" s="240" t="s">
        <v>4349</v>
      </c>
      <c r="G840" s="147"/>
      <c r="H840" s="240" t="s">
        <v>4215</v>
      </c>
      <c r="I840" s="240" t="s">
        <v>4215</v>
      </c>
      <c r="J840" s="147"/>
      <c r="K840" s="147"/>
      <c r="L840" s="147"/>
      <c r="M840" s="147"/>
      <c r="N840" s="147"/>
      <c r="O840" s="147"/>
      <c r="P840" s="147"/>
      <c r="Q840" s="147"/>
      <c r="R840" s="147"/>
      <c r="S840" s="147"/>
      <c r="T840" s="147"/>
      <c r="U840" s="147"/>
      <c r="V840" s="147"/>
    </row>
    <row r="841">
      <c r="A841" s="240" t="s">
        <v>6579</v>
      </c>
      <c r="B841" s="240" t="s">
        <v>2124</v>
      </c>
      <c r="C841" s="240" t="s">
        <v>2125</v>
      </c>
      <c r="D841" s="240" t="s">
        <v>6580</v>
      </c>
      <c r="E841" s="240" t="s">
        <v>6581</v>
      </c>
      <c r="F841" s="240" t="s">
        <v>4538</v>
      </c>
      <c r="G841" s="147"/>
      <c r="H841" s="240" t="s">
        <v>4215</v>
      </c>
      <c r="I841" s="240" t="s">
        <v>4215</v>
      </c>
      <c r="J841" s="147"/>
      <c r="K841" s="147"/>
      <c r="L841" s="147"/>
      <c r="M841" s="147"/>
      <c r="N841" s="147"/>
      <c r="O841" s="147"/>
      <c r="P841" s="147"/>
      <c r="Q841" s="147"/>
      <c r="R841" s="147"/>
      <c r="S841" s="147"/>
      <c r="T841" s="147"/>
      <c r="U841" s="147"/>
      <c r="V841" s="147"/>
    </row>
    <row r="842">
      <c r="A842" s="240" t="s">
        <v>6582</v>
      </c>
      <c r="B842" s="240" t="s">
        <v>2126</v>
      </c>
      <c r="C842" s="240" t="s">
        <v>2127</v>
      </c>
      <c r="D842" s="240" t="s">
        <v>6583</v>
      </c>
      <c r="E842" s="240" t="s">
        <v>6584</v>
      </c>
      <c r="F842" s="240" t="s">
        <v>4297</v>
      </c>
      <c r="G842" s="147"/>
      <c r="H842" s="240" t="s">
        <v>4215</v>
      </c>
      <c r="I842" s="240" t="s">
        <v>4215</v>
      </c>
      <c r="J842" s="147"/>
      <c r="K842" s="147"/>
      <c r="L842" s="147"/>
      <c r="M842" s="147"/>
      <c r="N842" s="147"/>
      <c r="O842" s="147"/>
      <c r="P842" s="147"/>
      <c r="Q842" s="147"/>
      <c r="R842" s="147"/>
      <c r="S842" s="147"/>
      <c r="T842" s="147"/>
      <c r="U842" s="147"/>
      <c r="V842" s="147"/>
    </row>
    <row r="843">
      <c r="A843" s="240" t="s">
        <v>6585</v>
      </c>
      <c r="B843" s="240" t="s">
        <v>2128</v>
      </c>
      <c r="C843" s="240" t="s">
        <v>2129</v>
      </c>
      <c r="D843" s="240" t="s">
        <v>6586</v>
      </c>
      <c r="E843" s="240" t="s">
        <v>6587</v>
      </c>
      <c r="F843" s="240" t="s">
        <v>4235</v>
      </c>
      <c r="G843" s="147"/>
      <c r="H843" s="240" t="s">
        <v>4215</v>
      </c>
      <c r="I843" s="240" t="s">
        <v>4215</v>
      </c>
      <c r="J843" s="147"/>
      <c r="K843" s="147"/>
      <c r="L843" s="147"/>
      <c r="M843" s="147"/>
      <c r="N843" s="147"/>
      <c r="O843" s="147"/>
      <c r="P843" s="147"/>
      <c r="Q843" s="147"/>
      <c r="R843" s="147"/>
      <c r="S843" s="147"/>
      <c r="T843" s="147"/>
      <c r="U843" s="147"/>
      <c r="V843" s="147"/>
    </row>
    <row r="844">
      <c r="A844" s="240" t="s">
        <v>6588</v>
      </c>
      <c r="B844" s="240" t="s">
        <v>2130</v>
      </c>
      <c r="C844" s="240" t="s">
        <v>2131</v>
      </c>
      <c r="D844" s="240" t="s">
        <v>6589</v>
      </c>
      <c r="E844" s="240" t="s">
        <v>6590</v>
      </c>
      <c r="F844" s="240" t="s">
        <v>4219</v>
      </c>
      <c r="G844" s="147"/>
      <c r="H844" s="240" t="s">
        <v>4215</v>
      </c>
      <c r="I844" s="240" t="s">
        <v>4215</v>
      </c>
      <c r="J844" s="147"/>
      <c r="K844" s="147"/>
      <c r="L844" s="147"/>
      <c r="M844" s="147"/>
      <c r="N844" s="147"/>
      <c r="O844" s="147"/>
      <c r="P844" s="147"/>
      <c r="Q844" s="147"/>
      <c r="R844" s="147"/>
      <c r="S844" s="147"/>
      <c r="T844" s="147"/>
      <c r="U844" s="147"/>
      <c r="V844" s="147"/>
    </row>
    <row r="845">
      <c r="A845" s="240" t="s">
        <v>6591</v>
      </c>
      <c r="B845" s="240" t="s">
        <v>2132</v>
      </c>
      <c r="C845" s="240" t="s">
        <v>2133</v>
      </c>
      <c r="D845" s="240" t="s">
        <v>6592</v>
      </c>
      <c r="E845" s="240" t="s">
        <v>6593</v>
      </c>
      <c r="F845" s="240" t="s">
        <v>4219</v>
      </c>
      <c r="G845" s="147"/>
      <c r="H845" s="240" t="s">
        <v>4215</v>
      </c>
      <c r="I845" s="240" t="s">
        <v>4215</v>
      </c>
      <c r="J845" s="147"/>
      <c r="K845" s="147"/>
      <c r="L845" s="147"/>
      <c r="M845" s="147"/>
      <c r="N845" s="147"/>
      <c r="O845" s="147"/>
      <c r="P845" s="147"/>
      <c r="Q845" s="147"/>
      <c r="R845" s="147"/>
      <c r="S845" s="147"/>
      <c r="T845" s="147"/>
      <c r="U845" s="147"/>
      <c r="V845" s="147"/>
    </row>
    <row r="846">
      <c r="A846" s="240" t="s">
        <v>6594</v>
      </c>
      <c r="B846" s="240" t="s">
        <v>2134</v>
      </c>
      <c r="C846" s="240" t="s">
        <v>2135</v>
      </c>
      <c r="D846" s="240" t="s">
        <v>6595</v>
      </c>
      <c r="E846" s="240" t="s">
        <v>6596</v>
      </c>
      <c r="F846" s="240" t="s">
        <v>4227</v>
      </c>
      <c r="G846" s="147"/>
      <c r="H846" s="240" t="s">
        <v>4215</v>
      </c>
      <c r="I846" s="240" t="s">
        <v>4215</v>
      </c>
      <c r="J846" s="147"/>
      <c r="K846" s="147"/>
      <c r="L846" s="147"/>
      <c r="M846" s="147"/>
      <c r="N846" s="147"/>
      <c r="O846" s="147"/>
      <c r="P846" s="147"/>
      <c r="Q846" s="147"/>
      <c r="R846" s="147"/>
      <c r="S846" s="147"/>
      <c r="T846" s="147"/>
      <c r="U846" s="147"/>
      <c r="V846" s="147"/>
    </row>
    <row r="847">
      <c r="A847" s="240" t="s">
        <v>6597</v>
      </c>
      <c r="B847" s="240" t="s">
        <v>2136</v>
      </c>
      <c r="C847" s="240" t="s">
        <v>2137</v>
      </c>
      <c r="D847" s="240" t="s">
        <v>6598</v>
      </c>
      <c r="E847" s="240" t="s">
        <v>6599</v>
      </c>
      <c r="F847" s="240" t="s">
        <v>4219</v>
      </c>
      <c r="G847" s="147"/>
      <c r="H847" s="240" t="s">
        <v>4215</v>
      </c>
      <c r="I847" s="240" t="s">
        <v>4215</v>
      </c>
      <c r="J847" s="147"/>
      <c r="K847" s="147"/>
      <c r="L847" s="147"/>
      <c r="M847" s="147"/>
      <c r="N847" s="147"/>
      <c r="O847" s="147"/>
      <c r="P847" s="147"/>
      <c r="Q847" s="147"/>
      <c r="R847" s="147"/>
      <c r="S847" s="147"/>
      <c r="T847" s="147"/>
      <c r="U847" s="147"/>
      <c r="V847" s="147"/>
    </row>
    <row r="848">
      <c r="A848" s="240" t="s">
        <v>6600</v>
      </c>
      <c r="B848" s="240" t="s">
        <v>2138</v>
      </c>
      <c r="C848" s="240" t="s">
        <v>2139</v>
      </c>
      <c r="D848" s="240" t="s">
        <v>6601</v>
      </c>
      <c r="E848" s="240" t="s">
        <v>6602</v>
      </c>
      <c r="F848" s="240" t="s">
        <v>4227</v>
      </c>
      <c r="G848" s="147"/>
      <c r="H848" s="240" t="s">
        <v>4215</v>
      </c>
      <c r="I848" s="240" t="s">
        <v>4215</v>
      </c>
      <c r="J848" s="147"/>
      <c r="K848" s="147"/>
      <c r="L848" s="147"/>
      <c r="M848" s="147"/>
      <c r="N848" s="147"/>
      <c r="O848" s="147"/>
      <c r="P848" s="147"/>
      <c r="Q848" s="147"/>
      <c r="R848" s="147"/>
      <c r="S848" s="147"/>
      <c r="T848" s="147"/>
      <c r="U848" s="147"/>
      <c r="V848" s="147"/>
    </row>
    <row r="849">
      <c r="A849" s="240" t="s">
        <v>6603</v>
      </c>
      <c r="B849" s="240" t="s">
        <v>2140</v>
      </c>
      <c r="C849" s="240" t="s">
        <v>2141</v>
      </c>
      <c r="D849" s="240" t="s">
        <v>6604</v>
      </c>
      <c r="E849" s="240" t="s">
        <v>6605</v>
      </c>
      <c r="F849" s="240" t="s">
        <v>4235</v>
      </c>
      <c r="G849" s="147"/>
      <c r="H849" s="240" t="s">
        <v>4215</v>
      </c>
      <c r="I849" s="240" t="s">
        <v>4215</v>
      </c>
      <c r="J849" s="147"/>
      <c r="K849" s="147"/>
      <c r="L849" s="147"/>
      <c r="M849" s="147"/>
      <c r="N849" s="147"/>
      <c r="O849" s="147"/>
      <c r="P849" s="147"/>
      <c r="Q849" s="147"/>
      <c r="R849" s="147"/>
      <c r="S849" s="147"/>
      <c r="T849" s="147"/>
      <c r="U849" s="147"/>
      <c r="V849" s="147"/>
    </row>
    <row r="850">
      <c r="A850" s="240" t="s">
        <v>6606</v>
      </c>
      <c r="B850" s="240" t="s">
        <v>2142</v>
      </c>
      <c r="C850" s="240" t="s">
        <v>2143</v>
      </c>
      <c r="D850" s="240" t="s">
        <v>6607</v>
      </c>
      <c r="E850" s="240" t="s">
        <v>6608</v>
      </c>
      <c r="F850" s="240" t="s">
        <v>4227</v>
      </c>
      <c r="G850" s="147"/>
      <c r="H850" s="240" t="s">
        <v>4215</v>
      </c>
      <c r="I850" s="240" t="s">
        <v>4215</v>
      </c>
      <c r="J850" s="147"/>
      <c r="K850" s="147"/>
      <c r="L850" s="147"/>
      <c r="M850" s="147"/>
      <c r="N850" s="147"/>
      <c r="O850" s="147"/>
      <c r="P850" s="147"/>
      <c r="Q850" s="147"/>
      <c r="R850" s="147"/>
      <c r="S850" s="147"/>
      <c r="T850" s="147"/>
      <c r="U850" s="147"/>
      <c r="V850" s="147"/>
    </row>
    <row r="851">
      <c r="A851" s="240" t="s">
        <v>6609</v>
      </c>
      <c r="B851" s="240" t="s">
        <v>2144</v>
      </c>
      <c r="C851" s="240" t="s">
        <v>2145</v>
      </c>
      <c r="D851" s="240" t="s">
        <v>6610</v>
      </c>
      <c r="E851" s="240" t="s">
        <v>6611</v>
      </c>
      <c r="F851" s="240" t="s">
        <v>4219</v>
      </c>
      <c r="G851" s="147"/>
      <c r="H851" s="240" t="s">
        <v>4215</v>
      </c>
      <c r="I851" s="240" t="s">
        <v>4215</v>
      </c>
      <c r="J851" s="147"/>
      <c r="K851" s="147"/>
      <c r="L851" s="147"/>
      <c r="M851" s="147"/>
      <c r="N851" s="147"/>
      <c r="O851" s="147"/>
      <c r="P851" s="147"/>
      <c r="Q851" s="147"/>
      <c r="R851" s="147"/>
      <c r="S851" s="147"/>
      <c r="T851" s="147"/>
      <c r="U851" s="147"/>
      <c r="V851" s="147"/>
    </row>
    <row r="852">
      <c r="A852" s="240" t="s">
        <v>6612</v>
      </c>
      <c r="B852" s="240" t="s">
        <v>2146</v>
      </c>
      <c r="C852" s="240" t="s">
        <v>2147</v>
      </c>
      <c r="D852" s="240" t="s">
        <v>6613</v>
      </c>
      <c r="E852" s="240" t="s">
        <v>6614</v>
      </c>
      <c r="F852" s="240" t="s">
        <v>4231</v>
      </c>
      <c r="G852" s="147"/>
      <c r="H852" s="240" t="s">
        <v>4215</v>
      </c>
      <c r="I852" s="240" t="s">
        <v>4215</v>
      </c>
      <c r="J852" s="147"/>
      <c r="K852" s="147"/>
      <c r="L852" s="147"/>
      <c r="M852" s="147"/>
      <c r="N852" s="147"/>
      <c r="O852" s="147"/>
      <c r="P852" s="147"/>
      <c r="Q852" s="147"/>
      <c r="R852" s="147"/>
      <c r="S852" s="147"/>
      <c r="T852" s="147"/>
      <c r="U852" s="147"/>
      <c r="V852" s="147"/>
    </row>
    <row r="853">
      <c r="A853" s="240" t="s">
        <v>6615</v>
      </c>
      <c r="B853" s="240" t="s">
        <v>2148</v>
      </c>
      <c r="C853" s="240" t="s">
        <v>2149</v>
      </c>
      <c r="D853" s="240" t="s">
        <v>6616</v>
      </c>
      <c r="E853" s="240" t="s">
        <v>6617</v>
      </c>
      <c r="F853" s="240" t="s">
        <v>4223</v>
      </c>
      <c r="G853" s="147"/>
      <c r="H853" s="240" t="s">
        <v>4215</v>
      </c>
      <c r="I853" s="240" t="s">
        <v>4215</v>
      </c>
      <c r="J853" s="147"/>
      <c r="K853" s="147"/>
      <c r="L853" s="147"/>
      <c r="M853" s="147"/>
      <c r="N853" s="147"/>
      <c r="O853" s="147"/>
      <c r="P853" s="147"/>
      <c r="Q853" s="147"/>
      <c r="R853" s="147"/>
      <c r="S853" s="147"/>
      <c r="T853" s="147"/>
      <c r="U853" s="147"/>
      <c r="V853" s="147"/>
    </row>
    <row r="854">
      <c r="A854" s="240" t="s">
        <v>6618</v>
      </c>
      <c r="B854" s="240" t="s">
        <v>2150</v>
      </c>
      <c r="C854" s="240" t="s">
        <v>2151</v>
      </c>
      <c r="D854" s="240" t="s">
        <v>6619</v>
      </c>
      <c r="E854" s="240" t="s">
        <v>6620</v>
      </c>
      <c r="F854" s="240" t="s">
        <v>4355</v>
      </c>
      <c r="G854" s="147"/>
      <c r="H854" s="240" t="s">
        <v>4215</v>
      </c>
      <c r="I854" s="240" t="s">
        <v>4215</v>
      </c>
      <c r="J854" s="147"/>
      <c r="K854" s="147"/>
      <c r="L854" s="147"/>
      <c r="M854" s="147"/>
      <c r="N854" s="147"/>
      <c r="O854" s="147"/>
      <c r="P854" s="147"/>
      <c r="Q854" s="147"/>
      <c r="R854" s="147"/>
      <c r="S854" s="147"/>
      <c r="T854" s="147"/>
      <c r="U854" s="147"/>
      <c r="V854" s="147"/>
    </row>
    <row r="855">
      <c r="A855" s="240" t="s">
        <v>6621</v>
      </c>
      <c r="B855" s="240" t="s">
        <v>2152</v>
      </c>
      <c r="C855" s="240" t="s">
        <v>2153</v>
      </c>
      <c r="D855" s="240" t="s">
        <v>6622</v>
      </c>
      <c r="E855" s="240" t="s">
        <v>6059</v>
      </c>
      <c r="F855" s="240" t="s">
        <v>4264</v>
      </c>
      <c r="G855" s="147"/>
      <c r="H855" s="240" t="s">
        <v>4215</v>
      </c>
      <c r="I855" s="240" t="s">
        <v>4215</v>
      </c>
      <c r="J855" s="147"/>
      <c r="K855" s="147"/>
      <c r="L855" s="147"/>
      <c r="M855" s="147"/>
      <c r="N855" s="147"/>
      <c r="O855" s="147"/>
      <c r="P855" s="147"/>
      <c r="Q855" s="147"/>
      <c r="R855" s="147"/>
      <c r="S855" s="147"/>
      <c r="T855" s="147"/>
      <c r="U855" s="147"/>
      <c r="V855" s="147"/>
    </row>
    <row r="856">
      <c r="A856" s="240" t="s">
        <v>6623</v>
      </c>
      <c r="B856" s="240" t="s">
        <v>2154</v>
      </c>
      <c r="C856" s="240" t="s">
        <v>2155</v>
      </c>
      <c r="D856" s="240" t="s">
        <v>6624</v>
      </c>
      <c r="E856" s="240" t="s">
        <v>6625</v>
      </c>
      <c r="F856" s="240" t="s">
        <v>4479</v>
      </c>
      <c r="G856" s="147"/>
      <c r="H856" s="240" t="s">
        <v>4215</v>
      </c>
      <c r="I856" s="240" t="s">
        <v>4215</v>
      </c>
      <c r="J856" s="147"/>
      <c r="K856" s="147"/>
      <c r="L856" s="147"/>
      <c r="M856" s="147"/>
      <c r="N856" s="147"/>
      <c r="O856" s="147"/>
      <c r="P856" s="147"/>
      <c r="Q856" s="147"/>
      <c r="R856" s="147"/>
      <c r="S856" s="147"/>
      <c r="T856" s="147"/>
      <c r="U856" s="147"/>
      <c r="V856" s="147"/>
    </row>
    <row r="857">
      <c r="A857" s="240" t="s">
        <v>6626</v>
      </c>
      <c r="B857" s="240" t="s">
        <v>2156</v>
      </c>
      <c r="C857" s="240" t="s">
        <v>2157</v>
      </c>
      <c r="D857" s="240" t="s">
        <v>6627</v>
      </c>
      <c r="E857" s="240" t="s">
        <v>6628</v>
      </c>
      <c r="F857" s="240" t="s">
        <v>4264</v>
      </c>
      <c r="G857" s="147"/>
      <c r="H857" s="240" t="s">
        <v>4215</v>
      </c>
      <c r="I857" s="240" t="s">
        <v>4215</v>
      </c>
      <c r="J857" s="147"/>
      <c r="K857" s="147"/>
      <c r="L857" s="147"/>
      <c r="M857" s="147"/>
      <c r="N857" s="147"/>
      <c r="O857" s="147"/>
      <c r="P857" s="147"/>
      <c r="Q857" s="147"/>
      <c r="R857" s="147"/>
      <c r="S857" s="147"/>
      <c r="T857" s="147"/>
      <c r="U857" s="147"/>
      <c r="V857" s="147"/>
    </row>
    <row r="858">
      <c r="A858" s="240" t="s">
        <v>6629</v>
      </c>
      <c r="B858" s="240" t="s">
        <v>2158</v>
      </c>
      <c r="C858" s="240" t="s">
        <v>2159</v>
      </c>
      <c r="D858" s="240" t="s">
        <v>6630</v>
      </c>
      <c r="E858" s="240" t="s">
        <v>6631</v>
      </c>
      <c r="F858" s="240" t="s">
        <v>4227</v>
      </c>
      <c r="G858" s="147"/>
      <c r="H858" s="240" t="s">
        <v>4215</v>
      </c>
      <c r="I858" s="240" t="s">
        <v>4215</v>
      </c>
      <c r="J858" s="147"/>
      <c r="K858" s="147"/>
      <c r="L858" s="147"/>
      <c r="M858" s="147"/>
      <c r="N858" s="147"/>
      <c r="O858" s="147"/>
      <c r="P858" s="147"/>
      <c r="Q858" s="147"/>
      <c r="R858" s="147"/>
      <c r="S858" s="147"/>
      <c r="T858" s="147"/>
      <c r="U858" s="147"/>
      <c r="V858" s="147"/>
    </row>
    <row r="859">
      <c r="A859" s="240" t="s">
        <v>6632</v>
      </c>
      <c r="B859" s="240" t="s">
        <v>2160</v>
      </c>
      <c r="C859" s="240" t="s">
        <v>2161</v>
      </c>
      <c r="D859" s="240" t="s">
        <v>6633</v>
      </c>
      <c r="E859" s="240" t="s">
        <v>6634</v>
      </c>
      <c r="F859" s="240" t="s">
        <v>4231</v>
      </c>
      <c r="G859" s="147"/>
      <c r="H859" s="240" t="s">
        <v>4215</v>
      </c>
      <c r="I859" s="240" t="s">
        <v>4215</v>
      </c>
      <c r="J859" s="147"/>
      <c r="K859" s="147"/>
      <c r="L859" s="147"/>
      <c r="M859" s="147"/>
      <c r="N859" s="147"/>
      <c r="O859" s="147"/>
      <c r="P859" s="147"/>
      <c r="Q859" s="147"/>
      <c r="R859" s="147"/>
      <c r="S859" s="147"/>
      <c r="T859" s="147"/>
      <c r="U859" s="147"/>
      <c r="V859" s="147"/>
    </row>
    <row r="860">
      <c r="A860" s="240" t="s">
        <v>6635</v>
      </c>
      <c r="B860" s="240" t="s">
        <v>2162</v>
      </c>
      <c r="C860" s="240" t="s">
        <v>2163</v>
      </c>
      <c r="D860" s="240" t="s">
        <v>6636</v>
      </c>
      <c r="E860" s="240" t="s">
        <v>5343</v>
      </c>
      <c r="F860" s="240" t="s">
        <v>4590</v>
      </c>
      <c r="G860" s="147"/>
      <c r="H860" s="147"/>
      <c r="I860" s="147"/>
      <c r="J860" s="147"/>
      <c r="K860" s="147"/>
      <c r="L860" s="147"/>
      <c r="M860" s="147"/>
      <c r="N860" s="147"/>
      <c r="O860" s="147"/>
      <c r="P860" s="147"/>
      <c r="Q860" s="147"/>
      <c r="R860" s="147"/>
      <c r="S860" s="147"/>
      <c r="T860" s="147"/>
      <c r="U860" s="147"/>
      <c r="V860" s="147"/>
    </row>
    <row r="861">
      <c r="A861" s="240" t="s">
        <v>6637</v>
      </c>
      <c r="B861" s="240" t="s">
        <v>2164</v>
      </c>
      <c r="C861" s="240" t="s">
        <v>2165</v>
      </c>
      <c r="D861" s="240" t="s">
        <v>6638</v>
      </c>
      <c r="E861" s="240" t="s">
        <v>6639</v>
      </c>
      <c r="F861" s="240" t="s">
        <v>4223</v>
      </c>
      <c r="G861" s="147"/>
      <c r="H861" s="240" t="s">
        <v>4215</v>
      </c>
      <c r="I861" s="240" t="s">
        <v>4215</v>
      </c>
      <c r="J861" s="147"/>
      <c r="K861" s="147"/>
      <c r="L861" s="147"/>
      <c r="M861" s="147"/>
      <c r="N861" s="147"/>
      <c r="O861" s="147"/>
      <c r="P861" s="147"/>
      <c r="Q861" s="147"/>
      <c r="R861" s="147"/>
      <c r="S861" s="147"/>
      <c r="T861" s="147"/>
      <c r="U861" s="147"/>
      <c r="V861" s="147"/>
    </row>
    <row r="862">
      <c r="A862" s="240" t="s">
        <v>6640</v>
      </c>
      <c r="B862" s="240" t="s">
        <v>2166</v>
      </c>
      <c r="C862" s="240" t="s">
        <v>2167</v>
      </c>
      <c r="D862" s="240" t="s">
        <v>6641</v>
      </c>
      <c r="E862" s="240" t="s">
        <v>6642</v>
      </c>
      <c r="F862" s="240" t="s">
        <v>4227</v>
      </c>
      <c r="G862" s="147"/>
      <c r="H862" s="240" t="s">
        <v>4215</v>
      </c>
      <c r="I862" s="240" t="s">
        <v>4215</v>
      </c>
      <c r="J862" s="147"/>
      <c r="K862" s="147"/>
      <c r="L862" s="147"/>
      <c r="M862" s="147"/>
      <c r="N862" s="147"/>
      <c r="O862" s="147"/>
      <c r="P862" s="147"/>
      <c r="Q862" s="147"/>
      <c r="R862" s="147"/>
      <c r="S862" s="147"/>
      <c r="T862" s="147"/>
      <c r="U862" s="147"/>
      <c r="V862" s="147"/>
    </row>
    <row r="863">
      <c r="A863" s="240" t="s">
        <v>6643</v>
      </c>
      <c r="B863" s="240" t="s">
        <v>2168</v>
      </c>
      <c r="C863" s="312" t="s">
        <v>2169</v>
      </c>
      <c r="D863" s="240" t="s">
        <v>4183</v>
      </c>
      <c r="E863" s="240" t="s">
        <v>6644</v>
      </c>
      <c r="F863" s="240" t="s">
        <v>4219</v>
      </c>
      <c r="G863" s="147"/>
      <c r="H863" s="240" t="s">
        <v>4215</v>
      </c>
      <c r="I863" s="240" t="s">
        <v>4215</v>
      </c>
      <c r="J863" s="147"/>
      <c r="K863" s="147"/>
      <c r="L863" s="147"/>
      <c r="M863" s="147"/>
      <c r="N863" s="147"/>
      <c r="O863" s="147"/>
      <c r="P863" s="147"/>
      <c r="Q863" s="147"/>
      <c r="R863" s="147"/>
      <c r="S863" s="147"/>
      <c r="T863" s="147"/>
      <c r="U863" s="147"/>
      <c r="V863" s="147"/>
    </row>
    <row r="864">
      <c r="A864" s="240" t="s">
        <v>6645</v>
      </c>
      <c r="B864" s="240" t="s">
        <v>2170</v>
      </c>
      <c r="C864" s="240" t="s">
        <v>2171</v>
      </c>
      <c r="D864" s="240" t="s">
        <v>4131</v>
      </c>
      <c r="E864" s="240" t="s">
        <v>6646</v>
      </c>
      <c r="F864" s="240" t="s">
        <v>4219</v>
      </c>
      <c r="G864" s="147"/>
      <c r="H864" s="240" t="s">
        <v>4215</v>
      </c>
      <c r="I864" s="240" t="s">
        <v>4215</v>
      </c>
      <c r="J864" s="147"/>
      <c r="K864" s="147"/>
      <c r="L864" s="147"/>
      <c r="M864" s="147"/>
      <c r="N864" s="147"/>
      <c r="O864" s="147"/>
      <c r="P864" s="147"/>
      <c r="Q864" s="147"/>
      <c r="R864" s="147"/>
      <c r="S864" s="147"/>
      <c r="T864" s="147"/>
      <c r="U864" s="147"/>
      <c r="V864" s="147"/>
    </row>
    <row r="865">
      <c r="A865" s="240" t="s">
        <v>6647</v>
      </c>
      <c r="B865" s="240" t="s">
        <v>2172</v>
      </c>
      <c r="C865" s="240" t="s">
        <v>2173</v>
      </c>
      <c r="D865" s="240" t="s">
        <v>4136</v>
      </c>
      <c r="E865" s="240" t="s">
        <v>5325</v>
      </c>
      <c r="F865" s="240" t="s">
        <v>4235</v>
      </c>
      <c r="G865" s="147"/>
      <c r="H865" s="240" t="s">
        <v>4215</v>
      </c>
      <c r="I865" s="240" t="s">
        <v>4215</v>
      </c>
      <c r="J865" s="147"/>
      <c r="K865" s="147"/>
      <c r="L865" s="147"/>
      <c r="M865" s="147"/>
      <c r="N865" s="147"/>
      <c r="O865" s="147"/>
      <c r="P865" s="147"/>
      <c r="Q865" s="147"/>
      <c r="R865" s="147"/>
      <c r="S865" s="147"/>
      <c r="T865" s="147"/>
      <c r="U865" s="147"/>
      <c r="V865" s="147"/>
    </row>
    <row r="866">
      <c r="A866" s="240" t="s">
        <v>6648</v>
      </c>
      <c r="B866" s="240" t="s">
        <v>2174</v>
      </c>
      <c r="C866" s="240" t="s">
        <v>2175</v>
      </c>
      <c r="D866" s="240" t="s">
        <v>4189</v>
      </c>
      <c r="E866" s="240" t="s">
        <v>6649</v>
      </c>
      <c r="F866" s="240" t="s">
        <v>4264</v>
      </c>
      <c r="G866" s="147"/>
      <c r="H866" s="240" t="s">
        <v>4215</v>
      </c>
      <c r="I866" s="240" t="s">
        <v>4215</v>
      </c>
      <c r="J866" s="147"/>
      <c r="K866" s="147"/>
      <c r="L866" s="147"/>
      <c r="M866" s="147"/>
      <c r="N866" s="147"/>
      <c r="O866" s="147"/>
      <c r="P866" s="147"/>
      <c r="Q866" s="147"/>
      <c r="R866" s="147"/>
      <c r="S866" s="147"/>
      <c r="T866" s="147"/>
      <c r="U866" s="147"/>
      <c r="V866" s="147"/>
    </row>
    <row r="867">
      <c r="A867" s="240" t="s">
        <v>6650</v>
      </c>
      <c r="B867" s="240" t="s">
        <v>2176</v>
      </c>
      <c r="C867" s="240" t="s">
        <v>2177</v>
      </c>
      <c r="D867" s="240" t="s">
        <v>4182</v>
      </c>
      <c r="E867" s="240" t="s">
        <v>6651</v>
      </c>
      <c r="F867" s="240" t="s">
        <v>4349</v>
      </c>
      <c r="G867" s="147"/>
      <c r="H867" s="147"/>
      <c r="I867" s="147"/>
      <c r="J867" s="147"/>
      <c r="K867" s="147"/>
      <c r="L867" s="147"/>
      <c r="M867" s="147"/>
      <c r="N867" s="147"/>
      <c r="O867" s="147"/>
      <c r="P867" s="147"/>
      <c r="Q867" s="147"/>
      <c r="R867" s="147"/>
      <c r="S867" s="147"/>
      <c r="T867" s="147"/>
      <c r="U867" s="147"/>
      <c r="V867" s="147"/>
    </row>
    <row r="868">
      <c r="A868" s="240" t="s">
        <v>6652</v>
      </c>
      <c r="B868" s="240" t="s">
        <v>2178</v>
      </c>
      <c r="C868" s="240" t="s">
        <v>2179</v>
      </c>
      <c r="D868" s="240" t="s">
        <v>4146</v>
      </c>
      <c r="E868" s="240" t="s">
        <v>6653</v>
      </c>
      <c r="F868" s="240" t="s">
        <v>4231</v>
      </c>
      <c r="G868" s="147"/>
      <c r="H868" s="240" t="s">
        <v>4215</v>
      </c>
      <c r="I868" s="240" t="s">
        <v>4215</v>
      </c>
      <c r="J868" s="147"/>
      <c r="K868" s="147"/>
      <c r="L868" s="147"/>
      <c r="M868" s="147"/>
      <c r="N868" s="147"/>
      <c r="O868" s="147"/>
      <c r="P868" s="147"/>
      <c r="Q868" s="147"/>
      <c r="R868" s="147"/>
      <c r="S868" s="147"/>
      <c r="T868" s="147"/>
      <c r="U868" s="147"/>
      <c r="V868" s="147"/>
    </row>
    <row r="869">
      <c r="A869" s="240" t="s">
        <v>6654</v>
      </c>
      <c r="B869" s="240" t="s">
        <v>2180</v>
      </c>
      <c r="C869" s="240" t="s">
        <v>2181</v>
      </c>
      <c r="D869" s="240" t="s">
        <v>4099</v>
      </c>
      <c r="E869" s="240" t="s">
        <v>6655</v>
      </c>
      <c r="F869" s="240" t="s">
        <v>4264</v>
      </c>
      <c r="G869" s="147"/>
      <c r="H869" s="240" t="s">
        <v>4215</v>
      </c>
      <c r="I869" s="240" t="s">
        <v>4215</v>
      </c>
      <c r="J869" s="147"/>
      <c r="K869" s="147"/>
      <c r="L869" s="147"/>
      <c r="M869" s="147"/>
      <c r="N869" s="147"/>
      <c r="O869" s="147"/>
      <c r="P869" s="147"/>
      <c r="Q869" s="147"/>
      <c r="R869" s="147"/>
      <c r="S869" s="147"/>
      <c r="T869" s="147"/>
      <c r="U869" s="147"/>
      <c r="V869" s="147"/>
    </row>
    <row r="870">
      <c r="A870" s="240" t="s">
        <v>6656</v>
      </c>
      <c r="B870" s="240" t="s">
        <v>2182</v>
      </c>
      <c r="C870" s="240" t="s">
        <v>2183</v>
      </c>
      <c r="D870" s="240" t="s">
        <v>4104</v>
      </c>
      <c r="E870" s="240" t="s">
        <v>6657</v>
      </c>
      <c r="F870" s="240" t="s">
        <v>4219</v>
      </c>
      <c r="G870" s="147"/>
      <c r="H870" s="240" t="s">
        <v>4215</v>
      </c>
      <c r="I870" s="240" t="s">
        <v>4215</v>
      </c>
      <c r="J870" s="147"/>
      <c r="K870" s="147"/>
      <c r="L870" s="147"/>
      <c r="M870" s="147"/>
      <c r="N870" s="147"/>
      <c r="O870" s="147"/>
      <c r="P870" s="147"/>
      <c r="Q870" s="147"/>
      <c r="R870" s="147"/>
      <c r="S870" s="147"/>
      <c r="T870" s="147"/>
      <c r="U870" s="147"/>
      <c r="V870" s="147"/>
    </row>
    <row r="871">
      <c r="A871" s="240" t="s">
        <v>6658</v>
      </c>
      <c r="B871" s="240" t="s">
        <v>2184</v>
      </c>
      <c r="C871" s="240" t="s">
        <v>2185</v>
      </c>
      <c r="D871" s="240" t="s">
        <v>4153</v>
      </c>
      <c r="E871" s="240" t="s">
        <v>6101</v>
      </c>
      <c r="F871" s="240" t="s">
        <v>4231</v>
      </c>
      <c r="G871" s="147"/>
      <c r="H871" s="240" t="s">
        <v>4215</v>
      </c>
      <c r="I871" s="240" t="s">
        <v>4215</v>
      </c>
      <c r="J871" s="147"/>
      <c r="K871" s="147"/>
      <c r="L871" s="147"/>
      <c r="M871" s="147"/>
      <c r="N871" s="147"/>
      <c r="O871" s="147"/>
      <c r="P871" s="147"/>
      <c r="Q871" s="147"/>
      <c r="R871" s="147"/>
      <c r="S871" s="147"/>
      <c r="T871" s="147"/>
      <c r="U871" s="147"/>
      <c r="V871" s="147"/>
    </row>
    <row r="872">
      <c r="A872" s="240" t="s">
        <v>6659</v>
      </c>
      <c r="B872" s="240" t="s">
        <v>2186</v>
      </c>
      <c r="C872" s="240" t="s">
        <v>2187</v>
      </c>
      <c r="D872" s="240" t="s">
        <v>4119</v>
      </c>
      <c r="E872" s="240" t="s">
        <v>6660</v>
      </c>
      <c r="F872" s="240" t="s">
        <v>4264</v>
      </c>
      <c r="G872" s="147"/>
      <c r="H872" s="240" t="s">
        <v>4215</v>
      </c>
      <c r="I872" s="240" t="s">
        <v>4215</v>
      </c>
      <c r="J872" s="147"/>
      <c r="K872" s="147"/>
      <c r="L872" s="147"/>
      <c r="M872" s="147"/>
      <c r="N872" s="147"/>
      <c r="O872" s="147"/>
      <c r="P872" s="147"/>
      <c r="Q872" s="147"/>
      <c r="R872" s="147"/>
      <c r="S872" s="147"/>
      <c r="T872" s="147"/>
      <c r="U872" s="147"/>
      <c r="V872" s="147"/>
    </row>
    <row r="873">
      <c r="A873" s="240" t="s">
        <v>6661</v>
      </c>
      <c r="B873" s="240" t="s">
        <v>2188</v>
      </c>
      <c r="C873" s="240" t="s">
        <v>2189</v>
      </c>
      <c r="D873" s="240" t="s">
        <v>4181</v>
      </c>
      <c r="E873" s="240" t="s">
        <v>6662</v>
      </c>
      <c r="F873" s="240" t="s">
        <v>4235</v>
      </c>
      <c r="G873" s="147"/>
      <c r="H873" s="240" t="s">
        <v>4215</v>
      </c>
      <c r="I873" s="240" t="s">
        <v>4215</v>
      </c>
      <c r="J873" s="147"/>
      <c r="K873" s="147"/>
      <c r="L873" s="147"/>
      <c r="M873" s="147"/>
      <c r="N873" s="147"/>
      <c r="O873" s="147"/>
      <c r="P873" s="147"/>
      <c r="Q873" s="147"/>
      <c r="R873" s="147"/>
      <c r="S873" s="147"/>
      <c r="T873" s="147"/>
      <c r="U873" s="147"/>
      <c r="V873" s="147"/>
    </row>
    <row r="874">
      <c r="A874" s="240" t="s">
        <v>6663</v>
      </c>
      <c r="B874" s="240" t="s">
        <v>2190</v>
      </c>
      <c r="C874" s="240" t="s">
        <v>2191</v>
      </c>
      <c r="D874" s="240" t="s">
        <v>4115</v>
      </c>
      <c r="E874" s="240" t="s">
        <v>4599</v>
      </c>
      <c r="F874" s="240" t="s">
        <v>5430</v>
      </c>
      <c r="G874" s="147"/>
      <c r="H874" s="240" t="s">
        <v>4215</v>
      </c>
      <c r="I874" s="147"/>
      <c r="J874" s="147"/>
      <c r="K874" s="147"/>
      <c r="L874" s="147"/>
      <c r="M874" s="147"/>
      <c r="N874" s="147"/>
      <c r="O874" s="147"/>
      <c r="P874" s="147"/>
      <c r="Q874" s="147"/>
      <c r="R874" s="147"/>
      <c r="S874" s="147"/>
      <c r="T874" s="147"/>
      <c r="U874" s="147"/>
      <c r="V874" s="147"/>
    </row>
    <row r="875">
      <c r="A875" s="240" t="s">
        <v>6664</v>
      </c>
      <c r="B875" s="240" t="s">
        <v>2192</v>
      </c>
      <c r="C875" s="240" t="s">
        <v>2193</v>
      </c>
      <c r="D875" s="240" t="s">
        <v>4110</v>
      </c>
      <c r="E875" s="240" t="s">
        <v>439</v>
      </c>
      <c r="F875" s="240" t="s">
        <v>4227</v>
      </c>
      <c r="G875" s="147"/>
      <c r="H875" s="240" t="s">
        <v>4215</v>
      </c>
      <c r="I875" s="240" t="s">
        <v>4215</v>
      </c>
      <c r="J875" s="147"/>
      <c r="K875" s="147"/>
      <c r="L875" s="147"/>
      <c r="M875" s="147"/>
      <c r="N875" s="147"/>
      <c r="O875" s="147"/>
      <c r="P875" s="147"/>
      <c r="Q875" s="147"/>
      <c r="R875" s="147"/>
      <c r="S875" s="147"/>
      <c r="T875" s="147"/>
      <c r="U875" s="147"/>
      <c r="V875" s="147"/>
    </row>
    <row r="876">
      <c r="A876" s="240" t="s">
        <v>6665</v>
      </c>
      <c r="B876" s="240" t="s">
        <v>2194</v>
      </c>
      <c r="C876" s="240" t="s">
        <v>2195</v>
      </c>
      <c r="D876" s="240" t="s">
        <v>4133</v>
      </c>
      <c r="E876" s="240" t="s">
        <v>6666</v>
      </c>
      <c r="F876" s="240" t="s">
        <v>4219</v>
      </c>
      <c r="G876" s="147"/>
      <c r="H876" s="147"/>
      <c r="I876" s="147"/>
      <c r="J876" s="147"/>
      <c r="K876" s="147"/>
      <c r="L876" s="147"/>
      <c r="M876" s="147"/>
      <c r="N876" s="147"/>
      <c r="O876" s="147"/>
      <c r="P876" s="147"/>
      <c r="Q876" s="147"/>
      <c r="R876" s="147"/>
      <c r="S876" s="147"/>
      <c r="T876" s="147"/>
      <c r="U876" s="147"/>
      <c r="V876" s="147"/>
    </row>
    <row r="877">
      <c r="A877" s="240" t="s">
        <v>6667</v>
      </c>
      <c r="B877" s="240" t="s">
        <v>2196</v>
      </c>
      <c r="C877" s="240" t="s">
        <v>2197</v>
      </c>
      <c r="D877" s="240" t="s">
        <v>4184</v>
      </c>
      <c r="E877" s="240" t="s">
        <v>4824</v>
      </c>
      <c r="F877" s="240" t="s">
        <v>4479</v>
      </c>
      <c r="G877" s="147"/>
      <c r="H877" s="240" t="s">
        <v>4215</v>
      </c>
      <c r="I877" s="240" t="s">
        <v>4215</v>
      </c>
      <c r="J877" s="147"/>
      <c r="K877" s="147"/>
      <c r="L877" s="147"/>
      <c r="M877" s="147"/>
      <c r="N877" s="147"/>
      <c r="O877" s="147"/>
      <c r="P877" s="147"/>
      <c r="Q877" s="147"/>
      <c r="R877" s="147"/>
      <c r="S877" s="147"/>
      <c r="T877" s="147"/>
      <c r="U877" s="147"/>
      <c r="V877" s="147"/>
    </row>
    <row r="878">
      <c r="A878" s="240" t="s">
        <v>6668</v>
      </c>
      <c r="B878" s="240" t="s">
        <v>2198</v>
      </c>
      <c r="C878" s="240" t="s">
        <v>2199</v>
      </c>
      <c r="D878" s="240" t="s">
        <v>4114</v>
      </c>
      <c r="E878" s="240" t="s">
        <v>6669</v>
      </c>
      <c r="F878" s="240" t="s">
        <v>4231</v>
      </c>
      <c r="G878" s="147"/>
      <c r="H878" s="240" t="s">
        <v>4215</v>
      </c>
      <c r="I878" s="240" t="s">
        <v>4215</v>
      </c>
      <c r="J878" s="147"/>
      <c r="K878" s="147"/>
      <c r="L878" s="147"/>
      <c r="M878" s="147"/>
      <c r="N878" s="147"/>
      <c r="O878" s="147"/>
      <c r="P878" s="147"/>
      <c r="Q878" s="147"/>
      <c r="R878" s="147"/>
      <c r="S878" s="147"/>
      <c r="T878" s="147"/>
      <c r="U878" s="147"/>
      <c r="V878" s="147"/>
    </row>
    <row r="879">
      <c r="A879" s="240" t="s">
        <v>6670</v>
      </c>
      <c r="B879" s="240" t="s">
        <v>2200</v>
      </c>
      <c r="C879" s="240" t="s">
        <v>2201</v>
      </c>
      <c r="D879" s="240" t="s">
        <v>4126</v>
      </c>
      <c r="E879" s="240" t="s">
        <v>6671</v>
      </c>
      <c r="F879" s="240" t="s">
        <v>4223</v>
      </c>
      <c r="G879" s="147"/>
      <c r="H879" s="240" t="s">
        <v>4215</v>
      </c>
      <c r="I879" s="240" t="s">
        <v>4215</v>
      </c>
      <c r="J879" s="147"/>
      <c r="K879" s="147"/>
      <c r="L879" s="147"/>
      <c r="M879" s="147"/>
      <c r="N879" s="147"/>
      <c r="O879" s="147"/>
      <c r="P879" s="147"/>
      <c r="Q879" s="147"/>
      <c r="R879" s="147"/>
      <c r="S879" s="147"/>
      <c r="T879" s="147"/>
      <c r="U879" s="147"/>
      <c r="V879" s="147"/>
    </row>
    <row r="880">
      <c r="A880" s="240" t="s">
        <v>6672</v>
      </c>
      <c r="B880" s="240" t="s">
        <v>2202</v>
      </c>
      <c r="C880" s="240" t="s">
        <v>2203</v>
      </c>
      <c r="D880" s="240" t="s">
        <v>6673</v>
      </c>
      <c r="E880" s="240" t="s">
        <v>6674</v>
      </c>
      <c r="F880" s="240" t="s">
        <v>4235</v>
      </c>
      <c r="G880" s="147"/>
      <c r="H880" s="240" t="s">
        <v>4215</v>
      </c>
      <c r="I880" s="240" t="s">
        <v>4215</v>
      </c>
      <c r="J880" s="147"/>
      <c r="K880" s="147"/>
      <c r="L880" s="147"/>
      <c r="M880" s="147"/>
      <c r="N880" s="147"/>
      <c r="O880" s="147"/>
      <c r="P880" s="147"/>
      <c r="Q880" s="147"/>
      <c r="R880" s="147"/>
      <c r="S880" s="147"/>
      <c r="T880" s="147"/>
      <c r="U880" s="147"/>
      <c r="V880" s="147"/>
    </row>
    <row r="881">
      <c r="A881" s="240" t="s">
        <v>6672</v>
      </c>
      <c r="B881" s="240" t="s">
        <v>2202</v>
      </c>
      <c r="C881" s="240" t="s">
        <v>2203</v>
      </c>
      <c r="D881" s="240" t="s">
        <v>6673</v>
      </c>
      <c r="E881" s="240" t="s">
        <v>6675</v>
      </c>
      <c r="F881" s="240" t="s">
        <v>4227</v>
      </c>
      <c r="G881" s="147"/>
      <c r="H881" s="240" t="s">
        <v>4215</v>
      </c>
      <c r="I881" s="240" t="s">
        <v>4215</v>
      </c>
      <c r="J881" s="147"/>
      <c r="K881" s="147"/>
      <c r="L881" s="147"/>
      <c r="M881" s="147"/>
      <c r="N881" s="147"/>
      <c r="O881" s="147"/>
      <c r="P881" s="147"/>
      <c r="Q881" s="147"/>
      <c r="R881" s="147"/>
      <c r="S881" s="147"/>
      <c r="T881" s="147"/>
      <c r="U881" s="147"/>
      <c r="V881" s="147"/>
    </row>
    <row r="882">
      <c r="A882" s="240" t="s">
        <v>6676</v>
      </c>
      <c r="B882" s="240" t="s">
        <v>2204</v>
      </c>
      <c r="C882" s="240" t="s">
        <v>2205</v>
      </c>
      <c r="D882" s="240" t="s">
        <v>4113</v>
      </c>
      <c r="E882" s="240" t="s">
        <v>6677</v>
      </c>
      <c r="F882" s="240" t="s">
        <v>4231</v>
      </c>
      <c r="G882" s="147"/>
      <c r="H882" s="147"/>
      <c r="I882" s="147"/>
      <c r="J882" s="147"/>
      <c r="K882" s="147"/>
      <c r="L882" s="147"/>
      <c r="M882" s="147"/>
      <c r="N882" s="147"/>
      <c r="O882" s="147"/>
      <c r="P882" s="147"/>
      <c r="Q882" s="147"/>
      <c r="R882" s="147"/>
      <c r="S882" s="147"/>
      <c r="T882" s="147"/>
      <c r="U882" s="147"/>
      <c r="V882" s="147"/>
    </row>
    <row r="883">
      <c r="A883" s="240" t="s">
        <v>6678</v>
      </c>
      <c r="B883" s="240" t="s">
        <v>2206</v>
      </c>
      <c r="C883" s="240" t="s">
        <v>2207</v>
      </c>
      <c r="D883" s="240" t="s">
        <v>4105</v>
      </c>
      <c r="E883" s="240" t="s">
        <v>6679</v>
      </c>
      <c r="F883" s="240" t="s">
        <v>4219</v>
      </c>
      <c r="G883" s="147"/>
      <c r="H883" s="240" t="s">
        <v>4215</v>
      </c>
      <c r="I883" s="240" t="s">
        <v>4215</v>
      </c>
      <c r="J883" s="147"/>
      <c r="K883" s="147"/>
      <c r="L883" s="147"/>
      <c r="M883" s="147"/>
      <c r="N883" s="147"/>
      <c r="O883" s="147"/>
      <c r="P883" s="147"/>
      <c r="Q883" s="147"/>
      <c r="R883" s="147"/>
      <c r="S883" s="147"/>
      <c r="T883" s="147"/>
      <c r="U883" s="147"/>
      <c r="V883" s="147"/>
    </row>
    <row r="884">
      <c r="A884" s="240" t="s">
        <v>6680</v>
      </c>
      <c r="B884" s="240" t="s">
        <v>2208</v>
      </c>
      <c r="C884" s="240" t="s">
        <v>2209</v>
      </c>
      <c r="D884" s="240" t="s">
        <v>4164</v>
      </c>
      <c r="E884" s="240" t="s">
        <v>6681</v>
      </c>
      <c r="F884" s="240" t="s">
        <v>4828</v>
      </c>
      <c r="G884" s="147"/>
      <c r="H884" s="240" t="s">
        <v>4215</v>
      </c>
      <c r="I884" s="240" t="s">
        <v>4215</v>
      </c>
      <c r="J884" s="147"/>
      <c r="K884" s="147"/>
      <c r="L884" s="147"/>
      <c r="M884" s="147"/>
      <c r="N884" s="147"/>
      <c r="O884" s="147"/>
      <c r="P884" s="147"/>
      <c r="Q884" s="147"/>
      <c r="R884" s="147"/>
      <c r="S884" s="147"/>
      <c r="T884" s="147"/>
      <c r="U884" s="147"/>
      <c r="V884" s="147"/>
    </row>
    <row r="885">
      <c r="A885" s="240" t="s">
        <v>6682</v>
      </c>
      <c r="B885" s="240" t="s">
        <v>2210</v>
      </c>
      <c r="C885" s="240" t="s">
        <v>2211</v>
      </c>
      <c r="D885" s="240" t="s">
        <v>4100</v>
      </c>
      <c r="E885" s="240" t="s">
        <v>6257</v>
      </c>
      <c r="F885" s="240" t="s">
        <v>4264</v>
      </c>
      <c r="G885" s="147"/>
      <c r="H885" s="240" t="s">
        <v>4215</v>
      </c>
      <c r="I885" s="240" t="s">
        <v>4215</v>
      </c>
      <c r="J885" s="147"/>
      <c r="K885" s="147"/>
      <c r="L885" s="147"/>
      <c r="M885" s="147"/>
      <c r="N885" s="147"/>
      <c r="O885" s="147"/>
      <c r="P885" s="147"/>
      <c r="Q885" s="147"/>
      <c r="R885" s="147"/>
      <c r="S885" s="147"/>
      <c r="T885" s="147"/>
      <c r="U885" s="147"/>
      <c r="V885" s="147"/>
    </row>
    <row r="886">
      <c r="A886" s="240" t="s">
        <v>6683</v>
      </c>
      <c r="B886" s="240" t="s">
        <v>2212</v>
      </c>
      <c r="C886" s="240" t="s">
        <v>2213</v>
      </c>
      <c r="D886" s="240" t="s">
        <v>4161</v>
      </c>
      <c r="E886" s="240" t="s">
        <v>5145</v>
      </c>
      <c r="F886" s="240" t="s">
        <v>4223</v>
      </c>
      <c r="G886" s="147"/>
      <c r="H886" s="240" t="s">
        <v>4215</v>
      </c>
      <c r="I886" s="240" t="s">
        <v>4215</v>
      </c>
      <c r="J886" s="147"/>
      <c r="K886" s="147"/>
      <c r="L886" s="147"/>
      <c r="M886" s="147"/>
      <c r="N886" s="147"/>
      <c r="O886" s="147"/>
      <c r="P886" s="147"/>
      <c r="Q886" s="147"/>
      <c r="R886" s="147"/>
      <c r="S886" s="147"/>
      <c r="T886" s="147"/>
      <c r="U886" s="147"/>
      <c r="V886" s="147"/>
    </row>
    <row r="887">
      <c r="A887" s="240" t="s">
        <v>6684</v>
      </c>
      <c r="B887" s="240" t="s">
        <v>2214</v>
      </c>
      <c r="C887" s="240" t="s">
        <v>2215</v>
      </c>
      <c r="D887" s="240" t="s">
        <v>4157</v>
      </c>
      <c r="E887" s="240" t="s">
        <v>6685</v>
      </c>
      <c r="F887" s="147"/>
      <c r="G887" s="147"/>
      <c r="H887" s="147"/>
      <c r="I887" s="147"/>
      <c r="J887" s="147"/>
      <c r="K887" s="147"/>
      <c r="L887" s="147"/>
      <c r="M887" s="147"/>
      <c r="N887" s="147"/>
      <c r="O887" s="147"/>
      <c r="P887" s="147"/>
      <c r="Q887" s="147"/>
      <c r="R887" s="147"/>
      <c r="S887" s="147"/>
      <c r="T887" s="147"/>
      <c r="U887" s="147"/>
      <c r="V887" s="147"/>
    </row>
    <row r="888">
      <c r="A888" s="240" t="s">
        <v>6686</v>
      </c>
      <c r="B888" s="240" t="s">
        <v>2216</v>
      </c>
      <c r="C888" s="240" t="s">
        <v>2217</v>
      </c>
      <c r="D888" s="240" t="s">
        <v>4154</v>
      </c>
      <c r="E888" s="240" t="s">
        <v>6687</v>
      </c>
      <c r="F888" s="240" t="s">
        <v>4235</v>
      </c>
      <c r="G888" s="147"/>
      <c r="H888" s="240" t="s">
        <v>4215</v>
      </c>
      <c r="I888" s="147"/>
      <c r="J888" s="147"/>
      <c r="K888" s="147"/>
      <c r="L888" s="147"/>
      <c r="M888" s="147"/>
      <c r="N888" s="147"/>
      <c r="O888" s="147"/>
      <c r="P888" s="147"/>
      <c r="Q888" s="147"/>
      <c r="R888" s="147"/>
      <c r="S888" s="147"/>
      <c r="T888" s="147"/>
      <c r="U888" s="147"/>
      <c r="V888" s="147"/>
    </row>
    <row r="889">
      <c r="A889" s="240" t="s">
        <v>6688</v>
      </c>
      <c r="B889" s="240" t="s">
        <v>2218</v>
      </c>
      <c r="C889" s="240" t="s">
        <v>2219</v>
      </c>
      <c r="D889" s="240" t="s">
        <v>4102</v>
      </c>
      <c r="E889" s="240" t="s">
        <v>6689</v>
      </c>
      <c r="F889" s="240" t="s">
        <v>4231</v>
      </c>
      <c r="G889" s="147"/>
      <c r="H889" s="240" t="s">
        <v>4215</v>
      </c>
      <c r="I889" s="240" t="s">
        <v>4215</v>
      </c>
      <c r="J889" s="147"/>
      <c r="K889" s="147"/>
      <c r="L889" s="147"/>
      <c r="M889" s="147"/>
      <c r="N889" s="147"/>
      <c r="O889" s="147"/>
      <c r="P889" s="147"/>
      <c r="Q889" s="147"/>
      <c r="R889" s="147"/>
      <c r="S889" s="147"/>
      <c r="T889" s="147"/>
      <c r="U889" s="147"/>
      <c r="V889" s="147"/>
    </row>
    <row r="890">
      <c r="A890" s="240" t="s">
        <v>6690</v>
      </c>
      <c r="B890" s="240" t="s">
        <v>2220</v>
      </c>
      <c r="C890" s="240" t="s">
        <v>2221</v>
      </c>
      <c r="D890" s="240" t="s">
        <v>4123</v>
      </c>
      <c r="E890" s="240" t="s">
        <v>4599</v>
      </c>
      <c r="F890" s="147"/>
      <c r="G890" s="147"/>
      <c r="H890" s="240" t="s">
        <v>4215</v>
      </c>
      <c r="I890" s="240" t="s">
        <v>4215</v>
      </c>
      <c r="J890" s="147"/>
      <c r="K890" s="147"/>
      <c r="L890" s="147"/>
      <c r="M890" s="147"/>
      <c r="N890" s="147"/>
      <c r="O890" s="147"/>
      <c r="P890" s="147"/>
      <c r="Q890" s="147"/>
      <c r="R890" s="147"/>
      <c r="S890" s="147"/>
      <c r="T890" s="147"/>
      <c r="U890" s="147"/>
      <c r="V890" s="147"/>
    </row>
    <row r="891">
      <c r="A891" s="240" t="s">
        <v>6691</v>
      </c>
      <c r="B891" s="240" t="s">
        <v>2222</v>
      </c>
      <c r="C891" s="240" t="s">
        <v>2223</v>
      </c>
      <c r="D891" s="240" t="s">
        <v>4127</v>
      </c>
      <c r="E891" s="240" t="s">
        <v>6692</v>
      </c>
      <c r="F891" s="240" t="s">
        <v>4264</v>
      </c>
      <c r="G891" s="147"/>
      <c r="H891" s="240" t="s">
        <v>4215</v>
      </c>
      <c r="I891" s="240" t="s">
        <v>4215</v>
      </c>
      <c r="J891" s="147"/>
      <c r="K891" s="147"/>
      <c r="L891" s="147"/>
      <c r="M891" s="147"/>
      <c r="N891" s="147"/>
      <c r="O891" s="147"/>
      <c r="P891" s="147"/>
      <c r="Q891" s="147"/>
      <c r="R891" s="147"/>
      <c r="S891" s="147"/>
      <c r="T891" s="147"/>
      <c r="U891" s="147"/>
      <c r="V891" s="147"/>
    </row>
    <row r="892">
      <c r="A892" s="240" t="s">
        <v>6693</v>
      </c>
      <c r="B892" s="240" t="s">
        <v>2224</v>
      </c>
      <c r="C892" s="240" t="s">
        <v>2225</v>
      </c>
      <c r="D892" s="240" t="s">
        <v>4103</v>
      </c>
      <c r="E892" s="240" t="s">
        <v>6694</v>
      </c>
      <c r="F892" s="240" t="s">
        <v>4479</v>
      </c>
      <c r="G892" s="147"/>
      <c r="H892" s="240" t="s">
        <v>4215</v>
      </c>
      <c r="I892" s="240" t="s">
        <v>4215</v>
      </c>
      <c r="J892" s="147"/>
      <c r="K892" s="147"/>
      <c r="L892" s="147"/>
      <c r="M892" s="147"/>
      <c r="N892" s="147"/>
      <c r="O892" s="147"/>
      <c r="P892" s="147"/>
      <c r="Q892" s="147"/>
      <c r="R892" s="147"/>
      <c r="S892" s="147"/>
      <c r="T892" s="147"/>
      <c r="U892" s="147"/>
      <c r="V892" s="147"/>
    </row>
    <row r="893">
      <c r="A893" s="240" t="s">
        <v>6695</v>
      </c>
      <c r="B893" s="240" t="s">
        <v>2226</v>
      </c>
      <c r="C893" s="240" t="s">
        <v>2227</v>
      </c>
      <c r="D893" s="240" t="s">
        <v>4175</v>
      </c>
      <c r="E893" s="240" t="s">
        <v>6696</v>
      </c>
      <c r="F893" s="240" t="s">
        <v>4223</v>
      </c>
      <c r="G893" s="147"/>
      <c r="H893" s="240" t="s">
        <v>4215</v>
      </c>
      <c r="I893" s="240" t="s">
        <v>4215</v>
      </c>
      <c r="J893" s="147"/>
      <c r="K893" s="147"/>
      <c r="L893" s="147"/>
      <c r="M893" s="147"/>
      <c r="N893" s="147"/>
      <c r="O893" s="147"/>
      <c r="P893" s="147"/>
      <c r="Q893" s="147"/>
      <c r="R893" s="147"/>
      <c r="S893" s="147"/>
      <c r="T893" s="147"/>
      <c r="U893" s="147"/>
      <c r="V893" s="147"/>
    </row>
    <row r="894">
      <c r="A894" s="240" t="s">
        <v>6697</v>
      </c>
      <c r="B894" s="240" t="s">
        <v>2228</v>
      </c>
      <c r="C894" s="240" t="s">
        <v>2229</v>
      </c>
      <c r="D894" s="240" t="s">
        <v>4101</v>
      </c>
      <c r="E894" s="240" t="s">
        <v>4520</v>
      </c>
      <c r="F894" s="240" t="s">
        <v>4235</v>
      </c>
      <c r="G894" s="147"/>
      <c r="H894" s="240" t="s">
        <v>4215</v>
      </c>
      <c r="I894" s="240" t="s">
        <v>4215</v>
      </c>
      <c r="J894" s="147"/>
      <c r="K894" s="147"/>
      <c r="L894" s="147"/>
      <c r="M894" s="147"/>
      <c r="N894" s="147"/>
      <c r="O894" s="147"/>
      <c r="P894" s="147"/>
      <c r="Q894" s="147"/>
      <c r="R894" s="147"/>
      <c r="S894" s="147"/>
      <c r="T894" s="147"/>
      <c r="U894" s="147"/>
      <c r="V894" s="147"/>
    </row>
    <row r="895">
      <c r="A895" s="240" t="s">
        <v>6698</v>
      </c>
      <c r="B895" s="240" t="s">
        <v>2230</v>
      </c>
      <c r="C895" s="240" t="s">
        <v>2231</v>
      </c>
      <c r="D895" s="240" t="s">
        <v>4191</v>
      </c>
      <c r="E895" s="240" t="s">
        <v>6699</v>
      </c>
      <c r="F895" s="240" t="s">
        <v>4219</v>
      </c>
      <c r="G895" s="147"/>
      <c r="H895" s="240" t="s">
        <v>4215</v>
      </c>
      <c r="I895" s="240" t="s">
        <v>4215</v>
      </c>
      <c r="J895" s="147"/>
      <c r="K895" s="147"/>
      <c r="L895" s="147"/>
      <c r="M895" s="147"/>
      <c r="N895" s="147"/>
      <c r="O895" s="147"/>
      <c r="P895" s="147"/>
      <c r="Q895" s="147"/>
      <c r="R895" s="147"/>
      <c r="S895" s="147"/>
      <c r="T895" s="147"/>
      <c r="U895" s="147"/>
      <c r="V895" s="147"/>
    </row>
    <row r="896">
      <c r="A896" s="240" t="s">
        <v>6700</v>
      </c>
      <c r="B896" s="240" t="s">
        <v>2232</v>
      </c>
      <c r="C896" s="240" t="s">
        <v>2233</v>
      </c>
      <c r="D896" s="240" t="s">
        <v>4158</v>
      </c>
      <c r="E896" s="240" t="s">
        <v>6701</v>
      </c>
      <c r="F896" s="240" t="s">
        <v>4264</v>
      </c>
      <c r="G896" s="147"/>
      <c r="H896" s="240" t="s">
        <v>4215</v>
      </c>
      <c r="I896" s="147"/>
      <c r="J896" s="147"/>
      <c r="K896" s="147"/>
      <c r="L896" s="147"/>
      <c r="M896" s="147"/>
      <c r="N896" s="147"/>
      <c r="O896" s="147"/>
      <c r="P896" s="147"/>
      <c r="Q896" s="147"/>
      <c r="R896" s="147"/>
      <c r="S896" s="147"/>
      <c r="T896" s="147"/>
      <c r="U896" s="147"/>
      <c r="V896" s="147"/>
    </row>
    <row r="897">
      <c r="A897" s="240" t="s">
        <v>6702</v>
      </c>
      <c r="B897" s="240" t="s">
        <v>2234</v>
      </c>
      <c r="C897" s="240" t="s">
        <v>2235</v>
      </c>
      <c r="D897" s="240" t="s">
        <v>4167</v>
      </c>
      <c r="E897" s="240" t="s">
        <v>6703</v>
      </c>
      <c r="F897" s="240" t="s">
        <v>4227</v>
      </c>
      <c r="G897" s="147"/>
      <c r="H897" s="240" t="s">
        <v>4215</v>
      </c>
      <c r="I897" s="240" t="s">
        <v>4215</v>
      </c>
      <c r="J897" s="147"/>
      <c r="K897" s="147"/>
      <c r="L897" s="147"/>
      <c r="M897" s="147"/>
      <c r="N897" s="147"/>
      <c r="O897" s="147"/>
      <c r="P897" s="147"/>
      <c r="Q897" s="147"/>
      <c r="R897" s="147"/>
      <c r="S897" s="147"/>
      <c r="T897" s="147"/>
      <c r="U897" s="147"/>
      <c r="V897" s="147"/>
    </row>
    <row r="898">
      <c r="A898" s="240" t="s">
        <v>6704</v>
      </c>
      <c r="B898" s="240" t="s">
        <v>2236</v>
      </c>
      <c r="C898" s="240" t="s">
        <v>2237</v>
      </c>
      <c r="D898" s="240" t="s">
        <v>4116</v>
      </c>
      <c r="E898" s="240" t="s">
        <v>6705</v>
      </c>
      <c r="F898" s="240" t="s">
        <v>4223</v>
      </c>
      <c r="G898" s="147"/>
      <c r="H898" s="240" t="s">
        <v>4215</v>
      </c>
      <c r="I898" s="240" t="s">
        <v>4215</v>
      </c>
      <c r="J898" s="147"/>
      <c r="K898" s="147"/>
      <c r="L898" s="147"/>
      <c r="M898" s="147"/>
      <c r="N898" s="147"/>
      <c r="O898" s="147"/>
      <c r="P898" s="147"/>
      <c r="Q898" s="147"/>
      <c r="R898" s="147"/>
      <c r="S898" s="147"/>
      <c r="T898" s="147"/>
      <c r="U898" s="147"/>
      <c r="V898" s="147"/>
    </row>
    <row r="899">
      <c r="A899" s="240" t="s">
        <v>6706</v>
      </c>
      <c r="B899" s="240" t="s">
        <v>2238</v>
      </c>
      <c r="C899" s="240" t="s">
        <v>2239</v>
      </c>
      <c r="D899" s="240" t="s">
        <v>4170</v>
      </c>
      <c r="E899" s="240" t="s">
        <v>4509</v>
      </c>
      <c r="F899" s="240" t="s">
        <v>4355</v>
      </c>
      <c r="G899" s="147"/>
      <c r="H899" s="240" t="s">
        <v>4215</v>
      </c>
      <c r="I899" s="240" t="s">
        <v>4215</v>
      </c>
      <c r="J899" s="147"/>
      <c r="K899" s="147"/>
      <c r="L899" s="147"/>
      <c r="M899" s="147"/>
      <c r="N899" s="147"/>
      <c r="O899" s="147"/>
      <c r="P899" s="147"/>
      <c r="Q899" s="147"/>
      <c r="R899" s="147"/>
      <c r="S899" s="147"/>
      <c r="T899" s="147"/>
      <c r="U899" s="147"/>
      <c r="V899" s="147"/>
    </row>
    <row r="900">
      <c r="A900" s="240" t="s">
        <v>6707</v>
      </c>
      <c r="B900" s="240" t="s">
        <v>2240</v>
      </c>
      <c r="C900" s="240" t="s">
        <v>2241</v>
      </c>
      <c r="D900" s="240" t="s">
        <v>4156</v>
      </c>
      <c r="E900" s="240" t="s">
        <v>4520</v>
      </c>
      <c r="F900" s="240" t="s">
        <v>4223</v>
      </c>
      <c r="G900" s="147"/>
      <c r="H900" s="240" t="s">
        <v>4215</v>
      </c>
      <c r="I900" s="240" t="s">
        <v>4215</v>
      </c>
      <c r="J900" s="147"/>
      <c r="K900" s="147"/>
      <c r="L900" s="147"/>
      <c r="M900" s="147"/>
      <c r="N900" s="147"/>
      <c r="O900" s="147"/>
      <c r="P900" s="147"/>
      <c r="Q900" s="147"/>
      <c r="R900" s="147"/>
      <c r="S900" s="147"/>
      <c r="T900" s="147"/>
      <c r="U900" s="147"/>
      <c r="V900" s="147"/>
    </row>
    <row r="901">
      <c r="A901" s="240" t="s">
        <v>6708</v>
      </c>
      <c r="B901" s="240" t="s">
        <v>2242</v>
      </c>
      <c r="C901" s="240" t="s">
        <v>2243</v>
      </c>
      <c r="D901" s="240" t="s">
        <v>4172</v>
      </c>
      <c r="E901" s="240" t="s">
        <v>6709</v>
      </c>
      <c r="F901" s="240" t="s">
        <v>4223</v>
      </c>
      <c r="G901" s="147"/>
      <c r="H901" s="240" t="s">
        <v>4215</v>
      </c>
      <c r="I901" s="240" t="s">
        <v>4215</v>
      </c>
      <c r="J901" s="147"/>
      <c r="K901" s="147"/>
      <c r="L901" s="147"/>
      <c r="M901" s="147"/>
      <c r="N901" s="147"/>
      <c r="O901" s="147"/>
      <c r="P901" s="147"/>
      <c r="Q901" s="147"/>
      <c r="R901" s="147"/>
      <c r="S901" s="147"/>
      <c r="T901" s="147"/>
      <c r="U901" s="147"/>
      <c r="V901" s="147"/>
    </row>
    <row r="902">
      <c r="A902" s="240" t="s">
        <v>6710</v>
      </c>
      <c r="B902" s="240" t="s">
        <v>2244</v>
      </c>
      <c r="C902" s="240" t="s">
        <v>2245</v>
      </c>
      <c r="D902" s="240" t="s">
        <v>4186</v>
      </c>
      <c r="E902" s="240" t="s">
        <v>6711</v>
      </c>
      <c r="F902" s="240" t="s">
        <v>4223</v>
      </c>
      <c r="G902" s="147"/>
      <c r="H902" s="240" t="s">
        <v>4215</v>
      </c>
      <c r="I902" s="240" t="s">
        <v>4215</v>
      </c>
      <c r="J902" s="147"/>
      <c r="K902" s="147"/>
      <c r="L902" s="147"/>
      <c r="M902" s="147"/>
      <c r="N902" s="147"/>
      <c r="O902" s="147"/>
      <c r="P902" s="147"/>
      <c r="Q902" s="147"/>
      <c r="R902" s="147"/>
      <c r="S902" s="147"/>
      <c r="T902" s="147"/>
      <c r="U902" s="147"/>
      <c r="V902" s="147"/>
    </row>
    <row r="903">
      <c r="A903" s="240" t="s">
        <v>6712</v>
      </c>
      <c r="B903" s="240" t="s">
        <v>2246</v>
      </c>
      <c r="C903" s="240" t="s">
        <v>2247</v>
      </c>
      <c r="D903" s="240" t="s">
        <v>4188</v>
      </c>
      <c r="E903" s="240" t="s">
        <v>6106</v>
      </c>
      <c r="F903" s="240" t="s">
        <v>4235</v>
      </c>
      <c r="G903" s="147"/>
      <c r="H903" s="240" t="s">
        <v>4215</v>
      </c>
      <c r="I903" s="240" t="s">
        <v>4215</v>
      </c>
      <c r="J903" s="147"/>
      <c r="K903" s="147"/>
      <c r="L903" s="147"/>
      <c r="M903" s="147"/>
      <c r="N903" s="147"/>
      <c r="O903" s="147"/>
      <c r="P903" s="147"/>
      <c r="Q903" s="147"/>
      <c r="R903" s="147"/>
      <c r="S903" s="147"/>
      <c r="T903" s="147"/>
      <c r="U903" s="147"/>
      <c r="V903" s="147"/>
    </row>
    <row r="904">
      <c r="A904" s="240" t="s">
        <v>6713</v>
      </c>
      <c r="B904" s="240" t="s">
        <v>2248</v>
      </c>
      <c r="C904" s="240" t="s">
        <v>2249</v>
      </c>
      <c r="D904" s="240" t="s">
        <v>4112</v>
      </c>
      <c r="E904" s="240" t="s">
        <v>6714</v>
      </c>
      <c r="F904" s="240" t="s">
        <v>4264</v>
      </c>
      <c r="G904" s="147"/>
      <c r="H904" s="147"/>
      <c r="I904" s="240" t="s">
        <v>4215</v>
      </c>
      <c r="J904" s="147"/>
      <c r="K904" s="147"/>
      <c r="L904" s="147"/>
      <c r="M904" s="147"/>
      <c r="N904" s="147"/>
      <c r="O904" s="147"/>
      <c r="P904" s="147"/>
      <c r="Q904" s="147"/>
      <c r="R904" s="147"/>
      <c r="S904" s="147"/>
      <c r="T904" s="147"/>
      <c r="U904" s="147"/>
      <c r="V904" s="147"/>
    </row>
    <row r="905">
      <c r="A905" s="240" t="s">
        <v>6715</v>
      </c>
      <c r="B905" s="240" t="s">
        <v>2250</v>
      </c>
      <c r="C905" s="240" t="s">
        <v>2251</v>
      </c>
      <c r="D905" s="240" t="s">
        <v>4111</v>
      </c>
      <c r="E905" s="240" t="s">
        <v>6716</v>
      </c>
      <c r="F905" s="240" t="s">
        <v>4355</v>
      </c>
      <c r="G905" s="147"/>
      <c r="H905" s="240" t="s">
        <v>4215</v>
      </c>
      <c r="I905" s="240" t="s">
        <v>4215</v>
      </c>
      <c r="J905" s="147"/>
      <c r="K905" s="147"/>
      <c r="L905" s="147"/>
      <c r="M905" s="147"/>
      <c r="N905" s="147"/>
      <c r="O905" s="147"/>
      <c r="P905" s="147"/>
      <c r="Q905" s="147"/>
      <c r="R905" s="147"/>
      <c r="S905" s="147"/>
      <c r="T905" s="147"/>
      <c r="U905" s="147"/>
      <c r="V905" s="147"/>
    </row>
    <row r="906">
      <c r="A906" s="240" t="s">
        <v>6717</v>
      </c>
      <c r="B906" s="240" t="s">
        <v>2252</v>
      </c>
      <c r="C906" s="240" t="s">
        <v>2253</v>
      </c>
      <c r="D906" s="240" t="s">
        <v>4120</v>
      </c>
      <c r="E906" s="240" t="s">
        <v>430</v>
      </c>
      <c r="F906" s="240" t="s">
        <v>4621</v>
      </c>
      <c r="G906" s="147"/>
      <c r="H906" s="240" t="s">
        <v>4215</v>
      </c>
      <c r="I906" s="240" t="s">
        <v>4215</v>
      </c>
      <c r="J906" s="147"/>
      <c r="K906" s="147"/>
      <c r="L906" s="147"/>
      <c r="M906" s="147"/>
      <c r="N906" s="147"/>
      <c r="O906" s="147"/>
      <c r="P906" s="147"/>
      <c r="Q906" s="147"/>
      <c r="R906" s="147"/>
      <c r="S906" s="147"/>
      <c r="T906" s="147"/>
      <c r="U906" s="147"/>
      <c r="V906" s="147"/>
    </row>
    <row r="907">
      <c r="A907" s="240" t="s">
        <v>6718</v>
      </c>
      <c r="B907" s="240" t="s">
        <v>2254</v>
      </c>
      <c r="C907" s="240" t="s">
        <v>2255</v>
      </c>
      <c r="D907" s="240" t="s">
        <v>4129</v>
      </c>
      <c r="E907" s="240" t="s">
        <v>6719</v>
      </c>
      <c r="F907" s="240" t="s">
        <v>4223</v>
      </c>
      <c r="G907" s="147"/>
      <c r="H907" s="147"/>
      <c r="I907" s="240" t="s">
        <v>4215</v>
      </c>
      <c r="J907" s="147"/>
      <c r="K907" s="147"/>
      <c r="L907" s="147"/>
      <c r="M907" s="147"/>
      <c r="N907" s="147"/>
      <c r="O907" s="147"/>
      <c r="P907" s="147"/>
      <c r="Q907" s="147"/>
      <c r="R907" s="147"/>
      <c r="S907" s="147"/>
      <c r="T907" s="147"/>
      <c r="U907" s="147"/>
      <c r="V907" s="147"/>
    </row>
    <row r="908">
      <c r="A908" s="240" t="s">
        <v>6720</v>
      </c>
      <c r="B908" s="240" t="s">
        <v>2256</v>
      </c>
      <c r="C908" s="240" t="s">
        <v>2257</v>
      </c>
      <c r="D908" s="240" t="s">
        <v>4168</v>
      </c>
      <c r="E908" s="240" t="s">
        <v>6721</v>
      </c>
      <c r="F908" s="240" t="s">
        <v>4355</v>
      </c>
      <c r="G908" s="147"/>
      <c r="H908" s="240" t="s">
        <v>4215</v>
      </c>
      <c r="I908" s="240" t="s">
        <v>4215</v>
      </c>
      <c r="J908" s="147"/>
      <c r="K908" s="147"/>
      <c r="L908" s="147"/>
      <c r="M908" s="147"/>
      <c r="N908" s="147"/>
      <c r="O908" s="147"/>
      <c r="P908" s="147"/>
      <c r="Q908" s="147"/>
      <c r="R908" s="147"/>
      <c r="S908" s="147"/>
      <c r="T908" s="147"/>
      <c r="U908" s="147"/>
      <c r="V908" s="147"/>
    </row>
    <row r="909">
      <c r="A909" s="240" t="s">
        <v>6722</v>
      </c>
      <c r="B909" s="240" t="s">
        <v>2258</v>
      </c>
      <c r="C909" s="240" t="s">
        <v>2259</v>
      </c>
      <c r="D909" s="240" t="s">
        <v>4142</v>
      </c>
      <c r="E909" s="240" t="s">
        <v>6723</v>
      </c>
      <c r="F909" s="240" t="s">
        <v>4297</v>
      </c>
      <c r="G909" s="147"/>
      <c r="H909" s="240" t="s">
        <v>4215</v>
      </c>
      <c r="I909" s="240" t="s">
        <v>4215</v>
      </c>
      <c r="J909" s="147"/>
      <c r="K909" s="147"/>
      <c r="L909" s="147"/>
      <c r="M909" s="147"/>
      <c r="N909" s="147"/>
      <c r="O909" s="147"/>
      <c r="P909" s="147"/>
      <c r="Q909" s="147"/>
      <c r="R909" s="147"/>
      <c r="S909" s="147"/>
      <c r="T909" s="147"/>
      <c r="U909" s="147"/>
      <c r="V909" s="147"/>
    </row>
    <row r="910">
      <c r="A910" s="240" t="s">
        <v>6724</v>
      </c>
      <c r="B910" s="240" t="s">
        <v>2260</v>
      </c>
      <c r="C910" s="240" t="s">
        <v>2261</v>
      </c>
      <c r="D910" s="240" t="s">
        <v>4152</v>
      </c>
      <c r="E910" s="240" t="s">
        <v>6725</v>
      </c>
      <c r="F910" s="240" t="s">
        <v>4223</v>
      </c>
      <c r="G910" s="147"/>
      <c r="H910" s="240" t="s">
        <v>4215</v>
      </c>
      <c r="I910" s="240" t="s">
        <v>4215</v>
      </c>
      <c r="J910" s="147"/>
      <c r="K910" s="147"/>
      <c r="L910" s="147"/>
      <c r="M910" s="147"/>
      <c r="N910" s="147"/>
      <c r="O910" s="147"/>
      <c r="P910" s="147"/>
      <c r="Q910" s="147"/>
      <c r="R910" s="147"/>
      <c r="S910" s="147"/>
      <c r="T910" s="147"/>
      <c r="U910" s="147"/>
      <c r="V910" s="147"/>
    </row>
    <row r="911">
      <c r="A911" s="240" t="s">
        <v>6726</v>
      </c>
      <c r="B911" s="240" t="s">
        <v>2262</v>
      </c>
      <c r="C911" s="240" t="s">
        <v>2263</v>
      </c>
      <c r="D911" s="240" t="s">
        <v>4140</v>
      </c>
      <c r="E911" s="240" t="s">
        <v>6727</v>
      </c>
      <c r="F911" s="240" t="s">
        <v>4590</v>
      </c>
      <c r="G911" s="147"/>
      <c r="H911" s="240" t="s">
        <v>4215</v>
      </c>
      <c r="I911" s="240" t="s">
        <v>4215</v>
      </c>
      <c r="J911" s="147"/>
      <c r="K911" s="147"/>
      <c r="L911" s="147"/>
      <c r="M911" s="147"/>
      <c r="N911" s="147"/>
      <c r="O911" s="147"/>
      <c r="P911" s="147"/>
      <c r="Q911" s="147"/>
      <c r="R911" s="147"/>
      <c r="S911" s="147"/>
      <c r="T911" s="147"/>
      <c r="U911" s="147"/>
      <c r="V911" s="147"/>
    </row>
    <row r="912">
      <c r="A912" s="240" t="s">
        <v>6728</v>
      </c>
      <c r="B912" s="240" t="s">
        <v>2264</v>
      </c>
      <c r="C912" s="240" t="s">
        <v>2265</v>
      </c>
      <c r="D912" s="240" t="s">
        <v>4122</v>
      </c>
      <c r="E912" s="240" t="s">
        <v>6729</v>
      </c>
      <c r="F912" s="240" t="s">
        <v>4235</v>
      </c>
      <c r="G912" s="147"/>
      <c r="H912" s="147"/>
      <c r="I912" s="147"/>
      <c r="J912" s="147"/>
      <c r="K912" s="147"/>
      <c r="L912" s="147"/>
      <c r="M912" s="147"/>
      <c r="N912" s="147"/>
      <c r="O912" s="147"/>
      <c r="P912" s="147"/>
      <c r="Q912" s="147"/>
      <c r="R912" s="147"/>
      <c r="S912" s="147"/>
      <c r="T912" s="147"/>
      <c r="U912" s="147"/>
      <c r="V912" s="147"/>
    </row>
    <row r="913">
      <c r="A913" s="240" t="s">
        <v>6730</v>
      </c>
      <c r="B913" s="240" t="s">
        <v>2266</v>
      </c>
      <c r="C913" s="240" t="s">
        <v>2267</v>
      </c>
      <c r="D913" s="240" t="s">
        <v>4139</v>
      </c>
      <c r="E913" s="240" t="s">
        <v>4466</v>
      </c>
      <c r="F913" s="240" t="s">
        <v>4355</v>
      </c>
      <c r="G913" s="147"/>
      <c r="H913" s="240" t="s">
        <v>4215</v>
      </c>
      <c r="I913" s="240" t="s">
        <v>4215</v>
      </c>
      <c r="J913" s="147"/>
      <c r="K913" s="147"/>
      <c r="L913" s="147"/>
      <c r="M913" s="147"/>
      <c r="N913" s="147"/>
      <c r="O913" s="147"/>
      <c r="P913" s="147"/>
      <c r="Q913" s="147"/>
      <c r="R913" s="147"/>
      <c r="S913" s="147"/>
      <c r="T913" s="147"/>
      <c r="U913" s="147"/>
      <c r="V913" s="147"/>
    </row>
    <row r="914">
      <c r="A914" s="240" t="s">
        <v>6731</v>
      </c>
      <c r="B914" s="240" t="s">
        <v>2268</v>
      </c>
      <c r="C914" s="240" t="s">
        <v>2269</v>
      </c>
      <c r="D914" s="240" t="s">
        <v>4149</v>
      </c>
      <c r="E914" s="240" t="s">
        <v>6732</v>
      </c>
      <c r="F914" s="240" t="s">
        <v>4219</v>
      </c>
      <c r="G914" s="147"/>
      <c r="H914" s="240" t="s">
        <v>4215</v>
      </c>
      <c r="I914" s="240" t="s">
        <v>4215</v>
      </c>
      <c r="J914" s="147"/>
      <c r="K914" s="147"/>
      <c r="L914" s="147"/>
      <c r="M914" s="147"/>
      <c r="N914" s="147"/>
      <c r="O914" s="147"/>
      <c r="P914" s="147"/>
      <c r="Q914" s="147"/>
      <c r="R914" s="147"/>
      <c r="S914" s="147"/>
      <c r="T914" s="147"/>
      <c r="U914" s="147"/>
      <c r="V914" s="147"/>
    </row>
    <row r="915">
      <c r="A915" s="240" t="s">
        <v>6733</v>
      </c>
      <c r="B915" s="240" t="s">
        <v>2270</v>
      </c>
      <c r="C915" s="240" t="s">
        <v>2271</v>
      </c>
      <c r="D915" s="240" t="s">
        <v>4151</v>
      </c>
      <c r="E915" s="240" t="s">
        <v>6027</v>
      </c>
      <c r="F915" s="240" t="s">
        <v>4235</v>
      </c>
      <c r="G915" s="147"/>
      <c r="H915" s="240" t="s">
        <v>4215</v>
      </c>
      <c r="I915" s="240" t="s">
        <v>4215</v>
      </c>
      <c r="J915" s="147"/>
      <c r="K915" s="147"/>
      <c r="L915" s="147"/>
      <c r="M915" s="147"/>
      <c r="N915" s="147"/>
      <c r="O915" s="147"/>
      <c r="P915" s="147"/>
      <c r="Q915" s="147"/>
      <c r="R915" s="147"/>
      <c r="S915" s="147"/>
      <c r="T915" s="147"/>
      <c r="U915" s="147"/>
      <c r="V915" s="147"/>
    </row>
    <row r="916">
      <c r="A916" s="240" t="s">
        <v>6734</v>
      </c>
      <c r="B916" s="240" t="s">
        <v>2272</v>
      </c>
      <c r="C916" s="240" t="s">
        <v>2273</v>
      </c>
      <c r="D916" s="240" t="s">
        <v>4108</v>
      </c>
      <c r="E916" s="240" t="s">
        <v>6735</v>
      </c>
      <c r="F916" s="240" t="s">
        <v>4227</v>
      </c>
      <c r="G916" s="147"/>
      <c r="H916" s="240" t="s">
        <v>4215</v>
      </c>
      <c r="I916" s="240" t="s">
        <v>4215</v>
      </c>
      <c r="J916" s="147"/>
      <c r="K916" s="147"/>
      <c r="L916" s="147"/>
      <c r="M916" s="147"/>
      <c r="N916" s="147"/>
      <c r="O916" s="147"/>
      <c r="P916" s="147"/>
      <c r="Q916" s="147"/>
      <c r="R916" s="147"/>
      <c r="S916" s="147"/>
      <c r="T916" s="147"/>
      <c r="U916" s="147"/>
      <c r="V916" s="147"/>
    </row>
    <row r="917">
      <c r="A917" s="240" t="s">
        <v>6736</v>
      </c>
      <c r="B917" s="240" t="s">
        <v>2274</v>
      </c>
      <c r="C917" s="240" t="s">
        <v>2275</v>
      </c>
      <c r="D917" s="240" t="s">
        <v>4162</v>
      </c>
      <c r="E917" s="240" t="s">
        <v>6737</v>
      </c>
      <c r="F917" s="240" t="s">
        <v>4223</v>
      </c>
      <c r="G917" s="147"/>
      <c r="H917" s="147"/>
      <c r="I917" s="147"/>
      <c r="J917" s="147"/>
      <c r="K917" s="147"/>
      <c r="L917" s="147"/>
      <c r="M917" s="147"/>
      <c r="N917" s="147"/>
      <c r="O917" s="147"/>
      <c r="P917" s="147"/>
      <c r="Q917" s="147"/>
      <c r="R917" s="147"/>
      <c r="S917" s="147"/>
      <c r="T917" s="147"/>
      <c r="U917" s="147"/>
      <c r="V917" s="147"/>
    </row>
    <row r="918">
      <c r="A918" s="240" t="s">
        <v>6738</v>
      </c>
      <c r="B918" s="240" t="s">
        <v>2276</v>
      </c>
      <c r="C918" s="240" t="s">
        <v>2277</v>
      </c>
      <c r="D918" s="240" t="s">
        <v>4137</v>
      </c>
      <c r="E918" s="240" t="s">
        <v>6739</v>
      </c>
      <c r="F918" s="240" t="s">
        <v>4264</v>
      </c>
      <c r="G918" s="147"/>
      <c r="H918" s="240" t="s">
        <v>4215</v>
      </c>
      <c r="I918" s="240" t="s">
        <v>4215</v>
      </c>
      <c r="J918" s="147"/>
      <c r="K918" s="147"/>
      <c r="L918" s="147"/>
      <c r="M918" s="147"/>
      <c r="N918" s="147"/>
      <c r="O918" s="147"/>
      <c r="P918" s="147"/>
      <c r="Q918" s="147"/>
      <c r="R918" s="147"/>
      <c r="S918" s="147"/>
      <c r="T918" s="147"/>
      <c r="U918" s="147"/>
      <c r="V918" s="147"/>
    </row>
    <row r="919">
      <c r="A919" s="240" t="s">
        <v>6740</v>
      </c>
      <c r="B919" s="240" t="s">
        <v>2278</v>
      </c>
      <c r="C919" s="240" t="s">
        <v>2279</v>
      </c>
      <c r="D919" s="240" t="s">
        <v>4138</v>
      </c>
      <c r="E919" s="240" t="s">
        <v>6741</v>
      </c>
      <c r="F919" s="240" t="s">
        <v>4621</v>
      </c>
      <c r="G919" s="147"/>
      <c r="H919" s="240" t="s">
        <v>4215</v>
      </c>
      <c r="I919" s="240" t="s">
        <v>4215</v>
      </c>
      <c r="J919" s="147"/>
      <c r="K919" s="147"/>
      <c r="L919" s="147"/>
      <c r="M919" s="147"/>
      <c r="N919" s="147"/>
      <c r="O919" s="147"/>
      <c r="P919" s="147"/>
      <c r="Q919" s="147"/>
      <c r="R919" s="147"/>
      <c r="S919" s="147"/>
      <c r="T919" s="147"/>
      <c r="U919" s="147"/>
      <c r="V919" s="147"/>
    </row>
    <row r="920">
      <c r="A920" s="240" t="s">
        <v>6742</v>
      </c>
      <c r="B920" s="240" t="s">
        <v>2280</v>
      </c>
      <c r="C920" s="240" t="s">
        <v>2281</v>
      </c>
      <c r="D920" s="240" t="s">
        <v>4177</v>
      </c>
      <c r="E920" s="240" t="s">
        <v>6743</v>
      </c>
      <c r="F920" s="240" t="s">
        <v>4590</v>
      </c>
      <c r="G920" s="147"/>
      <c r="H920" s="240" t="s">
        <v>4215</v>
      </c>
      <c r="I920" s="240" t="s">
        <v>4215</v>
      </c>
      <c r="J920" s="147"/>
      <c r="K920" s="147"/>
      <c r="L920" s="147"/>
      <c r="M920" s="147"/>
      <c r="N920" s="147"/>
      <c r="O920" s="147"/>
      <c r="P920" s="147"/>
      <c r="Q920" s="147"/>
      <c r="R920" s="147"/>
      <c r="S920" s="147"/>
      <c r="T920" s="147"/>
      <c r="U920" s="147"/>
      <c r="V920" s="147"/>
    </row>
    <row r="921">
      <c r="A921" s="240" t="s">
        <v>6744</v>
      </c>
      <c r="B921" s="240" t="s">
        <v>2282</v>
      </c>
      <c r="C921" s="240" t="s">
        <v>2283</v>
      </c>
      <c r="D921" s="240" t="s">
        <v>4179</v>
      </c>
      <c r="E921" s="240" t="s">
        <v>6745</v>
      </c>
      <c r="F921" s="240" t="s">
        <v>4264</v>
      </c>
      <c r="G921" s="147"/>
      <c r="H921" s="240" t="s">
        <v>4215</v>
      </c>
      <c r="I921" s="240" t="s">
        <v>4215</v>
      </c>
      <c r="J921" s="147"/>
      <c r="K921" s="147"/>
      <c r="L921" s="147"/>
      <c r="M921" s="147"/>
      <c r="N921" s="147"/>
      <c r="O921" s="147"/>
      <c r="P921" s="147"/>
      <c r="Q921" s="147"/>
      <c r="R921" s="147"/>
      <c r="S921" s="147"/>
      <c r="T921" s="147"/>
      <c r="U921" s="147"/>
      <c r="V921" s="147"/>
    </row>
    <row r="922">
      <c r="A922" s="240" t="s">
        <v>6746</v>
      </c>
      <c r="B922" s="240" t="s">
        <v>2284</v>
      </c>
      <c r="C922" s="240" t="s">
        <v>2285</v>
      </c>
      <c r="D922" s="240" t="s">
        <v>4159</v>
      </c>
      <c r="E922" s="240" t="s">
        <v>6747</v>
      </c>
      <c r="F922" s="240" t="s">
        <v>4219</v>
      </c>
      <c r="G922" s="147"/>
      <c r="H922" s="240" t="s">
        <v>4215</v>
      </c>
      <c r="I922" s="240" t="s">
        <v>4215</v>
      </c>
      <c r="J922" s="147"/>
      <c r="K922" s="147"/>
      <c r="L922" s="147"/>
      <c r="M922" s="147"/>
      <c r="N922" s="147"/>
      <c r="O922" s="147"/>
      <c r="P922" s="147"/>
      <c r="Q922" s="147"/>
      <c r="R922" s="147"/>
      <c r="S922" s="147"/>
      <c r="T922" s="147"/>
      <c r="U922" s="147"/>
      <c r="V922" s="147"/>
    </row>
    <row r="923">
      <c r="A923" s="240" t="s">
        <v>6748</v>
      </c>
      <c r="B923" s="240" t="s">
        <v>2286</v>
      </c>
      <c r="C923" s="240" t="s">
        <v>2287</v>
      </c>
      <c r="D923" s="240" t="s">
        <v>4150</v>
      </c>
      <c r="E923" s="240" t="s">
        <v>4691</v>
      </c>
      <c r="F923" s="240" t="s">
        <v>4828</v>
      </c>
      <c r="G923" s="147"/>
      <c r="H923" s="240" t="s">
        <v>4215</v>
      </c>
      <c r="I923" s="240" t="s">
        <v>4215</v>
      </c>
      <c r="J923" s="147"/>
      <c r="K923" s="147"/>
      <c r="L923" s="147"/>
      <c r="M923" s="147"/>
      <c r="N923" s="147"/>
      <c r="O923" s="147"/>
      <c r="P923" s="147"/>
      <c r="Q923" s="147"/>
      <c r="R923" s="147"/>
      <c r="S923" s="147"/>
      <c r="T923" s="147"/>
      <c r="U923" s="147"/>
      <c r="V923" s="147"/>
    </row>
    <row r="924">
      <c r="A924" s="240" t="s">
        <v>6749</v>
      </c>
      <c r="B924" s="240" t="s">
        <v>2288</v>
      </c>
      <c r="C924" s="240" t="s">
        <v>2289</v>
      </c>
      <c r="D924" s="240" t="s">
        <v>4107</v>
      </c>
      <c r="E924" s="240" t="s">
        <v>6750</v>
      </c>
      <c r="F924" s="240" t="s">
        <v>4231</v>
      </c>
      <c r="G924" s="147"/>
      <c r="H924" s="240" t="s">
        <v>4215</v>
      </c>
      <c r="I924" s="240" t="s">
        <v>4215</v>
      </c>
      <c r="J924" s="147"/>
      <c r="K924" s="147"/>
      <c r="L924" s="147"/>
      <c r="M924" s="147"/>
      <c r="N924" s="147"/>
      <c r="O924" s="147"/>
      <c r="P924" s="147"/>
      <c r="Q924" s="147"/>
      <c r="R924" s="147"/>
      <c r="S924" s="147"/>
      <c r="T924" s="147"/>
      <c r="U924" s="147"/>
      <c r="V924" s="147"/>
    </row>
    <row r="925">
      <c r="A925" s="240" t="s">
        <v>6751</v>
      </c>
      <c r="B925" s="240" t="s">
        <v>2290</v>
      </c>
      <c r="C925" s="240" t="s">
        <v>2291</v>
      </c>
      <c r="D925" s="240" t="s">
        <v>4160</v>
      </c>
      <c r="E925" s="240" t="s">
        <v>6752</v>
      </c>
      <c r="F925" s="240" t="s">
        <v>4235</v>
      </c>
      <c r="G925" s="147"/>
      <c r="H925" s="240" t="s">
        <v>4215</v>
      </c>
      <c r="I925" s="240" t="s">
        <v>4215</v>
      </c>
      <c r="J925" s="147"/>
      <c r="K925" s="147"/>
      <c r="L925" s="147"/>
      <c r="M925" s="147"/>
      <c r="N925" s="147"/>
      <c r="O925" s="147"/>
      <c r="P925" s="147"/>
      <c r="Q925" s="147"/>
      <c r="R925" s="147"/>
      <c r="S925" s="147"/>
      <c r="T925" s="147"/>
      <c r="U925" s="147"/>
      <c r="V925" s="147"/>
    </row>
    <row r="926">
      <c r="A926" s="240" t="s">
        <v>6753</v>
      </c>
      <c r="B926" s="240" t="s">
        <v>2292</v>
      </c>
      <c r="C926" s="240" t="s">
        <v>2293</v>
      </c>
      <c r="D926" s="240" t="s">
        <v>4185</v>
      </c>
      <c r="E926" s="240" t="s">
        <v>6754</v>
      </c>
      <c r="F926" s="240" t="s">
        <v>4231</v>
      </c>
      <c r="G926" s="147"/>
      <c r="H926" s="240" t="s">
        <v>4215</v>
      </c>
      <c r="I926" s="240" t="s">
        <v>4215</v>
      </c>
      <c r="J926" s="147"/>
      <c r="K926" s="147"/>
      <c r="L926" s="147"/>
      <c r="M926" s="147"/>
      <c r="N926" s="147"/>
      <c r="O926" s="147"/>
      <c r="P926" s="147"/>
      <c r="Q926" s="147"/>
      <c r="R926" s="147"/>
      <c r="S926" s="147"/>
      <c r="T926" s="147"/>
      <c r="U926" s="147"/>
      <c r="V926" s="147"/>
    </row>
    <row r="927">
      <c r="A927" s="240" t="s">
        <v>6755</v>
      </c>
      <c r="B927" s="240" t="s">
        <v>2294</v>
      </c>
      <c r="C927" s="240" t="s">
        <v>2295</v>
      </c>
      <c r="D927" s="240" t="s">
        <v>4163</v>
      </c>
      <c r="E927" s="240" t="s">
        <v>6756</v>
      </c>
      <c r="F927" s="240" t="s">
        <v>4223</v>
      </c>
      <c r="G927" s="147"/>
      <c r="H927" s="240" t="s">
        <v>4215</v>
      </c>
      <c r="I927" s="240" t="s">
        <v>4215</v>
      </c>
      <c r="J927" s="147"/>
      <c r="K927" s="147"/>
      <c r="L927" s="147"/>
      <c r="M927" s="147"/>
      <c r="N927" s="147"/>
      <c r="O927" s="147"/>
      <c r="P927" s="147"/>
      <c r="Q927" s="147"/>
      <c r="R927" s="147"/>
      <c r="S927" s="147"/>
      <c r="T927" s="147"/>
      <c r="U927" s="147"/>
      <c r="V927" s="147"/>
    </row>
    <row r="928">
      <c r="A928" s="240" t="s">
        <v>6757</v>
      </c>
      <c r="B928" s="240" t="s">
        <v>2296</v>
      </c>
      <c r="C928" s="240" t="s">
        <v>2297</v>
      </c>
      <c r="D928" s="240" t="s">
        <v>4118</v>
      </c>
      <c r="E928" s="240" t="s">
        <v>6758</v>
      </c>
      <c r="F928" s="240" t="s">
        <v>4355</v>
      </c>
      <c r="G928" s="147"/>
      <c r="H928" s="240" t="s">
        <v>4215</v>
      </c>
      <c r="I928" s="240" t="s">
        <v>4215</v>
      </c>
      <c r="J928" s="147"/>
      <c r="K928" s="147"/>
      <c r="L928" s="147"/>
      <c r="M928" s="147"/>
      <c r="N928" s="147"/>
      <c r="O928" s="147"/>
      <c r="P928" s="147"/>
      <c r="Q928" s="147"/>
      <c r="R928" s="147"/>
      <c r="S928" s="147"/>
      <c r="T928" s="147"/>
      <c r="U928" s="147"/>
      <c r="V928" s="147"/>
    </row>
    <row r="929">
      <c r="A929" s="240" t="s">
        <v>6759</v>
      </c>
      <c r="B929" s="240" t="s">
        <v>2298</v>
      </c>
      <c r="C929" s="240" t="s">
        <v>2299</v>
      </c>
      <c r="D929" s="240" t="s">
        <v>4176</v>
      </c>
      <c r="E929" s="240" t="s">
        <v>6505</v>
      </c>
      <c r="F929" s="240" t="s">
        <v>4264</v>
      </c>
      <c r="G929" s="147"/>
      <c r="H929" s="240" t="s">
        <v>4215</v>
      </c>
      <c r="I929" s="240" t="s">
        <v>4215</v>
      </c>
      <c r="J929" s="147"/>
      <c r="K929" s="147"/>
      <c r="L929" s="147"/>
      <c r="M929" s="147"/>
      <c r="N929" s="147"/>
      <c r="O929" s="147"/>
      <c r="P929" s="147"/>
      <c r="Q929" s="147"/>
      <c r="R929" s="147"/>
      <c r="S929" s="147"/>
      <c r="T929" s="147"/>
      <c r="U929" s="147"/>
      <c r="V929" s="147"/>
    </row>
    <row r="930">
      <c r="A930" s="240" t="s">
        <v>6760</v>
      </c>
      <c r="B930" s="240" t="s">
        <v>2300</v>
      </c>
      <c r="C930" s="240" t="s">
        <v>2301</v>
      </c>
      <c r="D930" s="240" t="s">
        <v>4135</v>
      </c>
      <c r="E930" s="240" t="s">
        <v>6761</v>
      </c>
      <c r="F930" s="240" t="s">
        <v>4223</v>
      </c>
      <c r="G930" s="147"/>
      <c r="H930" s="147"/>
      <c r="I930" s="147"/>
      <c r="J930" s="147"/>
      <c r="K930" s="147"/>
      <c r="L930" s="147"/>
      <c r="M930" s="147"/>
      <c r="N930" s="147"/>
      <c r="O930" s="147"/>
      <c r="P930" s="147"/>
      <c r="Q930" s="147"/>
      <c r="R930" s="147"/>
      <c r="S930" s="147"/>
      <c r="T930" s="147"/>
      <c r="U930" s="147"/>
      <c r="V930" s="147"/>
    </row>
    <row r="931">
      <c r="A931" s="240" t="s">
        <v>6760</v>
      </c>
      <c r="B931" s="240" t="s">
        <v>2300</v>
      </c>
      <c r="C931" s="240" t="s">
        <v>2301</v>
      </c>
      <c r="D931" s="240" t="s">
        <v>4135</v>
      </c>
      <c r="E931" s="240" t="s">
        <v>6762</v>
      </c>
      <c r="F931" s="240" t="s">
        <v>4621</v>
      </c>
      <c r="G931" s="147"/>
      <c r="H931" s="147"/>
      <c r="I931" s="147"/>
      <c r="J931" s="147"/>
      <c r="K931" s="147"/>
      <c r="L931" s="147"/>
      <c r="M931" s="147"/>
      <c r="N931" s="147"/>
      <c r="O931" s="147"/>
      <c r="P931" s="147"/>
      <c r="Q931" s="147"/>
      <c r="R931" s="147"/>
      <c r="S931" s="147"/>
      <c r="T931" s="147"/>
      <c r="U931" s="147"/>
      <c r="V931" s="147"/>
    </row>
    <row r="932">
      <c r="A932" s="240" t="s">
        <v>6763</v>
      </c>
      <c r="B932" s="240" t="s">
        <v>2302</v>
      </c>
      <c r="C932" s="240" t="s">
        <v>2303</v>
      </c>
      <c r="D932" s="240" t="s">
        <v>4098</v>
      </c>
      <c r="E932" s="240" t="s">
        <v>6764</v>
      </c>
      <c r="F932" s="240" t="s">
        <v>4231</v>
      </c>
      <c r="G932" s="147"/>
      <c r="H932" s="240" t="s">
        <v>4215</v>
      </c>
      <c r="I932" s="240" t="s">
        <v>4215</v>
      </c>
      <c r="J932" s="147"/>
      <c r="K932" s="147"/>
      <c r="L932" s="147"/>
      <c r="M932" s="147"/>
      <c r="N932" s="147"/>
      <c r="O932" s="147"/>
      <c r="P932" s="147"/>
      <c r="Q932" s="147"/>
      <c r="R932" s="147"/>
      <c r="S932" s="147"/>
      <c r="T932" s="147"/>
      <c r="U932" s="147"/>
      <c r="V932" s="147"/>
    </row>
    <row r="933">
      <c r="A933" s="240" t="s">
        <v>6765</v>
      </c>
      <c r="B933" s="240" t="s">
        <v>2304</v>
      </c>
      <c r="C933" s="240" t="s">
        <v>2305</v>
      </c>
      <c r="D933" s="240" t="s">
        <v>4187</v>
      </c>
      <c r="E933" s="240" t="s">
        <v>6703</v>
      </c>
      <c r="F933" s="147"/>
      <c r="G933" s="147"/>
      <c r="H933" s="240" t="s">
        <v>4215</v>
      </c>
      <c r="I933" s="240" t="s">
        <v>4215</v>
      </c>
      <c r="J933" s="147"/>
      <c r="K933" s="147"/>
      <c r="L933" s="147"/>
      <c r="M933" s="147"/>
      <c r="N933" s="147"/>
      <c r="O933" s="147"/>
      <c r="P933" s="147"/>
      <c r="Q933" s="147"/>
      <c r="R933" s="147"/>
      <c r="S933" s="147"/>
      <c r="T933" s="147"/>
      <c r="U933" s="147"/>
      <c r="V933" s="147"/>
    </row>
    <row r="934">
      <c r="A934" s="240" t="s">
        <v>6766</v>
      </c>
      <c r="B934" s="240" t="s">
        <v>2306</v>
      </c>
      <c r="C934" s="240" t="s">
        <v>2307</v>
      </c>
      <c r="D934" s="240" t="s">
        <v>4109</v>
      </c>
      <c r="E934" s="240" t="s">
        <v>6729</v>
      </c>
      <c r="F934" s="240" t="s">
        <v>4235</v>
      </c>
      <c r="G934" s="147"/>
      <c r="H934" s="147"/>
      <c r="I934" s="147"/>
      <c r="J934" s="147"/>
      <c r="K934" s="147"/>
      <c r="L934" s="147"/>
      <c r="M934" s="147"/>
      <c r="N934" s="147"/>
      <c r="O934" s="147"/>
      <c r="P934" s="147"/>
      <c r="Q934" s="147"/>
      <c r="R934" s="147"/>
      <c r="S934" s="147"/>
      <c r="T934" s="147"/>
      <c r="U934" s="147"/>
      <c r="V934" s="147"/>
    </row>
    <row r="935">
      <c r="A935" s="240" t="s">
        <v>6767</v>
      </c>
      <c r="B935" s="240" t="s">
        <v>2308</v>
      </c>
      <c r="C935" s="240" t="s">
        <v>2309</v>
      </c>
      <c r="D935" s="240" t="s">
        <v>4166</v>
      </c>
      <c r="E935" s="240" t="s">
        <v>6768</v>
      </c>
      <c r="F935" s="240" t="s">
        <v>4235</v>
      </c>
      <c r="G935" s="147"/>
      <c r="H935" s="240" t="s">
        <v>4215</v>
      </c>
      <c r="I935" s="240" t="s">
        <v>4215</v>
      </c>
      <c r="J935" s="147"/>
      <c r="K935" s="147"/>
      <c r="L935" s="147"/>
      <c r="M935" s="147"/>
      <c r="N935" s="147"/>
      <c r="O935" s="147"/>
      <c r="P935" s="147"/>
      <c r="Q935" s="147"/>
      <c r="R935" s="147"/>
      <c r="S935" s="147"/>
      <c r="T935" s="147"/>
      <c r="U935" s="147"/>
      <c r="V935" s="147"/>
    </row>
    <row r="936">
      <c r="A936" s="240" t="s">
        <v>6769</v>
      </c>
      <c r="B936" s="240" t="s">
        <v>2310</v>
      </c>
      <c r="C936" s="240" t="s">
        <v>2311</v>
      </c>
      <c r="D936" s="240" t="s">
        <v>4145</v>
      </c>
      <c r="E936" s="240" t="s">
        <v>5550</v>
      </c>
      <c r="F936" s="240" t="s">
        <v>4264</v>
      </c>
      <c r="G936" s="147"/>
      <c r="H936" s="147"/>
      <c r="I936" s="147"/>
      <c r="J936" s="147"/>
      <c r="K936" s="147"/>
      <c r="L936" s="147"/>
      <c r="M936" s="147"/>
      <c r="N936" s="147"/>
      <c r="O936" s="147"/>
      <c r="P936" s="147"/>
      <c r="Q936" s="147"/>
      <c r="R936" s="147"/>
      <c r="S936" s="147"/>
      <c r="T936" s="147"/>
      <c r="U936" s="147"/>
      <c r="V936" s="147"/>
    </row>
    <row r="937">
      <c r="A937" s="240" t="s">
        <v>6770</v>
      </c>
      <c r="B937" s="240" t="s">
        <v>2312</v>
      </c>
      <c r="C937" s="240" t="s">
        <v>2313</v>
      </c>
      <c r="D937" s="240" t="s">
        <v>4169</v>
      </c>
      <c r="E937" s="240" t="s">
        <v>6771</v>
      </c>
      <c r="F937" s="240" t="s">
        <v>4223</v>
      </c>
      <c r="G937" s="147"/>
      <c r="H937" s="240" t="s">
        <v>4215</v>
      </c>
      <c r="I937" s="240" t="s">
        <v>4215</v>
      </c>
      <c r="J937" s="147"/>
      <c r="K937" s="147"/>
      <c r="L937" s="147"/>
      <c r="M937" s="147"/>
      <c r="N937" s="147"/>
      <c r="O937" s="147"/>
      <c r="P937" s="147"/>
      <c r="Q937" s="147"/>
      <c r="R937" s="147"/>
      <c r="S937" s="147"/>
      <c r="T937" s="147"/>
      <c r="U937" s="147"/>
      <c r="V937" s="147"/>
    </row>
    <row r="938">
      <c r="A938" s="240" t="s">
        <v>6772</v>
      </c>
      <c r="B938" s="240" t="s">
        <v>2314</v>
      </c>
      <c r="C938" s="240" t="s">
        <v>2315</v>
      </c>
      <c r="D938" s="240" t="s">
        <v>4125</v>
      </c>
      <c r="E938" s="240" t="s">
        <v>4916</v>
      </c>
      <c r="F938" s="240" t="s">
        <v>4223</v>
      </c>
      <c r="G938" s="147"/>
      <c r="H938" s="240" t="s">
        <v>4215</v>
      </c>
      <c r="I938" s="240" t="s">
        <v>4215</v>
      </c>
      <c r="J938" s="147"/>
      <c r="K938" s="147"/>
      <c r="L938" s="147"/>
      <c r="M938" s="147"/>
      <c r="N938" s="147"/>
      <c r="O938" s="147"/>
      <c r="P938" s="147"/>
      <c r="Q938" s="147"/>
      <c r="R938" s="147"/>
      <c r="S938" s="147"/>
      <c r="T938" s="147"/>
      <c r="U938" s="147"/>
      <c r="V938" s="147"/>
    </row>
    <row r="939">
      <c r="A939" s="240" t="s">
        <v>6773</v>
      </c>
      <c r="B939" s="240" t="s">
        <v>2316</v>
      </c>
      <c r="C939" s="240" t="s">
        <v>2317</v>
      </c>
      <c r="D939" s="240" t="s">
        <v>4165</v>
      </c>
      <c r="E939" s="240" t="s">
        <v>6774</v>
      </c>
      <c r="F939" s="240" t="s">
        <v>4223</v>
      </c>
      <c r="G939" s="147"/>
      <c r="H939" s="240" t="s">
        <v>4215</v>
      </c>
      <c r="I939" s="240" t="s">
        <v>4215</v>
      </c>
      <c r="J939" s="147"/>
      <c r="K939" s="147"/>
      <c r="L939" s="147"/>
      <c r="M939" s="147"/>
      <c r="N939" s="147"/>
      <c r="O939" s="147"/>
      <c r="P939" s="147"/>
      <c r="Q939" s="147"/>
      <c r="R939" s="147"/>
      <c r="S939" s="147"/>
      <c r="T939" s="147"/>
      <c r="U939" s="147"/>
      <c r="V939" s="147"/>
    </row>
    <row r="940">
      <c r="A940" s="240" t="s">
        <v>6775</v>
      </c>
      <c r="B940" s="240" t="s">
        <v>2318</v>
      </c>
      <c r="C940" s="240" t="s">
        <v>2319</v>
      </c>
      <c r="D940" s="240" t="s">
        <v>4174</v>
      </c>
      <c r="E940" s="240" t="s">
        <v>6776</v>
      </c>
      <c r="F940" s="240" t="s">
        <v>4219</v>
      </c>
      <c r="G940" s="147"/>
      <c r="H940" s="240" t="s">
        <v>4215</v>
      </c>
      <c r="I940" s="240" t="s">
        <v>4215</v>
      </c>
      <c r="J940" s="147"/>
      <c r="K940" s="147"/>
      <c r="L940" s="147"/>
      <c r="M940" s="147"/>
      <c r="N940" s="147"/>
      <c r="O940" s="147"/>
      <c r="P940" s="147"/>
      <c r="Q940" s="147"/>
      <c r="R940" s="147"/>
      <c r="S940" s="147"/>
      <c r="T940" s="147"/>
      <c r="U940" s="147"/>
      <c r="V940" s="147"/>
    </row>
    <row r="941">
      <c r="A941" s="240" t="s">
        <v>6777</v>
      </c>
      <c r="B941" s="240" t="s">
        <v>2320</v>
      </c>
      <c r="C941" s="240" t="s">
        <v>2321</v>
      </c>
      <c r="D941" s="240" t="s">
        <v>4121</v>
      </c>
      <c r="E941" s="240" t="s">
        <v>6778</v>
      </c>
      <c r="F941" s="240" t="s">
        <v>4479</v>
      </c>
      <c r="G941" s="147"/>
      <c r="H941" s="240" t="s">
        <v>4215</v>
      </c>
      <c r="I941" s="240" t="s">
        <v>4215</v>
      </c>
      <c r="J941" s="147"/>
      <c r="K941" s="147"/>
      <c r="L941" s="147"/>
      <c r="M941" s="147"/>
      <c r="N941" s="147"/>
      <c r="O941" s="147"/>
      <c r="P941" s="147"/>
      <c r="Q941" s="147"/>
      <c r="R941" s="147"/>
      <c r="S941" s="147"/>
      <c r="T941" s="147"/>
      <c r="U941" s="147"/>
      <c r="V941" s="147"/>
    </row>
    <row r="942">
      <c r="A942" s="240" t="s">
        <v>6779</v>
      </c>
      <c r="B942" s="240" t="s">
        <v>2322</v>
      </c>
      <c r="C942" s="240" t="s">
        <v>2323</v>
      </c>
      <c r="D942" s="240" t="s">
        <v>4155</v>
      </c>
      <c r="E942" s="240" t="s">
        <v>6780</v>
      </c>
      <c r="F942" s="240" t="s">
        <v>4264</v>
      </c>
      <c r="G942" s="147"/>
      <c r="H942" s="240" t="s">
        <v>4215</v>
      </c>
      <c r="I942" s="240" t="s">
        <v>4215</v>
      </c>
      <c r="J942" s="147"/>
      <c r="K942" s="147"/>
      <c r="L942" s="147"/>
      <c r="M942" s="147"/>
      <c r="N942" s="147"/>
      <c r="O942" s="147"/>
      <c r="P942" s="147"/>
      <c r="Q942" s="147"/>
      <c r="R942" s="147"/>
      <c r="S942" s="147"/>
      <c r="T942" s="147"/>
      <c r="U942" s="147"/>
      <c r="V942" s="147"/>
    </row>
    <row r="943">
      <c r="A943" s="240" t="s">
        <v>6781</v>
      </c>
      <c r="B943" s="240" t="s">
        <v>2324</v>
      </c>
      <c r="C943" s="240" t="s">
        <v>2325</v>
      </c>
      <c r="D943" s="240" t="s">
        <v>4106</v>
      </c>
      <c r="E943" s="240" t="s">
        <v>6782</v>
      </c>
      <c r="F943" s="240" t="s">
        <v>4223</v>
      </c>
      <c r="G943" s="147"/>
      <c r="H943" s="240" t="s">
        <v>4215</v>
      </c>
      <c r="I943" s="240" t="s">
        <v>4215</v>
      </c>
      <c r="J943" s="147"/>
      <c r="K943" s="147"/>
      <c r="L943" s="147"/>
      <c r="M943" s="147"/>
      <c r="N943" s="147"/>
      <c r="O943" s="147"/>
      <c r="P943" s="147"/>
      <c r="Q943" s="147"/>
      <c r="R943" s="147"/>
      <c r="S943" s="147"/>
      <c r="T943" s="147"/>
      <c r="U943" s="147"/>
      <c r="V943" s="147"/>
    </row>
    <row r="944">
      <c r="A944" s="240" t="s">
        <v>6783</v>
      </c>
      <c r="B944" s="240" t="s">
        <v>2326</v>
      </c>
      <c r="C944" s="240" t="s">
        <v>2327</v>
      </c>
      <c r="D944" s="240" t="s">
        <v>4134</v>
      </c>
      <c r="E944" s="240" t="s">
        <v>6784</v>
      </c>
      <c r="F944" s="240" t="s">
        <v>4219</v>
      </c>
      <c r="G944" s="147"/>
      <c r="H944" s="147"/>
      <c r="I944" s="147"/>
      <c r="J944" s="147"/>
      <c r="K944" s="147"/>
      <c r="L944" s="147"/>
      <c r="M944" s="147"/>
      <c r="N944" s="147"/>
      <c r="O944" s="147"/>
      <c r="P944" s="147"/>
      <c r="Q944" s="147"/>
      <c r="R944" s="147"/>
      <c r="S944" s="147"/>
      <c r="T944" s="147"/>
      <c r="U944" s="147"/>
      <c r="V944" s="147"/>
    </row>
    <row r="945">
      <c r="A945" s="240" t="s">
        <v>6785</v>
      </c>
      <c r="B945" s="240" t="s">
        <v>2328</v>
      </c>
      <c r="C945" s="240" t="s">
        <v>2329</v>
      </c>
      <c r="D945" s="240" t="s">
        <v>4097</v>
      </c>
      <c r="E945" s="240" t="s">
        <v>6786</v>
      </c>
      <c r="F945" s="240" t="s">
        <v>4355</v>
      </c>
      <c r="G945" s="147"/>
      <c r="H945" s="240" t="s">
        <v>4215</v>
      </c>
      <c r="I945" s="240" t="s">
        <v>4215</v>
      </c>
      <c r="J945" s="147"/>
      <c r="K945" s="147"/>
      <c r="L945" s="147"/>
      <c r="M945" s="147"/>
      <c r="N945" s="147"/>
      <c r="O945" s="147"/>
      <c r="P945" s="147"/>
      <c r="Q945" s="147"/>
      <c r="R945" s="147"/>
      <c r="S945" s="147"/>
      <c r="T945" s="147"/>
      <c r="U945" s="147"/>
      <c r="V945" s="147"/>
    </row>
    <row r="946">
      <c r="A946" s="240" t="s">
        <v>6787</v>
      </c>
      <c r="B946" s="240" t="s">
        <v>2330</v>
      </c>
      <c r="C946" s="240" t="s">
        <v>2331</v>
      </c>
      <c r="D946" s="240" t="s">
        <v>4128</v>
      </c>
      <c r="E946" s="240" t="s">
        <v>6788</v>
      </c>
      <c r="F946" s="240" t="s">
        <v>4227</v>
      </c>
      <c r="G946" s="147"/>
      <c r="H946" s="240" t="s">
        <v>4215</v>
      </c>
      <c r="I946" s="240" t="s">
        <v>4215</v>
      </c>
      <c r="J946" s="147"/>
      <c r="K946" s="147"/>
      <c r="L946" s="147"/>
      <c r="M946" s="147"/>
      <c r="N946" s="147"/>
      <c r="O946" s="147"/>
      <c r="P946" s="147"/>
      <c r="Q946" s="147"/>
      <c r="R946" s="147"/>
      <c r="S946" s="147"/>
      <c r="T946" s="147"/>
      <c r="U946" s="147"/>
      <c r="V946" s="147"/>
    </row>
    <row r="947">
      <c r="A947" s="240" t="s">
        <v>6789</v>
      </c>
      <c r="B947" s="240" t="s">
        <v>2332</v>
      </c>
      <c r="C947" s="240" t="s">
        <v>2333</v>
      </c>
      <c r="D947" s="240" t="s">
        <v>4130</v>
      </c>
      <c r="E947" s="240" t="s">
        <v>6790</v>
      </c>
      <c r="F947" s="240" t="s">
        <v>4235</v>
      </c>
      <c r="G947" s="147"/>
      <c r="H947" s="240" t="s">
        <v>4215</v>
      </c>
      <c r="I947" s="240" t="s">
        <v>4215</v>
      </c>
      <c r="J947" s="147"/>
      <c r="K947" s="147"/>
      <c r="L947" s="147"/>
      <c r="M947" s="147"/>
      <c r="N947" s="147"/>
      <c r="O947" s="147"/>
      <c r="P947" s="147"/>
      <c r="Q947" s="147"/>
      <c r="R947" s="147"/>
      <c r="S947" s="147"/>
      <c r="T947" s="147"/>
      <c r="U947" s="147"/>
      <c r="V947" s="147"/>
    </row>
    <row r="948">
      <c r="A948" s="240" t="s">
        <v>6791</v>
      </c>
      <c r="B948" s="240" t="s">
        <v>2334</v>
      </c>
      <c r="C948" s="240" t="s">
        <v>2335</v>
      </c>
      <c r="D948" s="240" t="s">
        <v>4117</v>
      </c>
      <c r="E948" s="240" t="s">
        <v>6705</v>
      </c>
      <c r="F948" s="240" t="s">
        <v>4223</v>
      </c>
      <c r="G948" s="147"/>
      <c r="H948" s="240" t="s">
        <v>4215</v>
      </c>
      <c r="I948" s="240" t="s">
        <v>4215</v>
      </c>
      <c r="J948" s="147"/>
      <c r="K948" s="147"/>
      <c r="L948" s="147"/>
      <c r="M948" s="147"/>
      <c r="N948" s="147"/>
      <c r="O948" s="147"/>
      <c r="P948" s="147"/>
      <c r="Q948" s="147"/>
      <c r="R948" s="147"/>
      <c r="S948" s="147"/>
      <c r="T948" s="147"/>
      <c r="U948" s="147"/>
      <c r="V948" s="147"/>
    </row>
    <row r="949">
      <c r="A949" s="240" t="s">
        <v>6792</v>
      </c>
      <c r="B949" s="240" t="s">
        <v>2336</v>
      </c>
      <c r="C949" s="240" t="s">
        <v>2337</v>
      </c>
      <c r="D949" s="240" t="s">
        <v>4178</v>
      </c>
      <c r="E949" s="240" t="s">
        <v>6793</v>
      </c>
      <c r="F949" s="240" t="s">
        <v>4355</v>
      </c>
      <c r="G949" s="147"/>
      <c r="H949" s="240" t="s">
        <v>4215</v>
      </c>
      <c r="I949" s="240" t="s">
        <v>4215</v>
      </c>
      <c r="J949" s="147"/>
      <c r="K949" s="147"/>
      <c r="L949" s="147"/>
      <c r="M949" s="147"/>
      <c r="N949" s="147"/>
      <c r="O949" s="147"/>
      <c r="P949" s="147"/>
      <c r="Q949" s="147"/>
      <c r="R949" s="147"/>
      <c r="S949" s="147"/>
      <c r="T949" s="147"/>
      <c r="U949" s="147"/>
      <c r="V949" s="147"/>
    </row>
    <row r="950">
      <c r="A950" s="240" t="s">
        <v>6794</v>
      </c>
      <c r="B950" s="240" t="s">
        <v>2338</v>
      </c>
      <c r="C950" s="240" t="s">
        <v>2339</v>
      </c>
      <c r="D950" s="240" t="s">
        <v>4144</v>
      </c>
      <c r="E950" s="240" t="s">
        <v>6795</v>
      </c>
      <c r="F950" s="240" t="s">
        <v>4223</v>
      </c>
      <c r="G950" s="147"/>
      <c r="H950" s="240" t="s">
        <v>4215</v>
      </c>
      <c r="I950" s="240" t="s">
        <v>4215</v>
      </c>
      <c r="J950" s="147"/>
      <c r="K950" s="147"/>
      <c r="L950" s="147"/>
      <c r="M950" s="147"/>
      <c r="N950" s="147"/>
      <c r="O950" s="147"/>
      <c r="P950" s="147"/>
      <c r="Q950" s="147"/>
      <c r="R950" s="147"/>
      <c r="S950" s="147"/>
      <c r="T950" s="147"/>
      <c r="U950" s="147"/>
      <c r="V950" s="147"/>
    </row>
    <row r="951">
      <c r="A951" s="240" t="s">
        <v>6796</v>
      </c>
      <c r="B951" s="240" t="s">
        <v>2340</v>
      </c>
      <c r="C951" s="240" t="s">
        <v>2341</v>
      </c>
      <c r="D951" s="240" t="s">
        <v>4147</v>
      </c>
      <c r="E951" s="240" t="s">
        <v>6768</v>
      </c>
      <c r="F951" s="240" t="s">
        <v>4231</v>
      </c>
      <c r="G951" s="147"/>
      <c r="H951" s="240" t="s">
        <v>4215</v>
      </c>
      <c r="I951" s="240" t="s">
        <v>4215</v>
      </c>
      <c r="J951" s="147"/>
      <c r="K951" s="147"/>
      <c r="L951" s="147"/>
      <c r="M951" s="147"/>
      <c r="N951" s="147"/>
      <c r="O951" s="147"/>
      <c r="P951" s="147"/>
      <c r="Q951" s="147"/>
      <c r="R951" s="147"/>
      <c r="S951" s="147"/>
      <c r="T951" s="147"/>
      <c r="U951" s="147"/>
      <c r="V951" s="147"/>
    </row>
    <row r="952">
      <c r="A952" s="240" t="s">
        <v>6797</v>
      </c>
      <c r="B952" s="240" t="s">
        <v>2342</v>
      </c>
      <c r="C952" s="240" t="s">
        <v>2343</v>
      </c>
      <c r="D952" s="240" t="s">
        <v>4124</v>
      </c>
      <c r="E952" s="240" t="s">
        <v>6798</v>
      </c>
      <c r="F952" s="240" t="s">
        <v>4227</v>
      </c>
      <c r="G952" s="147"/>
      <c r="H952" s="240" t="s">
        <v>4215</v>
      </c>
      <c r="I952" s="240" t="s">
        <v>4215</v>
      </c>
      <c r="J952" s="147"/>
      <c r="K952" s="147"/>
      <c r="L952" s="147"/>
      <c r="M952" s="147"/>
      <c r="N952" s="147"/>
      <c r="O952" s="147"/>
      <c r="P952" s="147"/>
      <c r="Q952" s="147"/>
      <c r="R952" s="147"/>
      <c r="S952" s="147"/>
      <c r="T952" s="147"/>
      <c r="U952" s="147"/>
      <c r="V952" s="147"/>
    </row>
    <row r="953">
      <c r="A953" s="240" t="s">
        <v>6799</v>
      </c>
      <c r="B953" s="240" t="s">
        <v>2344</v>
      </c>
      <c r="C953" s="240" t="s">
        <v>2345</v>
      </c>
      <c r="D953" s="240" t="s">
        <v>4132</v>
      </c>
      <c r="E953" s="240" t="s">
        <v>6699</v>
      </c>
      <c r="F953" s="240" t="s">
        <v>4219</v>
      </c>
      <c r="G953" s="147"/>
      <c r="H953" s="240" t="s">
        <v>4215</v>
      </c>
      <c r="I953" s="240" t="s">
        <v>4215</v>
      </c>
      <c r="J953" s="147"/>
      <c r="K953" s="147"/>
      <c r="L953" s="147"/>
      <c r="M953" s="147"/>
      <c r="N953" s="147"/>
      <c r="O953" s="147"/>
      <c r="P953" s="147"/>
      <c r="Q953" s="147"/>
      <c r="R953" s="147"/>
      <c r="S953" s="147"/>
      <c r="T953" s="147"/>
      <c r="U953" s="147"/>
      <c r="V953" s="147"/>
    </row>
    <row r="954">
      <c r="A954" s="240" t="s">
        <v>6800</v>
      </c>
      <c r="B954" s="240" t="s">
        <v>2346</v>
      </c>
      <c r="C954" s="240" t="s">
        <v>2347</v>
      </c>
      <c r="D954" s="240" t="s">
        <v>4190</v>
      </c>
      <c r="E954" s="240" t="s">
        <v>6801</v>
      </c>
      <c r="F954" s="240" t="s">
        <v>4235</v>
      </c>
      <c r="G954" s="147"/>
      <c r="H954" s="240" t="s">
        <v>4215</v>
      </c>
      <c r="I954" s="240" t="s">
        <v>4215</v>
      </c>
      <c r="J954" s="147"/>
      <c r="K954" s="147"/>
      <c r="L954" s="147"/>
      <c r="M954" s="147"/>
      <c r="N954" s="147"/>
      <c r="O954" s="147"/>
      <c r="P954" s="147"/>
      <c r="Q954" s="147"/>
      <c r="R954" s="147"/>
      <c r="S954" s="147"/>
      <c r="T954" s="147"/>
      <c r="U954" s="147"/>
      <c r="V954" s="147"/>
    </row>
    <row r="955">
      <c r="A955" s="240" t="s">
        <v>6802</v>
      </c>
      <c r="B955" s="240" t="s">
        <v>2348</v>
      </c>
      <c r="C955" s="240" t="s">
        <v>2349</v>
      </c>
      <c r="D955" s="240" t="s">
        <v>4180</v>
      </c>
      <c r="E955" s="240" t="s">
        <v>6651</v>
      </c>
      <c r="F955" s="240" t="s">
        <v>4349</v>
      </c>
      <c r="G955" s="147"/>
      <c r="H955" s="240" t="s">
        <v>4215</v>
      </c>
      <c r="I955" s="147"/>
      <c r="J955" s="147"/>
      <c r="K955" s="147"/>
      <c r="L955" s="147"/>
      <c r="M955" s="147"/>
      <c r="N955" s="147"/>
      <c r="O955" s="147"/>
      <c r="P955" s="147"/>
      <c r="Q955" s="147"/>
      <c r="R955" s="147"/>
      <c r="S955" s="147"/>
      <c r="T955" s="147"/>
      <c r="U955" s="147"/>
      <c r="V955" s="147"/>
    </row>
    <row r="956">
      <c r="A956" s="240" t="s">
        <v>6803</v>
      </c>
      <c r="B956" s="240" t="s">
        <v>2350</v>
      </c>
      <c r="C956" s="240" t="s">
        <v>2351</v>
      </c>
      <c r="D956" s="240" t="s">
        <v>4173</v>
      </c>
      <c r="E956" s="240" t="s">
        <v>6027</v>
      </c>
      <c r="F956" s="240" t="s">
        <v>4264</v>
      </c>
      <c r="G956" s="147"/>
      <c r="H956" s="240" t="s">
        <v>4215</v>
      </c>
      <c r="I956" s="240" t="s">
        <v>4215</v>
      </c>
      <c r="J956" s="147"/>
      <c r="K956" s="147"/>
      <c r="L956" s="147"/>
      <c r="M956" s="147"/>
      <c r="N956" s="147"/>
      <c r="O956" s="147"/>
      <c r="P956" s="147"/>
      <c r="Q956" s="147"/>
      <c r="R956" s="147"/>
      <c r="S956" s="147"/>
      <c r="T956" s="147"/>
      <c r="U956" s="147"/>
      <c r="V956" s="147"/>
    </row>
    <row r="957">
      <c r="A957" s="240" t="s">
        <v>6804</v>
      </c>
      <c r="B957" s="240" t="s">
        <v>2352</v>
      </c>
      <c r="C957" s="240" t="s">
        <v>2353</v>
      </c>
      <c r="D957" s="240" t="s">
        <v>4171</v>
      </c>
      <c r="E957" s="240" t="s">
        <v>6805</v>
      </c>
      <c r="F957" s="240" t="s">
        <v>4231</v>
      </c>
      <c r="G957" s="147"/>
      <c r="H957" s="240" t="s">
        <v>4215</v>
      </c>
      <c r="I957" s="240" t="s">
        <v>4215</v>
      </c>
      <c r="J957" s="147"/>
      <c r="K957" s="147"/>
      <c r="L957" s="147"/>
      <c r="M957" s="147"/>
      <c r="N957" s="147"/>
      <c r="O957" s="147"/>
      <c r="P957" s="147"/>
      <c r="Q957" s="147"/>
      <c r="R957" s="147"/>
      <c r="S957" s="147"/>
      <c r="T957" s="147"/>
      <c r="U957" s="147"/>
      <c r="V957" s="147"/>
    </row>
    <row r="958">
      <c r="A958" s="240" t="s">
        <v>6806</v>
      </c>
      <c r="B958" s="240" t="s">
        <v>2354</v>
      </c>
      <c r="C958" s="240" t="s">
        <v>2355</v>
      </c>
      <c r="D958" s="240" t="s">
        <v>4141</v>
      </c>
      <c r="E958" s="240" t="s">
        <v>4520</v>
      </c>
      <c r="F958" s="240" t="s">
        <v>4264</v>
      </c>
      <c r="G958" s="147"/>
      <c r="H958" s="240" t="s">
        <v>4215</v>
      </c>
      <c r="I958" s="240" t="s">
        <v>4215</v>
      </c>
      <c r="J958" s="147"/>
      <c r="K958" s="147"/>
      <c r="L958" s="147"/>
      <c r="M958" s="147"/>
      <c r="N958" s="147"/>
      <c r="O958" s="147"/>
      <c r="P958" s="147"/>
      <c r="Q958" s="147"/>
      <c r="R958" s="147"/>
      <c r="S958" s="147"/>
      <c r="T958" s="147"/>
      <c r="U958" s="147"/>
      <c r="V958" s="147"/>
    </row>
    <row r="959">
      <c r="A959" s="240" t="s">
        <v>6807</v>
      </c>
      <c r="B959" s="240" t="s">
        <v>2356</v>
      </c>
      <c r="C959" s="240" t="s">
        <v>2357</v>
      </c>
      <c r="D959" s="240" t="s">
        <v>4143</v>
      </c>
      <c r="E959" s="240" t="s">
        <v>6808</v>
      </c>
      <c r="F959" s="240" t="s">
        <v>4223</v>
      </c>
      <c r="G959" s="147"/>
      <c r="H959" s="240" t="s">
        <v>4215</v>
      </c>
      <c r="I959" s="240" t="s">
        <v>4215</v>
      </c>
      <c r="J959" s="147"/>
      <c r="K959" s="147"/>
      <c r="L959" s="147"/>
      <c r="M959" s="147"/>
      <c r="N959" s="147"/>
      <c r="O959" s="147"/>
      <c r="P959" s="147"/>
      <c r="Q959" s="147"/>
      <c r="R959" s="147"/>
      <c r="S959" s="147"/>
      <c r="T959" s="147"/>
      <c r="U959" s="147"/>
      <c r="V959" s="147"/>
    </row>
    <row r="960">
      <c r="A960" s="240" t="s">
        <v>6809</v>
      </c>
      <c r="B960" s="240" t="s">
        <v>2358</v>
      </c>
      <c r="C960" s="240" t="s">
        <v>2359</v>
      </c>
      <c r="D960" s="240" t="s">
        <v>6810</v>
      </c>
      <c r="E960" s="240" t="s">
        <v>6811</v>
      </c>
      <c r="F960" s="240" t="s">
        <v>4235</v>
      </c>
      <c r="G960" s="147"/>
      <c r="H960" s="240" t="s">
        <v>4215</v>
      </c>
      <c r="I960" s="240" t="s">
        <v>4215</v>
      </c>
      <c r="J960" s="147"/>
      <c r="K960" s="147"/>
      <c r="L960" s="147"/>
      <c r="M960" s="147"/>
      <c r="N960" s="147"/>
      <c r="O960" s="147"/>
      <c r="P960" s="147"/>
      <c r="Q960" s="147"/>
      <c r="R960" s="147"/>
      <c r="S960" s="147"/>
      <c r="T960" s="147"/>
      <c r="U960" s="147"/>
      <c r="V960" s="147"/>
    </row>
    <row r="961">
      <c r="A961" s="240" t="s">
        <v>6812</v>
      </c>
      <c r="B961" s="240" t="s">
        <v>2360</v>
      </c>
      <c r="C961" s="240" t="s">
        <v>2361</v>
      </c>
      <c r="D961" s="240" t="s">
        <v>6813</v>
      </c>
      <c r="E961" s="240" t="s">
        <v>6814</v>
      </c>
      <c r="F961" s="147"/>
      <c r="G961" s="147"/>
      <c r="H961" s="147"/>
      <c r="I961" s="147"/>
      <c r="J961" s="147"/>
      <c r="K961" s="147"/>
      <c r="L961" s="147"/>
      <c r="M961" s="147"/>
      <c r="N961" s="147"/>
      <c r="O961" s="147"/>
      <c r="P961" s="147"/>
      <c r="Q961" s="147"/>
      <c r="R961" s="147"/>
      <c r="S961" s="147"/>
      <c r="T961" s="147"/>
      <c r="U961" s="147"/>
      <c r="V961" s="147"/>
    </row>
    <row r="962">
      <c r="A962" s="240" t="s">
        <v>6815</v>
      </c>
      <c r="B962" s="240" t="s">
        <v>2362</v>
      </c>
      <c r="C962" s="240" t="s">
        <v>2363</v>
      </c>
      <c r="D962" s="240" t="s">
        <v>6816</v>
      </c>
      <c r="E962" s="240" t="s">
        <v>6817</v>
      </c>
      <c r="F962" s="147"/>
      <c r="G962" s="147"/>
      <c r="H962" s="147"/>
      <c r="I962" s="147"/>
      <c r="J962" s="147"/>
      <c r="K962" s="147"/>
      <c r="L962" s="147"/>
      <c r="M962" s="147"/>
      <c r="N962" s="147"/>
      <c r="O962" s="147"/>
      <c r="P962" s="147"/>
      <c r="Q962" s="147"/>
      <c r="R962" s="147"/>
      <c r="S962" s="147"/>
      <c r="T962" s="147"/>
      <c r="U962" s="147"/>
      <c r="V962" s="147"/>
    </row>
    <row r="963">
      <c r="A963" s="147"/>
      <c r="B963" s="147"/>
      <c r="C963" s="147"/>
      <c r="D963" s="147"/>
      <c r="E963" s="147"/>
      <c r="F963" s="147"/>
      <c r="G963" s="147"/>
      <c r="H963" s="147"/>
      <c r="I963" s="147"/>
      <c r="J963" s="147"/>
      <c r="K963" s="147"/>
      <c r="L963" s="147"/>
      <c r="M963" s="147"/>
      <c r="N963" s="147"/>
      <c r="O963" s="147"/>
      <c r="P963" s="147"/>
      <c r="Q963" s="147"/>
      <c r="R963" s="147"/>
      <c r="S963" s="147"/>
      <c r="T963" s="147"/>
      <c r="U963" s="147"/>
      <c r="V963" s="147"/>
    </row>
    <row r="964">
      <c r="A964" s="147"/>
      <c r="B964" s="147"/>
      <c r="C964" s="147"/>
      <c r="D964" s="147"/>
      <c r="E964" s="147"/>
      <c r="F964" s="147"/>
      <c r="G964" s="147"/>
      <c r="H964" s="147"/>
      <c r="I964" s="147"/>
      <c r="J964" s="147"/>
      <c r="K964" s="147"/>
      <c r="L964" s="147"/>
      <c r="M964" s="147"/>
      <c r="N964" s="147"/>
      <c r="O964" s="147"/>
      <c r="P964" s="147"/>
      <c r="Q964" s="147"/>
      <c r="R964" s="147"/>
      <c r="S964" s="147"/>
      <c r="T964" s="147"/>
      <c r="U964" s="147"/>
      <c r="V964" s="147"/>
    </row>
    <row r="965">
      <c r="A965" s="147"/>
      <c r="B965" s="147"/>
      <c r="C965" s="147"/>
      <c r="D965" s="147"/>
      <c r="E965" s="147"/>
      <c r="F965" s="147"/>
      <c r="G965" s="147"/>
      <c r="H965" s="147"/>
      <c r="I965" s="147"/>
      <c r="J965" s="147"/>
      <c r="K965" s="147"/>
      <c r="L965" s="147"/>
      <c r="M965" s="147"/>
      <c r="N965" s="147"/>
      <c r="O965" s="147"/>
      <c r="P965" s="147"/>
      <c r="Q965" s="147"/>
      <c r="R965" s="147"/>
      <c r="S965" s="147"/>
      <c r="T965" s="147"/>
      <c r="U965" s="147"/>
      <c r="V965" s="147"/>
    </row>
    <row r="966">
      <c r="A966" s="147"/>
      <c r="B966" s="147"/>
      <c r="C966" s="147"/>
      <c r="D966" s="147"/>
      <c r="E966" s="147"/>
      <c r="F966" s="147"/>
      <c r="G966" s="147"/>
      <c r="H966" s="147"/>
      <c r="I966" s="147"/>
      <c r="J966" s="147"/>
      <c r="K966" s="147"/>
      <c r="L966" s="147"/>
      <c r="M966" s="147"/>
      <c r="N966" s="147"/>
      <c r="O966" s="147"/>
      <c r="P966" s="147"/>
      <c r="Q966" s="147"/>
      <c r="R966" s="147"/>
      <c r="S966" s="147"/>
      <c r="T966" s="147"/>
      <c r="U966" s="147"/>
      <c r="V966" s="147"/>
    </row>
    <row r="967">
      <c r="A967" s="147"/>
      <c r="B967" s="147"/>
      <c r="C967" s="147"/>
      <c r="D967" s="147"/>
      <c r="E967" s="147"/>
      <c r="F967" s="147"/>
      <c r="G967" s="147"/>
      <c r="H967" s="147"/>
      <c r="I967" s="147"/>
      <c r="J967" s="147"/>
      <c r="K967" s="147"/>
      <c r="L967" s="147"/>
      <c r="M967" s="147"/>
      <c r="N967" s="147"/>
      <c r="O967" s="147"/>
      <c r="P967" s="147"/>
      <c r="Q967" s="147"/>
      <c r="R967" s="147"/>
      <c r="S967" s="147"/>
      <c r="T967" s="147"/>
      <c r="U967" s="147"/>
      <c r="V967" s="147"/>
    </row>
    <row r="968">
      <c r="A968" s="147"/>
      <c r="B968" s="147"/>
      <c r="C968" s="147"/>
      <c r="D968" s="147"/>
      <c r="E968" s="147"/>
      <c r="F968" s="147"/>
      <c r="G968" s="147"/>
      <c r="H968" s="147"/>
      <c r="I968" s="147"/>
      <c r="J968" s="147"/>
      <c r="K968" s="147"/>
      <c r="L968" s="147"/>
      <c r="M968" s="147"/>
      <c r="N968" s="147"/>
      <c r="O968" s="147"/>
      <c r="P968" s="147"/>
      <c r="Q968" s="147"/>
      <c r="R968" s="147"/>
      <c r="S968" s="147"/>
      <c r="T968" s="147"/>
      <c r="U968" s="147"/>
      <c r="V968" s="147"/>
    </row>
    <row r="969">
      <c r="A969" s="147"/>
      <c r="B969" s="147"/>
      <c r="C969" s="147"/>
      <c r="D969" s="147"/>
      <c r="E969" s="147"/>
      <c r="F969" s="147"/>
      <c r="G969" s="147"/>
      <c r="H969" s="147"/>
      <c r="I969" s="147"/>
      <c r="J969" s="147"/>
      <c r="K969" s="147"/>
      <c r="L969" s="147"/>
      <c r="M969" s="147"/>
      <c r="N969" s="147"/>
      <c r="O969" s="147"/>
      <c r="P969" s="147"/>
      <c r="Q969" s="147"/>
      <c r="R969" s="147"/>
      <c r="S969" s="147"/>
      <c r="T969" s="147"/>
      <c r="U969" s="147"/>
      <c r="V969" s="147"/>
    </row>
    <row r="970">
      <c r="A970" s="147"/>
      <c r="B970" s="147"/>
      <c r="C970" s="147"/>
      <c r="D970" s="147"/>
      <c r="E970" s="147"/>
      <c r="F970" s="147"/>
      <c r="G970" s="147"/>
      <c r="H970" s="147"/>
      <c r="I970" s="147"/>
      <c r="J970" s="147"/>
      <c r="K970" s="147"/>
      <c r="L970" s="147"/>
      <c r="M970" s="147"/>
      <c r="N970" s="147"/>
      <c r="O970" s="147"/>
      <c r="P970" s="147"/>
      <c r="Q970" s="147"/>
      <c r="R970" s="147"/>
      <c r="S970" s="147"/>
      <c r="T970" s="147"/>
      <c r="U970" s="147"/>
      <c r="V970" s="147"/>
    </row>
    <row r="971">
      <c r="A971" s="147"/>
      <c r="B971" s="147"/>
      <c r="C971" s="147"/>
      <c r="D971" s="147"/>
      <c r="E971" s="147"/>
      <c r="F971" s="147"/>
      <c r="G971" s="147"/>
      <c r="H971" s="147"/>
      <c r="I971" s="147"/>
      <c r="J971" s="147"/>
      <c r="K971" s="147"/>
      <c r="L971" s="147"/>
      <c r="M971" s="147"/>
      <c r="N971" s="147"/>
      <c r="O971" s="147"/>
      <c r="P971" s="147"/>
      <c r="Q971" s="147"/>
      <c r="R971" s="147"/>
      <c r="S971" s="147"/>
      <c r="T971" s="147"/>
      <c r="U971" s="147"/>
      <c r="V971" s="147"/>
    </row>
    <row r="972">
      <c r="A972" s="147"/>
      <c r="B972" s="147"/>
      <c r="C972" s="147"/>
      <c r="D972" s="147"/>
      <c r="E972" s="147"/>
      <c r="F972" s="147"/>
      <c r="G972" s="147"/>
      <c r="H972" s="147"/>
      <c r="I972" s="147"/>
      <c r="J972" s="147"/>
      <c r="K972" s="147"/>
      <c r="L972" s="147"/>
      <c r="M972" s="147"/>
      <c r="N972" s="147"/>
      <c r="O972" s="147"/>
      <c r="P972" s="147"/>
      <c r="Q972" s="147"/>
      <c r="R972" s="147"/>
      <c r="S972" s="147"/>
      <c r="T972" s="147"/>
      <c r="U972" s="147"/>
      <c r="V972" s="147"/>
    </row>
    <row r="973">
      <c r="A973" s="147"/>
      <c r="B973" s="147"/>
      <c r="C973" s="147"/>
      <c r="D973" s="147"/>
      <c r="E973" s="147"/>
      <c r="F973" s="147"/>
      <c r="G973" s="147"/>
      <c r="H973" s="147"/>
      <c r="I973" s="147"/>
      <c r="J973" s="147"/>
      <c r="K973" s="147"/>
      <c r="L973" s="147"/>
      <c r="M973" s="147"/>
      <c r="N973" s="147"/>
      <c r="O973" s="147"/>
      <c r="P973" s="147"/>
      <c r="Q973" s="147"/>
      <c r="R973" s="147"/>
      <c r="S973" s="147"/>
      <c r="T973" s="147"/>
      <c r="U973" s="147"/>
      <c r="V973" s="147"/>
    </row>
    <row r="974">
      <c r="A974" s="147"/>
      <c r="B974" s="147"/>
      <c r="C974" s="147"/>
      <c r="D974" s="147"/>
      <c r="E974" s="147"/>
      <c r="F974" s="147"/>
      <c r="G974" s="147"/>
      <c r="H974" s="147"/>
      <c r="I974" s="147"/>
      <c r="J974" s="147"/>
      <c r="K974" s="147"/>
      <c r="L974" s="147"/>
      <c r="M974" s="147"/>
      <c r="N974" s="147"/>
      <c r="O974" s="147"/>
      <c r="P974" s="147"/>
      <c r="Q974" s="147"/>
      <c r="R974" s="147"/>
      <c r="S974" s="147"/>
      <c r="T974" s="147"/>
      <c r="U974" s="147"/>
      <c r="V974" s="147"/>
    </row>
    <row r="975">
      <c r="A975" s="147"/>
      <c r="B975" s="147"/>
      <c r="C975" s="147"/>
      <c r="D975" s="147"/>
      <c r="E975" s="147"/>
      <c r="F975" s="147"/>
      <c r="G975" s="147"/>
      <c r="H975" s="147"/>
      <c r="I975" s="147"/>
      <c r="J975" s="147"/>
      <c r="K975" s="147"/>
      <c r="L975" s="147"/>
      <c r="M975" s="147"/>
      <c r="N975" s="147"/>
      <c r="O975" s="147"/>
      <c r="P975" s="147"/>
      <c r="Q975" s="147"/>
      <c r="R975" s="147"/>
      <c r="S975" s="147"/>
      <c r="T975" s="147"/>
      <c r="U975" s="147"/>
      <c r="V975" s="147"/>
    </row>
    <row r="976">
      <c r="A976" s="147"/>
      <c r="B976" s="147"/>
      <c r="C976" s="147"/>
      <c r="D976" s="147"/>
      <c r="E976" s="147"/>
      <c r="F976" s="147"/>
      <c r="G976" s="147"/>
      <c r="H976" s="147"/>
      <c r="I976" s="147"/>
      <c r="J976" s="147"/>
      <c r="K976" s="147"/>
      <c r="L976" s="147"/>
      <c r="M976" s="147"/>
      <c r="N976" s="147"/>
      <c r="O976" s="147"/>
      <c r="P976" s="147"/>
      <c r="Q976" s="147"/>
      <c r="R976" s="147"/>
      <c r="S976" s="147"/>
      <c r="T976" s="147"/>
      <c r="U976" s="147"/>
      <c r="V976" s="147"/>
    </row>
    <row r="977">
      <c r="A977" s="147"/>
      <c r="B977" s="147"/>
      <c r="C977" s="147"/>
      <c r="D977" s="147"/>
      <c r="E977" s="147"/>
      <c r="F977" s="147"/>
      <c r="G977" s="147"/>
      <c r="H977" s="147"/>
      <c r="I977" s="147"/>
      <c r="J977" s="147"/>
      <c r="K977" s="147"/>
      <c r="L977" s="147"/>
      <c r="M977" s="147"/>
      <c r="N977" s="147"/>
      <c r="O977" s="147"/>
      <c r="P977" s="147"/>
      <c r="Q977" s="147"/>
      <c r="R977" s="147"/>
      <c r="S977" s="147"/>
      <c r="T977" s="147"/>
      <c r="U977" s="147"/>
      <c r="V977" s="147"/>
    </row>
    <row r="978">
      <c r="A978" s="147"/>
      <c r="B978" s="147"/>
      <c r="C978" s="147"/>
      <c r="D978" s="147"/>
      <c r="E978" s="147"/>
      <c r="F978" s="147"/>
      <c r="G978" s="147"/>
      <c r="H978" s="147"/>
      <c r="I978" s="147"/>
      <c r="J978" s="147"/>
      <c r="K978" s="147"/>
      <c r="L978" s="147"/>
      <c r="M978" s="147"/>
      <c r="N978" s="147"/>
      <c r="O978" s="147"/>
      <c r="P978" s="147"/>
      <c r="Q978" s="147"/>
      <c r="R978" s="147"/>
      <c r="S978" s="147"/>
      <c r="T978" s="147"/>
      <c r="U978" s="147"/>
      <c r="V978" s="147"/>
    </row>
    <row r="979">
      <c r="A979" s="147"/>
      <c r="B979" s="147"/>
      <c r="C979" s="147"/>
      <c r="D979" s="147"/>
      <c r="E979" s="147"/>
      <c r="F979" s="147"/>
      <c r="G979" s="147"/>
      <c r="H979" s="147"/>
      <c r="I979" s="147"/>
      <c r="J979" s="147"/>
      <c r="K979" s="147"/>
      <c r="L979" s="147"/>
      <c r="M979" s="147"/>
      <c r="N979" s="147"/>
      <c r="O979" s="147"/>
      <c r="P979" s="147"/>
      <c r="Q979" s="147"/>
      <c r="R979" s="147"/>
      <c r="S979" s="147"/>
      <c r="T979" s="147"/>
      <c r="U979" s="147"/>
      <c r="V979" s="147"/>
    </row>
    <row r="980">
      <c r="A980" s="147"/>
      <c r="B980" s="147"/>
      <c r="C980" s="147"/>
      <c r="D980" s="147"/>
      <c r="E980" s="147"/>
      <c r="F980" s="147"/>
      <c r="G980" s="147"/>
      <c r="H980" s="147"/>
      <c r="I980" s="147"/>
      <c r="J980" s="147"/>
      <c r="K980" s="147"/>
      <c r="L980" s="147"/>
      <c r="M980" s="147"/>
      <c r="N980" s="147"/>
      <c r="O980" s="147"/>
      <c r="P980" s="147"/>
      <c r="Q980" s="147"/>
      <c r="R980" s="147"/>
      <c r="S980" s="147"/>
      <c r="T980" s="147"/>
      <c r="U980" s="147"/>
      <c r="V980" s="147"/>
    </row>
    <row r="981">
      <c r="A981" s="147"/>
      <c r="B981" s="147"/>
      <c r="C981" s="147"/>
      <c r="D981" s="147"/>
      <c r="E981" s="147"/>
      <c r="F981" s="147"/>
      <c r="G981" s="147"/>
      <c r="H981" s="147"/>
      <c r="I981" s="147"/>
      <c r="J981" s="147"/>
      <c r="K981" s="147"/>
      <c r="L981" s="147"/>
      <c r="M981" s="147"/>
      <c r="N981" s="147"/>
      <c r="O981" s="147"/>
      <c r="P981" s="147"/>
      <c r="Q981" s="147"/>
      <c r="R981" s="147"/>
      <c r="S981" s="147"/>
      <c r="T981" s="147"/>
      <c r="U981" s="147"/>
      <c r="V981" s="147"/>
    </row>
    <row r="982">
      <c r="A982" s="147"/>
      <c r="B982" s="147"/>
      <c r="C982" s="147"/>
      <c r="D982" s="147"/>
      <c r="E982" s="147"/>
      <c r="F982" s="147"/>
      <c r="G982" s="147"/>
      <c r="H982" s="147"/>
      <c r="I982" s="147"/>
      <c r="J982" s="147"/>
      <c r="K982" s="147"/>
      <c r="L982" s="147"/>
      <c r="M982" s="147"/>
      <c r="N982" s="147"/>
      <c r="O982" s="147"/>
      <c r="P982" s="147"/>
      <c r="Q982" s="147"/>
      <c r="R982" s="147"/>
      <c r="S982" s="147"/>
      <c r="T982" s="147"/>
      <c r="U982" s="147"/>
      <c r="V982" s="147"/>
    </row>
    <row r="983">
      <c r="A983" s="147"/>
      <c r="B983" s="147"/>
      <c r="C983" s="147"/>
      <c r="D983" s="147"/>
      <c r="E983" s="147"/>
      <c r="F983" s="147"/>
      <c r="G983" s="147"/>
      <c r="H983" s="147"/>
      <c r="I983" s="147"/>
      <c r="J983" s="147"/>
      <c r="K983" s="147"/>
      <c r="L983" s="147"/>
      <c r="M983" s="147"/>
      <c r="N983" s="147"/>
      <c r="O983" s="147"/>
      <c r="P983" s="147"/>
      <c r="Q983" s="147"/>
      <c r="R983" s="147"/>
      <c r="S983" s="147"/>
      <c r="T983" s="147"/>
      <c r="U983" s="147"/>
      <c r="V983" s="147"/>
    </row>
    <row r="984">
      <c r="A984" s="147"/>
      <c r="B984" s="147"/>
      <c r="C984" s="147"/>
      <c r="D984" s="147"/>
      <c r="E984" s="147"/>
      <c r="F984" s="147"/>
      <c r="G984" s="147"/>
      <c r="H984" s="147"/>
      <c r="I984" s="147"/>
      <c r="J984" s="147"/>
      <c r="K984" s="147"/>
      <c r="L984" s="147"/>
      <c r="M984" s="147"/>
      <c r="N984" s="147"/>
      <c r="O984" s="147"/>
      <c r="P984" s="147"/>
      <c r="Q984" s="147"/>
      <c r="R984" s="147"/>
      <c r="S984" s="147"/>
      <c r="T984" s="147"/>
      <c r="U984" s="147"/>
      <c r="V984" s="147"/>
    </row>
    <row r="985">
      <c r="A985" s="147"/>
      <c r="B985" s="147"/>
      <c r="C985" s="147"/>
      <c r="D985" s="147"/>
      <c r="E985" s="147"/>
      <c r="F985" s="147"/>
      <c r="G985" s="147"/>
      <c r="H985" s="147"/>
      <c r="I985" s="147"/>
      <c r="J985" s="147"/>
      <c r="K985" s="147"/>
      <c r="L985" s="147"/>
      <c r="M985" s="147"/>
      <c r="N985" s="147"/>
      <c r="O985" s="147"/>
      <c r="P985" s="147"/>
      <c r="Q985" s="147"/>
      <c r="R985" s="147"/>
      <c r="S985" s="147"/>
      <c r="T985" s="147"/>
      <c r="U985" s="147"/>
      <c r="V985" s="147"/>
    </row>
    <row r="986">
      <c r="A986" s="147"/>
      <c r="B986" s="147"/>
      <c r="C986" s="147"/>
      <c r="D986" s="147"/>
      <c r="E986" s="147"/>
      <c r="F986" s="147"/>
      <c r="G986" s="147"/>
      <c r="H986" s="147"/>
      <c r="I986" s="147"/>
      <c r="J986" s="147"/>
      <c r="K986" s="147"/>
      <c r="L986" s="147"/>
      <c r="M986" s="147"/>
      <c r="N986" s="147"/>
      <c r="O986" s="147"/>
      <c r="P986" s="147"/>
      <c r="Q986" s="147"/>
      <c r="R986" s="147"/>
      <c r="S986" s="147"/>
      <c r="T986" s="147"/>
      <c r="U986" s="147"/>
      <c r="V986" s="147"/>
    </row>
    <row r="987">
      <c r="A987" s="147"/>
      <c r="B987" s="147"/>
      <c r="C987" s="147"/>
      <c r="D987" s="147"/>
      <c r="E987" s="147"/>
      <c r="F987" s="147"/>
      <c r="G987" s="147"/>
      <c r="H987" s="147"/>
      <c r="I987" s="147"/>
      <c r="J987" s="147"/>
      <c r="K987" s="147"/>
      <c r="L987" s="147"/>
      <c r="M987" s="147"/>
      <c r="N987" s="147"/>
      <c r="O987" s="147"/>
      <c r="P987" s="147"/>
      <c r="Q987" s="147"/>
      <c r="R987" s="147"/>
      <c r="S987" s="147"/>
      <c r="T987" s="147"/>
      <c r="U987" s="147"/>
      <c r="V987" s="147"/>
    </row>
    <row r="988">
      <c r="A988" s="147"/>
      <c r="B988" s="147"/>
      <c r="C988" s="147"/>
      <c r="D988" s="147"/>
      <c r="E988" s="147"/>
      <c r="F988" s="147"/>
      <c r="G988" s="147"/>
      <c r="H988" s="147"/>
      <c r="I988" s="147"/>
      <c r="J988" s="147"/>
      <c r="K988" s="147"/>
      <c r="L988" s="147"/>
      <c r="M988" s="147"/>
      <c r="N988" s="147"/>
      <c r="O988" s="147"/>
      <c r="P988" s="147"/>
      <c r="Q988" s="147"/>
      <c r="R988" s="147"/>
      <c r="S988" s="147"/>
      <c r="T988" s="147"/>
      <c r="U988" s="147"/>
      <c r="V988" s="147"/>
    </row>
    <row r="989">
      <c r="A989" s="147"/>
      <c r="B989" s="147"/>
      <c r="C989" s="147"/>
      <c r="D989" s="147"/>
      <c r="E989" s="147"/>
      <c r="F989" s="147"/>
      <c r="G989" s="147"/>
      <c r="H989" s="147"/>
      <c r="I989" s="147"/>
      <c r="J989" s="147"/>
      <c r="K989" s="147"/>
      <c r="L989" s="147"/>
      <c r="M989" s="147"/>
      <c r="N989" s="147"/>
      <c r="O989" s="147"/>
      <c r="P989" s="147"/>
      <c r="Q989" s="147"/>
      <c r="R989" s="147"/>
      <c r="S989" s="147"/>
      <c r="T989" s="147"/>
      <c r="U989" s="147"/>
      <c r="V989" s="147"/>
    </row>
    <row r="990">
      <c r="A990" s="147"/>
      <c r="B990" s="147"/>
      <c r="C990" s="147"/>
      <c r="D990" s="147"/>
      <c r="E990" s="147"/>
      <c r="F990" s="147"/>
      <c r="G990" s="147"/>
      <c r="H990" s="147"/>
      <c r="I990" s="147"/>
      <c r="J990" s="147"/>
      <c r="K990" s="147"/>
      <c r="L990" s="147"/>
      <c r="M990" s="147"/>
      <c r="N990" s="147"/>
      <c r="O990" s="147"/>
      <c r="P990" s="147"/>
      <c r="Q990" s="147"/>
      <c r="R990" s="147"/>
      <c r="S990" s="147"/>
      <c r="T990" s="147"/>
      <c r="U990" s="147"/>
      <c r="V990" s="147"/>
    </row>
    <row r="991">
      <c r="A991" s="147"/>
      <c r="B991" s="147"/>
      <c r="C991" s="147"/>
      <c r="D991" s="147"/>
      <c r="E991" s="147"/>
      <c r="F991" s="147"/>
      <c r="G991" s="147"/>
      <c r="H991" s="147"/>
      <c r="I991" s="147"/>
      <c r="J991" s="147"/>
      <c r="K991" s="147"/>
      <c r="L991" s="147"/>
      <c r="M991" s="147"/>
      <c r="N991" s="147"/>
      <c r="O991" s="147"/>
      <c r="P991" s="147"/>
      <c r="Q991" s="147"/>
      <c r="R991" s="147"/>
      <c r="S991" s="147"/>
      <c r="T991" s="147"/>
      <c r="U991" s="147"/>
      <c r="V991" s="147"/>
    </row>
    <row r="992">
      <c r="A992" s="147"/>
      <c r="B992" s="147"/>
      <c r="C992" s="147"/>
      <c r="D992" s="147"/>
      <c r="E992" s="147"/>
      <c r="F992" s="147"/>
      <c r="G992" s="147"/>
      <c r="H992" s="147"/>
      <c r="I992" s="147"/>
      <c r="J992" s="147"/>
      <c r="K992" s="147"/>
      <c r="L992" s="147"/>
      <c r="M992" s="147"/>
      <c r="N992" s="147"/>
      <c r="O992" s="147"/>
      <c r="P992" s="147"/>
      <c r="Q992" s="147"/>
      <c r="R992" s="147"/>
      <c r="S992" s="147"/>
      <c r="T992" s="147"/>
      <c r="U992" s="147"/>
      <c r="V992" s="147"/>
    </row>
    <row r="993">
      <c r="A993" s="147"/>
      <c r="B993" s="147"/>
      <c r="C993" s="147"/>
      <c r="D993" s="147"/>
      <c r="E993" s="147"/>
      <c r="F993" s="147"/>
      <c r="G993" s="147"/>
      <c r="H993" s="147"/>
      <c r="I993" s="147"/>
      <c r="J993" s="147"/>
      <c r="K993" s="147"/>
      <c r="L993" s="147"/>
      <c r="M993" s="147"/>
      <c r="N993" s="147"/>
      <c r="O993" s="147"/>
      <c r="P993" s="147"/>
      <c r="Q993" s="147"/>
      <c r="R993" s="147"/>
      <c r="S993" s="147"/>
      <c r="T993" s="147"/>
      <c r="U993" s="147"/>
      <c r="V993" s="147"/>
    </row>
    <row r="994">
      <c r="A994" s="147"/>
      <c r="B994" s="147"/>
      <c r="C994" s="147"/>
      <c r="D994" s="147"/>
      <c r="E994" s="147"/>
      <c r="F994" s="147"/>
      <c r="G994" s="147"/>
      <c r="H994" s="147"/>
      <c r="I994" s="147"/>
      <c r="J994" s="147"/>
      <c r="K994" s="147"/>
      <c r="L994" s="147"/>
      <c r="M994" s="147"/>
      <c r="N994" s="147"/>
      <c r="O994" s="147"/>
      <c r="P994" s="147"/>
      <c r="Q994" s="147"/>
      <c r="R994" s="147"/>
      <c r="S994" s="147"/>
      <c r="T994" s="147"/>
      <c r="U994" s="147"/>
      <c r="V994" s="147"/>
    </row>
    <row r="995">
      <c r="A995" s="147"/>
      <c r="B995" s="147"/>
      <c r="C995" s="147"/>
      <c r="D995" s="147"/>
      <c r="E995" s="147"/>
      <c r="F995" s="147"/>
      <c r="G995" s="147"/>
      <c r="H995" s="147"/>
      <c r="I995" s="147"/>
      <c r="J995" s="147"/>
      <c r="K995" s="147"/>
      <c r="L995" s="147"/>
      <c r="M995" s="147"/>
      <c r="N995" s="147"/>
      <c r="O995" s="147"/>
      <c r="P995" s="147"/>
      <c r="Q995" s="147"/>
      <c r="R995" s="147"/>
      <c r="S995" s="147"/>
      <c r="T995" s="147"/>
      <c r="U995" s="147"/>
      <c r="V995" s="147"/>
    </row>
    <row r="996">
      <c r="A996" s="147"/>
      <c r="B996" s="147"/>
      <c r="C996" s="147"/>
      <c r="D996" s="147"/>
      <c r="E996" s="147"/>
      <c r="F996" s="147"/>
      <c r="G996" s="147"/>
      <c r="H996" s="147"/>
      <c r="I996" s="147"/>
      <c r="J996" s="147"/>
      <c r="K996" s="147"/>
      <c r="L996" s="147"/>
      <c r="M996" s="147"/>
      <c r="N996" s="147"/>
      <c r="O996" s="147"/>
      <c r="P996" s="147"/>
      <c r="Q996" s="147"/>
      <c r="R996" s="147"/>
      <c r="S996" s="147"/>
      <c r="T996" s="147"/>
      <c r="U996" s="147"/>
      <c r="V996" s="147"/>
    </row>
    <row r="997">
      <c r="A997" s="147"/>
      <c r="B997" s="147"/>
      <c r="C997" s="147"/>
      <c r="D997" s="147"/>
      <c r="E997" s="147"/>
      <c r="F997" s="147"/>
      <c r="G997" s="147"/>
      <c r="H997" s="147"/>
      <c r="I997" s="147"/>
      <c r="J997" s="147"/>
      <c r="K997" s="147"/>
      <c r="L997" s="147"/>
      <c r="M997" s="147"/>
      <c r="N997" s="147"/>
      <c r="O997" s="147"/>
      <c r="P997" s="147"/>
      <c r="Q997" s="147"/>
      <c r="R997" s="147"/>
      <c r="S997" s="147"/>
      <c r="T997" s="147"/>
      <c r="U997" s="147"/>
      <c r="V997" s="147"/>
    </row>
    <row r="998">
      <c r="A998" s="147"/>
      <c r="B998" s="147"/>
      <c r="C998" s="147"/>
      <c r="D998" s="147"/>
      <c r="E998" s="147"/>
      <c r="F998" s="147"/>
      <c r="G998" s="147"/>
      <c r="H998" s="147"/>
      <c r="I998" s="147"/>
      <c r="J998" s="147"/>
      <c r="K998" s="147"/>
      <c r="L998" s="147"/>
      <c r="M998" s="147"/>
      <c r="N998" s="147"/>
      <c r="O998" s="147"/>
      <c r="P998" s="147"/>
      <c r="Q998" s="147"/>
      <c r="R998" s="147"/>
      <c r="S998" s="147"/>
      <c r="T998" s="147"/>
      <c r="U998" s="147"/>
      <c r="V998" s="147"/>
    </row>
    <row r="999">
      <c r="A999" s="147"/>
      <c r="B999" s="147"/>
      <c r="C999" s="147"/>
      <c r="D999" s="147"/>
      <c r="E999" s="147"/>
      <c r="F999" s="147"/>
      <c r="G999" s="147"/>
      <c r="H999" s="147"/>
      <c r="I999" s="147"/>
      <c r="J999" s="147"/>
      <c r="K999" s="147"/>
      <c r="L999" s="147"/>
      <c r="M999" s="147"/>
      <c r="N999" s="147"/>
      <c r="O999" s="147"/>
      <c r="P999" s="147"/>
      <c r="Q999" s="147"/>
      <c r="R999" s="147"/>
      <c r="S999" s="147"/>
      <c r="T999" s="147"/>
      <c r="U999" s="147"/>
      <c r="V999" s="147"/>
    </row>
    <row r="1000">
      <c r="A1000" s="147"/>
      <c r="B1000" s="147"/>
      <c r="C1000" s="147"/>
      <c r="D1000" s="147"/>
      <c r="E1000" s="147"/>
      <c r="F1000" s="147"/>
      <c r="G1000" s="147"/>
      <c r="H1000" s="147"/>
      <c r="I1000" s="147"/>
      <c r="J1000" s="147"/>
      <c r="K1000" s="147"/>
      <c r="L1000" s="147"/>
      <c r="M1000" s="147"/>
      <c r="N1000" s="147"/>
      <c r="O1000" s="147"/>
      <c r="P1000" s="147"/>
      <c r="Q1000" s="147"/>
      <c r="R1000" s="147"/>
      <c r="S1000" s="147"/>
      <c r="T1000" s="147"/>
      <c r="U1000" s="147"/>
      <c r="V1000" s="147"/>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6.0"/>
    <col customWidth="1" min="4" max="4" width="68.25"/>
    <col customWidth="1" min="5" max="5" width="35.5"/>
    <col customWidth="1" min="6" max="6" width="45.75"/>
    <col customWidth="1" min="7" max="7" width="28.0"/>
  </cols>
  <sheetData>
    <row r="1">
      <c r="A1" s="304" t="s">
        <v>4205</v>
      </c>
      <c r="B1" s="304"/>
      <c r="C1" s="304" t="s">
        <v>6818</v>
      </c>
      <c r="D1" s="304" t="s">
        <v>6819</v>
      </c>
      <c r="E1" s="304" t="s">
        <v>2927</v>
      </c>
      <c r="F1" s="143" t="s">
        <v>6820</v>
      </c>
      <c r="G1" s="304" t="s">
        <v>6821</v>
      </c>
      <c r="H1" s="304" t="s">
        <v>6822</v>
      </c>
      <c r="I1" s="304" t="s">
        <v>6823</v>
      </c>
      <c r="J1" s="304" t="s">
        <v>6824</v>
      </c>
      <c r="K1" s="304" t="s">
        <v>4210</v>
      </c>
      <c r="L1" s="304" t="s">
        <v>6825</v>
      </c>
      <c r="M1" s="304"/>
      <c r="N1" s="304"/>
      <c r="O1" s="304"/>
      <c r="P1" s="304"/>
      <c r="Q1" s="304"/>
      <c r="R1" s="304"/>
      <c r="S1" s="304"/>
      <c r="T1" s="304"/>
      <c r="U1" s="304"/>
      <c r="V1" s="304"/>
      <c r="W1" s="304"/>
      <c r="X1" s="304"/>
      <c r="Y1" s="304"/>
      <c r="Z1" s="304"/>
      <c r="AA1" s="304"/>
      <c r="AB1" s="304"/>
    </row>
    <row r="2">
      <c r="A2" s="240" t="s">
        <v>6826</v>
      </c>
      <c r="B2" s="240"/>
      <c r="C2" s="240" t="s">
        <v>2364</v>
      </c>
      <c r="D2" s="240" t="s">
        <v>2365</v>
      </c>
      <c r="E2" s="240" t="s">
        <v>6827</v>
      </c>
      <c r="F2" s="169" t="str">
        <f t="shared" ref="F2:F244" si="1">concatenate(D2,char(10),E2,char(10))</f>
        <v>STIndex: A Context-Aware Multi-Dimensional Spatiotemporal Information Extraction System
Wenxiao Zhang, Yu Liu, Qiang Sun, Yihao Ding, Sirui Li, Yanbing Liu, Jin Hong, Wei Liu
</v>
      </c>
      <c r="G2" s="240" t="s">
        <v>6828</v>
      </c>
      <c r="H2" s="240" t="s">
        <v>6829</v>
      </c>
      <c r="I2" s="240" t="s">
        <v>6830</v>
      </c>
      <c r="J2" s="240" t="s">
        <v>6831</v>
      </c>
      <c r="K2" s="240" t="s">
        <v>6830</v>
      </c>
      <c r="L2" s="240" t="s">
        <v>6832</v>
      </c>
      <c r="M2" s="240"/>
      <c r="N2" s="240"/>
      <c r="O2" s="240"/>
      <c r="P2" s="240"/>
      <c r="Q2" s="240"/>
      <c r="R2" s="240"/>
      <c r="S2" s="240"/>
      <c r="T2" s="240"/>
      <c r="U2" s="240"/>
      <c r="V2" s="240"/>
      <c r="W2" s="240"/>
      <c r="X2" s="240"/>
      <c r="Y2" s="240"/>
      <c r="Z2" s="240"/>
      <c r="AA2" s="240"/>
      <c r="AB2" s="240"/>
    </row>
    <row r="3">
      <c r="A3" s="240" t="s">
        <v>6833</v>
      </c>
      <c r="B3" s="240"/>
      <c r="C3" s="240" t="s">
        <v>2366</v>
      </c>
      <c r="D3" s="240" t="s">
        <v>2367</v>
      </c>
      <c r="E3" s="240" t="s">
        <v>6834</v>
      </c>
      <c r="F3" s="169" t="str">
        <f t="shared" si="1"/>
        <v>SJBP: A Platform to Launch a Novel Jailbreak Attack on Large Language Models Based on Content's Spatial Distribution
Zhiyi Mou, Zeheng Qian, Tianfang Xiao, Wangze Ni, Weijie Sun, Lei Chen, Zhan Qin, Peng Cheng, Kui Ren
</v>
      </c>
      <c r="G3" s="240" t="s">
        <v>6835</v>
      </c>
      <c r="H3" s="240" t="s">
        <v>6836</v>
      </c>
      <c r="I3" s="240" t="s">
        <v>6830</v>
      </c>
      <c r="J3" s="240" t="s">
        <v>6830</v>
      </c>
      <c r="K3" s="240" t="s">
        <v>6830</v>
      </c>
      <c r="L3" s="240" t="s">
        <v>6832</v>
      </c>
      <c r="M3" s="240"/>
      <c r="N3" s="240"/>
      <c r="O3" s="240"/>
      <c r="P3" s="240"/>
      <c r="Q3" s="240"/>
      <c r="R3" s="240"/>
      <c r="S3" s="240"/>
      <c r="T3" s="240"/>
      <c r="U3" s="240"/>
      <c r="V3" s="240"/>
      <c r="W3" s="240"/>
      <c r="X3" s="240"/>
      <c r="Y3" s="240"/>
      <c r="Z3" s="240"/>
      <c r="AA3" s="240"/>
      <c r="AB3" s="240"/>
    </row>
    <row r="4">
      <c r="A4" s="240" t="s">
        <v>6837</v>
      </c>
      <c r="B4" s="240"/>
      <c r="C4" s="240" t="s">
        <v>2368</v>
      </c>
      <c r="D4" s="240" t="s">
        <v>2369</v>
      </c>
      <c r="E4" s="240" t="s">
        <v>6838</v>
      </c>
      <c r="F4" s="169" t="str">
        <f t="shared" si="1"/>
        <v>Pattern Discovery with Wide-Lens Analysis and Sharp-Focus Validation
Li Liu, Omar Alonso, Giorgio Ballardin
</v>
      </c>
      <c r="G4" s="240" t="s">
        <v>6839</v>
      </c>
      <c r="H4" s="240" t="s">
        <v>6829</v>
      </c>
      <c r="I4" s="240" t="s">
        <v>6830</v>
      </c>
      <c r="J4" s="240" t="s">
        <v>6831</v>
      </c>
      <c r="K4" s="240" t="s">
        <v>6830</v>
      </c>
      <c r="L4" s="240" t="s">
        <v>6832</v>
      </c>
      <c r="M4" s="240"/>
      <c r="N4" s="240"/>
      <c r="O4" s="240"/>
      <c r="P4" s="240"/>
      <c r="Q4" s="240"/>
      <c r="R4" s="240"/>
      <c r="S4" s="240"/>
      <c r="T4" s="240"/>
      <c r="U4" s="240"/>
      <c r="V4" s="240"/>
      <c r="W4" s="240"/>
      <c r="X4" s="240"/>
      <c r="Y4" s="240"/>
      <c r="Z4" s="240"/>
      <c r="AA4" s="240"/>
      <c r="AB4" s="240"/>
    </row>
    <row r="5">
      <c r="A5" s="240" t="s">
        <v>6840</v>
      </c>
      <c r="B5" s="240"/>
      <c r="C5" s="240" t="s">
        <v>2370</v>
      </c>
      <c r="D5" s="240" t="s">
        <v>2371</v>
      </c>
      <c r="E5" s="240" t="s">
        <v>6841</v>
      </c>
      <c r="F5" s="169" t="str">
        <f t="shared" si="1"/>
        <v>DualMind: Towards Understanding Cognitive-Affective Cascades in Public Opinion Dissemination via Multi-Agent Simulation
Enhao Huang, Tongtong Pan, Shuhuai Zhang, Qishu Jin, Liheng Zheng, Kaichun Hu, Yiming Li, Zhan Qin, Kui Ren
</v>
      </c>
      <c r="G5" s="240" t="s">
        <v>4602</v>
      </c>
      <c r="H5" s="240" t="s">
        <v>6829</v>
      </c>
      <c r="I5" s="240" t="s">
        <v>6830</v>
      </c>
      <c r="J5" s="240" t="s">
        <v>6830</v>
      </c>
      <c r="K5" s="240" t="s">
        <v>6830</v>
      </c>
      <c r="L5" s="240" t="s">
        <v>6832</v>
      </c>
      <c r="M5" s="240"/>
      <c r="N5" s="240"/>
      <c r="O5" s="240"/>
      <c r="P5" s="240"/>
      <c r="Q5" s="240"/>
      <c r="R5" s="240"/>
      <c r="S5" s="240"/>
      <c r="T5" s="240"/>
      <c r="U5" s="240"/>
      <c r="V5" s="240"/>
      <c r="W5" s="240"/>
      <c r="X5" s="240"/>
      <c r="Y5" s="240"/>
      <c r="Z5" s="240"/>
      <c r="AA5" s="240"/>
      <c r="AB5" s="240"/>
    </row>
    <row r="6">
      <c r="A6" s="240" t="s">
        <v>6842</v>
      </c>
      <c r="B6" s="240"/>
      <c r="C6" s="240" t="s">
        <v>2372</v>
      </c>
      <c r="D6" s="240" t="s">
        <v>2373</v>
      </c>
      <c r="E6" s="240" t="s">
        <v>6843</v>
      </c>
      <c r="F6" s="169" t="str">
        <f t="shared" si="1"/>
        <v>RISE: A Retrieval-Augmented Generation Enhanced Immersive System for Education
Guo Chen, Haowei Tang, Yan Wei, Yuming Wang, Haoyang Zhang, Yikang Hou, Maolin Zheng, Junjie Huang
</v>
      </c>
      <c r="G6" s="240" t="s">
        <v>6844</v>
      </c>
      <c r="H6" s="240" t="s">
        <v>6845</v>
      </c>
      <c r="I6" s="240" t="s">
        <v>6831</v>
      </c>
      <c r="J6" s="240" t="s">
        <v>6831</v>
      </c>
      <c r="K6" s="240" t="s">
        <v>6831</v>
      </c>
      <c r="L6" s="240" t="s">
        <v>6832</v>
      </c>
      <c r="M6" s="240"/>
      <c r="N6" s="240"/>
      <c r="O6" s="240"/>
      <c r="P6" s="240"/>
      <c r="Q6" s="240"/>
      <c r="R6" s="240"/>
      <c r="S6" s="240"/>
      <c r="T6" s="240"/>
      <c r="U6" s="240"/>
      <c r="V6" s="240"/>
      <c r="W6" s="240"/>
      <c r="X6" s="240"/>
      <c r="Y6" s="240"/>
      <c r="Z6" s="240"/>
      <c r="AA6" s="240"/>
      <c r="AB6" s="240"/>
    </row>
    <row r="7">
      <c r="A7" s="240" t="s">
        <v>6846</v>
      </c>
      <c r="B7" s="240"/>
      <c r="C7" s="240" t="s">
        <v>2374</v>
      </c>
      <c r="D7" s="240" t="s">
        <v>2375</v>
      </c>
      <c r="E7" s="240" t="s">
        <v>6847</v>
      </c>
      <c r="F7" s="169" t="str">
        <f t="shared" si="1"/>
        <v>PromptX: A Cognitive Agent Platform with Long-term Memory
Binhao Wang, Jianglin Huang, Xiao Hu, Shan Jiang, Maolin Wang, Ching-Ho Yang, Jian Jiang, Junhao Ye, Yaozu Cen, Rui Zeng, Yingtong Zhou, Yingjie Luo, Guanjie Wu, Wangzhong Xu, Feiyu Zhou, Xiangyu Zhao
</v>
      </c>
      <c r="G7" s="240" t="s">
        <v>6848</v>
      </c>
      <c r="H7" s="240" t="s">
        <v>6829</v>
      </c>
      <c r="I7" s="240" t="s">
        <v>6830</v>
      </c>
      <c r="J7" s="240" t="s">
        <v>6830</v>
      </c>
      <c r="K7" s="240" t="s">
        <v>6830</v>
      </c>
      <c r="L7" s="240" t="s">
        <v>6832</v>
      </c>
      <c r="M7" s="240"/>
      <c r="N7" s="240"/>
      <c r="O7" s="240"/>
      <c r="P7" s="240"/>
      <c r="Q7" s="240"/>
      <c r="R7" s="240"/>
      <c r="S7" s="240"/>
      <c r="T7" s="240"/>
      <c r="U7" s="240"/>
      <c r="V7" s="240"/>
      <c r="W7" s="240"/>
      <c r="X7" s="240"/>
      <c r="Y7" s="240"/>
      <c r="Z7" s="240"/>
      <c r="AA7" s="240"/>
      <c r="AB7" s="240"/>
    </row>
    <row r="8">
      <c r="A8" s="240" t="s">
        <v>6849</v>
      </c>
      <c r="B8" s="240"/>
      <c r="C8" s="240" t="s">
        <v>2376</v>
      </c>
      <c r="D8" s="240" t="s">
        <v>2377</v>
      </c>
      <c r="E8" s="240" t="s">
        <v>6850</v>
      </c>
      <c r="F8" s="169" t="str">
        <f t="shared" si="1"/>
        <v>TrustResearcher: Automating Knowledge-Grounded and Transparent Research Ideation with Multi-Agent Collaboration
Jiawei Zhou, Ruicheng Zhu, Mengshi Chen, Jianwei Wang, Kai Wang
</v>
      </c>
      <c r="G8" s="240" t="s">
        <v>6851</v>
      </c>
      <c r="H8" s="240" t="s">
        <v>6829</v>
      </c>
      <c r="I8" s="240" t="s">
        <v>6830</v>
      </c>
      <c r="J8" s="240" t="s">
        <v>6830</v>
      </c>
      <c r="K8" s="240" t="s">
        <v>6830</v>
      </c>
      <c r="L8" s="240" t="s">
        <v>6832</v>
      </c>
      <c r="M8" s="240"/>
      <c r="N8" s="240"/>
      <c r="O8" s="240"/>
      <c r="P8" s="240"/>
      <c r="Q8" s="240"/>
      <c r="R8" s="240"/>
      <c r="S8" s="240"/>
      <c r="T8" s="240"/>
      <c r="U8" s="240"/>
      <c r="V8" s="240"/>
      <c r="W8" s="240"/>
      <c r="X8" s="240"/>
      <c r="Y8" s="240"/>
      <c r="Z8" s="240"/>
      <c r="AA8" s="240"/>
      <c r="AB8" s="240"/>
    </row>
    <row r="9">
      <c r="A9" s="240" t="s">
        <v>6852</v>
      </c>
      <c r="B9" s="240"/>
      <c r="C9" s="240" t="s">
        <v>2378</v>
      </c>
      <c r="D9" s="240" t="s">
        <v>2379</v>
      </c>
      <c r="E9" s="240" t="s">
        <v>6853</v>
      </c>
      <c r="F9" s="169" t="str">
        <f t="shared" si="1"/>
        <v>Multimodal Peer Review Simulation with Actionable To-Do Recommendations for Community-Aware Manuscript Revisions
Mengze Hong, Di Jiang, Weiwei Zhao, Yawen Li, Yihang Wang, Xinyuan Luo, Yanjie Sun, Chen Zhang
</v>
      </c>
      <c r="G9" s="240" t="s">
        <v>6244</v>
      </c>
      <c r="H9" s="240" t="s">
        <v>6829</v>
      </c>
      <c r="I9" s="240" t="s">
        <v>6830</v>
      </c>
      <c r="J9" s="240" t="s">
        <v>6830</v>
      </c>
      <c r="K9" s="240" t="s">
        <v>6830</v>
      </c>
      <c r="L9" s="240" t="s">
        <v>6832</v>
      </c>
      <c r="M9" s="240"/>
      <c r="N9" s="240"/>
      <c r="O9" s="240"/>
      <c r="P9" s="240"/>
      <c r="Q9" s="240"/>
      <c r="R9" s="240"/>
      <c r="S9" s="240"/>
      <c r="T9" s="240"/>
      <c r="U9" s="240"/>
      <c r="V9" s="240"/>
      <c r="W9" s="240"/>
      <c r="X9" s="240"/>
      <c r="Y9" s="240"/>
      <c r="Z9" s="240"/>
      <c r="AA9" s="240"/>
      <c r="AB9" s="240"/>
    </row>
    <row r="10">
      <c r="A10" s="240" t="s">
        <v>6854</v>
      </c>
      <c r="B10" s="240"/>
      <c r="C10" s="240" t="s">
        <v>2380</v>
      </c>
      <c r="D10" s="240" t="s">
        <v>2381</v>
      </c>
      <c r="E10" s="240" t="s">
        <v>6855</v>
      </c>
      <c r="F10" s="169" t="str">
        <f t="shared" si="1"/>
        <v>Lang2Plan: An LLM-Powered Multi-Agent System for Building Layout Planning
Fangyong Pan, Xi Chen, Weiqi Xu, Yifeng Xu, Haofen Wang
</v>
      </c>
      <c r="G10" s="240" t="s">
        <v>6856</v>
      </c>
      <c r="H10" s="240" t="s">
        <v>6857</v>
      </c>
      <c r="I10" s="240" t="s">
        <v>6830</v>
      </c>
      <c r="J10" s="240" t="s">
        <v>6830</v>
      </c>
      <c r="K10" s="240" t="s">
        <v>6830</v>
      </c>
      <c r="L10" s="240" t="s">
        <v>6832</v>
      </c>
      <c r="M10" s="240"/>
      <c r="N10" s="240"/>
      <c r="O10" s="240"/>
      <c r="P10" s="240"/>
      <c r="Q10" s="240"/>
      <c r="R10" s="240"/>
      <c r="S10" s="240"/>
      <c r="T10" s="240"/>
      <c r="U10" s="240"/>
      <c r="V10" s="240"/>
      <c r="W10" s="240"/>
      <c r="X10" s="240"/>
      <c r="Y10" s="240"/>
      <c r="Z10" s="240"/>
      <c r="AA10" s="240"/>
      <c r="AB10" s="240"/>
    </row>
    <row r="11">
      <c r="A11" s="240" t="s">
        <v>6858</v>
      </c>
      <c r="B11" s="240"/>
      <c r="C11" s="240" t="s">
        <v>2382</v>
      </c>
      <c r="D11" s="240" t="s">
        <v>2383</v>
      </c>
      <c r="E11" s="240" t="s">
        <v>6859</v>
      </c>
      <c r="F11" s="169" t="str">
        <f t="shared" si="1"/>
        <v>NGCAPTCHA: A CAPTCHA Bridging the Past and the Future
Ziqi Ding, Shangzhi Xu, Wei Song, Yuekang Li
</v>
      </c>
      <c r="G11" s="240" t="s">
        <v>6860</v>
      </c>
      <c r="H11" s="240" t="s">
        <v>6829</v>
      </c>
      <c r="I11" s="240" t="s">
        <v>6830</v>
      </c>
      <c r="J11" s="240" t="s">
        <v>6831</v>
      </c>
      <c r="K11" s="240" t="s">
        <v>6830</v>
      </c>
      <c r="L11" s="240" t="s">
        <v>6832</v>
      </c>
      <c r="M11" s="240"/>
      <c r="N11" s="240"/>
      <c r="O11" s="240"/>
      <c r="P11" s="240"/>
      <c r="Q11" s="240"/>
      <c r="R11" s="240"/>
      <c r="S11" s="240"/>
      <c r="T11" s="240"/>
      <c r="U11" s="240"/>
      <c r="V11" s="240"/>
      <c r="W11" s="240"/>
      <c r="X11" s="240"/>
      <c r="Y11" s="240"/>
      <c r="Z11" s="240"/>
      <c r="AA11" s="240"/>
      <c r="AB11" s="240"/>
    </row>
    <row r="12">
      <c r="A12" s="240" t="s">
        <v>6861</v>
      </c>
      <c r="B12" s="240"/>
      <c r="C12" s="240" t="s">
        <v>2384</v>
      </c>
      <c r="D12" s="240" t="s">
        <v>2385</v>
      </c>
      <c r="E12" s="240" t="s">
        <v>6862</v>
      </c>
      <c r="F12" s="169" t="str">
        <f t="shared" si="1"/>
        <v>G-SEIR: A Graph-Enhanced Epidemic Forecasting System for Dengue Intervention
Cheng-Ru Chou, Shou-Po Tsai, Jing-Zhe Huang, Hsu-Han Tu, Pei-Xuan Li, Hsun-Ping Hsieh
</v>
      </c>
      <c r="G12" s="240" t="s">
        <v>6863</v>
      </c>
      <c r="H12" s="240" t="s">
        <v>6864</v>
      </c>
      <c r="I12" s="240" t="s">
        <v>6830</v>
      </c>
      <c r="J12" s="240" t="s">
        <v>6831</v>
      </c>
      <c r="K12" s="240" t="s">
        <v>6830</v>
      </c>
      <c r="L12" s="240" t="s">
        <v>6832</v>
      </c>
      <c r="M12" s="240"/>
      <c r="N12" s="240"/>
      <c r="O12" s="240"/>
      <c r="P12" s="240"/>
      <c r="Q12" s="240"/>
      <c r="R12" s="240"/>
      <c r="S12" s="240"/>
      <c r="T12" s="240"/>
      <c r="U12" s="240"/>
      <c r="V12" s="240"/>
      <c r="W12" s="240"/>
      <c r="X12" s="240"/>
      <c r="Y12" s="240"/>
      <c r="Z12" s="240"/>
      <c r="AA12" s="240"/>
      <c r="AB12" s="240"/>
    </row>
    <row r="13">
      <c r="A13" s="240" t="s">
        <v>6865</v>
      </c>
      <c r="B13" s="240"/>
      <c r="C13" s="240" t="s">
        <v>2386</v>
      </c>
      <c r="D13" s="240" t="s">
        <v>2387</v>
      </c>
      <c r="E13" s="240" t="s">
        <v>6866</v>
      </c>
      <c r="F13" s="169" t="str">
        <f t="shared" si="1"/>
        <v>SAMPLE: A Spatial/Channel-wise Attention GCN with MLP and Periodic Linear Encoding for Land Boundary Demarcation System
Min-Huan Tsai, Cheng-Ru Chou, Chia Chen Tsai, Yu-Yin Wang, Pei-Xuan Li, Hsun-Ping Hsieh, Tzu-Chang Lee
</v>
      </c>
      <c r="G13" s="240" t="s">
        <v>6863</v>
      </c>
      <c r="H13" s="240" t="s">
        <v>6867</v>
      </c>
      <c r="I13" s="240" t="s">
        <v>6830</v>
      </c>
      <c r="J13" s="240" t="s">
        <v>6831</v>
      </c>
      <c r="K13" s="240" t="s">
        <v>6830</v>
      </c>
      <c r="L13" s="240" t="s">
        <v>6832</v>
      </c>
      <c r="M13" s="240"/>
      <c r="N13" s="240"/>
      <c r="O13" s="240"/>
      <c r="P13" s="240"/>
      <c r="Q13" s="240"/>
      <c r="R13" s="240"/>
      <c r="S13" s="240"/>
      <c r="T13" s="240"/>
      <c r="U13" s="240"/>
      <c r="V13" s="240"/>
      <c r="W13" s="240"/>
      <c r="X13" s="240"/>
      <c r="Y13" s="240"/>
      <c r="Z13" s="240"/>
      <c r="AA13" s="240"/>
      <c r="AB13" s="240"/>
    </row>
    <row r="14">
      <c r="A14" s="240" t="s">
        <v>6868</v>
      </c>
      <c r="B14" s="240"/>
      <c r="C14" s="240" t="s">
        <v>2388</v>
      </c>
      <c r="D14" s="240" t="s">
        <v>2389</v>
      </c>
      <c r="E14" s="240" t="s">
        <v>6869</v>
      </c>
      <c r="F14" s="169" t="str">
        <f t="shared" si="1"/>
        <v>A Large Language Model-based Agent for Automated Machine Learning Workflow Construction
Yutian Xu, Yanhao Wang, Hui Li, Shengjie Xia, Shengtian Min
</v>
      </c>
      <c r="G14" s="240" t="s">
        <v>6870</v>
      </c>
      <c r="H14" s="240" t="s">
        <v>6871</v>
      </c>
      <c r="I14" s="240" t="s">
        <v>6830</v>
      </c>
      <c r="J14" s="240" t="s">
        <v>6831</v>
      </c>
      <c r="K14" s="240" t="s">
        <v>6830</v>
      </c>
      <c r="L14" s="240" t="s">
        <v>6832</v>
      </c>
      <c r="M14" s="240"/>
      <c r="N14" s="240"/>
      <c r="O14" s="240"/>
      <c r="P14" s="240"/>
      <c r="Q14" s="240"/>
      <c r="R14" s="240"/>
      <c r="S14" s="240"/>
      <c r="T14" s="240"/>
      <c r="U14" s="240"/>
      <c r="V14" s="240"/>
      <c r="W14" s="240"/>
      <c r="X14" s="240"/>
      <c r="Y14" s="240"/>
      <c r="Z14" s="240"/>
      <c r="AA14" s="240"/>
      <c r="AB14" s="240"/>
    </row>
    <row r="15">
      <c r="A15" s="240" t="s">
        <v>6872</v>
      </c>
      <c r="B15" s="240"/>
      <c r="C15" s="240" t="s">
        <v>2390</v>
      </c>
      <c r="D15" s="240" t="s">
        <v>2391</v>
      </c>
      <c r="E15" s="240" t="s">
        <v>6873</v>
      </c>
      <c r="F15" s="169" t="str">
        <f t="shared" si="1"/>
        <v>Deep Research Comparator: A Platform For Fine-grained Human Annotations of Deep Research Agents
Prahaladh Chandrahasan, Jiahe Jin, Zhihan Zhang, Tevin Wang, Andy Tang, Lucy Mo, Morteza Ziyadi, Leonardo F.R. Ribeiro, Zimeng Qiu, Markus Dreyer, Akari Asai, Chenyan Xiong
</v>
      </c>
      <c r="G15" s="240" t="s">
        <v>6874</v>
      </c>
      <c r="H15" s="240" t="s">
        <v>6829</v>
      </c>
      <c r="I15" s="240" t="s">
        <v>6830</v>
      </c>
      <c r="J15" s="240" t="s">
        <v>6830</v>
      </c>
      <c r="K15" s="240" t="s">
        <v>6830</v>
      </c>
      <c r="L15" s="240" t="s">
        <v>6832</v>
      </c>
      <c r="M15" s="240"/>
      <c r="N15" s="240"/>
      <c r="O15" s="240"/>
      <c r="P15" s="240"/>
      <c r="Q15" s="240"/>
      <c r="R15" s="240"/>
      <c r="S15" s="240"/>
      <c r="T15" s="240"/>
      <c r="U15" s="240"/>
      <c r="V15" s="240"/>
      <c r="W15" s="240"/>
      <c r="X15" s="240"/>
      <c r="Y15" s="240"/>
      <c r="Z15" s="240"/>
      <c r="AA15" s="240"/>
      <c r="AB15" s="240"/>
    </row>
    <row r="16">
      <c r="A16" s="240" t="s">
        <v>6875</v>
      </c>
      <c r="B16" s="240"/>
      <c r="C16" s="240" t="s">
        <v>2392</v>
      </c>
      <c r="D16" s="240" t="s">
        <v>2393</v>
      </c>
      <c r="E16" s="240" t="s">
        <v>6876</v>
      </c>
      <c r="F16" s="169" t="str">
        <f t="shared" si="1"/>
        <v>Docs2Synth: A Synthetic Data Tuned Retriever Framework for Documents Understanding
Yihao Ding, Qiang Sun, Puzhen Wu, Sirui Li, Siwen Luo, Wei Liu
</v>
      </c>
      <c r="G16" s="240" t="s">
        <v>6877</v>
      </c>
      <c r="H16" s="240" t="s">
        <v>6829</v>
      </c>
      <c r="I16" s="240" t="s">
        <v>6830</v>
      </c>
      <c r="J16" s="240" t="s">
        <v>6831</v>
      </c>
      <c r="K16" s="240" t="s">
        <v>6830</v>
      </c>
      <c r="L16" s="240" t="s">
        <v>6832</v>
      </c>
      <c r="M16" s="240"/>
      <c r="N16" s="240"/>
      <c r="O16" s="240"/>
      <c r="P16" s="240"/>
      <c r="Q16" s="240"/>
      <c r="R16" s="240"/>
      <c r="S16" s="240"/>
      <c r="T16" s="240"/>
      <c r="U16" s="240"/>
      <c r="V16" s="240"/>
      <c r="W16" s="240"/>
      <c r="X16" s="240"/>
      <c r="Y16" s="240"/>
      <c r="Z16" s="240"/>
      <c r="AA16" s="240"/>
      <c r="AB16" s="240"/>
    </row>
    <row r="17">
      <c r="A17" s="240" t="s">
        <v>6878</v>
      </c>
      <c r="B17" s="240"/>
      <c r="C17" s="240" t="s">
        <v>2394</v>
      </c>
      <c r="D17" s="240" t="s">
        <v>2395</v>
      </c>
      <c r="E17" s="240" t="s">
        <v>6879</v>
      </c>
      <c r="F17" s="169" t="str">
        <f t="shared" si="1"/>
        <v>GCAgent: Enhancing Group Chat Communication through Dialogue Agents System
Zijie Meng, Zheyong Xie, Zheyu Ye, Chonggang Lu, Zuozhu Liu, Zihan Niu, Yao Hu, Shaosheng Cao
</v>
      </c>
      <c r="G17" s="240" t="s">
        <v>6880</v>
      </c>
      <c r="H17" s="240" t="s">
        <v>6881</v>
      </c>
      <c r="I17" s="240" t="s">
        <v>6831</v>
      </c>
      <c r="J17" s="240" t="s">
        <v>6830</v>
      </c>
      <c r="K17" s="240" t="s">
        <v>6831</v>
      </c>
      <c r="L17" s="240" t="s">
        <v>6832</v>
      </c>
      <c r="M17" s="240"/>
      <c r="N17" s="240"/>
      <c r="O17" s="240"/>
      <c r="P17" s="240"/>
      <c r="Q17" s="240"/>
      <c r="R17" s="240"/>
      <c r="S17" s="240"/>
      <c r="T17" s="240"/>
      <c r="U17" s="240"/>
      <c r="V17" s="240"/>
      <c r="W17" s="240"/>
      <c r="X17" s="240"/>
      <c r="Y17" s="240"/>
      <c r="Z17" s="240"/>
      <c r="AA17" s="240"/>
      <c r="AB17" s="240"/>
    </row>
    <row r="18">
      <c r="A18" s="240" t="s">
        <v>6882</v>
      </c>
      <c r="B18" s="240"/>
      <c r="C18" s="240" t="s">
        <v>2396</v>
      </c>
      <c r="D18" s="240" t="s">
        <v>2397</v>
      </c>
      <c r="E18" s="240" t="s">
        <v>6883</v>
      </c>
      <c r="F18" s="169" t="str">
        <f t="shared" si="1"/>
        <v>CiteLLM: An Agentic Platform for Trustworthy Scientific Reference Discovery
Mengze Hong, Di Jiang, Chen Zhang, Zichang Guo, Yawen Li, Jun Chen, Shaobo Cui, Zhiyang Su
</v>
      </c>
      <c r="G18" s="240" t="s">
        <v>6244</v>
      </c>
      <c r="H18" s="240" t="s">
        <v>6829</v>
      </c>
      <c r="I18" s="240" t="s">
        <v>6830</v>
      </c>
      <c r="J18" s="240" t="s">
        <v>6830</v>
      </c>
      <c r="K18" s="240" t="s">
        <v>6830</v>
      </c>
      <c r="L18" s="240" t="s">
        <v>6832</v>
      </c>
      <c r="M18" s="240"/>
      <c r="N18" s="240"/>
      <c r="O18" s="240"/>
      <c r="P18" s="240"/>
      <c r="Q18" s="240"/>
      <c r="R18" s="240"/>
      <c r="S18" s="240"/>
      <c r="T18" s="240"/>
      <c r="U18" s="240"/>
      <c r="V18" s="240"/>
      <c r="W18" s="240"/>
      <c r="X18" s="240"/>
      <c r="Y18" s="240"/>
      <c r="Z18" s="240"/>
      <c r="AA18" s="240"/>
      <c r="AB18" s="240"/>
    </row>
    <row r="19">
      <c r="A19" s="240" t="s">
        <v>6884</v>
      </c>
      <c r="B19" s="240"/>
      <c r="C19" s="240" t="s">
        <v>2398</v>
      </c>
      <c r="D19" s="240" t="s">
        <v>2399</v>
      </c>
      <c r="E19" s="240" t="s">
        <v>6885</v>
      </c>
      <c r="F19" s="169" t="str">
        <f t="shared" si="1"/>
        <v>A Framework for Continual Knowledge Graph Embedding
Gerard Pons, Besim Bilalli, Anna Queralt
</v>
      </c>
      <c r="G19" s="240" t="s">
        <v>6886</v>
      </c>
      <c r="H19" s="240" t="s">
        <v>6829</v>
      </c>
      <c r="I19" s="240" t="s">
        <v>6830</v>
      </c>
      <c r="J19" s="240" t="s">
        <v>6830</v>
      </c>
      <c r="K19" s="240" t="s">
        <v>6830</v>
      </c>
      <c r="L19" s="240" t="s">
        <v>6832</v>
      </c>
      <c r="M19" s="240"/>
      <c r="N19" s="240"/>
      <c r="O19" s="240"/>
      <c r="P19" s="240"/>
      <c r="Q19" s="240"/>
      <c r="R19" s="240"/>
      <c r="S19" s="240"/>
      <c r="T19" s="240"/>
      <c r="U19" s="240"/>
      <c r="V19" s="240"/>
      <c r="W19" s="240"/>
      <c r="X19" s="240"/>
      <c r="Y19" s="240"/>
      <c r="Z19" s="240"/>
      <c r="AA19" s="240"/>
      <c r="AB19" s="240"/>
    </row>
    <row r="20">
      <c r="A20" s="240" t="s">
        <v>6887</v>
      </c>
      <c r="B20" s="240"/>
      <c r="C20" s="240" t="s">
        <v>2400</v>
      </c>
      <c r="D20" s="240" t="s">
        <v>2401</v>
      </c>
      <c r="E20" s="240" t="s">
        <v>6888</v>
      </c>
      <c r="F20" s="169" t="str">
        <f t="shared" si="1"/>
        <v>Roamify: An Interactive Browser Extension for Real-Time LLM-Based Travel Itinerary Generation
Vikranth Udandarao, Muthuraj Vairamuthu, Noel Tiju, Harsh Mistry, Armaan Singh, Dhruv Kumar
</v>
      </c>
      <c r="G20" s="240" t="s">
        <v>6889</v>
      </c>
      <c r="H20" s="240" t="s">
        <v>6829</v>
      </c>
      <c r="I20" s="240" t="s">
        <v>6830</v>
      </c>
      <c r="J20" s="240" t="s">
        <v>6831</v>
      </c>
      <c r="K20" s="240" t="s">
        <v>6830</v>
      </c>
      <c r="L20" s="240" t="s">
        <v>6832</v>
      </c>
      <c r="M20" s="240"/>
      <c r="N20" s="240"/>
      <c r="O20" s="240"/>
      <c r="P20" s="240"/>
      <c r="Q20" s="240"/>
      <c r="R20" s="240"/>
      <c r="S20" s="240"/>
      <c r="T20" s="240"/>
      <c r="U20" s="240"/>
      <c r="V20" s="240"/>
      <c r="W20" s="240"/>
      <c r="X20" s="240"/>
      <c r="Y20" s="240"/>
      <c r="Z20" s="240"/>
      <c r="AA20" s="240"/>
      <c r="AB20" s="240"/>
    </row>
    <row r="21">
      <c r="A21" s="240" t="s">
        <v>6890</v>
      </c>
      <c r="B21" s="240"/>
      <c r="C21" s="240" t="s">
        <v>2402</v>
      </c>
      <c r="D21" s="240" t="s">
        <v>2403</v>
      </c>
      <c r="E21" s="240" t="s">
        <v>6891</v>
      </c>
      <c r="F21" s="169" t="str">
        <f t="shared" si="1"/>
        <v>PaperDebugger: A Plugin-Based Multi-Agent System for In-Editor Academic Writing, Review, and Editing
Junyi Hou, Andre Lin Huikai, Nuo Chen, Yiwei Gong, Bingsheng He
</v>
      </c>
      <c r="G21" s="240" t="s">
        <v>6892</v>
      </c>
      <c r="H21" s="240" t="s">
        <v>6829</v>
      </c>
      <c r="I21" s="240" t="s">
        <v>6830</v>
      </c>
      <c r="J21" s="240" t="s">
        <v>6831</v>
      </c>
      <c r="K21" s="240" t="s">
        <v>6830</v>
      </c>
      <c r="L21" s="240" t="s">
        <v>6832</v>
      </c>
      <c r="M21" s="240"/>
      <c r="N21" s="240"/>
      <c r="O21" s="240"/>
      <c r="P21" s="240"/>
      <c r="Q21" s="240"/>
      <c r="R21" s="240"/>
      <c r="S21" s="240"/>
      <c r="T21" s="240"/>
      <c r="U21" s="240"/>
      <c r="V21" s="240"/>
      <c r="W21" s="240"/>
      <c r="X21" s="240"/>
      <c r="Y21" s="240"/>
      <c r="Z21" s="240"/>
      <c r="AA21" s="240"/>
      <c r="AB21" s="240"/>
    </row>
    <row r="22">
      <c r="A22" s="240" t="s">
        <v>6893</v>
      </c>
      <c r="B22" s="240"/>
      <c r="C22" s="240" t="s">
        <v>2404</v>
      </c>
      <c r="D22" s="240" t="s">
        <v>2405</v>
      </c>
      <c r="E22" s="240" t="s">
        <v>6894</v>
      </c>
      <c r="F22" s="169" t="str">
        <f t="shared" si="1"/>
        <v>DriftNavi: Talk through Your Data Drift with LLMs
Zixin Wang, Junliang Yu, Tong Chen, Yadan Luo, Shazia Sadiq
</v>
      </c>
      <c r="G22" s="240" t="s">
        <v>6895</v>
      </c>
      <c r="H22" s="240" t="s">
        <v>6829</v>
      </c>
      <c r="I22" s="240" t="s">
        <v>6830</v>
      </c>
      <c r="J22" s="240" t="s">
        <v>6830</v>
      </c>
      <c r="K22" s="240" t="s">
        <v>6830</v>
      </c>
      <c r="L22" s="240" t="s">
        <v>6832</v>
      </c>
      <c r="M22" s="240"/>
      <c r="N22" s="240"/>
      <c r="O22" s="240"/>
      <c r="P22" s="240"/>
      <c r="Q22" s="240"/>
      <c r="R22" s="240"/>
      <c r="S22" s="240"/>
      <c r="T22" s="240"/>
      <c r="U22" s="240"/>
      <c r="V22" s="240"/>
      <c r="W22" s="240"/>
      <c r="X22" s="240"/>
      <c r="Y22" s="240"/>
      <c r="Z22" s="240"/>
      <c r="AA22" s="240"/>
      <c r="AB22" s="240"/>
    </row>
    <row r="23">
      <c r="A23" s="240" t="s">
        <v>6896</v>
      </c>
      <c r="B23" s="240"/>
      <c r="C23" s="240" t="s">
        <v>2406</v>
      </c>
      <c r="D23" s="240" t="s">
        <v>2407</v>
      </c>
      <c r="E23" s="240" t="s">
        <v>6897</v>
      </c>
      <c r="F23" s="169" t="str">
        <f t="shared" si="1"/>
        <v>Implementation of a Metacognition Framework for Self-Awareness and Self-Regulation in Ensembles of LLMs
Charles Courchaine, Ricky Sethi, Hefei Qiu
</v>
      </c>
      <c r="G23" s="240" t="s">
        <v>6898</v>
      </c>
      <c r="H23" s="240" t="s">
        <v>6829</v>
      </c>
      <c r="I23" s="240" t="s">
        <v>6830</v>
      </c>
      <c r="J23" s="240" t="s">
        <v>6830</v>
      </c>
      <c r="K23" s="240" t="s">
        <v>6830</v>
      </c>
      <c r="L23" s="240" t="s">
        <v>6832</v>
      </c>
      <c r="M23" s="240"/>
      <c r="N23" s="240"/>
      <c r="O23" s="240"/>
      <c r="P23" s="240"/>
      <c r="Q23" s="240"/>
      <c r="R23" s="240"/>
      <c r="S23" s="240"/>
      <c r="T23" s="240"/>
      <c r="U23" s="240"/>
      <c r="V23" s="240"/>
      <c r="W23" s="240"/>
      <c r="X23" s="240"/>
      <c r="Y23" s="240"/>
      <c r="Z23" s="240"/>
      <c r="AA23" s="240"/>
      <c r="AB23" s="240"/>
    </row>
    <row r="24">
      <c r="A24" s="240" t="s">
        <v>6899</v>
      </c>
      <c r="B24" s="240"/>
      <c r="C24" s="240" t="s">
        <v>2408</v>
      </c>
      <c r="D24" s="240" t="s">
        <v>2409</v>
      </c>
      <c r="E24" s="240" t="s">
        <v>6900</v>
      </c>
      <c r="F24" s="169" t="str">
        <f t="shared" si="1"/>
        <v>BaiJia: An Open Role-Playing Platform of Chinese Historical Characters
Ting Bai, Jiazheng Kang, Jiayang Fan, Hengzhi Lan, Yutian Zhong
</v>
      </c>
      <c r="G24" s="240" t="s">
        <v>6201</v>
      </c>
      <c r="H24" s="240" t="s">
        <v>6901</v>
      </c>
      <c r="I24" s="240" t="s">
        <v>6831</v>
      </c>
      <c r="J24" s="240" t="s">
        <v>6831</v>
      </c>
      <c r="K24" s="240" t="s">
        <v>6831</v>
      </c>
      <c r="L24" s="240" t="s">
        <v>6832</v>
      </c>
      <c r="M24" s="240"/>
      <c r="N24" s="240"/>
      <c r="O24" s="240"/>
      <c r="P24" s="240"/>
      <c r="Q24" s="240"/>
      <c r="R24" s="240"/>
      <c r="S24" s="240"/>
      <c r="T24" s="240"/>
      <c r="U24" s="240"/>
      <c r="V24" s="240"/>
      <c r="W24" s="240"/>
      <c r="X24" s="240"/>
      <c r="Y24" s="240"/>
      <c r="Z24" s="240"/>
      <c r="AA24" s="240"/>
      <c r="AB24" s="240"/>
    </row>
    <row r="25">
      <c r="A25" s="240" t="s">
        <v>6902</v>
      </c>
      <c r="B25" s="240"/>
      <c r="C25" s="240" t="s">
        <v>2410</v>
      </c>
      <c r="D25" s="240" t="s">
        <v>2411</v>
      </c>
      <c r="E25" s="240" t="s">
        <v>6903</v>
      </c>
      <c r="F25" s="169" t="str">
        <f t="shared" si="1"/>
        <v>LegalKit: A Modular Toolkit for Efficient Legal AI Evaluation
Shuo Miao, Haitao Li, Yueyue Wu, Qingyao Ai, Yiqun Liu
</v>
      </c>
      <c r="G25" s="240" t="s">
        <v>6904</v>
      </c>
      <c r="H25" s="240" t="s">
        <v>6829</v>
      </c>
      <c r="I25" s="240" t="s">
        <v>6830</v>
      </c>
      <c r="J25" s="240" t="s">
        <v>6830</v>
      </c>
      <c r="K25" s="240" t="s">
        <v>6830</v>
      </c>
      <c r="L25" s="240" t="s">
        <v>6832</v>
      </c>
      <c r="M25" s="240"/>
      <c r="N25" s="240"/>
      <c r="O25" s="240"/>
      <c r="P25" s="240"/>
      <c r="Q25" s="240"/>
      <c r="R25" s="240"/>
      <c r="S25" s="240"/>
      <c r="T25" s="240"/>
      <c r="U25" s="240"/>
      <c r="V25" s="240"/>
      <c r="W25" s="240"/>
      <c r="X25" s="240"/>
      <c r="Y25" s="240"/>
      <c r="Z25" s="240"/>
      <c r="AA25" s="240"/>
      <c r="AB25" s="240"/>
    </row>
    <row r="26">
      <c r="A26" s="240" t="s">
        <v>6905</v>
      </c>
      <c r="B26" s="240"/>
      <c r="C26" s="240" t="s">
        <v>2412</v>
      </c>
      <c r="D26" s="240" t="s">
        <v>2413</v>
      </c>
      <c r="E26" s="240" t="s">
        <v>6906</v>
      </c>
      <c r="F26" s="169" t="str">
        <f t="shared" si="1"/>
        <v>ECLAD: An Edge-Cloud Collaborative Agentic Framework for Interpretable Anomaly Detection in Predictive Maintenance
Songyuan Sui, Zhanqi Deng, Yamin Zhuang, Serena Liu, Leisheng Yu, Alfredo Costilla Reyes, Xia Hu
</v>
      </c>
      <c r="G26" s="240" t="s">
        <v>6907</v>
      </c>
      <c r="H26" s="240" t="s">
        <v>6829</v>
      </c>
      <c r="I26" s="240" t="s">
        <v>6830</v>
      </c>
      <c r="J26" s="240" t="s">
        <v>6830</v>
      </c>
      <c r="K26" s="240" t="s">
        <v>6830</v>
      </c>
      <c r="L26" s="240" t="s">
        <v>6832</v>
      </c>
      <c r="M26" s="240"/>
      <c r="N26" s="240"/>
      <c r="O26" s="240"/>
      <c r="P26" s="240"/>
      <c r="Q26" s="240"/>
      <c r="R26" s="240"/>
      <c r="S26" s="240"/>
      <c r="T26" s="240"/>
      <c r="U26" s="240"/>
      <c r="V26" s="240"/>
      <c r="W26" s="240"/>
      <c r="X26" s="240"/>
      <c r="Y26" s="240"/>
      <c r="Z26" s="240"/>
      <c r="AA26" s="240"/>
      <c r="AB26" s="240"/>
    </row>
    <row r="27">
      <c r="A27" s="240" t="s">
        <v>6908</v>
      </c>
      <c r="B27" s="240"/>
      <c r="C27" s="240" t="s">
        <v>2414</v>
      </c>
      <c r="D27" s="240" t="s">
        <v>2415</v>
      </c>
      <c r="E27" s="240" t="s">
        <v>6909</v>
      </c>
      <c r="F27" s="169" t="str">
        <f t="shared" si="1"/>
        <v>PeeriScope: A Multi-Faceted Framework for Evaluating Peer Review Quality
Sajad Ebrahimi, Soroush Sadeghian, Ali Ghorbanpour, Negar Arabzadeh, Sara Salamat, Seyed Mohammad Hosseini, Hai Son Le, Mahdi Bashari, Ebrahim Bagheri
</v>
      </c>
      <c r="G27" s="240" t="s">
        <v>6910</v>
      </c>
      <c r="H27" s="240" t="s">
        <v>6829</v>
      </c>
      <c r="I27" s="240" t="s">
        <v>6830</v>
      </c>
      <c r="J27" s="240" t="s">
        <v>6831</v>
      </c>
      <c r="K27" s="240" t="s">
        <v>6830</v>
      </c>
      <c r="L27" s="240" t="s">
        <v>6832</v>
      </c>
      <c r="M27" s="240"/>
      <c r="N27" s="240"/>
      <c r="O27" s="240"/>
      <c r="P27" s="240"/>
      <c r="Q27" s="240"/>
      <c r="R27" s="240"/>
      <c r="S27" s="240"/>
      <c r="T27" s="240"/>
      <c r="U27" s="240"/>
      <c r="V27" s="240"/>
      <c r="W27" s="240"/>
      <c r="X27" s="240"/>
      <c r="Y27" s="240"/>
      <c r="Z27" s="240"/>
      <c r="AA27" s="240"/>
      <c r="AB27" s="240"/>
    </row>
    <row r="28">
      <c r="A28" s="240" t="s">
        <v>6911</v>
      </c>
      <c r="B28" s="240"/>
      <c r="C28" s="240" t="s">
        <v>2416</v>
      </c>
      <c r="D28" s="240" t="s">
        <v>2417</v>
      </c>
      <c r="E28" s="240" t="s">
        <v>6912</v>
      </c>
      <c r="F28" s="169" t="str">
        <f t="shared" si="1"/>
        <v>ARC: A Tool to Rate AI Models for Robustness Through a Causal Lens for Enabling Trustworthy Model Selection
Kausik Lakkaraju, Siva Likitha Valluru, Biplav Srivastava, Marco Valtorta
</v>
      </c>
      <c r="G28" s="240" t="s">
        <v>6913</v>
      </c>
      <c r="H28" s="240" t="s">
        <v>6829</v>
      </c>
      <c r="I28" s="240" t="s">
        <v>6830</v>
      </c>
      <c r="J28" s="240" t="s">
        <v>6830</v>
      </c>
      <c r="K28" s="240" t="s">
        <v>6830</v>
      </c>
      <c r="L28" s="240" t="s">
        <v>6832</v>
      </c>
      <c r="M28" s="240"/>
      <c r="N28" s="240"/>
      <c r="O28" s="240"/>
      <c r="P28" s="240"/>
      <c r="Q28" s="240"/>
      <c r="R28" s="240"/>
      <c r="S28" s="240"/>
      <c r="T28" s="240"/>
      <c r="U28" s="240"/>
      <c r="V28" s="240"/>
      <c r="W28" s="240"/>
      <c r="X28" s="240"/>
      <c r="Y28" s="240"/>
      <c r="Z28" s="240"/>
      <c r="AA28" s="240"/>
      <c r="AB28" s="240"/>
    </row>
    <row r="29">
      <c r="A29" s="240" t="s">
        <v>6914</v>
      </c>
      <c r="B29" s="240"/>
      <c r="C29" s="240" t="s">
        <v>2418</v>
      </c>
      <c r="D29" s="240" t="s">
        <v>2419</v>
      </c>
      <c r="E29" s="240" t="s">
        <v>6915</v>
      </c>
      <c r="F29" s="169" t="str">
        <f t="shared" si="1"/>
        <v>IntraAI: Bridging Human-AI Understanding Through Intelligent Interface Design
Han Bao, Yue Huang, Xiangliang Zhang, Yanfang Ye
</v>
      </c>
      <c r="G29" s="240" t="s">
        <v>6916</v>
      </c>
      <c r="H29" s="240" t="s">
        <v>6829</v>
      </c>
      <c r="I29" s="240" t="s">
        <v>6831</v>
      </c>
      <c r="J29" s="240" t="s">
        <v>6830</v>
      </c>
      <c r="K29" s="240" t="s">
        <v>6831</v>
      </c>
      <c r="L29" s="240" t="s">
        <v>6832</v>
      </c>
      <c r="M29" s="240"/>
      <c r="N29" s="240"/>
      <c r="O29" s="240"/>
      <c r="P29" s="240"/>
      <c r="Q29" s="240"/>
      <c r="R29" s="240"/>
      <c r="S29" s="240"/>
      <c r="T29" s="240"/>
      <c r="U29" s="240"/>
      <c r="V29" s="240"/>
      <c r="W29" s="240"/>
      <c r="X29" s="240"/>
      <c r="Y29" s="240"/>
      <c r="Z29" s="240"/>
      <c r="AA29" s="240"/>
      <c r="AB29" s="240"/>
    </row>
    <row r="30">
      <c r="A30" s="240" t="s">
        <v>6917</v>
      </c>
      <c r="B30" s="240"/>
      <c r="C30" s="240" t="s">
        <v>2420</v>
      </c>
      <c r="D30" s="240" t="s">
        <v>2421</v>
      </c>
      <c r="E30" s="240" t="s">
        <v>6918</v>
      </c>
      <c r="F30" s="169" t="str">
        <f t="shared" si="1"/>
        <v>Sumo x PyPSA: Interactive Web Demo of Real-Time Urban Power-Traffic Co-Simulation with Vehicle-to-Grid
Marouane Benbrahim, Xin Fang, Zhiqian Chen
</v>
      </c>
      <c r="G30" s="240" t="s">
        <v>6919</v>
      </c>
      <c r="H30" s="240" t="s">
        <v>6829</v>
      </c>
      <c r="I30" s="240" t="s">
        <v>6830</v>
      </c>
      <c r="J30" s="240" t="s">
        <v>6831</v>
      </c>
      <c r="K30" s="240" t="s">
        <v>6830</v>
      </c>
      <c r="L30" s="240" t="s">
        <v>6832</v>
      </c>
      <c r="M30" s="240"/>
      <c r="N30" s="240"/>
      <c r="O30" s="240"/>
      <c r="P30" s="240"/>
      <c r="Q30" s="240"/>
      <c r="R30" s="240"/>
      <c r="S30" s="240"/>
      <c r="T30" s="240"/>
      <c r="U30" s="240"/>
      <c r="V30" s="240"/>
      <c r="W30" s="240"/>
      <c r="X30" s="240"/>
      <c r="Y30" s="240"/>
      <c r="Z30" s="240"/>
      <c r="AA30" s="240"/>
      <c r="AB30" s="240"/>
    </row>
    <row r="31">
      <c r="A31" s="240" t="s">
        <v>6920</v>
      </c>
      <c r="B31" s="240"/>
      <c r="C31" s="240" t="s">
        <v>2422</v>
      </c>
      <c r="D31" s="240" t="s">
        <v>2423</v>
      </c>
      <c r="E31" s="240" t="s">
        <v>6921</v>
      </c>
      <c r="F31" s="169" t="str">
        <f t="shared" si="1"/>
        <v>GreenWebInspector: A Tool for Real-Time Web Energy Efficiency Assessment
Muhammad Sohaib Ayub, Umair ul Hassan, Imdad Ullah Khan, Edward Curry
</v>
      </c>
      <c r="G31" s="240" t="s">
        <v>6922</v>
      </c>
      <c r="H31" s="240" t="s">
        <v>6829</v>
      </c>
      <c r="I31" s="240" t="s">
        <v>6830</v>
      </c>
      <c r="J31" s="240" t="s">
        <v>6830</v>
      </c>
      <c r="K31" s="240" t="s">
        <v>6830</v>
      </c>
      <c r="L31" s="240" t="s">
        <v>6832</v>
      </c>
      <c r="M31" s="240"/>
      <c r="N31" s="240"/>
      <c r="O31" s="240"/>
      <c r="P31" s="240"/>
      <c r="Q31" s="240"/>
      <c r="R31" s="240"/>
      <c r="S31" s="240"/>
      <c r="T31" s="240"/>
      <c r="U31" s="240"/>
      <c r="V31" s="240"/>
      <c r="W31" s="240"/>
      <c r="X31" s="240"/>
      <c r="Y31" s="240"/>
      <c r="Z31" s="240"/>
      <c r="AA31" s="240"/>
      <c r="AB31" s="240"/>
    </row>
    <row r="32">
      <c r="A32" s="240" t="s">
        <v>6923</v>
      </c>
      <c r="B32" s="240"/>
      <c r="C32" s="240" t="s">
        <v>2424</v>
      </c>
      <c r="D32" s="240" t="s">
        <v>2425</v>
      </c>
      <c r="E32" s="240" t="s">
        <v>6924</v>
      </c>
      <c r="F32" s="169" t="str">
        <f t="shared" si="1"/>
        <v>Swen: A Cross‑Platform Desktop Assistant for Instant and Personalized Large‑Language‑Model Interaction
Wenjun Feng, Rui Li, Zheng Zhang, Zhenya Huang, Qi Liu
</v>
      </c>
      <c r="G32" s="240" t="s">
        <v>4497</v>
      </c>
      <c r="H32" s="240" t="s">
        <v>6925</v>
      </c>
      <c r="I32" s="240" t="s">
        <v>6830</v>
      </c>
      <c r="J32" s="240" t="s">
        <v>6830</v>
      </c>
      <c r="K32" s="240" t="s">
        <v>6830</v>
      </c>
      <c r="L32" s="240" t="s">
        <v>6832</v>
      </c>
      <c r="M32" s="240"/>
      <c r="N32" s="240"/>
      <c r="O32" s="240"/>
      <c r="P32" s="240"/>
      <c r="Q32" s="240"/>
      <c r="R32" s="240"/>
      <c r="S32" s="240"/>
      <c r="T32" s="240"/>
      <c r="U32" s="240"/>
      <c r="V32" s="240"/>
      <c r="W32" s="240"/>
      <c r="X32" s="240"/>
      <c r="Y32" s="240"/>
      <c r="Z32" s="240"/>
      <c r="AA32" s="240"/>
      <c r="AB32" s="240"/>
    </row>
    <row r="33">
      <c r="A33" s="240" t="s">
        <v>6926</v>
      </c>
      <c r="B33" s="240"/>
      <c r="C33" s="240" t="s">
        <v>2426</v>
      </c>
      <c r="D33" s="240" t="s">
        <v>2427</v>
      </c>
      <c r="E33" s="240" t="s">
        <v>6927</v>
      </c>
      <c r="F33" s="169" t="str">
        <f t="shared" si="1"/>
        <v>Click-to-Ask: An AI Live Streaming Assistant with Offline Copywriting and Online Interactive QA
Ruizhi Yu, Keyang Zhong, Peng Liu, Qi Wu, Haoran Zhang, Yanhao Zhang, Chen Chen, Haonan Lu
</v>
      </c>
      <c r="G33" s="240" t="s">
        <v>6928</v>
      </c>
      <c r="H33" s="240" t="s">
        <v>6829</v>
      </c>
      <c r="I33" s="240" t="s">
        <v>6830</v>
      </c>
      <c r="J33" s="240" t="s">
        <v>6831</v>
      </c>
      <c r="K33" s="240" t="s">
        <v>6830</v>
      </c>
      <c r="L33" s="240" t="s">
        <v>6832</v>
      </c>
      <c r="M33" s="240"/>
      <c r="N33" s="240"/>
      <c r="O33" s="240"/>
      <c r="P33" s="240"/>
      <c r="Q33" s="240"/>
      <c r="R33" s="240"/>
      <c r="S33" s="240"/>
      <c r="T33" s="240"/>
      <c r="U33" s="240"/>
      <c r="V33" s="240"/>
      <c r="W33" s="240"/>
      <c r="X33" s="240"/>
      <c r="Y33" s="240"/>
      <c r="Z33" s="240"/>
      <c r="AA33" s="240"/>
      <c r="AB33" s="240"/>
    </row>
    <row r="34">
      <c r="A34" s="240" t="s">
        <v>6929</v>
      </c>
      <c r="B34" s="240"/>
      <c r="C34" s="240" t="s">
        <v>2428</v>
      </c>
      <c r="D34" s="240" t="s">
        <v>2429</v>
      </c>
      <c r="E34" s="240" t="s">
        <v>6930</v>
      </c>
      <c r="F34" s="169" t="str">
        <f t="shared" si="1"/>
        <v>QueryGym: A Toolkit for Reproducible LLM-Based Query Reformulation
Amin Bigdeli, Radin Hamidi Rad, Mert Incesu, Negar Arabzadeh, Charles Clarke, Ebrahim Bagheri
</v>
      </c>
      <c r="G34" s="240" t="s">
        <v>6931</v>
      </c>
      <c r="H34" s="240" t="s">
        <v>6829</v>
      </c>
      <c r="I34" s="240" t="s">
        <v>6830</v>
      </c>
      <c r="J34" s="240" t="s">
        <v>6831</v>
      </c>
      <c r="K34" s="240" t="s">
        <v>6830</v>
      </c>
      <c r="L34" s="240" t="s">
        <v>6832</v>
      </c>
      <c r="M34" s="240"/>
      <c r="N34" s="240"/>
      <c r="O34" s="240"/>
      <c r="P34" s="240"/>
      <c r="Q34" s="240"/>
      <c r="R34" s="240"/>
      <c r="S34" s="240"/>
      <c r="T34" s="240"/>
      <c r="U34" s="240"/>
      <c r="V34" s="240"/>
      <c r="W34" s="240"/>
      <c r="X34" s="240"/>
      <c r="Y34" s="240"/>
      <c r="Z34" s="240"/>
      <c r="AA34" s="240"/>
      <c r="AB34" s="240"/>
    </row>
    <row r="35">
      <c r="A35" s="240" t="s">
        <v>6932</v>
      </c>
      <c r="B35" s="240"/>
      <c r="C35" s="240" t="s">
        <v>2430</v>
      </c>
      <c r="D35" s="240" t="s">
        <v>2431</v>
      </c>
      <c r="E35" s="240" t="s">
        <v>6933</v>
      </c>
      <c r="F35" s="169" t="str">
        <f t="shared" si="1"/>
        <v>MetriKG: Profiling Static and Evolving Knowledge Graphs
Hasan Günes, Milos Jovanovik, Katja Hose
</v>
      </c>
      <c r="G35" s="240" t="s">
        <v>6934</v>
      </c>
      <c r="H35" s="240" t="s">
        <v>6829</v>
      </c>
      <c r="I35" s="240" t="s">
        <v>6830</v>
      </c>
      <c r="J35" s="240" t="s">
        <v>6830</v>
      </c>
      <c r="K35" s="240" t="s">
        <v>6830</v>
      </c>
      <c r="L35" s="240" t="s">
        <v>6832</v>
      </c>
      <c r="M35" s="240"/>
      <c r="N35" s="240"/>
      <c r="O35" s="240"/>
      <c r="P35" s="240"/>
      <c r="Q35" s="240"/>
      <c r="R35" s="240"/>
      <c r="S35" s="240"/>
      <c r="T35" s="240"/>
      <c r="U35" s="240"/>
      <c r="V35" s="240"/>
      <c r="W35" s="240"/>
      <c r="X35" s="240"/>
      <c r="Y35" s="240"/>
      <c r="Z35" s="240"/>
      <c r="AA35" s="240"/>
      <c r="AB35" s="240"/>
    </row>
    <row r="36">
      <c r="A36" s="240" t="s">
        <v>6935</v>
      </c>
      <c r="B36" s="240"/>
      <c r="C36" s="240" t="s">
        <v>2432</v>
      </c>
      <c r="D36" s="240" t="s">
        <v>2433</v>
      </c>
      <c r="E36" s="240" t="s">
        <v>6936</v>
      </c>
      <c r="F36" s="169" t="str">
        <f t="shared" si="1"/>
        <v>TabTune: A Unified Library for Inference and Fine-Tuning Tabular Foundation Models
Aditya Tanna, Pratinav Seth, Mohamed Bouadi, Vinay Sankarapu
</v>
      </c>
      <c r="G36" s="240" t="s">
        <v>6517</v>
      </c>
      <c r="H36" s="240" t="s">
        <v>6937</v>
      </c>
      <c r="I36" s="240" t="s">
        <v>6830</v>
      </c>
      <c r="J36" s="240" t="s">
        <v>6831</v>
      </c>
      <c r="K36" s="240" t="s">
        <v>6830</v>
      </c>
      <c r="L36" s="240" t="s">
        <v>6832</v>
      </c>
      <c r="M36" s="240"/>
      <c r="N36" s="240"/>
      <c r="O36" s="240"/>
      <c r="P36" s="240"/>
      <c r="Q36" s="240"/>
      <c r="R36" s="240"/>
      <c r="S36" s="240"/>
      <c r="T36" s="240"/>
      <c r="U36" s="240"/>
      <c r="V36" s="240"/>
      <c r="W36" s="240"/>
      <c r="X36" s="240"/>
      <c r="Y36" s="240"/>
      <c r="Z36" s="240"/>
      <c r="AA36" s="240"/>
      <c r="AB36" s="240"/>
    </row>
    <row r="37">
      <c r="A37" s="240" t="s">
        <v>6938</v>
      </c>
      <c r="B37" s="240"/>
      <c r="C37" s="240" t="s">
        <v>2434</v>
      </c>
      <c r="D37" s="240" t="s">
        <v>2435</v>
      </c>
      <c r="E37" s="240" t="s">
        <v>6939</v>
      </c>
      <c r="F37" s="169" t="str">
        <f t="shared" si="1"/>
        <v>RobustReviewAI: A Robustness Evaluation System for AI-Powered Peer Review
Siming Yuan, Yuchen Liu, Qinan Zheng, Wangze Ni, Shimin Di, Lei Chen, Kui Ren
</v>
      </c>
      <c r="G37" s="240" t="s">
        <v>6835</v>
      </c>
      <c r="H37" s="240" t="s">
        <v>6940</v>
      </c>
      <c r="I37" s="240" t="s">
        <v>6830</v>
      </c>
      <c r="J37" s="240" t="s">
        <v>6831</v>
      </c>
      <c r="K37" s="240" t="s">
        <v>6830</v>
      </c>
      <c r="L37" s="240" t="s">
        <v>6832</v>
      </c>
      <c r="M37" s="240"/>
      <c r="N37" s="240"/>
      <c r="O37" s="240"/>
      <c r="P37" s="240"/>
      <c r="Q37" s="240"/>
      <c r="R37" s="240"/>
      <c r="S37" s="240"/>
      <c r="T37" s="240"/>
      <c r="U37" s="240"/>
      <c r="V37" s="240"/>
      <c r="W37" s="240"/>
      <c r="X37" s="240"/>
      <c r="Y37" s="240"/>
      <c r="Z37" s="240"/>
      <c r="AA37" s="240"/>
      <c r="AB37" s="240"/>
    </row>
    <row r="38">
      <c r="A38" s="240" t="s">
        <v>6941</v>
      </c>
      <c r="B38" s="240"/>
      <c r="C38" s="240" t="s">
        <v>2436</v>
      </c>
      <c r="D38" s="240" t="s">
        <v>2437</v>
      </c>
      <c r="E38" s="240" t="s">
        <v>6942</v>
      </c>
      <c r="F38" s="169" t="str">
        <f t="shared" si="1"/>
        <v>LLM-Powered Structurer: Normalizing Natural Language to Information Delivery Specification for Industrial Data Exchange
Jiqian Yang, Sujie Yan, Zhi Li, Mingyu Liu, Yousheng Wang, Wei He
</v>
      </c>
      <c r="G38" s="240" t="s">
        <v>6943</v>
      </c>
      <c r="H38" s="240" t="s">
        <v>6829</v>
      </c>
      <c r="I38" s="240" t="s">
        <v>6830</v>
      </c>
      <c r="J38" s="240" t="s">
        <v>6831</v>
      </c>
      <c r="K38" s="240" t="s">
        <v>6830</v>
      </c>
      <c r="L38" s="240" t="s">
        <v>6832</v>
      </c>
      <c r="M38" s="240"/>
      <c r="N38" s="240"/>
      <c r="O38" s="240"/>
      <c r="P38" s="240"/>
      <c r="Q38" s="240"/>
      <c r="R38" s="240"/>
      <c r="S38" s="240"/>
      <c r="T38" s="240"/>
      <c r="U38" s="240"/>
      <c r="V38" s="240"/>
      <c r="W38" s="240"/>
      <c r="X38" s="240"/>
      <c r="Y38" s="240"/>
      <c r="Z38" s="240"/>
      <c r="AA38" s="240"/>
      <c r="AB38" s="240"/>
    </row>
    <row r="39">
      <c r="A39" s="240" t="s">
        <v>6944</v>
      </c>
      <c r="B39" s="240"/>
      <c r="C39" s="240" t="s">
        <v>2438</v>
      </c>
      <c r="D39" s="240" t="s">
        <v>2439</v>
      </c>
      <c r="E39" s="240" t="s">
        <v>6945</v>
      </c>
      <c r="F39" s="169" t="str">
        <f t="shared" si="1"/>
        <v>OwlerLite: Scope- and Freshness-Aware Web Retrieval for LLM Assistants
Saber Zerhoudi, Michael Dinzinger, Michael Granitzer, Jelena Mitrovic
</v>
      </c>
      <c r="G39" s="240" t="s">
        <v>6946</v>
      </c>
      <c r="H39" s="240" t="s">
        <v>6829</v>
      </c>
      <c r="I39" s="240" t="s">
        <v>6830</v>
      </c>
      <c r="J39" s="240" t="s">
        <v>6830</v>
      </c>
      <c r="K39" s="240" t="s">
        <v>6830</v>
      </c>
      <c r="L39" s="240" t="s">
        <v>6832</v>
      </c>
      <c r="M39" s="240"/>
      <c r="N39" s="240"/>
      <c r="O39" s="240"/>
      <c r="P39" s="240"/>
      <c r="Q39" s="240"/>
      <c r="R39" s="240"/>
      <c r="S39" s="240"/>
      <c r="T39" s="240"/>
      <c r="U39" s="240"/>
      <c r="V39" s="240"/>
      <c r="W39" s="240"/>
      <c r="X39" s="240"/>
      <c r="Y39" s="240"/>
      <c r="Z39" s="240"/>
      <c r="AA39" s="240"/>
      <c r="AB39" s="240"/>
    </row>
    <row r="40">
      <c r="A40" s="240" t="s">
        <v>6947</v>
      </c>
      <c r="B40" s="240"/>
      <c r="C40" s="240" t="s">
        <v>2440</v>
      </c>
      <c r="D40" s="240" t="s">
        <v>2441</v>
      </c>
      <c r="E40" s="240" t="s">
        <v>6948</v>
      </c>
      <c r="F40" s="169" t="str">
        <f t="shared" si="1"/>
        <v>Weakly Supervised Multimodal Claim Verification with Entity-Graph Inference
Kiana Bagheri-Lotfabad, Amin Beheshti, Milad Mosharraf, Min Li, Pooyan Asgari, Guanfeng Liu
</v>
      </c>
      <c r="G40" s="240" t="s">
        <v>6949</v>
      </c>
      <c r="H40" s="240" t="s">
        <v>6829</v>
      </c>
      <c r="I40" s="240" t="s">
        <v>2955</v>
      </c>
      <c r="J40" s="240" t="s">
        <v>2955</v>
      </c>
      <c r="K40" s="240" t="s">
        <v>2955</v>
      </c>
      <c r="L40" s="240" t="s">
        <v>6832</v>
      </c>
      <c r="M40" s="240"/>
      <c r="N40" s="240"/>
      <c r="O40" s="240"/>
      <c r="P40" s="240"/>
      <c r="Q40" s="240"/>
      <c r="R40" s="240"/>
      <c r="S40" s="240"/>
      <c r="T40" s="240"/>
      <c r="U40" s="240"/>
      <c r="V40" s="240"/>
      <c r="W40" s="240"/>
      <c r="X40" s="240"/>
      <c r="Y40" s="240"/>
      <c r="Z40" s="240"/>
      <c r="AA40" s="240"/>
      <c r="AB40" s="240"/>
    </row>
    <row r="41">
      <c r="A41" s="240" t="s">
        <v>6950</v>
      </c>
      <c r="B41" s="240"/>
      <c r="C41" s="240" t="s">
        <v>2442</v>
      </c>
      <c r="D41" s="240" t="s">
        <v>2443</v>
      </c>
      <c r="E41" s="240" t="s">
        <v>6951</v>
      </c>
      <c r="F41" s="169" t="str">
        <f t="shared" si="1"/>
        <v>BLURR: A Boosted Low-Resource Inference for Vision-Language-Action Model
Xiaoyu Ma, Zhengqing Yuan, Zheyuan Zhang, Kaiwen Shi, Lichao Sun, Yanfang Ye
</v>
      </c>
      <c r="G41" s="240" t="s">
        <v>6952</v>
      </c>
      <c r="H41" s="240" t="s">
        <v>6829</v>
      </c>
      <c r="I41" s="240" t="s">
        <v>6830</v>
      </c>
      <c r="J41" s="240" t="s">
        <v>6830</v>
      </c>
      <c r="K41" s="240" t="s">
        <v>6830</v>
      </c>
      <c r="L41" s="240" t="s">
        <v>6832</v>
      </c>
      <c r="M41" s="240"/>
      <c r="N41" s="240"/>
      <c r="O41" s="240"/>
      <c r="P41" s="240"/>
      <c r="Q41" s="240"/>
      <c r="R41" s="240"/>
      <c r="S41" s="240"/>
      <c r="T41" s="240"/>
      <c r="U41" s="240"/>
      <c r="V41" s="240"/>
      <c r="W41" s="240"/>
      <c r="X41" s="240"/>
      <c r="Y41" s="240"/>
      <c r="Z41" s="240"/>
      <c r="AA41" s="240"/>
      <c r="AB41" s="240"/>
    </row>
    <row r="42">
      <c r="A42" s="240" t="s">
        <v>6953</v>
      </c>
      <c r="B42" s="267" t="s">
        <v>17</v>
      </c>
      <c r="C42" s="240" t="s">
        <v>2444</v>
      </c>
      <c r="D42" s="240" t="s">
        <v>2445</v>
      </c>
      <c r="E42" s="240" t="s">
        <v>6954</v>
      </c>
      <c r="F42" s="169" t="str">
        <f t="shared" si="1"/>
        <v>Temporal Information Retrieval And Question Answering in the Age of LLMs
Bhawna Piryani, Avishek Anand, Adam Jatowt
</v>
      </c>
      <c r="G42" s="240" t="s">
        <v>6955</v>
      </c>
      <c r="H42" s="240" t="s">
        <v>2955</v>
      </c>
      <c r="I42" s="240" t="s">
        <v>6831</v>
      </c>
      <c r="J42" s="240" t="s">
        <v>6831</v>
      </c>
      <c r="K42" s="240" t="s">
        <v>6831</v>
      </c>
      <c r="L42" s="240" t="s">
        <v>6832</v>
      </c>
      <c r="M42" s="240"/>
      <c r="N42" s="240"/>
      <c r="O42" s="240"/>
      <c r="P42" s="240"/>
      <c r="Q42" s="240"/>
      <c r="R42" s="240"/>
      <c r="S42" s="240"/>
      <c r="T42" s="240"/>
      <c r="U42" s="240"/>
      <c r="V42" s="240"/>
      <c r="W42" s="240"/>
      <c r="X42" s="240"/>
      <c r="Y42" s="240"/>
      <c r="Z42" s="240"/>
      <c r="AA42" s="240"/>
      <c r="AB42" s="240"/>
    </row>
    <row r="43">
      <c r="A43" s="240" t="s">
        <v>6956</v>
      </c>
      <c r="B43" s="267" t="s">
        <v>18</v>
      </c>
      <c r="C43" s="240" t="s">
        <v>2446</v>
      </c>
      <c r="D43" s="240" t="s">
        <v>2447</v>
      </c>
      <c r="E43" s="240" t="s">
        <v>6957</v>
      </c>
      <c r="F43" s="169" t="str">
        <f t="shared" si="1"/>
        <v>Out-of-distribution Generalized Generative AI
Xin Wang, Zirui Pan, Yuwei Zhou, Wenwu Zhu
</v>
      </c>
      <c r="G43" s="240" t="s">
        <v>6958</v>
      </c>
      <c r="H43" s="240" t="s">
        <v>2955</v>
      </c>
      <c r="I43" s="240" t="s">
        <v>6830</v>
      </c>
      <c r="J43" s="240" t="s">
        <v>6831</v>
      </c>
      <c r="K43" s="240" t="s">
        <v>6830</v>
      </c>
      <c r="L43" s="240" t="s">
        <v>6832</v>
      </c>
      <c r="M43" s="240"/>
      <c r="N43" s="240"/>
      <c r="O43" s="240"/>
      <c r="P43" s="240"/>
      <c r="Q43" s="240"/>
      <c r="R43" s="240"/>
      <c r="S43" s="240"/>
      <c r="T43" s="240"/>
      <c r="U43" s="240"/>
      <c r="V43" s="240"/>
      <c r="W43" s="240"/>
      <c r="X43" s="240"/>
      <c r="Y43" s="240"/>
      <c r="Z43" s="240"/>
      <c r="AA43" s="240"/>
      <c r="AB43" s="240"/>
    </row>
    <row r="44">
      <c r="A44" s="240" t="s">
        <v>6959</v>
      </c>
      <c r="B44" s="267" t="s">
        <v>19</v>
      </c>
      <c r="C44" s="240" t="s">
        <v>2448</v>
      </c>
      <c r="D44" s="240" t="s">
        <v>2449</v>
      </c>
      <c r="E44" s="240" t="s">
        <v>6960</v>
      </c>
      <c r="F44" s="169" t="str">
        <f t="shared" si="1"/>
        <v>Towards a Responsible Web: Economic Perspectives on Fairness in Information Retrieval
Chen Xu, Clara Rus, Yuanna Liu, Marleen de Jonge, Jun Xu, Maarten de Rijke
</v>
      </c>
      <c r="G44" s="240" t="s">
        <v>6961</v>
      </c>
      <c r="H44" s="240" t="s">
        <v>2955</v>
      </c>
      <c r="I44" s="240" t="s">
        <v>6830</v>
      </c>
      <c r="J44" s="240" t="s">
        <v>6830</v>
      </c>
      <c r="K44" s="240" t="s">
        <v>6830</v>
      </c>
      <c r="L44" s="240" t="s">
        <v>6832</v>
      </c>
      <c r="M44" s="240"/>
      <c r="N44" s="240"/>
      <c r="O44" s="240"/>
      <c r="P44" s="240"/>
      <c r="Q44" s="240"/>
      <c r="R44" s="240"/>
      <c r="S44" s="240"/>
      <c r="T44" s="240"/>
      <c r="U44" s="240"/>
      <c r="V44" s="240"/>
      <c r="W44" s="240"/>
      <c r="X44" s="240"/>
      <c r="Y44" s="240"/>
      <c r="Z44" s="240"/>
      <c r="AA44" s="240"/>
      <c r="AB44" s="240"/>
    </row>
    <row r="45">
      <c r="A45" s="240" t="s">
        <v>6962</v>
      </c>
      <c r="B45" s="267" t="s">
        <v>43</v>
      </c>
      <c r="C45" s="240" t="s">
        <v>2450</v>
      </c>
      <c r="D45" s="240" t="s">
        <v>2451</v>
      </c>
      <c r="E45" s="240" t="s">
        <v>6963</v>
      </c>
      <c r="F45" s="169" t="str">
        <f t="shared" si="1"/>
        <v>Collaborative LLM Agents for End-to-End Software Development
Shweta Garg, Behrooz Omidvar-Tehrani, Shengyu Fu, Gauthier Guinet, Baishakhi Ray
</v>
      </c>
      <c r="G45" s="240" t="s">
        <v>6964</v>
      </c>
      <c r="H45" s="240" t="s">
        <v>2955</v>
      </c>
      <c r="I45" s="240" t="s">
        <v>6830</v>
      </c>
      <c r="J45" s="240" t="s">
        <v>6831</v>
      </c>
      <c r="K45" s="240" t="s">
        <v>6830</v>
      </c>
      <c r="L45" s="240" t="s">
        <v>6832</v>
      </c>
      <c r="M45" s="240"/>
      <c r="N45" s="240"/>
      <c r="O45" s="240"/>
      <c r="P45" s="240"/>
      <c r="Q45" s="240"/>
      <c r="R45" s="240"/>
      <c r="S45" s="240"/>
      <c r="T45" s="240"/>
      <c r="U45" s="240"/>
      <c r="V45" s="240"/>
      <c r="W45" s="240"/>
      <c r="X45" s="240"/>
      <c r="Y45" s="240"/>
      <c r="Z45" s="240"/>
      <c r="AA45" s="240"/>
      <c r="AB45" s="240"/>
    </row>
    <row r="46">
      <c r="A46" s="240" t="s">
        <v>6965</v>
      </c>
      <c r="B46" s="267" t="s">
        <v>56</v>
      </c>
      <c r="C46" s="240" t="s">
        <v>2452</v>
      </c>
      <c r="D46" s="240" t="s">
        <v>2453</v>
      </c>
      <c r="E46" s="240" t="s">
        <v>6966</v>
      </c>
      <c r="F46" s="169" t="str">
        <f t="shared" si="1"/>
        <v>LLM-Enhanced Web-Centric Spatio-Temporal Intelligence: Methods, Applications, and Frontier Research
Zijian Zhang, Hao Miao, Yuxuan Liang, Yan Zhao, Irwin King
</v>
      </c>
      <c r="G46" s="240" t="s">
        <v>5310</v>
      </c>
      <c r="H46" s="240" t="s">
        <v>2955</v>
      </c>
      <c r="I46" s="240" t="s">
        <v>6830</v>
      </c>
      <c r="J46" s="240" t="s">
        <v>6831</v>
      </c>
      <c r="K46" s="240" t="s">
        <v>6830</v>
      </c>
      <c r="L46" s="240" t="s">
        <v>6832</v>
      </c>
      <c r="M46" s="240"/>
      <c r="N46" s="240"/>
      <c r="O46" s="240"/>
      <c r="P46" s="240"/>
      <c r="Q46" s="240"/>
      <c r="R46" s="240"/>
      <c r="S46" s="240"/>
      <c r="T46" s="240"/>
      <c r="U46" s="240"/>
      <c r="V46" s="240"/>
      <c r="W46" s="240"/>
      <c r="X46" s="240"/>
      <c r="Y46" s="240"/>
      <c r="Z46" s="240"/>
      <c r="AA46" s="240"/>
      <c r="AB46" s="240"/>
    </row>
    <row r="47">
      <c r="A47" s="240" t="s">
        <v>6967</v>
      </c>
      <c r="B47" s="267" t="s">
        <v>33</v>
      </c>
      <c r="C47" s="240" t="s">
        <v>2454</v>
      </c>
      <c r="D47" s="240" t="s">
        <v>2455</v>
      </c>
      <c r="E47" s="240" t="s">
        <v>6968</v>
      </c>
      <c r="F47" s="169" t="str">
        <f t="shared" si="1"/>
        <v>Quantum-Safe, Efficient, and AI-Enhanced Blockchains for the Web: A Cooperative Tutorial on Quantum Computing, Blockchain Applications, and Data Standards
Dongping Liu, Aoyu Zhang, Luyao Zhang
</v>
      </c>
      <c r="G47" s="240" t="s">
        <v>6969</v>
      </c>
      <c r="H47" s="240" t="s">
        <v>2955</v>
      </c>
      <c r="I47" s="240" t="s">
        <v>6830</v>
      </c>
      <c r="J47" s="240" t="s">
        <v>6831</v>
      </c>
      <c r="K47" s="240" t="s">
        <v>6830</v>
      </c>
      <c r="L47" s="240" t="s">
        <v>6832</v>
      </c>
      <c r="M47" s="240"/>
      <c r="N47" s="240"/>
      <c r="O47" s="240"/>
      <c r="P47" s="240"/>
      <c r="Q47" s="240"/>
      <c r="R47" s="240"/>
      <c r="S47" s="240"/>
      <c r="T47" s="240"/>
      <c r="U47" s="240"/>
      <c r="V47" s="240"/>
      <c r="W47" s="240"/>
      <c r="X47" s="240"/>
      <c r="Y47" s="240"/>
      <c r="Z47" s="240"/>
      <c r="AA47" s="240"/>
      <c r="AB47" s="240"/>
    </row>
    <row r="48">
      <c r="A48" s="240" t="s">
        <v>6970</v>
      </c>
      <c r="B48" s="267" t="s">
        <v>44</v>
      </c>
      <c r="C48" s="240" t="s">
        <v>2456</v>
      </c>
      <c r="D48" s="240" t="s">
        <v>2457</v>
      </c>
      <c r="E48" s="240" t="s">
        <v>6971</v>
      </c>
      <c r="F48" s="169" t="str">
        <f t="shared" si="1"/>
        <v>Conversational Search: From Fundamentals to Frontiers in the Age of Agents
Chuan Meng, Fengran Mo, Mohammad Aliannejadi, Jeff Dalton, Jian-Yun Nie
</v>
      </c>
      <c r="G48" s="240" t="s">
        <v>6972</v>
      </c>
      <c r="H48" s="240" t="s">
        <v>2955</v>
      </c>
      <c r="I48" s="240" t="s">
        <v>6830</v>
      </c>
      <c r="J48" s="240" t="s">
        <v>6830</v>
      </c>
      <c r="K48" s="240" t="s">
        <v>6830</v>
      </c>
      <c r="L48" s="240" t="s">
        <v>6832</v>
      </c>
      <c r="M48" s="240"/>
      <c r="N48" s="240"/>
      <c r="O48" s="240"/>
      <c r="P48" s="240"/>
      <c r="Q48" s="240"/>
      <c r="R48" s="240"/>
      <c r="S48" s="240"/>
      <c r="T48" s="240"/>
      <c r="U48" s="240"/>
      <c r="V48" s="240"/>
      <c r="W48" s="240"/>
      <c r="X48" s="240"/>
      <c r="Y48" s="240"/>
      <c r="Z48" s="240"/>
      <c r="AA48" s="240"/>
      <c r="AB48" s="240"/>
    </row>
    <row r="49">
      <c r="A49" s="240" t="s">
        <v>6973</v>
      </c>
      <c r="B49" s="267" t="s">
        <v>34</v>
      </c>
      <c r="C49" s="240" t="s">
        <v>2458</v>
      </c>
      <c r="D49" s="240" t="s">
        <v>2459</v>
      </c>
      <c r="E49" s="240" t="s">
        <v>6974</v>
      </c>
      <c r="F49" s="169" t="str">
        <f t="shared" si="1"/>
        <v>Bandits, LLMs, and Agentic Web
Djallel Bouneffouf, Raphael Feraud
</v>
      </c>
      <c r="G49" s="240" t="s">
        <v>6975</v>
      </c>
      <c r="H49" s="240" t="s">
        <v>2955</v>
      </c>
      <c r="I49" s="240" t="s">
        <v>6830</v>
      </c>
      <c r="J49" s="240" t="s">
        <v>6831</v>
      </c>
      <c r="K49" s="240" t="s">
        <v>6830</v>
      </c>
      <c r="L49" s="240" t="s">
        <v>6832</v>
      </c>
      <c r="M49" s="240"/>
      <c r="N49" s="240"/>
      <c r="O49" s="240"/>
      <c r="P49" s="240"/>
      <c r="Q49" s="240"/>
      <c r="R49" s="240"/>
      <c r="S49" s="240"/>
      <c r="T49" s="240"/>
      <c r="U49" s="240"/>
      <c r="V49" s="240"/>
      <c r="W49" s="240"/>
      <c r="X49" s="240"/>
      <c r="Y49" s="240"/>
      <c r="Z49" s="240"/>
      <c r="AA49" s="240"/>
      <c r="AB49" s="240"/>
    </row>
    <row r="50">
      <c r="A50" s="240" t="s">
        <v>6976</v>
      </c>
      <c r="B50" s="267" t="s">
        <v>35</v>
      </c>
      <c r="C50" s="240" t="s">
        <v>2460</v>
      </c>
      <c r="D50" s="240" t="s">
        <v>2461</v>
      </c>
      <c r="E50" s="240" t="s">
        <v>6977</v>
      </c>
      <c r="F50" s="169" t="str">
        <f t="shared" si="1"/>
        <v>Unstructured to Structured: Building Knowledge Graphs from Documents for Web Applications
Qiang Sun, Yihao Ding, Sirui Li, Wei Liu
</v>
      </c>
      <c r="G50" s="240" t="s">
        <v>6978</v>
      </c>
      <c r="H50" s="240" t="s">
        <v>2955</v>
      </c>
      <c r="I50" s="240" t="s">
        <v>6830</v>
      </c>
      <c r="J50" s="240" t="s">
        <v>6830</v>
      </c>
      <c r="K50" s="240" t="s">
        <v>6830</v>
      </c>
      <c r="L50" s="240" t="s">
        <v>6832</v>
      </c>
      <c r="M50" s="240"/>
      <c r="N50" s="240"/>
      <c r="O50" s="240"/>
      <c r="P50" s="240"/>
      <c r="Q50" s="240"/>
      <c r="R50" s="240"/>
      <c r="S50" s="240"/>
      <c r="T50" s="240"/>
      <c r="U50" s="240"/>
      <c r="V50" s="240"/>
      <c r="W50" s="240"/>
      <c r="X50" s="240"/>
      <c r="Y50" s="240"/>
      <c r="Z50" s="240"/>
      <c r="AA50" s="240"/>
      <c r="AB50" s="240"/>
    </row>
    <row r="51">
      <c r="A51" s="240" t="s">
        <v>6979</v>
      </c>
      <c r="B51" s="267" t="s">
        <v>45</v>
      </c>
      <c r="C51" s="240" t="s">
        <v>2462</v>
      </c>
      <c r="D51" s="240" t="s">
        <v>2463</v>
      </c>
      <c r="E51" s="240" t="s">
        <v>6980</v>
      </c>
      <c r="F51" s="169" t="str">
        <f t="shared" si="1"/>
        <v>Foundations for the Agentic Web: Networked AI Agents in a Decentralized Architecture (NANDA)
Ramesh Raskar, Pradyumna Chari
</v>
      </c>
      <c r="G51" s="240" t="s">
        <v>6981</v>
      </c>
      <c r="H51" s="240" t="s">
        <v>2955</v>
      </c>
      <c r="I51" s="240" t="s">
        <v>6830</v>
      </c>
      <c r="J51" s="240" t="s">
        <v>6831</v>
      </c>
      <c r="K51" s="240" t="s">
        <v>6830</v>
      </c>
      <c r="L51" s="240" t="s">
        <v>6832</v>
      </c>
      <c r="M51" s="240"/>
      <c r="N51" s="240"/>
      <c r="O51" s="240"/>
      <c r="P51" s="240"/>
      <c r="Q51" s="240"/>
      <c r="R51" s="240"/>
      <c r="S51" s="240"/>
      <c r="T51" s="240"/>
      <c r="U51" s="240"/>
      <c r="V51" s="240"/>
      <c r="W51" s="240"/>
      <c r="X51" s="240"/>
      <c r="Y51" s="240"/>
      <c r="Z51" s="240"/>
      <c r="AA51" s="240"/>
      <c r="AB51" s="240"/>
    </row>
    <row r="52">
      <c r="A52" s="240" t="s">
        <v>6982</v>
      </c>
      <c r="B52" s="267" t="s">
        <v>57</v>
      </c>
      <c r="C52" s="240" t="s">
        <v>2464</v>
      </c>
      <c r="D52" s="240" t="s">
        <v>2465</v>
      </c>
      <c r="E52" s="240" t="s">
        <v>6983</v>
      </c>
      <c r="F52" s="169" t="str">
        <f t="shared" si="1"/>
        <v>Generalist Model for Structured Data: Foundations, Frontiers and Applications
Peng Cui, Xingxuan Zhang, Han-Jia Ye, Jintai Chen, Shuyang Li
</v>
      </c>
      <c r="G52" s="240" t="s">
        <v>6984</v>
      </c>
      <c r="H52" s="240" t="s">
        <v>2955</v>
      </c>
      <c r="I52" s="240" t="s">
        <v>6830</v>
      </c>
      <c r="J52" s="240" t="s">
        <v>6830</v>
      </c>
      <c r="K52" s="240" t="s">
        <v>6830</v>
      </c>
      <c r="L52" s="240" t="s">
        <v>6832</v>
      </c>
      <c r="M52" s="240"/>
      <c r="N52" s="240"/>
      <c r="O52" s="240"/>
      <c r="P52" s="240"/>
      <c r="Q52" s="240"/>
      <c r="R52" s="240"/>
      <c r="S52" s="240"/>
      <c r="T52" s="240"/>
      <c r="U52" s="240"/>
      <c r="V52" s="240"/>
      <c r="W52" s="240"/>
      <c r="X52" s="240"/>
      <c r="Y52" s="240"/>
      <c r="Z52" s="240"/>
      <c r="AA52" s="240"/>
      <c r="AB52" s="240"/>
    </row>
    <row r="53">
      <c r="A53" s="240" t="s">
        <v>6985</v>
      </c>
      <c r="B53" s="267" t="s">
        <v>58</v>
      </c>
      <c r="C53" s="240" t="s">
        <v>2466</v>
      </c>
      <c r="D53" s="240" t="s">
        <v>2467</v>
      </c>
      <c r="E53" s="240" t="s">
        <v>6986</v>
      </c>
      <c r="F53" s="169" t="str">
        <f t="shared" si="1"/>
        <v>Robust Graph Learning on the Web: Challenges, Methods, and Applications
Xiang Ao, Yang Liu, Guansong Pang, Yuanhao Ding, Hezhe Qiao, Dawei Cheng, Qing He
</v>
      </c>
      <c r="G53" s="240" t="s">
        <v>5498</v>
      </c>
      <c r="H53" s="240" t="s">
        <v>2955</v>
      </c>
      <c r="I53" s="240" t="s">
        <v>6830</v>
      </c>
      <c r="J53" s="240" t="s">
        <v>6830</v>
      </c>
      <c r="K53" s="240" t="s">
        <v>6830</v>
      </c>
      <c r="L53" s="240" t="s">
        <v>6832</v>
      </c>
      <c r="M53" s="240"/>
      <c r="N53" s="240"/>
      <c r="O53" s="240"/>
      <c r="P53" s="240"/>
      <c r="Q53" s="240"/>
      <c r="R53" s="240"/>
      <c r="S53" s="240"/>
      <c r="T53" s="240"/>
      <c r="U53" s="240"/>
      <c r="V53" s="240"/>
      <c r="W53" s="240"/>
      <c r="X53" s="240"/>
      <c r="Y53" s="240"/>
      <c r="Z53" s="240"/>
      <c r="AA53" s="240"/>
      <c r="AB53" s="240"/>
    </row>
    <row r="54">
      <c r="A54" s="240" t="s">
        <v>6987</v>
      </c>
      <c r="B54" s="267" t="s">
        <v>59</v>
      </c>
      <c r="C54" s="240" t="s">
        <v>2468</v>
      </c>
      <c r="D54" s="240" t="s">
        <v>2469</v>
      </c>
      <c r="E54" s="240" t="s">
        <v>6988</v>
      </c>
      <c r="F54" s="169" t="str">
        <f t="shared" si="1"/>
        <v>Responsible Prompting on the Web: Governance, Mini-Evaluation, and Readiness with ChatGPT
Manali Sharma, Ayush Garg
</v>
      </c>
      <c r="G54" s="240" t="s">
        <v>6989</v>
      </c>
      <c r="H54" s="240" t="s">
        <v>2955</v>
      </c>
      <c r="I54" s="240" t="s">
        <v>6830</v>
      </c>
      <c r="J54" s="240" t="s">
        <v>6830</v>
      </c>
      <c r="K54" s="240" t="s">
        <v>6830</v>
      </c>
      <c r="L54" s="240" t="s">
        <v>6832</v>
      </c>
      <c r="M54" s="240"/>
      <c r="N54" s="240"/>
      <c r="O54" s="240"/>
      <c r="P54" s="240"/>
      <c r="Q54" s="240"/>
      <c r="R54" s="240"/>
      <c r="S54" s="240"/>
      <c r="T54" s="240"/>
      <c r="U54" s="240"/>
      <c r="V54" s="240"/>
      <c r="W54" s="240"/>
      <c r="X54" s="240"/>
      <c r="Y54" s="240"/>
      <c r="Z54" s="240"/>
      <c r="AA54" s="240"/>
      <c r="AB54" s="240"/>
    </row>
    <row r="55">
      <c r="A55" s="240" t="s">
        <v>6990</v>
      </c>
      <c r="B55" s="240" t="str">
        <f t="array" ref="B55:B960">LEFT(C55:C960, 4)</f>
        <v>wk04</v>
      </c>
      <c r="C55" s="240" t="s">
        <v>2470</v>
      </c>
      <c r="D55" s="240" t="s">
        <v>2471</v>
      </c>
      <c r="E55" s="240" t="s">
        <v>6991</v>
      </c>
      <c r="F55" s="169" t="str">
        <f t="shared" si="1"/>
        <v>6th International Workshop on Computational Methods for Online Discourse Analysis (BeyondFacts'26)
Konstantin Todorov, Stefan Dietze, Dimitar Dimitrov, Pavlos Fafalios
</v>
      </c>
      <c r="G55" s="240" t="s">
        <v>6992</v>
      </c>
      <c r="H55" s="240" t="s">
        <v>2955</v>
      </c>
      <c r="I55" s="240" t="s">
        <v>6830</v>
      </c>
      <c r="J55" s="240" t="s">
        <v>6831</v>
      </c>
      <c r="K55" s="240" t="s">
        <v>6830</v>
      </c>
      <c r="L55" s="240" t="s">
        <v>6832</v>
      </c>
      <c r="M55" s="240"/>
      <c r="N55" s="240"/>
      <c r="O55" s="240"/>
      <c r="P55" s="240"/>
      <c r="Q55" s="240"/>
      <c r="R55" s="240"/>
      <c r="S55" s="240"/>
      <c r="T55" s="240"/>
      <c r="U55" s="240"/>
      <c r="V55" s="240"/>
      <c r="W55" s="240"/>
      <c r="X55" s="240"/>
      <c r="Y55" s="240"/>
      <c r="Z55" s="240"/>
      <c r="AA55" s="240"/>
      <c r="AB55" s="240"/>
    </row>
    <row r="56">
      <c r="A56" s="240" t="s">
        <v>6993</v>
      </c>
      <c r="B56" s="240" t="s">
        <v>6994</v>
      </c>
      <c r="C56" s="240" t="s">
        <v>2472</v>
      </c>
      <c r="D56" s="240" t="s">
        <v>2473</v>
      </c>
      <c r="E56" s="240" t="s">
        <v>6995</v>
      </c>
      <c r="F56" s="169" t="str">
        <f t="shared" si="1"/>
        <v>EmeraldApp: An AI-Driven Tool for Detecting Greenwashing in Sustainability Claims
Georgios Kaoukis, Ioannis-Aris Koufopoulos, Eleni Psaroudaki, Danae Pla Karidi, Evaggelia Pitoura, George Papastefanatos, Panayiotis Tsaparas
</v>
      </c>
      <c r="G56" s="240" t="s">
        <v>6696</v>
      </c>
      <c r="H56" s="240" t="s">
        <v>6829</v>
      </c>
      <c r="I56" s="240" t="s">
        <v>6830</v>
      </c>
      <c r="J56" s="240" t="s">
        <v>6830</v>
      </c>
      <c r="K56" s="240" t="s">
        <v>6830</v>
      </c>
      <c r="L56" s="240" t="s">
        <v>6832</v>
      </c>
      <c r="M56" s="240"/>
      <c r="N56" s="240"/>
      <c r="O56" s="240"/>
      <c r="P56" s="240"/>
      <c r="Q56" s="240"/>
      <c r="R56" s="240"/>
      <c r="S56" s="240"/>
      <c r="T56" s="240"/>
      <c r="U56" s="240"/>
      <c r="V56" s="240"/>
      <c r="W56" s="240"/>
      <c r="X56" s="240"/>
      <c r="Y56" s="240"/>
      <c r="Z56" s="240"/>
      <c r="AA56" s="240"/>
      <c r="AB56" s="240"/>
    </row>
    <row r="57">
      <c r="A57" s="240" t="s">
        <v>6996</v>
      </c>
      <c r="B57" s="240" t="s">
        <v>6994</v>
      </c>
      <c r="C57" s="240" t="s">
        <v>2474</v>
      </c>
      <c r="D57" s="240" t="s">
        <v>2475</v>
      </c>
      <c r="E57" s="240" t="s">
        <v>6997</v>
      </c>
      <c r="F57" s="169" t="str">
        <f t="shared" si="1"/>
        <v>Towards Understanding Professional AI Assistant Use: Human-in-the-Loop Topic Modeling of Multi-turn Conversations
Yiyi Chen, Sukhumarn Archasantisuk, Johannes Bjerva
</v>
      </c>
      <c r="G57" s="240" t="s">
        <v>6998</v>
      </c>
      <c r="H57" s="240" t="s">
        <v>6829</v>
      </c>
      <c r="I57" s="240" t="s">
        <v>6830</v>
      </c>
      <c r="J57" s="240" t="s">
        <v>6831</v>
      </c>
      <c r="K57" s="240" t="s">
        <v>6830</v>
      </c>
      <c r="L57" s="240" t="s">
        <v>6832</v>
      </c>
      <c r="M57" s="240"/>
      <c r="N57" s="240"/>
      <c r="O57" s="240"/>
      <c r="P57" s="240"/>
      <c r="Q57" s="240"/>
      <c r="R57" s="240"/>
      <c r="S57" s="240"/>
      <c r="T57" s="240"/>
      <c r="U57" s="240"/>
      <c r="V57" s="240"/>
      <c r="W57" s="240"/>
      <c r="X57" s="240"/>
      <c r="Y57" s="240"/>
      <c r="Z57" s="240"/>
      <c r="AA57" s="240"/>
      <c r="AB57" s="240"/>
    </row>
    <row r="58">
      <c r="A58" s="240" t="s">
        <v>6999</v>
      </c>
      <c r="B58" s="240" t="s">
        <v>6994</v>
      </c>
      <c r="C58" s="240" t="s">
        <v>2476</v>
      </c>
      <c r="D58" s="240" t="s">
        <v>2477</v>
      </c>
      <c r="E58" s="240" t="s">
        <v>7000</v>
      </c>
      <c r="F58" s="169" t="str">
        <f t="shared" si="1"/>
        <v>Proactive Misinformation Forecasting via Incremental Topic Detection and Sentiment Polarization
Carmela Comito, Annalisa Socievole, Ester Zumpano
</v>
      </c>
      <c r="G58" s="240" t="s">
        <v>7001</v>
      </c>
      <c r="H58" s="240" t="s">
        <v>6829</v>
      </c>
      <c r="I58" s="240" t="s">
        <v>6831</v>
      </c>
      <c r="J58" s="240" t="s">
        <v>6831</v>
      </c>
      <c r="K58" s="240" t="s">
        <v>6831</v>
      </c>
      <c r="L58" s="240" t="s">
        <v>6832</v>
      </c>
      <c r="M58" s="240"/>
      <c r="N58" s="240"/>
      <c r="O58" s="240"/>
      <c r="P58" s="240"/>
      <c r="Q58" s="240"/>
      <c r="R58" s="240"/>
      <c r="S58" s="240"/>
      <c r="T58" s="240"/>
      <c r="U58" s="240"/>
      <c r="V58" s="240"/>
      <c r="W58" s="240"/>
      <c r="X58" s="240"/>
      <c r="Y58" s="240"/>
      <c r="Z58" s="240"/>
      <c r="AA58" s="240"/>
      <c r="AB58" s="240"/>
    </row>
    <row r="59">
      <c r="A59" s="240" t="s">
        <v>7002</v>
      </c>
      <c r="B59" s="240" t="s">
        <v>7003</v>
      </c>
      <c r="C59" s="240" t="s">
        <v>2478</v>
      </c>
      <c r="D59" s="240" t="s">
        <v>2479</v>
      </c>
      <c r="E59" s="240" t="s">
        <v>7004</v>
      </c>
      <c r="F59" s="169" t="str">
        <f t="shared" si="1"/>
        <v>The First Workshop on Graph-enhanced LLMs for trustwOrthy Web data management (GLOW’26)
Gianluca Bonifazi, Stefano Cirillo, Eliana Pastor, Luca Virgili
</v>
      </c>
      <c r="G59" s="240" t="s">
        <v>7005</v>
      </c>
      <c r="H59" s="240" t="s">
        <v>2955</v>
      </c>
      <c r="I59" s="240" t="s">
        <v>6830</v>
      </c>
      <c r="J59" s="240" t="s">
        <v>6831</v>
      </c>
      <c r="K59" s="240" t="s">
        <v>6830</v>
      </c>
      <c r="L59" s="240" t="s">
        <v>6832</v>
      </c>
      <c r="M59" s="240"/>
      <c r="N59" s="240"/>
      <c r="O59" s="240"/>
      <c r="P59" s="240"/>
      <c r="Q59" s="240"/>
      <c r="R59" s="240"/>
      <c r="S59" s="240"/>
      <c r="T59" s="240"/>
      <c r="U59" s="240"/>
      <c r="V59" s="240"/>
      <c r="W59" s="240"/>
      <c r="X59" s="240"/>
      <c r="Y59" s="240"/>
      <c r="Z59" s="240"/>
      <c r="AA59" s="240"/>
      <c r="AB59" s="240"/>
    </row>
    <row r="60">
      <c r="A60" s="240" t="s">
        <v>7006</v>
      </c>
      <c r="B60" s="240" t="s">
        <v>7003</v>
      </c>
      <c r="C60" s="240" t="s">
        <v>2480</v>
      </c>
      <c r="D60" s="240" t="s">
        <v>2481</v>
      </c>
      <c r="E60" s="240" t="s">
        <v>7007</v>
      </c>
      <c r="F60" s="169" t="str">
        <f t="shared" si="1"/>
        <v>SMART: Spatio-Temporal Attention-based Large Language Model for Real-Time Traffic Prediction
Srestha Sadhu, Deepanwita Mallick, Mariana Curado Malta, Amrita Namtirtha, Animesh Dutta, Nilabza Som
</v>
      </c>
      <c r="G60" s="240" t="s">
        <v>7008</v>
      </c>
      <c r="H60" s="240" t="s">
        <v>6829</v>
      </c>
      <c r="I60" s="240" t="s">
        <v>6830</v>
      </c>
      <c r="J60" s="240" t="s">
        <v>6831</v>
      </c>
      <c r="K60" s="240" t="s">
        <v>6830</v>
      </c>
      <c r="L60" s="240" t="s">
        <v>6832</v>
      </c>
      <c r="M60" s="240"/>
      <c r="N60" s="240"/>
      <c r="O60" s="240"/>
      <c r="P60" s="240"/>
      <c r="Q60" s="240"/>
      <c r="R60" s="240"/>
      <c r="S60" s="240"/>
      <c r="T60" s="240"/>
      <c r="U60" s="240"/>
      <c r="V60" s="240"/>
      <c r="W60" s="240"/>
      <c r="X60" s="240"/>
      <c r="Y60" s="240"/>
      <c r="Z60" s="240"/>
      <c r="AA60" s="240"/>
      <c r="AB60" s="240"/>
    </row>
    <row r="61">
      <c r="A61" s="240" t="s">
        <v>7009</v>
      </c>
      <c r="B61" s="240" t="s">
        <v>7003</v>
      </c>
      <c r="C61" s="240" t="s">
        <v>2482</v>
      </c>
      <c r="D61" s="240" t="s">
        <v>2483</v>
      </c>
      <c r="E61" s="240" t="s">
        <v>7010</v>
      </c>
      <c r="F61" s="169" t="str">
        <f t="shared" si="1"/>
        <v>Incorporating Graph-Constrained RAG Pipeline for Medicine data
Shilpa Verma, Rishit Sharma
</v>
      </c>
      <c r="G61" s="240" t="s">
        <v>7011</v>
      </c>
      <c r="H61" s="240" t="s">
        <v>7012</v>
      </c>
      <c r="I61" s="240" t="s">
        <v>6830</v>
      </c>
      <c r="J61" s="240" t="s">
        <v>6830</v>
      </c>
      <c r="K61" s="240" t="s">
        <v>6830</v>
      </c>
      <c r="L61" s="240" t="s">
        <v>6832</v>
      </c>
      <c r="M61" s="240"/>
      <c r="N61" s="240"/>
      <c r="O61" s="240"/>
      <c r="P61" s="240"/>
      <c r="Q61" s="240"/>
      <c r="R61" s="240"/>
      <c r="S61" s="240"/>
      <c r="T61" s="240"/>
      <c r="U61" s="240"/>
      <c r="V61" s="240"/>
      <c r="W61" s="240"/>
      <c r="X61" s="240"/>
      <c r="Y61" s="240"/>
      <c r="Z61" s="240"/>
      <c r="AA61" s="240"/>
      <c r="AB61" s="240"/>
    </row>
    <row r="62">
      <c r="A62" s="240" t="s">
        <v>7009</v>
      </c>
      <c r="B62" s="240" t="s">
        <v>7003</v>
      </c>
      <c r="C62" s="240" t="s">
        <v>2484</v>
      </c>
      <c r="D62" s="240" t="s">
        <v>2483</v>
      </c>
      <c r="E62" s="240" t="s">
        <v>7010</v>
      </c>
      <c r="F62" s="169" t="str">
        <f t="shared" si="1"/>
        <v>Incorporating Graph-Constrained RAG Pipeline for Medicine data
Shilpa Verma, Rishit Sharma
</v>
      </c>
      <c r="G62" s="240" t="s">
        <v>7013</v>
      </c>
      <c r="H62" s="240" t="s">
        <v>7012</v>
      </c>
      <c r="I62" s="240" t="s">
        <v>6830</v>
      </c>
      <c r="J62" s="240" t="s">
        <v>6830</v>
      </c>
      <c r="K62" s="240" t="s">
        <v>6830</v>
      </c>
      <c r="L62" s="240" t="s">
        <v>6832</v>
      </c>
      <c r="M62" s="240"/>
      <c r="N62" s="240"/>
      <c r="O62" s="240"/>
      <c r="P62" s="240"/>
      <c r="Q62" s="240"/>
      <c r="R62" s="240"/>
      <c r="S62" s="240"/>
      <c r="T62" s="240"/>
      <c r="U62" s="240"/>
      <c r="V62" s="240"/>
      <c r="W62" s="240"/>
      <c r="X62" s="240"/>
      <c r="Y62" s="240"/>
      <c r="Z62" s="240"/>
      <c r="AA62" s="240"/>
      <c r="AB62" s="240"/>
    </row>
    <row r="63">
      <c r="A63" s="240" t="s">
        <v>7014</v>
      </c>
      <c r="B63" s="240" t="s">
        <v>7003</v>
      </c>
      <c r="C63" s="240" t="s">
        <v>2485</v>
      </c>
      <c r="D63" s="240" t="s">
        <v>2486</v>
      </c>
      <c r="E63" s="240" t="s">
        <v>7015</v>
      </c>
      <c r="F63" s="169" t="str">
        <f t="shared" si="1"/>
        <v>ConceptFormer: Towards Graph-Native Grounding of Large Language Models via Latent Concept Injection
Joel Barmettler, Abraham Bernstein, Luca Rossetto
</v>
      </c>
      <c r="G63" s="240" t="s">
        <v>7016</v>
      </c>
      <c r="H63" s="240" t="s">
        <v>6829</v>
      </c>
      <c r="I63" s="240" t="s">
        <v>6830</v>
      </c>
      <c r="J63" s="240" t="s">
        <v>6831</v>
      </c>
      <c r="K63" s="240" t="s">
        <v>6830</v>
      </c>
      <c r="L63" s="240" t="s">
        <v>6832</v>
      </c>
      <c r="M63" s="240"/>
      <c r="N63" s="240"/>
      <c r="O63" s="240"/>
      <c r="P63" s="240"/>
      <c r="Q63" s="240"/>
      <c r="R63" s="240"/>
      <c r="S63" s="240"/>
      <c r="T63" s="240"/>
      <c r="U63" s="240"/>
      <c r="V63" s="240"/>
      <c r="W63" s="240"/>
      <c r="X63" s="240"/>
      <c r="Y63" s="240"/>
      <c r="Z63" s="240"/>
      <c r="AA63" s="240"/>
      <c r="AB63" s="240"/>
    </row>
    <row r="64">
      <c r="A64" s="240" t="s">
        <v>7017</v>
      </c>
      <c r="B64" s="240" t="s">
        <v>7003</v>
      </c>
      <c r="C64" s="240" t="s">
        <v>2487</v>
      </c>
      <c r="D64" s="240" t="s">
        <v>2488</v>
      </c>
      <c r="E64" s="240" t="s">
        <v>7018</v>
      </c>
      <c r="F64" s="169" t="str">
        <f t="shared" si="1"/>
        <v>Better Negatives, Better Predictions: Negative Sample Selection Strategies for Enhancing Biomedical KG Edge Classification
Emanuele Cavalleri, Miad Alavinezhad, Marco Mesiti, Dario Malchiodi
</v>
      </c>
      <c r="G64" s="240" t="s">
        <v>7019</v>
      </c>
      <c r="H64" s="240" t="s">
        <v>6829</v>
      </c>
      <c r="I64" s="240" t="s">
        <v>6830</v>
      </c>
      <c r="J64" s="240" t="s">
        <v>6831</v>
      </c>
      <c r="K64" s="240" t="s">
        <v>6830</v>
      </c>
      <c r="L64" s="240" t="s">
        <v>6832</v>
      </c>
      <c r="M64" s="240"/>
      <c r="N64" s="240"/>
      <c r="O64" s="240"/>
      <c r="P64" s="240"/>
      <c r="Q64" s="240"/>
      <c r="R64" s="240"/>
      <c r="S64" s="240"/>
      <c r="T64" s="240"/>
      <c r="U64" s="240"/>
      <c r="V64" s="240"/>
      <c r="W64" s="240"/>
      <c r="X64" s="240"/>
      <c r="Y64" s="240"/>
      <c r="Z64" s="240"/>
      <c r="AA64" s="240"/>
      <c r="AB64" s="240"/>
    </row>
    <row r="65">
      <c r="A65" s="240" t="s">
        <v>7020</v>
      </c>
      <c r="B65" s="240" t="s">
        <v>7003</v>
      </c>
      <c r="C65" s="240" t="s">
        <v>2489</v>
      </c>
      <c r="D65" s="240" t="s">
        <v>2490</v>
      </c>
      <c r="E65" s="240" t="s">
        <v>7021</v>
      </c>
      <c r="F65" s="169" t="str">
        <f t="shared" si="1"/>
        <v>(wt) GC-DPG: Graph-Constrained Dual-Phase Generation for Safe and Verifiable Chinese Medical Question Answering
Haihua Xie, Miao He
</v>
      </c>
      <c r="G65" s="240" t="s">
        <v>7022</v>
      </c>
      <c r="H65" s="240" t="s">
        <v>6829</v>
      </c>
      <c r="I65" s="240" t="s">
        <v>6830</v>
      </c>
      <c r="J65" s="240" t="s">
        <v>6831</v>
      </c>
      <c r="K65" s="240" t="s">
        <v>6830</v>
      </c>
      <c r="L65" s="240" t="s">
        <v>6832</v>
      </c>
      <c r="M65" s="240"/>
      <c r="N65" s="240"/>
      <c r="O65" s="240"/>
      <c r="P65" s="240"/>
      <c r="Q65" s="240"/>
      <c r="R65" s="240"/>
      <c r="S65" s="240"/>
      <c r="T65" s="240"/>
      <c r="U65" s="240"/>
      <c r="V65" s="240"/>
      <c r="W65" s="240"/>
      <c r="X65" s="240"/>
      <c r="Y65" s="240"/>
      <c r="Z65" s="240"/>
      <c r="AA65" s="240"/>
      <c r="AB65" s="240"/>
    </row>
    <row r="66">
      <c r="A66" s="240" t="s">
        <v>7023</v>
      </c>
      <c r="B66" s="240" t="s">
        <v>7003</v>
      </c>
      <c r="C66" s="240" t="s">
        <v>2491</v>
      </c>
      <c r="D66" s="240" t="s">
        <v>2492</v>
      </c>
      <c r="E66" s="240" t="s">
        <v>7024</v>
      </c>
      <c r="F66" s="169" t="str">
        <f t="shared" si="1"/>
        <v>ReGA: Zero-Overhead Graph Alignment for Structural Hallucination Detection Without Generation
Valentin Noël, Elimane Yassine Seidou
</v>
      </c>
      <c r="G66" s="240" t="s">
        <v>7025</v>
      </c>
      <c r="H66" s="240" t="s">
        <v>7026</v>
      </c>
      <c r="I66" s="240" t="s">
        <v>6830</v>
      </c>
      <c r="J66" s="240" t="s">
        <v>6830</v>
      </c>
      <c r="K66" s="240" t="s">
        <v>6830</v>
      </c>
      <c r="L66" s="240" t="s">
        <v>6832</v>
      </c>
      <c r="M66" s="240"/>
      <c r="N66" s="240"/>
      <c r="O66" s="240"/>
      <c r="P66" s="240"/>
      <c r="Q66" s="240"/>
      <c r="R66" s="240"/>
      <c r="S66" s="240"/>
      <c r="T66" s="240"/>
      <c r="U66" s="240"/>
      <c r="V66" s="240"/>
      <c r="W66" s="240"/>
      <c r="X66" s="240"/>
      <c r="Y66" s="240"/>
      <c r="Z66" s="240"/>
      <c r="AA66" s="240"/>
      <c r="AB66" s="240"/>
    </row>
    <row r="67">
      <c r="A67" s="240" t="s">
        <v>7027</v>
      </c>
      <c r="B67" s="240" t="s">
        <v>7003</v>
      </c>
      <c r="C67" s="240" t="s">
        <v>2493</v>
      </c>
      <c r="D67" s="240" t="s">
        <v>2494</v>
      </c>
      <c r="E67" s="240" t="s">
        <v>7028</v>
      </c>
      <c r="F67" s="169" t="str">
        <f t="shared" si="1"/>
        <v>Reasoning in Trees: Improving Retrieval-Augmented Generation for Multi-Hop Question Answering
Yuling Shi, Maolin Sun, Zijun Liu, Mo Yang, Yixiong Fang, Tianran Sun, Xiaodong Gu
</v>
      </c>
      <c r="G67" s="240" t="s">
        <v>7029</v>
      </c>
      <c r="H67" s="240" t="s">
        <v>6829</v>
      </c>
      <c r="I67" s="240" t="s">
        <v>6830</v>
      </c>
      <c r="J67" s="240" t="s">
        <v>6830</v>
      </c>
      <c r="K67" s="240" t="s">
        <v>6830</v>
      </c>
      <c r="L67" s="240" t="s">
        <v>6832</v>
      </c>
      <c r="M67" s="240"/>
      <c r="N67" s="240"/>
      <c r="O67" s="240"/>
      <c r="P67" s="240"/>
      <c r="Q67" s="240"/>
      <c r="R67" s="240"/>
      <c r="S67" s="240"/>
      <c r="T67" s="240"/>
      <c r="U67" s="240"/>
      <c r="V67" s="240"/>
      <c r="W67" s="240"/>
      <c r="X67" s="240"/>
      <c r="Y67" s="240"/>
      <c r="Z67" s="240"/>
      <c r="AA67" s="240"/>
      <c r="AB67" s="240"/>
    </row>
    <row r="68">
      <c r="A68" s="240" t="s">
        <v>7030</v>
      </c>
      <c r="B68" s="240" t="s">
        <v>7031</v>
      </c>
      <c r="C68" s="240" t="s">
        <v>2495</v>
      </c>
      <c r="D68" s="240" t="s">
        <v>2496</v>
      </c>
      <c r="E68" s="240" t="s">
        <v>7032</v>
      </c>
      <c r="F68" s="169" t="str">
        <f t="shared" si="1"/>
        <v>The 2nd Workshop on Human-Centered Recommender Systems
Kaike Zhang, Jiakai Tang, Du Su, Shuchang Liu, Julian McAuley, Lina Yao, Qi Cao, Yue Feng, Fei Sun
</v>
      </c>
      <c r="G68" s="240" t="s">
        <v>7033</v>
      </c>
      <c r="H68" s="240" t="s">
        <v>2955</v>
      </c>
      <c r="I68" s="240" t="s">
        <v>6830</v>
      </c>
      <c r="J68" s="240" t="s">
        <v>6831</v>
      </c>
      <c r="K68" s="240" t="s">
        <v>6830</v>
      </c>
      <c r="L68" s="240" t="s">
        <v>6832</v>
      </c>
      <c r="M68" s="240"/>
      <c r="N68" s="240"/>
      <c r="O68" s="240"/>
      <c r="P68" s="240"/>
      <c r="Q68" s="240"/>
      <c r="R68" s="240"/>
      <c r="S68" s="240"/>
      <c r="T68" s="240"/>
      <c r="U68" s="240"/>
      <c r="V68" s="240"/>
      <c r="W68" s="240"/>
      <c r="X68" s="240"/>
      <c r="Y68" s="240"/>
      <c r="Z68" s="240"/>
      <c r="AA68" s="240"/>
      <c r="AB68" s="240"/>
    </row>
    <row r="69">
      <c r="A69" s="240" t="s">
        <v>7034</v>
      </c>
      <c r="B69" s="240" t="s">
        <v>7031</v>
      </c>
      <c r="C69" s="240" t="s">
        <v>2497</v>
      </c>
      <c r="D69" s="240" t="s">
        <v>2498</v>
      </c>
      <c r="E69" s="240" t="s">
        <v>7035</v>
      </c>
      <c r="F69" s="169" t="str">
        <f t="shared" si="1"/>
        <v>Post-Training Fairness Control: A Single-Train Framework for Dynamic Fairness in Recommendation
Weixin Chen, Li Chen, Yuhan Zhao
</v>
      </c>
      <c r="G69" s="240" t="s">
        <v>7036</v>
      </c>
      <c r="H69" s="240" t="s">
        <v>6829</v>
      </c>
      <c r="I69" s="240" t="s">
        <v>6830</v>
      </c>
      <c r="J69" s="240" t="s">
        <v>6831</v>
      </c>
      <c r="K69" s="240" t="s">
        <v>6830</v>
      </c>
      <c r="L69" s="240" t="s">
        <v>6832</v>
      </c>
      <c r="M69" s="240"/>
      <c r="N69" s="240"/>
      <c r="O69" s="240"/>
      <c r="P69" s="240"/>
      <c r="Q69" s="240"/>
      <c r="R69" s="240"/>
      <c r="S69" s="240"/>
      <c r="T69" s="240"/>
      <c r="U69" s="240"/>
      <c r="V69" s="240"/>
      <c r="W69" s="240"/>
      <c r="X69" s="240"/>
      <c r="Y69" s="240"/>
      <c r="Z69" s="240"/>
      <c r="AA69" s="240"/>
      <c r="AB69" s="240"/>
    </row>
    <row r="70">
      <c r="A70" s="240" t="s">
        <v>7037</v>
      </c>
      <c r="B70" s="240" t="s">
        <v>7031</v>
      </c>
      <c r="C70" s="240" t="s">
        <v>2499</v>
      </c>
      <c r="D70" s="240" t="s">
        <v>2500</v>
      </c>
      <c r="E70" s="240" t="s">
        <v>7038</v>
      </c>
      <c r="F70" s="169" t="str">
        <f t="shared" si="1"/>
        <v>RecoWorld: Building Simulated Environments for Agentic Recommender Systems
Fei Liu, Xinyu Lin, Hanchao Yu, Mingyuan Wu, Jianyu Wang, Qiang Zhang, Zhuokai Zhao, Yinglong Xia, Yao Zhang, Weiwei Li, Mingze Gao, Qifan Wang, Lizhu Zhang, Benyu Zhang, Xiangjun Fan
</v>
      </c>
      <c r="G70" s="240" t="s">
        <v>7039</v>
      </c>
      <c r="H70" s="240" t="s">
        <v>6829</v>
      </c>
      <c r="I70" s="240" t="s">
        <v>6830</v>
      </c>
      <c r="J70" s="240" t="s">
        <v>6831</v>
      </c>
      <c r="K70" s="240" t="s">
        <v>6830</v>
      </c>
      <c r="L70" s="240" t="s">
        <v>6832</v>
      </c>
      <c r="M70" s="240"/>
      <c r="N70" s="240"/>
      <c r="O70" s="240"/>
      <c r="P70" s="240"/>
      <c r="Q70" s="240"/>
      <c r="R70" s="240"/>
      <c r="S70" s="240"/>
      <c r="T70" s="240"/>
      <c r="U70" s="240"/>
      <c r="V70" s="240"/>
      <c r="W70" s="240"/>
      <c r="X70" s="240"/>
      <c r="Y70" s="240"/>
      <c r="Z70" s="240"/>
      <c r="AA70" s="240"/>
      <c r="AB70" s="240"/>
    </row>
    <row r="71">
      <c r="A71" s="240" t="s">
        <v>7040</v>
      </c>
      <c r="B71" s="240" t="s">
        <v>7031</v>
      </c>
      <c r="C71" s="240" t="s">
        <v>2501</v>
      </c>
      <c r="D71" s="240" t="s">
        <v>2502</v>
      </c>
      <c r="E71" s="240" t="s">
        <v>7041</v>
      </c>
      <c r="F71" s="169" t="str">
        <f t="shared" si="1"/>
        <v>STCRank: Spatio-temporal Collaborative Ranking for Interactive Recommender System at Kuaishou E-shop
Boyang Xia, Ruilin Bao, Hanjun Jiang, Jun Wang, Wenwu Ou
</v>
      </c>
      <c r="G71" s="240" t="s">
        <v>7042</v>
      </c>
      <c r="H71" s="240" t="s">
        <v>7043</v>
      </c>
      <c r="I71" s="240" t="s">
        <v>6830</v>
      </c>
      <c r="J71" s="240" t="s">
        <v>6831</v>
      </c>
      <c r="K71" s="240" t="s">
        <v>6830</v>
      </c>
      <c r="L71" s="240" t="s">
        <v>6832</v>
      </c>
      <c r="M71" s="240"/>
      <c r="N71" s="240"/>
      <c r="O71" s="240"/>
      <c r="P71" s="240"/>
      <c r="Q71" s="240"/>
      <c r="R71" s="240"/>
      <c r="S71" s="240"/>
      <c r="T71" s="240"/>
      <c r="U71" s="240"/>
      <c r="V71" s="240"/>
      <c r="W71" s="240"/>
      <c r="X71" s="240"/>
      <c r="Y71" s="240"/>
      <c r="Z71" s="240"/>
      <c r="AA71" s="240"/>
      <c r="AB71" s="240"/>
    </row>
    <row r="72">
      <c r="A72" s="240" t="s">
        <v>7044</v>
      </c>
      <c r="B72" s="240" t="s">
        <v>7031</v>
      </c>
      <c r="C72" s="240" t="s">
        <v>2503</v>
      </c>
      <c r="D72" s="240" t="s">
        <v>2504</v>
      </c>
      <c r="E72" s="240" t="s">
        <v>7045</v>
      </c>
      <c r="F72" s="169" t="str">
        <f t="shared" si="1"/>
        <v>Fairness at a Glance: Can We Audit Model Fairness Before Training Completes?
Yuanhao Liu, Qi Cao, Huawei Shen, Xueqi Cheng
</v>
      </c>
      <c r="G72" s="240" t="s">
        <v>7046</v>
      </c>
      <c r="H72" s="240" t="s">
        <v>6829</v>
      </c>
      <c r="I72" s="240" t="s">
        <v>6830</v>
      </c>
      <c r="J72" s="240" t="s">
        <v>6830</v>
      </c>
      <c r="K72" s="240" t="s">
        <v>6830</v>
      </c>
      <c r="L72" s="240" t="s">
        <v>6832</v>
      </c>
      <c r="M72" s="240"/>
      <c r="N72" s="240"/>
      <c r="O72" s="240"/>
      <c r="P72" s="240"/>
      <c r="Q72" s="240"/>
      <c r="R72" s="240"/>
      <c r="S72" s="240"/>
      <c r="T72" s="240"/>
      <c r="U72" s="240"/>
      <c r="V72" s="240"/>
      <c r="W72" s="240"/>
      <c r="X72" s="240"/>
      <c r="Y72" s="240"/>
      <c r="Z72" s="240"/>
      <c r="AA72" s="240"/>
      <c r="AB72" s="240"/>
    </row>
    <row r="73">
      <c r="A73" s="240" t="s">
        <v>7047</v>
      </c>
      <c r="B73" s="240" t="s">
        <v>7031</v>
      </c>
      <c r="C73" s="240" t="s">
        <v>2505</v>
      </c>
      <c r="D73" s="240" t="s">
        <v>2506</v>
      </c>
      <c r="E73" s="240" t="s">
        <v>7048</v>
      </c>
      <c r="F73" s="169" t="str">
        <f t="shared" si="1"/>
        <v>Orthogonal Meta-learning Boosted Bayesian Optimization for Uncertain Multi-Objective Recommendation
Hongxu Wang, Yingpeng Du, Zhu Sun, Lu Zhang, Tiantian He, Yew-Soon Ong
</v>
      </c>
      <c r="G73" s="240" t="s">
        <v>7049</v>
      </c>
      <c r="H73" s="240" t="s">
        <v>6829</v>
      </c>
      <c r="I73" s="240" t="s">
        <v>6831</v>
      </c>
      <c r="J73" s="240" t="s">
        <v>6831</v>
      </c>
      <c r="K73" s="240" t="s">
        <v>6831</v>
      </c>
      <c r="L73" s="240" t="s">
        <v>6832</v>
      </c>
      <c r="M73" s="240"/>
      <c r="N73" s="240"/>
      <c r="O73" s="240"/>
      <c r="P73" s="240"/>
      <c r="Q73" s="240"/>
      <c r="R73" s="240"/>
      <c r="S73" s="240"/>
      <c r="T73" s="240"/>
      <c r="U73" s="240"/>
      <c r="V73" s="240"/>
      <c r="W73" s="240"/>
      <c r="X73" s="240"/>
      <c r="Y73" s="240"/>
      <c r="Z73" s="240"/>
      <c r="AA73" s="240"/>
      <c r="AB73" s="240"/>
    </row>
    <row r="74">
      <c r="A74" s="240" t="s">
        <v>7050</v>
      </c>
      <c r="B74" s="240" t="s">
        <v>7031</v>
      </c>
      <c r="C74" s="240" t="s">
        <v>2507</v>
      </c>
      <c r="D74" s="240" t="s">
        <v>2508</v>
      </c>
      <c r="E74" s="240" t="s">
        <v>7051</v>
      </c>
      <c r="F74" s="169" t="str">
        <f t="shared" si="1"/>
        <v>Evaluating LLM Recommendations Under Stress
Mithun Rameshbabu, Kamalakar Karlapalem
</v>
      </c>
      <c r="G74" s="240" t="s">
        <v>7052</v>
      </c>
      <c r="H74" s="240" t="s">
        <v>7053</v>
      </c>
      <c r="I74" s="240" t="s">
        <v>6830</v>
      </c>
      <c r="J74" s="240" t="s">
        <v>6830</v>
      </c>
      <c r="K74" s="240" t="s">
        <v>6830</v>
      </c>
      <c r="L74" s="240" t="s">
        <v>6832</v>
      </c>
      <c r="M74" s="240"/>
      <c r="N74" s="240"/>
      <c r="O74" s="240"/>
      <c r="P74" s="240"/>
      <c r="Q74" s="240"/>
      <c r="R74" s="240"/>
      <c r="S74" s="240"/>
      <c r="T74" s="240"/>
      <c r="U74" s="240"/>
      <c r="V74" s="240"/>
      <c r="W74" s="240"/>
      <c r="X74" s="240"/>
      <c r="Y74" s="240"/>
      <c r="Z74" s="240"/>
      <c r="AA74" s="240"/>
      <c r="AB74" s="240"/>
    </row>
    <row r="75">
      <c r="A75" s="240" t="s">
        <v>7054</v>
      </c>
      <c r="B75" s="240" t="s">
        <v>7031</v>
      </c>
      <c r="C75" s="240" t="s">
        <v>2509</v>
      </c>
      <c r="D75" s="240" t="s">
        <v>2510</v>
      </c>
      <c r="E75" s="240" t="s">
        <v>7055</v>
      </c>
      <c r="F75" s="169" t="str">
        <f t="shared" si="1"/>
        <v>Beyond Engagement: A Human-Centered Evaluation Framework for LLM-Powered Recommender Systems
Shrinivass Arunachalam Balasubramanian
</v>
      </c>
      <c r="G75" s="240" t="s">
        <v>7056</v>
      </c>
      <c r="H75" s="240" t="s">
        <v>7057</v>
      </c>
      <c r="I75" s="240" t="s">
        <v>6830</v>
      </c>
      <c r="J75" s="240" t="s">
        <v>6831</v>
      </c>
      <c r="K75" s="240" t="s">
        <v>6830</v>
      </c>
      <c r="L75" s="240" t="s">
        <v>6832</v>
      </c>
      <c r="M75" s="240"/>
      <c r="N75" s="240"/>
      <c r="O75" s="240"/>
      <c r="P75" s="240"/>
      <c r="Q75" s="240"/>
      <c r="R75" s="240"/>
      <c r="S75" s="240"/>
      <c r="T75" s="240"/>
      <c r="U75" s="240"/>
      <c r="V75" s="240"/>
      <c r="W75" s="240"/>
      <c r="X75" s="240"/>
      <c r="Y75" s="240"/>
      <c r="Z75" s="240"/>
      <c r="AA75" s="240"/>
      <c r="AB75" s="240"/>
    </row>
    <row r="76">
      <c r="A76" s="240" t="s">
        <v>7058</v>
      </c>
      <c r="B76" s="240" t="s">
        <v>7031</v>
      </c>
      <c r="C76" s="240" t="s">
        <v>2511</v>
      </c>
      <c r="D76" s="240" t="s">
        <v>2512</v>
      </c>
      <c r="E76" s="240" t="s">
        <v>7059</v>
      </c>
      <c r="F76" s="169" t="str">
        <f t="shared" si="1"/>
        <v>Knowledge Graph Editing Model for Enhancing Recommendation Systems
Weixuan Sun, Yang Fang, Jiuyang Tang, Hao Xu, Bin Ge
</v>
      </c>
      <c r="G76" s="240" t="s">
        <v>7060</v>
      </c>
      <c r="H76" s="240" t="s">
        <v>7061</v>
      </c>
      <c r="I76" s="240" t="s">
        <v>6831</v>
      </c>
      <c r="J76" s="240" t="s">
        <v>6831</v>
      </c>
      <c r="K76" s="240" t="s">
        <v>6830</v>
      </c>
      <c r="L76" s="240" t="s">
        <v>6832</v>
      </c>
      <c r="M76" s="240"/>
      <c r="N76" s="240"/>
      <c r="O76" s="240"/>
      <c r="P76" s="240"/>
      <c r="Q76" s="240"/>
      <c r="R76" s="240"/>
      <c r="S76" s="240"/>
      <c r="T76" s="240"/>
      <c r="U76" s="240"/>
      <c r="V76" s="240"/>
      <c r="W76" s="240"/>
      <c r="X76" s="240"/>
      <c r="Y76" s="240"/>
      <c r="Z76" s="240"/>
      <c r="AA76" s="240"/>
      <c r="AB76" s="240"/>
    </row>
    <row r="77">
      <c r="A77" s="240" t="s">
        <v>7062</v>
      </c>
      <c r="B77" s="240" t="s">
        <v>7031</v>
      </c>
      <c r="C77" s="240" t="s">
        <v>2513</v>
      </c>
      <c r="D77" s="240" t="s">
        <v>2514</v>
      </c>
      <c r="E77" s="240" t="s">
        <v>7063</v>
      </c>
      <c r="F77" s="169" t="str">
        <f t="shared" si="1"/>
        <v>Learning to Alleviate Familiarity Bias in Video Recommendation
Zheng Ren, Yi Wu, Jianan Lu, Acar Ary, Yiqu Liu, Li Wei, Lukasz Heldt
</v>
      </c>
      <c r="G77" s="240" t="s">
        <v>7064</v>
      </c>
      <c r="H77" s="240" t="s">
        <v>6829</v>
      </c>
      <c r="I77" s="240" t="s">
        <v>6830</v>
      </c>
      <c r="J77" s="240" t="s">
        <v>6831</v>
      </c>
      <c r="K77" s="240" t="s">
        <v>6830</v>
      </c>
      <c r="L77" s="240" t="s">
        <v>6832</v>
      </c>
      <c r="M77" s="240"/>
      <c r="N77" s="240"/>
      <c r="O77" s="240"/>
      <c r="P77" s="240"/>
      <c r="Q77" s="240"/>
      <c r="R77" s="240"/>
      <c r="S77" s="240"/>
      <c r="T77" s="240"/>
      <c r="U77" s="240"/>
      <c r="V77" s="240"/>
      <c r="W77" s="240"/>
      <c r="X77" s="240"/>
      <c r="Y77" s="240"/>
      <c r="Z77" s="240"/>
      <c r="AA77" s="240"/>
      <c r="AB77" s="240"/>
    </row>
    <row r="78">
      <c r="A78" s="240" t="s">
        <v>7065</v>
      </c>
      <c r="B78" s="240" t="s">
        <v>7066</v>
      </c>
      <c r="C78" s="240" t="s">
        <v>2515</v>
      </c>
      <c r="D78" s="240" t="s">
        <v>2516</v>
      </c>
      <c r="E78" s="240" t="s">
        <v>7067</v>
      </c>
      <c r="F78" s="169" t="str">
        <f t="shared" si="1"/>
        <v>TIME 2026: 2nd International Workshop on Transformative Insights in Multi-faceted Evaluation
Lei Wang, Md Zakir Hossain, Tom Gedeon, Zicheng Pan, Syed Islam, Rafiqul Islam, Yasmeen George, Shreya Ghosh
</v>
      </c>
      <c r="G78" s="240" t="s">
        <v>7068</v>
      </c>
      <c r="H78" s="240" t="s">
        <v>2955</v>
      </c>
      <c r="I78" s="240" t="s">
        <v>6830</v>
      </c>
      <c r="J78" s="240" t="s">
        <v>6831</v>
      </c>
      <c r="K78" s="240" t="s">
        <v>6830</v>
      </c>
      <c r="L78" s="240" t="s">
        <v>6832</v>
      </c>
      <c r="M78" s="240"/>
      <c r="N78" s="240"/>
      <c r="O78" s="240"/>
      <c r="P78" s="240"/>
      <c r="Q78" s="240"/>
      <c r="R78" s="240"/>
      <c r="S78" s="240"/>
      <c r="T78" s="240"/>
      <c r="U78" s="240"/>
      <c r="V78" s="240"/>
      <c r="W78" s="240"/>
      <c r="X78" s="240"/>
      <c r="Y78" s="240"/>
      <c r="Z78" s="240"/>
      <c r="AA78" s="240"/>
      <c r="AB78" s="240"/>
    </row>
    <row r="79">
      <c r="A79" s="240" t="s">
        <v>7069</v>
      </c>
      <c r="B79" s="240" t="s">
        <v>7066</v>
      </c>
      <c r="C79" s="240" t="s">
        <v>2517</v>
      </c>
      <c r="D79" s="240" t="s">
        <v>2518</v>
      </c>
      <c r="E79" s="240" t="s">
        <v>7070</v>
      </c>
      <c r="F79" s="169" t="str">
        <f t="shared" si="1"/>
        <v>Fine-Grained Visual Understanding for Multimodal and Trustworthy AI
Syuan-Hao Li, Yi-Jui Huang, Lei Wang, Yongsheng Gao
</v>
      </c>
      <c r="G79" s="240" t="s">
        <v>7071</v>
      </c>
      <c r="H79" s="240" t="s">
        <v>7072</v>
      </c>
      <c r="I79" s="240" t="s">
        <v>6830</v>
      </c>
      <c r="J79" s="240" t="s">
        <v>6830</v>
      </c>
      <c r="K79" s="240" t="s">
        <v>6830</v>
      </c>
      <c r="L79" s="240" t="s">
        <v>6832</v>
      </c>
      <c r="M79" s="240"/>
      <c r="N79" s="240"/>
      <c r="O79" s="240"/>
      <c r="P79" s="240"/>
      <c r="Q79" s="240"/>
      <c r="R79" s="240"/>
      <c r="S79" s="240"/>
      <c r="T79" s="240"/>
      <c r="U79" s="240"/>
      <c r="V79" s="240"/>
      <c r="W79" s="240"/>
      <c r="X79" s="240"/>
      <c r="Y79" s="240"/>
      <c r="Z79" s="240"/>
      <c r="AA79" s="240"/>
      <c r="AB79" s="240"/>
    </row>
    <row r="80">
      <c r="A80" s="240" t="s">
        <v>7073</v>
      </c>
      <c r="B80" s="240" t="s">
        <v>7066</v>
      </c>
      <c r="C80" s="240" t="s">
        <v>2519</v>
      </c>
      <c r="D80" s="240" t="s">
        <v>2520</v>
      </c>
      <c r="E80" s="240" t="s">
        <v>7074</v>
      </c>
      <c r="F80" s="169" t="str">
        <f t="shared" si="1"/>
        <v>Decentralised Trust Layers for the Web: Towards Transparent AI-Powered Platforms
Quazi Mamun, Md Rafiqul Islam
</v>
      </c>
      <c r="G80" s="240" t="s">
        <v>7075</v>
      </c>
      <c r="H80" s="240" t="s">
        <v>6829</v>
      </c>
      <c r="I80" s="240" t="s">
        <v>6830</v>
      </c>
      <c r="J80" s="240" t="s">
        <v>6831</v>
      </c>
      <c r="K80" s="240" t="s">
        <v>6830</v>
      </c>
      <c r="L80" s="240" t="s">
        <v>6832</v>
      </c>
      <c r="M80" s="240"/>
      <c r="N80" s="240"/>
      <c r="O80" s="240"/>
      <c r="P80" s="240"/>
      <c r="Q80" s="240"/>
      <c r="R80" s="240"/>
      <c r="S80" s="240"/>
      <c r="T80" s="240"/>
      <c r="U80" s="240"/>
      <c r="V80" s="240"/>
      <c r="W80" s="240"/>
      <c r="X80" s="240"/>
      <c r="Y80" s="240"/>
      <c r="Z80" s="240"/>
      <c r="AA80" s="240"/>
      <c r="AB80" s="240"/>
    </row>
    <row r="81">
      <c r="A81" s="240" t="s">
        <v>7076</v>
      </c>
      <c r="B81" s="240" t="s">
        <v>7066</v>
      </c>
      <c r="C81" s="240" t="s">
        <v>2521</v>
      </c>
      <c r="D81" s="240" t="s">
        <v>2522</v>
      </c>
      <c r="E81" s="240" t="s">
        <v>7077</v>
      </c>
      <c r="F81" s="169" t="str">
        <f t="shared" si="1"/>
        <v>Beyond Fine-Tuning: The Present and Future of Parameter-Efficient Fine-Tuning in Vision Transformers
Edwin Kwadwo Tenagyei, Lei Wang, Yongsheng Gao
</v>
      </c>
      <c r="G81" s="240" t="s">
        <v>7068</v>
      </c>
      <c r="H81" s="240" t="s">
        <v>6829</v>
      </c>
      <c r="I81" s="240" t="s">
        <v>6830</v>
      </c>
      <c r="J81" s="240" t="s">
        <v>6830</v>
      </c>
      <c r="K81" s="240" t="s">
        <v>6830</v>
      </c>
      <c r="L81" s="240" t="s">
        <v>6832</v>
      </c>
      <c r="M81" s="240"/>
      <c r="N81" s="240"/>
      <c r="O81" s="240"/>
      <c r="P81" s="240"/>
      <c r="Q81" s="240"/>
      <c r="R81" s="240"/>
      <c r="S81" s="240"/>
      <c r="T81" s="240"/>
      <c r="U81" s="240"/>
      <c r="V81" s="240"/>
      <c r="W81" s="240"/>
      <c r="X81" s="240"/>
      <c r="Y81" s="240"/>
      <c r="Z81" s="240"/>
      <c r="AA81" s="240"/>
      <c r="AB81" s="240"/>
    </row>
    <row r="82">
      <c r="A82" s="240" t="s">
        <v>7078</v>
      </c>
      <c r="B82" s="240" t="s">
        <v>7066</v>
      </c>
      <c r="C82" s="240" t="s">
        <v>2523</v>
      </c>
      <c r="D82" s="240" t="s">
        <v>2524</v>
      </c>
      <c r="E82" s="240" t="s">
        <v>7079</v>
      </c>
      <c r="F82" s="169" t="str">
        <f t="shared" si="1"/>
        <v>RadioAR: Autoregressive Modeling for Accurate Radio Map Estimation
Peilin Zheng, Xiucheng Wang, Wenshuo Chen, Ruijin Sun, Lei Wang, Yutao Yue, Nan Cheng
</v>
      </c>
      <c r="G82" s="240" t="s">
        <v>7080</v>
      </c>
      <c r="H82" s="240" t="s">
        <v>7081</v>
      </c>
      <c r="I82" s="240" t="s">
        <v>6830</v>
      </c>
      <c r="J82" s="240" t="s">
        <v>6831</v>
      </c>
      <c r="K82" s="240" t="s">
        <v>6830</v>
      </c>
      <c r="L82" s="240" t="s">
        <v>6832</v>
      </c>
      <c r="M82" s="240"/>
      <c r="N82" s="240"/>
      <c r="O82" s="240"/>
      <c r="P82" s="240"/>
      <c r="Q82" s="240"/>
      <c r="R82" s="240"/>
      <c r="S82" s="240"/>
      <c r="T82" s="240"/>
      <c r="U82" s="240"/>
      <c r="V82" s="240"/>
      <c r="W82" s="240"/>
      <c r="X82" s="240"/>
      <c r="Y82" s="240"/>
      <c r="Z82" s="240"/>
      <c r="AA82" s="240"/>
      <c r="AB82" s="240"/>
    </row>
    <row r="83">
      <c r="A83" s="240" t="s">
        <v>7082</v>
      </c>
      <c r="B83" s="240" t="s">
        <v>7066</v>
      </c>
      <c r="C83" s="240" t="s">
        <v>2525</v>
      </c>
      <c r="D83" s="240" t="s">
        <v>2526</v>
      </c>
      <c r="E83" s="240" t="s">
        <v>7055</v>
      </c>
      <c r="F83" s="169" t="str">
        <f t="shared" si="1"/>
        <v>Evaluating Trustworthiness in Reactive Web Architectures: A Structured Framework and Comparative Analysis
Shrinivass Arunachalam Balasubramanian
</v>
      </c>
      <c r="G83" s="240" t="s">
        <v>7083</v>
      </c>
      <c r="H83" s="240" t="s">
        <v>7084</v>
      </c>
      <c r="I83" s="240" t="s">
        <v>6830</v>
      </c>
      <c r="J83" s="240" t="s">
        <v>6830</v>
      </c>
      <c r="K83" s="240" t="s">
        <v>6830</v>
      </c>
      <c r="L83" s="240" t="s">
        <v>6832</v>
      </c>
      <c r="M83" s="240"/>
      <c r="N83" s="240"/>
      <c r="O83" s="240"/>
      <c r="P83" s="240"/>
      <c r="Q83" s="240"/>
      <c r="R83" s="240"/>
      <c r="S83" s="240"/>
      <c r="T83" s="240"/>
      <c r="U83" s="240"/>
      <c r="V83" s="240"/>
      <c r="W83" s="240"/>
      <c r="X83" s="240"/>
      <c r="Y83" s="240"/>
      <c r="Z83" s="240"/>
      <c r="AA83" s="240"/>
      <c r="AB83" s="240"/>
    </row>
    <row r="84">
      <c r="A84" s="240" t="s">
        <v>7085</v>
      </c>
      <c r="B84" s="240" t="s">
        <v>7066</v>
      </c>
      <c r="C84" s="240" t="s">
        <v>2527</v>
      </c>
      <c r="D84" s="240" t="s">
        <v>2528</v>
      </c>
      <c r="E84" s="240" t="s">
        <v>7086</v>
      </c>
      <c r="F84" s="169" t="str">
        <f t="shared" si="1"/>
        <v>Rethinking Object Detection and Tracking
Arpit Sharma, Lei Wang, Yongsheng Gao
</v>
      </c>
      <c r="G84" s="240" t="s">
        <v>7068</v>
      </c>
      <c r="H84" s="240" t="s">
        <v>6829</v>
      </c>
      <c r="I84" s="240" t="s">
        <v>6830</v>
      </c>
      <c r="J84" s="240" t="s">
        <v>6830</v>
      </c>
      <c r="K84" s="240" t="s">
        <v>6830</v>
      </c>
      <c r="L84" s="240" t="s">
        <v>6832</v>
      </c>
      <c r="M84" s="240"/>
      <c r="N84" s="240"/>
      <c r="O84" s="240"/>
      <c r="P84" s="240"/>
      <c r="Q84" s="240"/>
      <c r="R84" s="240"/>
      <c r="S84" s="240"/>
      <c r="T84" s="240"/>
      <c r="U84" s="240"/>
      <c r="V84" s="240"/>
      <c r="W84" s="240"/>
      <c r="X84" s="240"/>
      <c r="Y84" s="240"/>
      <c r="Z84" s="240"/>
      <c r="AA84" s="240"/>
      <c r="AB84" s="240"/>
    </row>
    <row r="85">
      <c r="A85" s="240" t="s">
        <v>7087</v>
      </c>
      <c r="B85" s="240" t="s">
        <v>7066</v>
      </c>
      <c r="C85" s="240" t="s">
        <v>2529</v>
      </c>
      <c r="D85" s="240" t="s">
        <v>2530</v>
      </c>
      <c r="E85" s="240" t="s">
        <v>7088</v>
      </c>
      <c r="F85" s="169" t="str">
        <f t="shared" si="1"/>
        <v>An Edge Computing Framework for Deep Learning-Based Anomaly Detection in Satellite-Linked Autonomous Vehicles
Md Mehedi Hasan, Maumita Bhattacharya, Md Rafiqul Islam
</v>
      </c>
      <c r="G85" s="240" t="s">
        <v>7089</v>
      </c>
      <c r="H85" s="240" t="s">
        <v>6829</v>
      </c>
      <c r="I85" s="240" t="s">
        <v>6830</v>
      </c>
      <c r="J85" s="240" t="s">
        <v>6830</v>
      </c>
      <c r="K85" s="240" t="s">
        <v>6830</v>
      </c>
      <c r="L85" s="240" t="s">
        <v>6832</v>
      </c>
      <c r="M85" s="240"/>
      <c r="N85" s="240"/>
      <c r="O85" s="240"/>
      <c r="P85" s="240"/>
      <c r="Q85" s="240"/>
      <c r="R85" s="240"/>
      <c r="S85" s="240"/>
      <c r="T85" s="240"/>
      <c r="U85" s="240"/>
      <c r="V85" s="240"/>
      <c r="W85" s="240"/>
      <c r="X85" s="240"/>
      <c r="Y85" s="240"/>
      <c r="Z85" s="240"/>
      <c r="AA85" s="240"/>
      <c r="AB85" s="240"/>
    </row>
    <row r="86">
      <c r="A86" s="240" t="s">
        <v>7090</v>
      </c>
      <c r="B86" s="240" t="s">
        <v>7066</v>
      </c>
      <c r="C86" s="240" t="s">
        <v>2531</v>
      </c>
      <c r="D86" s="240" t="s">
        <v>2532</v>
      </c>
      <c r="E86" s="240" t="s">
        <v>7091</v>
      </c>
      <c r="F86" s="169" t="str">
        <f t="shared" si="1"/>
        <v>Privacy-Aware Machine Unlearning with SISA for Reinforcement Learning–Based Ransomware Detection
Jannatul Ferdous, Rafiqul Islam, Md Zahidul Islam
</v>
      </c>
      <c r="G86" s="240" t="s">
        <v>7092</v>
      </c>
      <c r="H86" s="240" t="s">
        <v>6829</v>
      </c>
      <c r="I86" s="240" t="s">
        <v>6831</v>
      </c>
      <c r="J86" s="240" t="s">
        <v>6831</v>
      </c>
      <c r="K86" s="240" t="s">
        <v>6831</v>
      </c>
      <c r="L86" s="240" t="s">
        <v>6832</v>
      </c>
      <c r="M86" s="240"/>
      <c r="N86" s="240"/>
      <c r="O86" s="240"/>
      <c r="P86" s="240"/>
      <c r="Q86" s="240"/>
      <c r="R86" s="240"/>
      <c r="S86" s="240"/>
      <c r="T86" s="240"/>
      <c r="U86" s="240"/>
      <c r="V86" s="240"/>
      <c r="W86" s="240"/>
      <c r="X86" s="240"/>
      <c r="Y86" s="240"/>
      <c r="Z86" s="240"/>
      <c r="AA86" s="240"/>
      <c r="AB86" s="240"/>
    </row>
    <row r="87">
      <c r="A87" s="240" t="s">
        <v>7093</v>
      </c>
      <c r="B87" s="240" t="s">
        <v>7066</v>
      </c>
      <c r="C87" s="240" t="s">
        <v>2533</v>
      </c>
      <c r="D87" s="240" t="s">
        <v>2534</v>
      </c>
      <c r="E87" s="240" t="s">
        <v>7094</v>
      </c>
      <c r="F87" s="169" t="str">
        <f t="shared" si="1"/>
        <v>How Quantum Period Finding Breaks Rivest Shamir Adleman Algorithms
Md Sarwar Kamal, Sonia Farhana Nimmy, Ripon Chakrabortty, Md Zakir Hossain, Md Rafiqul Islam
</v>
      </c>
      <c r="G87" s="240" t="s">
        <v>7095</v>
      </c>
      <c r="H87" s="240" t="s">
        <v>6829</v>
      </c>
      <c r="I87" s="240" t="s">
        <v>6830</v>
      </c>
      <c r="J87" s="240" t="s">
        <v>6831</v>
      </c>
      <c r="K87" s="240" t="s">
        <v>6830</v>
      </c>
      <c r="L87" s="240" t="s">
        <v>6832</v>
      </c>
      <c r="M87" s="240"/>
      <c r="N87" s="240"/>
      <c r="O87" s="240"/>
      <c r="P87" s="240"/>
      <c r="Q87" s="240"/>
      <c r="R87" s="240"/>
      <c r="S87" s="240"/>
      <c r="T87" s="240"/>
      <c r="U87" s="240"/>
      <c r="V87" s="240"/>
      <c r="W87" s="240"/>
      <c r="X87" s="240"/>
      <c r="Y87" s="240"/>
      <c r="Z87" s="240"/>
      <c r="AA87" s="240"/>
      <c r="AB87" s="240"/>
    </row>
    <row r="88">
      <c r="A88" s="240" t="s">
        <v>7096</v>
      </c>
      <c r="B88" s="240" t="s">
        <v>7066</v>
      </c>
      <c r="C88" s="240" t="s">
        <v>2535</v>
      </c>
      <c r="D88" s="240" t="s">
        <v>2536</v>
      </c>
      <c r="E88" s="240" t="s">
        <v>7097</v>
      </c>
      <c r="F88" s="169" t="str">
        <f t="shared" si="1"/>
        <v>Guided Path Sampling: Steering Diffusion Models Back on Track with Principled Path Guidance
Haosen Li, Wenshuo Chen, shaofeng liang, Lei Wang, Haozhe Jia, Yutao Yue
</v>
      </c>
      <c r="G88" s="240" t="s">
        <v>7098</v>
      </c>
      <c r="H88" s="240" t="s">
        <v>7099</v>
      </c>
      <c r="I88" s="240" t="s">
        <v>6831</v>
      </c>
      <c r="J88" s="240" t="s">
        <v>6830</v>
      </c>
      <c r="K88" s="240" t="s">
        <v>6831</v>
      </c>
      <c r="L88" s="240" t="s">
        <v>6832</v>
      </c>
      <c r="M88" s="240"/>
      <c r="N88" s="240"/>
      <c r="O88" s="240"/>
      <c r="P88" s="240"/>
      <c r="Q88" s="240"/>
      <c r="R88" s="240"/>
      <c r="S88" s="240"/>
      <c r="T88" s="240"/>
      <c r="U88" s="240"/>
      <c r="V88" s="240"/>
      <c r="W88" s="240"/>
      <c r="X88" s="240"/>
      <c r="Y88" s="240"/>
      <c r="Z88" s="240"/>
      <c r="AA88" s="240"/>
      <c r="AB88" s="240"/>
    </row>
    <row r="89">
      <c r="A89" s="240" t="s">
        <v>7100</v>
      </c>
      <c r="B89" s="240" t="s">
        <v>7066</v>
      </c>
      <c r="C89" s="240" t="s">
        <v>2537</v>
      </c>
      <c r="D89" s="240" t="s">
        <v>2538</v>
      </c>
      <c r="E89" s="240" t="s">
        <v>7101</v>
      </c>
      <c r="F89" s="169" t="str">
        <f t="shared" si="1"/>
        <v>Towards Better Evaluation Metrics for Text-to-Motion Generation
Wenshuo Chen, Haozhe Jia, Kuimou Yu, Songning Lai, Lei Wang, Yutao Yue
</v>
      </c>
      <c r="G89" s="240" t="s">
        <v>7098</v>
      </c>
      <c r="H89" s="240" t="s">
        <v>7102</v>
      </c>
      <c r="I89" s="240" t="s">
        <v>6830</v>
      </c>
      <c r="J89" s="240" t="s">
        <v>6831</v>
      </c>
      <c r="K89" s="240" t="s">
        <v>6830</v>
      </c>
      <c r="L89" s="240" t="s">
        <v>6832</v>
      </c>
      <c r="M89" s="240"/>
      <c r="N89" s="240"/>
      <c r="O89" s="240"/>
      <c r="P89" s="240"/>
      <c r="Q89" s="240"/>
      <c r="R89" s="240"/>
      <c r="S89" s="240"/>
      <c r="T89" s="240"/>
      <c r="U89" s="240"/>
      <c r="V89" s="240"/>
      <c r="W89" s="240"/>
      <c r="X89" s="240"/>
      <c r="Y89" s="240"/>
      <c r="Z89" s="240"/>
      <c r="AA89" s="240"/>
      <c r="AB89" s="240"/>
    </row>
    <row r="90">
      <c r="A90" s="240" t="s">
        <v>7103</v>
      </c>
      <c r="B90" s="240" t="s">
        <v>7066</v>
      </c>
      <c r="C90" s="240" t="s">
        <v>2539</v>
      </c>
      <c r="D90" s="240" t="s">
        <v>2540</v>
      </c>
      <c r="E90" s="240" t="s">
        <v>7104</v>
      </c>
      <c r="F90" s="169" t="str">
        <f t="shared" si="1"/>
        <v>Graph Aggregation Beyond Homophily Assumption: a more meaningful way to model networks
Lucy Lu, Ming Lu
</v>
      </c>
      <c r="G90" s="240" t="s">
        <v>7105</v>
      </c>
      <c r="H90" s="240" t="s">
        <v>6829</v>
      </c>
      <c r="I90" s="240" t="s">
        <v>6830</v>
      </c>
      <c r="J90" s="240" t="s">
        <v>6831</v>
      </c>
      <c r="K90" s="240" t="s">
        <v>6830</v>
      </c>
      <c r="L90" s="240" t="s">
        <v>6832</v>
      </c>
      <c r="M90" s="240"/>
      <c r="N90" s="240"/>
      <c r="O90" s="240"/>
      <c r="P90" s="240"/>
      <c r="Q90" s="240"/>
      <c r="R90" s="240"/>
      <c r="S90" s="240"/>
      <c r="T90" s="240"/>
      <c r="U90" s="240"/>
      <c r="V90" s="240"/>
      <c r="W90" s="240"/>
      <c r="X90" s="240"/>
      <c r="Y90" s="240"/>
      <c r="Z90" s="240"/>
      <c r="AA90" s="240"/>
      <c r="AB90" s="240"/>
    </row>
    <row r="91">
      <c r="A91" s="240" t="s">
        <v>7106</v>
      </c>
      <c r="B91" s="240" t="s">
        <v>7066</v>
      </c>
      <c r="C91" s="240" t="s">
        <v>2541</v>
      </c>
      <c r="D91" s="240" t="s">
        <v>2542</v>
      </c>
      <c r="E91" s="240" t="s">
        <v>7107</v>
      </c>
      <c r="F91" s="169" t="str">
        <f t="shared" si="1"/>
        <v>Talking-Head Generation in Practice
Zhicheng Zhang, Lei Wang, Yongsheng Gao, Yu Zhang
</v>
      </c>
      <c r="G91" s="240" t="s">
        <v>7068</v>
      </c>
      <c r="H91" s="240" t="s">
        <v>6829</v>
      </c>
      <c r="I91" s="240" t="s">
        <v>6830</v>
      </c>
      <c r="J91" s="240" t="s">
        <v>6830</v>
      </c>
      <c r="K91" s="240" t="s">
        <v>6830</v>
      </c>
      <c r="L91" s="240" t="s">
        <v>6832</v>
      </c>
      <c r="M91" s="240"/>
      <c r="N91" s="240"/>
      <c r="O91" s="240"/>
      <c r="P91" s="240"/>
      <c r="Q91" s="240"/>
      <c r="R91" s="240"/>
      <c r="S91" s="240"/>
      <c r="T91" s="240"/>
      <c r="U91" s="240"/>
      <c r="V91" s="240"/>
      <c r="W91" s="240"/>
      <c r="X91" s="240"/>
      <c r="Y91" s="240"/>
      <c r="Z91" s="240"/>
      <c r="AA91" s="240"/>
      <c r="AB91" s="240"/>
    </row>
    <row r="92">
      <c r="A92" s="240" t="s">
        <v>7108</v>
      </c>
      <c r="B92" s="240" t="s">
        <v>7066</v>
      </c>
      <c r="C92" s="240" t="s">
        <v>2543</v>
      </c>
      <c r="D92" s="240" t="s">
        <v>2544</v>
      </c>
      <c r="E92" s="240" t="s">
        <v>7109</v>
      </c>
      <c r="F92" s="169" t="str">
        <f t="shared" si="1"/>
        <v>Feasibility of Cryptography In a Blockchain-Enhanced ICS Security
Kazi Kamal, Rafiqul Islam, Azizur Rahman
</v>
      </c>
      <c r="G92" s="240" t="s">
        <v>7110</v>
      </c>
      <c r="H92" s="240" t="s">
        <v>6829</v>
      </c>
      <c r="I92" s="240" t="s">
        <v>6830</v>
      </c>
      <c r="J92" s="240" t="s">
        <v>6830</v>
      </c>
      <c r="K92" s="240" t="s">
        <v>6830</v>
      </c>
      <c r="L92" s="240" t="s">
        <v>6832</v>
      </c>
      <c r="M92" s="240"/>
      <c r="N92" s="240"/>
      <c r="O92" s="240"/>
      <c r="P92" s="240"/>
      <c r="Q92" s="240"/>
      <c r="R92" s="240"/>
      <c r="S92" s="240"/>
      <c r="T92" s="240"/>
      <c r="U92" s="240"/>
      <c r="V92" s="240"/>
      <c r="W92" s="240"/>
      <c r="X92" s="240"/>
      <c r="Y92" s="240"/>
      <c r="Z92" s="240"/>
      <c r="AA92" s="240"/>
      <c r="AB92" s="240"/>
    </row>
    <row r="93">
      <c r="A93" s="240" t="s">
        <v>7111</v>
      </c>
      <c r="B93" s="240" t="s">
        <v>7112</v>
      </c>
      <c r="C93" s="240" t="s">
        <v>2545</v>
      </c>
      <c r="D93" s="240" t="s">
        <v>2546</v>
      </c>
      <c r="E93" s="240" t="s">
        <v>7113</v>
      </c>
      <c r="F93" s="169" t="str">
        <f t="shared" si="1"/>
        <v>Workshop on Emerging Trends in Web Advertising
Muadh Al Kalbani, Ehsan Toreini
</v>
      </c>
      <c r="G93" s="240" t="s">
        <v>7114</v>
      </c>
      <c r="H93" s="240" t="s">
        <v>2955</v>
      </c>
      <c r="I93" s="240" t="s">
        <v>6830</v>
      </c>
      <c r="J93" s="240" t="s">
        <v>6831</v>
      </c>
      <c r="K93" s="240" t="s">
        <v>6830</v>
      </c>
      <c r="L93" s="240" t="s">
        <v>6832</v>
      </c>
      <c r="M93" s="240"/>
      <c r="N93" s="240"/>
      <c r="O93" s="240"/>
      <c r="P93" s="240"/>
      <c r="Q93" s="240"/>
      <c r="R93" s="240"/>
      <c r="S93" s="240"/>
      <c r="T93" s="240"/>
      <c r="U93" s="240"/>
      <c r="V93" s="240"/>
      <c r="W93" s="240"/>
      <c r="X93" s="240"/>
      <c r="Y93" s="240"/>
      <c r="Z93" s="240"/>
      <c r="AA93" s="240"/>
      <c r="AB93" s="240"/>
    </row>
    <row r="94">
      <c r="A94" s="240" t="s">
        <v>7115</v>
      </c>
      <c r="B94" s="240" t="s">
        <v>7112</v>
      </c>
      <c r="C94" s="240" t="s">
        <v>2547</v>
      </c>
      <c r="D94" s="240" t="s">
        <v>2548</v>
      </c>
      <c r="E94" s="240" t="s">
        <v>7116</v>
      </c>
      <c r="F94" s="169" t="str">
        <f t="shared" si="1"/>
        <v>Towards Automated Brand-Safety Detection: A Novel Dataset and Comparative Analysis of Language Models
Xin Peng, Gerald Penn
</v>
      </c>
      <c r="G94" s="240" t="s">
        <v>7117</v>
      </c>
      <c r="H94" s="240" t="s">
        <v>6829</v>
      </c>
      <c r="I94" s="240" t="s">
        <v>6830</v>
      </c>
      <c r="J94" s="240" t="s">
        <v>6831</v>
      </c>
      <c r="K94" s="240" t="s">
        <v>6831</v>
      </c>
      <c r="L94" s="240" t="s">
        <v>6832</v>
      </c>
      <c r="M94" s="240"/>
      <c r="N94" s="240"/>
      <c r="O94" s="240"/>
      <c r="P94" s="240"/>
      <c r="Q94" s="240"/>
      <c r="R94" s="240"/>
      <c r="S94" s="240"/>
      <c r="T94" s="240"/>
      <c r="U94" s="240"/>
      <c r="V94" s="240"/>
      <c r="W94" s="240"/>
      <c r="X94" s="240"/>
      <c r="Y94" s="240"/>
      <c r="Z94" s="240"/>
      <c r="AA94" s="240"/>
      <c r="AB94" s="240"/>
    </row>
    <row r="95">
      <c r="A95" s="240" t="s">
        <v>7118</v>
      </c>
      <c r="B95" s="240" t="s">
        <v>7112</v>
      </c>
      <c r="C95" s="240" t="s">
        <v>2549</v>
      </c>
      <c r="D95" s="240" t="s">
        <v>2550</v>
      </c>
      <c r="E95" s="240" t="s">
        <v>7119</v>
      </c>
      <c r="F95" s="169" t="str">
        <f t="shared" si="1"/>
        <v>Feedback Control for Small Budget Campaigns in Advertising
Sreeja Apparaju, Yichuan Niu, Xixi Qi
</v>
      </c>
      <c r="G95" s="240" t="s">
        <v>7120</v>
      </c>
      <c r="H95" s="240" t="s">
        <v>7121</v>
      </c>
      <c r="I95" s="240" t="s">
        <v>6830</v>
      </c>
      <c r="J95" s="240" t="s">
        <v>6830</v>
      </c>
      <c r="K95" s="240" t="s">
        <v>6830</v>
      </c>
      <c r="L95" s="240" t="s">
        <v>6832</v>
      </c>
      <c r="M95" s="240"/>
      <c r="N95" s="240"/>
      <c r="O95" s="240"/>
      <c r="P95" s="240"/>
      <c r="Q95" s="240"/>
      <c r="R95" s="240"/>
      <c r="S95" s="240"/>
      <c r="T95" s="240"/>
      <c r="U95" s="240"/>
      <c r="V95" s="240"/>
      <c r="W95" s="240"/>
      <c r="X95" s="240"/>
      <c r="Y95" s="240"/>
      <c r="Z95" s="240"/>
      <c r="AA95" s="240"/>
      <c r="AB95" s="240"/>
    </row>
    <row r="96">
      <c r="A96" s="240" t="s">
        <v>7122</v>
      </c>
      <c r="B96" s="240" t="s">
        <v>7112</v>
      </c>
      <c r="C96" s="240" t="s">
        <v>2551</v>
      </c>
      <c r="D96" s="240" t="s">
        <v>2552</v>
      </c>
      <c r="E96" s="240" t="s">
        <v>7123</v>
      </c>
      <c r="F96" s="169" t="str">
        <f t="shared" si="1"/>
        <v>Calculating Narrative Tension for Ad Placement in Online Narrative Fiction
Vedansh Mehta, Sajad Shirali-Shahreza, Gerald Penn
</v>
      </c>
      <c r="G96" s="240" t="s">
        <v>7117</v>
      </c>
      <c r="H96" s="240" t="s">
        <v>7124</v>
      </c>
      <c r="I96" s="240" t="s">
        <v>6830</v>
      </c>
      <c r="J96" s="240" t="s">
        <v>6831</v>
      </c>
      <c r="K96" s="240" t="s">
        <v>6831</v>
      </c>
      <c r="L96" s="240" t="s">
        <v>6832</v>
      </c>
      <c r="M96" s="240"/>
      <c r="N96" s="240"/>
      <c r="O96" s="240"/>
      <c r="P96" s="240"/>
      <c r="Q96" s="240"/>
      <c r="R96" s="240"/>
      <c r="S96" s="240"/>
      <c r="T96" s="240"/>
      <c r="U96" s="240"/>
      <c r="V96" s="240"/>
      <c r="W96" s="240"/>
      <c r="X96" s="240"/>
      <c r="Y96" s="240"/>
      <c r="Z96" s="240"/>
      <c r="AA96" s="240"/>
      <c r="AB96" s="240"/>
    </row>
    <row r="97">
      <c r="A97" s="240" t="s">
        <v>7125</v>
      </c>
      <c r="B97" s="240" t="s">
        <v>7112</v>
      </c>
      <c r="C97" s="240" t="s">
        <v>2553</v>
      </c>
      <c r="D97" s="240" t="s">
        <v>2554</v>
      </c>
      <c r="E97" s="240" t="s">
        <v>7126</v>
      </c>
      <c r="F97" s="169" t="str">
        <f t="shared" si="1"/>
        <v>Anatomy of Generative Scam Campaigns in Online Advertising Ecosystems
Ewelina Bartuzi-Trokielewicz, Alicja Martinek
</v>
      </c>
      <c r="G97" s="240" t="s">
        <v>7127</v>
      </c>
      <c r="H97" s="240" t="s">
        <v>7128</v>
      </c>
      <c r="I97" s="240" t="s">
        <v>6831</v>
      </c>
      <c r="J97" s="240" t="s">
        <v>6831</v>
      </c>
      <c r="K97" s="240" t="s">
        <v>6831</v>
      </c>
      <c r="L97" s="240" t="s">
        <v>6832</v>
      </c>
      <c r="M97" s="240"/>
      <c r="N97" s="240"/>
      <c r="O97" s="240"/>
      <c r="P97" s="240"/>
      <c r="Q97" s="240"/>
      <c r="R97" s="240"/>
      <c r="S97" s="240"/>
      <c r="T97" s="240"/>
      <c r="U97" s="240"/>
      <c r="V97" s="240"/>
      <c r="W97" s="240"/>
      <c r="X97" s="240"/>
      <c r="Y97" s="240"/>
      <c r="Z97" s="240"/>
      <c r="AA97" s="240"/>
      <c r="AB97" s="240"/>
    </row>
    <row r="98">
      <c r="A98" s="240" t="s">
        <v>7129</v>
      </c>
      <c r="B98" s="240" t="s">
        <v>7112</v>
      </c>
      <c r="C98" s="240" t="s">
        <v>2555</v>
      </c>
      <c r="D98" s="240" t="s">
        <v>2556</v>
      </c>
      <c r="E98" s="240" t="s">
        <v>7130</v>
      </c>
      <c r="F98" s="169" t="str">
        <f t="shared" si="1"/>
        <v>Smart Fast Finish: Preventing Overdelivery via Daily Budget Pacing at DoorDash
Rohan Garg, Yongjin Xiao, Dianxia Yang, Mandar Rahurkar
</v>
      </c>
      <c r="G98" s="240" t="s">
        <v>7131</v>
      </c>
      <c r="H98" s="240" t="s">
        <v>6829</v>
      </c>
      <c r="I98" s="240" t="s">
        <v>6830</v>
      </c>
      <c r="J98" s="240" t="s">
        <v>6831</v>
      </c>
      <c r="K98" s="240" t="s">
        <v>6830</v>
      </c>
      <c r="L98" s="240" t="s">
        <v>6832</v>
      </c>
      <c r="M98" s="240"/>
      <c r="N98" s="240"/>
      <c r="O98" s="240"/>
      <c r="P98" s="240"/>
      <c r="Q98" s="240"/>
      <c r="R98" s="240"/>
      <c r="S98" s="240"/>
      <c r="T98" s="240"/>
      <c r="U98" s="240"/>
      <c r="V98" s="240"/>
      <c r="W98" s="240"/>
      <c r="X98" s="240"/>
      <c r="Y98" s="240"/>
      <c r="Z98" s="240"/>
      <c r="AA98" s="240"/>
      <c r="AB98" s="240"/>
    </row>
    <row r="99">
      <c r="A99" s="240" t="s">
        <v>7132</v>
      </c>
      <c r="B99" s="240" t="s">
        <v>7133</v>
      </c>
      <c r="C99" s="240" t="s">
        <v>2557</v>
      </c>
      <c r="D99" s="240" t="s">
        <v>2558</v>
      </c>
      <c r="E99" s="240" t="s">
        <v>7134</v>
      </c>
      <c r="F99" s="169" t="str">
        <f t="shared" si="1"/>
        <v>ZABAPAD 2026: 1st Workshop on Zero-knowledge Proof and Blockchain for WEB 4.0: Advancing the Post-quantum and Decentralized Era
Shiho Kim, Ho Suk, Roberto Di Pietro, Davor Svetinovic, Kyunghi Chang, Madhusudan Singh, Rakesh Shrestha
</v>
      </c>
      <c r="G99" s="240" t="s">
        <v>7135</v>
      </c>
      <c r="H99" s="240" t="s">
        <v>2955</v>
      </c>
      <c r="I99" s="240" t="s">
        <v>6830</v>
      </c>
      <c r="J99" s="240" t="s">
        <v>6831</v>
      </c>
      <c r="K99" s="240" t="s">
        <v>6830</v>
      </c>
      <c r="L99" s="240" t="s">
        <v>6832</v>
      </c>
      <c r="M99" s="240"/>
      <c r="N99" s="240"/>
      <c r="O99" s="240"/>
      <c r="P99" s="240"/>
      <c r="Q99" s="240"/>
      <c r="R99" s="240"/>
      <c r="S99" s="240"/>
      <c r="T99" s="240"/>
      <c r="U99" s="240"/>
      <c r="V99" s="240"/>
      <c r="W99" s="240"/>
      <c r="X99" s="240"/>
      <c r="Y99" s="240"/>
      <c r="Z99" s="240"/>
      <c r="AA99" s="240"/>
      <c r="AB99" s="240"/>
    </row>
    <row r="100">
      <c r="A100" s="240" t="s">
        <v>7136</v>
      </c>
      <c r="B100" s="240" t="s">
        <v>7133</v>
      </c>
      <c r="C100" s="240" t="s">
        <v>22</v>
      </c>
      <c r="D100" s="240" t="s">
        <v>2559</v>
      </c>
      <c r="E100" s="240" t="s">
        <v>7137</v>
      </c>
      <c r="F100" s="169" t="str">
        <f t="shared" si="1"/>
        <v>Economics Model for Federated LLM Training via Blockchain
Soumyadeep Das, Madhusudan Singh
</v>
      </c>
      <c r="G100" s="240" t="s">
        <v>7138</v>
      </c>
      <c r="H100" s="240" t="s">
        <v>6829</v>
      </c>
      <c r="I100" s="240" t="s">
        <v>6830</v>
      </c>
      <c r="J100" s="240" t="s">
        <v>6831</v>
      </c>
      <c r="K100" s="240" t="s">
        <v>6830</v>
      </c>
      <c r="L100" s="240" t="s">
        <v>6832</v>
      </c>
      <c r="M100" s="240"/>
      <c r="N100" s="240"/>
      <c r="O100" s="240"/>
      <c r="P100" s="240"/>
      <c r="Q100" s="240"/>
      <c r="R100" s="240"/>
      <c r="S100" s="240"/>
      <c r="T100" s="240"/>
      <c r="U100" s="240"/>
      <c r="V100" s="240"/>
      <c r="W100" s="240"/>
      <c r="X100" s="240"/>
      <c r="Y100" s="240"/>
      <c r="Z100" s="240"/>
      <c r="AA100" s="240"/>
      <c r="AB100" s="240"/>
    </row>
    <row r="101">
      <c r="A101" s="240" t="s">
        <v>7139</v>
      </c>
      <c r="B101" s="240" t="s">
        <v>7133</v>
      </c>
      <c r="C101" s="240" t="s">
        <v>2560</v>
      </c>
      <c r="D101" s="240" t="s">
        <v>2561</v>
      </c>
      <c r="E101" s="240" t="s">
        <v>7140</v>
      </c>
      <c r="F101" s="169" t="str">
        <f t="shared" si="1"/>
        <v>Hadamard-Aware Bit-wise PIM Architecture via Butterfly Adder-Tree Reuse
Dohyun Kim, Junghwan Choi, Shiho Kim
</v>
      </c>
      <c r="G101" s="240" t="s">
        <v>7141</v>
      </c>
      <c r="H101" s="240" t="s">
        <v>6829</v>
      </c>
      <c r="I101" s="240" t="s">
        <v>6830</v>
      </c>
      <c r="J101" s="240" t="s">
        <v>6830</v>
      </c>
      <c r="K101" s="240" t="s">
        <v>6830</v>
      </c>
      <c r="L101" s="240" t="s">
        <v>6832</v>
      </c>
      <c r="M101" s="240"/>
      <c r="N101" s="240"/>
      <c r="O101" s="240"/>
      <c r="P101" s="240"/>
      <c r="Q101" s="240"/>
      <c r="R101" s="240"/>
      <c r="S101" s="240"/>
      <c r="T101" s="240"/>
      <c r="U101" s="240"/>
      <c r="V101" s="240"/>
      <c r="W101" s="240"/>
      <c r="X101" s="240"/>
      <c r="Y101" s="240"/>
      <c r="Z101" s="240"/>
      <c r="AA101" s="240"/>
      <c r="AB101" s="240"/>
    </row>
    <row r="102">
      <c r="A102" s="240" t="s">
        <v>7142</v>
      </c>
      <c r="B102" s="240" t="s">
        <v>7133</v>
      </c>
      <c r="C102" s="240" t="s">
        <v>2562</v>
      </c>
      <c r="D102" s="240" t="s">
        <v>2563</v>
      </c>
      <c r="E102" s="240" t="s">
        <v>7143</v>
      </c>
      <c r="F102" s="169" t="str">
        <f t="shared" si="1"/>
        <v>A Taxonomy-Driven Cryptographic Dependency Inventory for Post-Quantum Migration in Decentralized Systems: Triage Rules and a Worked Example
Euimin Lee, Hyeonseong Jung, Yunah Choi, Junyong Lee, Jeihee Cho, Seokhyeon Son, Shiho Kim
</v>
      </c>
      <c r="G102" s="240" t="s">
        <v>7144</v>
      </c>
      <c r="H102" s="240" t="s">
        <v>6829</v>
      </c>
      <c r="I102" s="240" t="s">
        <v>6830</v>
      </c>
      <c r="J102" s="240" t="s">
        <v>6831</v>
      </c>
      <c r="K102" s="240" t="s">
        <v>6830</v>
      </c>
      <c r="L102" s="240" t="s">
        <v>6832</v>
      </c>
      <c r="M102" s="240"/>
      <c r="N102" s="240"/>
      <c r="O102" s="240"/>
      <c r="P102" s="240"/>
      <c r="Q102" s="240"/>
      <c r="R102" s="240"/>
      <c r="S102" s="240"/>
      <c r="T102" s="240"/>
      <c r="U102" s="240"/>
      <c r="V102" s="240"/>
      <c r="W102" s="240"/>
      <c r="X102" s="240"/>
      <c r="Y102" s="240"/>
      <c r="Z102" s="240"/>
      <c r="AA102" s="240"/>
      <c r="AB102" s="240"/>
    </row>
    <row r="103">
      <c r="A103" s="240" t="s">
        <v>7145</v>
      </c>
      <c r="B103" s="240" t="s">
        <v>7133</v>
      </c>
      <c r="C103" s="240" t="s">
        <v>2564</v>
      </c>
      <c r="D103" s="240" t="s">
        <v>2565</v>
      </c>
      <c r="E103" s="240" t="s">
        <v>7146</v>
      </c>
      <c r="F103" s="169" t="str">
        <f t="shared" si="1"/>
        <v>Verifiable Dropout: Turning Randomness into a Verifiable Claim
Kichang Lee, Sungmin Lee, Jaeho Jin, JeongGil Ko
</v>
      </c>
      <c r="G103" s="240" t="s">
        <v>7147</v>
      </c>
      <c r="H103" s="240" t="s">
        <v>6829</v>
      </c>
      <c r="I103" s="240" t="s">
        <v>6830</v>
      </c>
      <c r="J103" s="240" t="s">
        <v>6830</v>
      </c>
      <c r="K103" s="240" t="s">
        <v>6830</v>
      </c>
      <c r="L103" s="240" t="s">
        <v>6832</v>
      </c>
      <c r="M103" s="240"/>
      <c r="N103" s="240"/>
      <c r="O103" s="240"/>
      <c r="P103" s="240"/>
      <c r="Q103" s="240"/>
      <c r="R103" s="240"/>
      <c r="S103" s="240"/>
      <c r="T103" s="240"/>
      <c r="U103" s="240"/>
      <c r="V103" s="240"/>
      <c r="W103" s="240"/>
      <c r="X103" s="240"/>
      <c r="Y103" s="240"/>
      <c r="Z103" s="240"/>
      <c r="AA103" s="240"/>
      <c r="AB103" s="240"/>
    </row>
    <row r="104">
      <c r="A104" s="240" t="s">
        <v>7148</v>
      </c>
      <c r="B104" s="240" t="s">
        <v>7133</v>
      </c>
      <c r="C104" s="240" t="s">
        <v>2566</v>
      </c>
      <c r="D104" s="240" t="s">
        <v>2567</v>
      </c>
      <c r="E104" s="240" t="s">
        <v>7149</v>
      </c>
      <c r="F104" s="169" t="str">
        <f t="shared" si="1"/>
        <v>Trustless Feedback: Preserving Privacy and Integrity in Crowdsourced RLHF via Zero-Knowledge Proofs
Jihoon Oh, Junyong Lee, Jeihee Cho, Hyeonseong Jung, Eumin Lee, Yunah Choi, Shiho Kim
</v>
      </c>
      <c r="G104" s="240" t="s">
        <v>7150</v>
      </c>
      <c r="H104" s="240" t="s">
        <v>6829</v>
      </c>
      <c r="I104" s="240" t="s">
        <v>6830</v>
      </c>
      <c r="J104" s="240" t="s">
        <v>6831</v>
      </c>
      <c r="K104" s="240" t="s">
        <v>6830</v>
      </c>
      <c r="L104" s="240" t="s">
        <v>6832</v>
      </c>
      <c r="M104" s="240"/>
      <c r="N104" s="240"/>
      <c r="O104" s="240"/>
      <c r="P104" s="240"/>
      <c r="Q104" s="240"/>
      <c r="R104" s="240"/>
      <c r="S104" s="240"/>
      <c r="T104" s="240"/>
      <c r="U104" s="240"/>
      <c r="V104" s="240"/>
      <c r="W104" s="240"/>
      <c r="X104" s="240"/>
      <c r="Y104" s="240"/>
      <c r="Z104" s="240"/>
      <c r="AA104" s="240"/>
      <c r="AB104" s="240"/>
    </row>
    <row r="105">
      <c r="A105" s="240" t="s">
        <v>7151</v>
      </c>
      <c r="B105" s="240" t="s">
        <v>7133</v>
      </c>
      <c r="C105" s="240" t="s">
        <v>2568</v>
      </c>
      <c r="D105" s="240" t="s">
        <v>2569</v>
      </c>
      <c r="E105" s="240" t="s">
        <v>7152</v>
      </c>
      <c r="F105" s="169" t="str">
        <f t="shared" si="1"/>
        <v>Blind-QEM: A Privacy-Preserving Framework for Quantum Error Mitigation via Zero-Knowledge Proofs
Junyong Lee, Jeihee Cho, Hyeonseong Jung, Euimin Lee, Yunah Choi, Seokhyeon Son, Shiho Kim
</v>
      </c>
      <c r="G105" s="240" t="s">
        <v>7153</v>
      </c>
      <c r="H105" s="240" t="s">
        <v>6829</v>
      </c>
      <c r="I105" s="240" t="s">
        <v>6830</v>
      </c>
      <c r="J105" s="240" t="s">
        <v>6831</v>
      </c>
      <c r="K105" s="240" t="s">
        <v>6830</v>
      </c>
      <c r="L105" s="240" t="s">
        <v>6832</v>
      </c>
      <c r="M105" s="240"/>
      <c r="N105" s="240"/>
      <c r="O105" s="240"/>
      <c r="P105" s="240"/>
      <c r="Q105" s="240"/>
      <c r="R105" s="240"/>
      <c r="S105" s="240"/>
      <c r="T105" s="240"/>
      <c r="U105" s="240"/>
      <c r="V105" s="240"/>
      <c r="W105" s="240"/>
      <c r="X105" s="240"/>
      <c r="Y105" s="240"/>
      <c r="Z105" s="240"/>
      <c r="AA105" s="240"/>
      <c r="AB105" s="240"/>
    </row>
    <row r="106">
      <c r="A106" s="240" t="s">
        <v>7154</v>
      </c>
      <c r="B106" s="240" t="s">
        <v>7133</v>
      </c>
      <c r="C106" s="240" t="s">
        <v>2570</v>
      </c>
      <c r="D106" s="240" t="s">
        <v>2571</v>
      </c>
      <c r="E106" s="240" t="s">
        <v>7155</v>
      </c>
      <c r="F106" s="169" t="str">
        <f t="shared" si="1"/>
        <v>PAC to the Future: Zero-Knowledge Proofs of PAC Private Systems
Guilhem Repetto, Nojan Sheybani, Gabrielle De Micheli, Farinaz Koushanfar
</v>
      </c>
      <c r="G106" s="240" t="s">
        <v>7156</v>
      </c>
      <c r="H106" s="240" t="s">
        <v>6829</v>
      </c>
      <c r="I106" s="240" t="s">
        <v>6830</v>
      </c>
      <c r="J106" s="240" t="s">
        <v>6831</v>
      </c>
      <c r="K106" s="240" t="s">
        <v>6830</v>
      </c>
      <c r="L106" s="240" t="s">
        <v>6832</v>
      </c>
      <c r="M106" s="240"/>
      <c r="N106" s="240"/>
      <c r="O106" s="240"/>
      <c r="P106" s="240"/>
      <c r="Q106" s="240"/>
      <c r="R106" s="240"/>
      <c r="S106" s="240"/>
      <c r="T106" s="240"/>
      <c r="U106" s="240"/>
      <c r="V106" s="240"/>
      <c r="W106" s="240"/>
      <c r="X106" s="240"/>
      <c r="Y106" s="240"/>
      <c r="Z106" s="240"/>
      <c r="AA106" s="240"/>
      <c r="AB106" s="240"/>
    </row>
    <row r="107">
      <c r="A107" s="240" t="s">
        <v>7157</v>
      </c>
      <c r="B107" s="240" t="s">
        <v>7133</v>
      </c>
      <c r="C107" s="240" t="s">
        <v>2572</v>
      </c>
      <c r="D107" s="240" t="s">
        <v>2573</v>
      </c>
      <c r="E107" s="240" t="s">
        <v>7158</v>
      </c>
      <c r="F107" s="169" t="str">
        <f t="shared" si="1"/>
        <v>SoK: Zero-Knowledge Proof Systems — An Empirical and Theoretical Comparison of SNARKs and STARKs
Ayush Nainwal, Atharva Kamble, Nitin Awathare
</v>
      </c>
      <c r="G107" s="240" t="s">
        <v>7159</v>
      </c>
      <c r="H107" s="240" t="s">
        <v>6829</v>
      </c>
      <c r="I107" s="240" t="s">
        <v>6831</v>
      </c>
      <c r="J107" s="240" t="s">
        <v>6831</v>
      </c>
      <c r="K107" s="240" t="s">
        <v>6830</v>
      </c>
      <c r="L107" s="240" t="s">
        <v>6832</v>
      </c>
      <c r="M107" s="240"/>
      <c r="N107" s="240"/>
      <c r="O107" s="240"/>
      <c r="P107" s="240"/>
      <c r="Q107" s="240"/>
      <c r="R107" s="240"/>
      <c r="S107" s="240"/>
      <c r="T107" s="240"/>
      <c r="U107" s="240"/>
      <c r="V107" s="240"/>
      <c r="W107" s="240"/>
      <c r="X107" s="240"/>
      <c r="Y107" s="240"/>
      <c r="Z107" s="240"/>
      <c r="AA107" s="240"/>
      <c r="AB107" s="240"/>
    </row>
    <row r="108">
      <c r="A108" s="240" t="s">
        <v>7160</v>
      </c>
      <c r="B108" s="240" t="s">
        <v>7133</v>
      </c>
      <c r="C108" s="240" t="s">
        <v>2574</v>
      </c>
      <c r="D108" s="240" t="s">
        <v>2575</v>
      </c>
      <c r="E108" s="240" t="s">
        <v>7161</v>
      </c>
      <c r="F108" s="169" t="str">
        <f t="shared" si="1"/>
        <v>Decentralized Video Provenance at the Edge: Blockchain-Assisted Integrity for Security Camera Streams
Marco Vela-Koentarjo, Madhusudan Singh
</v>
      </c>
      <c r="G108" s="240" t="s">
        <v>7162</v>
      </c>
      <c r="H108" s="240" t="s">
        <v>6829</v>
      </c>
      <c r="I108" s="240" t="s">
        <v>6830</v>
      </c>
      <c r="J108" s="240" t="s">
        <v>6831</v>
      </c>
      <c r="K108" s="240" t="s">
        <v>6830</v>
      </c>
      <c r="L108" s="240" t="s">
        <v>6832</v>
      </c>
      <c r="M108" s="240"/>
      <c r="N108" s="240"/>
      <c r="O108" s="240"/>
      <c r="P108" s="240"/>
      <c r="Q108" s="240"/>
      <c r="R108" s="240"/>
      <c r="S108" s="240"/>
      <c r="T108" s="240"/>
      <c r="U108" s="240"/>
      <c r="V108" s="240"/>
      <c r="W108" s="240"/>
      <c r="X108" s="240"/>
      <c r="Y108" s="240"/>
      <c r="Z108" s="240"/>
      <c r="AA108" s="240"/>
      <c r="AB108" s="240"/>
    </row>
    <row r="109">
      <c r="A109" s="240" t="s">
        <v>7163</v>
      </c>
      <c r="B109" s="240" t="s">
        <v>7133</v>
      </c>
      <c r="C109" s="240" t="s">
        <v>2576</v>
      </c>
      <c r="D109" s="240" t="s">
        <v>2577</v>
      </c>
      <c r="E109" s="240" t="s">
        <v>7164</v>
      </c>
      <c r="F109" s="169" t="str">
        <f t="shared" si="1"/>
        <v>Statistical Analysis of 12V Power Load Uncertainty Using Conditional Probability for SDV Energy Management
Gyeongmin Han, Sungmin Lee, Joonhee Lee, Kichang Lee, JeongGil Ko
</v>
      </c>
      <c r="G109" s="240" t="s">
        <v>7165</v>
      </c>
      <c r="H109" s="240" t="s">
        <v>6829</v>
      </c>
      <c r="I109" s="240" t="s">
        <v>6830</v>
      </c>
      <c r="J109" s="240" t="s">
        <v>6830</v>
      </c>
      <c r="K109" s="240" t="s">
        <v>6830</v>
      </c>
      <c r="L109" s="240" t="s">
        <v>6832</v>
      </c>
      <c r="M109" s="240"/>
      <c r="N109" s="240"/>
      <c r="O109" s="240"/>
      <c r="P109" s="240"/>
      <c r="Q109" s="240"/>
      <c r="R109" s="240"/>
      <c r="S109" s="240"/>
      <c r="T109" s="240"/>
      <c r="U109" s="240"/>
      <c r="V109" s="240"/>
      <c r="W109" s="240"/>
      <c r="X109" s="240"/>
      <c r="Y109" s="240"/>
      <c r="Z109" s="240"/>
      <c r="AA109" s="240"/>
      <c r="AB109" s="240"/>
    </row>
    <row r="110">
      <c r="A110" s="240" t="s">
        <v>7166</v>
      </c>
      <c r="B110" s="240" t="s">
        <v>7133</v>
      </c>
      <c r="C110" s="240" t="s">
        <v>2578</v>
      </c>
      <c r="D110" s="240" t="s">
        <v>2579</v>
      </c>
      <c r="E110" s="240" t="s">
        <v>7167</v>
      </c>
      <c r="F110" s="169" t="str">
        <f t="shared" si="1"/>
        <v>ZK-V: Zero-Knowledge Verification for Trustworthy Autonomous Driving Simulation
Giwoong Kim, Youjeong Son, Shiho Kim
</v>
      </c>
      <c r="G110" s="240" t="s">
        <v>7168</v>
      </c>
      <c r="H110" s="240" t="s">
        <v>6829</v>
      </c>
      <c r="I110" s="240" t="s">
        <v>6830</v>
      </c>
      <c r="J110" s="240" t="s">
        <v>6830</v>
      </c>
      <c r="K110" s="240" t="s">
        <v>6830</v>
      </c>
      <c r="L110" s="240" t="s">
        <v>6832</v>
      </c>
      <c r="M110" s="240"/>
      <c r="N110" s="240"/>
      <c r="O110" s="240"/>
      <c r="P110" s="240"/>
      <c r="Q110" s="240"/>
      <c r="R110" s="240"/>
      <c r="S110" s="240"/>
      <c r="T110" s="240"/>
      <c r="U110" s="240"/>
      <c r="V110" s="240"/>
      <c r="W110" s="240"/>
      <c r="X110" s="240"/>
      <c r="Y110" s="240"/>
      <c r="Z110" s="240"/>
      <c r="AA110" s="240"/>
      <c r="AB110" s="240"/>
    </row>
    <row r="111">
      <c r="A111" s="240" t="s">
        <v>7169</v>
      </c>
      <c r="B111" s="240" t="s">
        <v>7133</v>
      </c>
      <c r="C111" s="240" t="s">
        <v>2580</v>
      </c>
      <c r="D111" s="240" t="s">
        <v>2581</v>
      </c>
      <c r="E111" s="240" t="s">
        <v>7170</v>
      </c>
      <c r="F111" s="169" t="str">
        <f t="shared" si="1"/>
        <v>A USIM-less Identity Authentication System based on Zero-Knowledge Proofs
Minyong Eom, Danyung Kyung, Shiho Kim
</v>
      </c>
      <c r="G111" s="240" t="s">
        <v>7168</v>
      </c>
      <c r="H111" s="240" t="s">
        <v>6829</v>
      </c>
      <c r="I111" s="240" t="s">
        <v>6830</v>
      </c>
      <c r="J111" s="240" t="s">
        <v>6831</v>
      </c>
      <c r="K111" s="240" t="s">
        <v>6831</v>
      </c>
      <c r="L111" s="240" t="s">
        <v>6832</v>
      </c>
      <c r="M111" s="240"/>
      <c r="N111" s="240"/>
      <c r="O111" s="240"/>
      <c r="P111" s="240"/>
      <c r="Q111" s="240"/>
      <c r="R111" s="240"/>
      <c r="S111" s="240"/>
      <c r="T111" s="240"/>
      <c r="U111" s="240"/>
      <c r="V111" s="240"/>
      <c r="W111" s="240"/>
      <c r="X111" s="240"/>
      <c r="Y111" s="240"/>
      <c r="Z111" s="240"/>
      <c r="AA111" s="240"/>
      <c r="AB111" s="240"/>
    </row>
    <row r="112">
      <c r="A112" s="240" t="s">
        <v>7171</v>
      </c>
      <c r="B112" s="240" t="s">
        <v>7133</v>
      </c>
      <c r="C112" s="240" t="s">
        <v>2582</v>
      </c>
      <c r="D112" s="240" t="s">
        <v>2583</v>
      </c>
      <c r="E112" s="240" t="s">
        <v>7172</v>
      </c>
      <c r="F112" s="169" t="str">
        <f t="shared" si="1"/>
        <v>Blockchain-Enabled, W3C Standards-Compliant Decentralized Zero-Knowledge Proof Framework for Mobile Identity Authentication
Cheolwoo Ryu, Danyung Kyung, Shiho Kim
</v>
      </c>
      <c r="G112" s="240" t="s">
        <v>7168</v>
      </c>
      <c r="H112" s="240" t="s">
        <v>6829</v>
      </c>
      <c r="I112" s="240" t="s">
        <v>6831</v>
      </c>
      <c r="J112" s="240" t="s">
        <v>6831</v>
      </c>
      <c r="K112" s="240" t="s">
        <v>6831</v>
      </c>
      <c r="L112" s="240" t="s">
        <v>6832</v>
      </c>
      <c r="M112" s="240"/>
      <c r="N112" s="240"/>
      <c r="O112" s="240"/>
      <c r="P112" s="240"/>
      <c r="Q112" s="240"/>
      <c r="R112" s="240"/>
      <c r="S112" s="240"/>
      <c r="T112" s="240"/>
      <c r="U112" s="240"/>
      <c r="V112" s="240"/>
      <c r="W112" s="240"/>
      <c r="X112" s="240"/>
      <c r="Y112" s="240"/>
      <c r="Z112" s="240"/>
      <c r="AA112" s="240"/>
      <c r="AB112" s="240"/>
    </row>
    <row r="113">
      <c r="A113" s="240" t="s">
        <v>7173</v>
      </c>
      <c r="B113" s="240" t="s">
        <v>7133</v>
      </c>
      <c r="C113" s="240" t="s">
        <v>2584</v>
      </c>
      <c r="D113" s="240" t="s">
        <v>2585</v>
      </c>
      <c r="E113" s="240" t="s">
        <v>7174</v>
      </c>
      <c r="F113" s="169" t="str">
        <f t="shared" si="1"/>
        <v>Learning-Based Optimization of Atomic Arbitrage in Decentralized Financial Systems
Syahirul Faiz, Huned Materwala, Davor Svetinovic
</v>
      </c>
      <c r="G113" s="240" t="s">
        <v>7175</v>
      </c>
      <c r="H113" s="240" t="s">
        <v>7176</v>
      </c>
      <c r="I113" s="240" t="s">
        <v>6830</v>
      </c>
      <c r="J113" s="240" t="s">
        <v>6831</v>
      </c>
      <c r="K113" s="240" t="s">
        <v>6830</v>
      </c>
      <c r="L113" s="240" t="s">
        <v>6832</v>
      </c>
      <c r="M113" s="240"/>
      <c r="N113" s="240"/>
      <c r="O113" s="240"/>
      <c r="P113" s="240"/>
      <c r="Q113" s="240"/>
      <c r="R113" s="240"/>
      <c r="S113" s="240"/>
      <c r="T113" s="240"/>
      <c r="U113" s="240"/>
      <c r="V113" s="240"/>
      <c r="W113" s="240"/>
      <c r="X113" s="240"/>
      <c r="Y113" s="240"/>
      <c r="Z113" s="240"/>
      <c r="AA113" s="240"/>
      <c r="AB113" s="240"/>
    </row>
    <row r="114">
      <c r="A114" s="240" t="s">
        <v>7177</v>
      </c>
      <c r="B114" s="240" t="s">
        <v>7133</v>
      </c>
      <c r="C114" s="240" t="s">
        <v>2586</v>
      </c>
      <c r="D114" s="240" t="s">
        <v>2587</v>
      </c>
      <c r="E114" s="240" t="s">
        <v>7178</v>
      </c>
      <c r="F114" s="169" t="str">
        <f t="shared" si="1"/>
        <v>Spatial Discretization for Fine-Grain Zone Checks with STARKs
Sungmin Lee, Kichang Lee, Gyeongmin Han, Jeonggil Ko
</v>
      </c>
      <c r="G114" s="240" t="s">
        <v>7179</v>
      </c>
      <c r="H114" s="240" t="s">
        <v>6829</v>
      </c>
      <c r="I114" s="240" t="s">
        <v>6830</v>
      </c>
      <c r="J114" s="240" t="s">
        <v>6830</v>
      </c>
      <c r="K114" s="240" t="s">
        <v>6830</v>
      </c>
      <c r="L114" s="240" t="s">
        <v>6832</v>
      </c>
      <c r="M114" s="240"/>
      <c r="N114" s="240"/>
      <c r="O114" s="240"/>
      <c r="P114" s="240"/>
      <c r="Q114" s="240"/>
      <c r="R114" s="240"/>
      <c r="S114" s="240"/>
      <c r="T114" s="240"/>
      <c r="U114" s="240"/>
      <c r="V114" s="240"/>
      <c r="W114" s="240"/>
      <c r="X114" s="240"/>
      <c r="Y114" s="240"/>
      <c r="Z114" s="240"/>
      <c r="AA114" s="240"/>
      <c r="AB114" s="240"/>
    </row>
    <row r="115">
      <c r="A115" s="240" t="s">
        <v>7180</v>
      </c>
      <c r="B115" s="240" t="s">
        <v>7133</v>
      </c>
      <c r="C115" s="240" t="s">
        <v>2588</v>
      </c>
      <c r="D115" s="240" t="s">
        <v>2589</v>
      </c>
      <c r="E115" s="240" t="s">
        <v>7181</v>
      </c>
      <c r="F115" s="169" t="str">
        <f t="shared" si="1"/>
        <v>Now or Never: Continuous Surveillance AIoT System for Ephemeral Events in Intermittent Sensor Networks
Joonhee Lee, Kichang Lee, Jeonggil Ko
</v>
      </c>
      <c r="G115" s="240" t="s">
        <v>7182</v>
      </c>
      <c r="H115" s="240" t="s">
        <v>6829</v>
      </c>
      <c r="I115" s="240" t="s">
        <v>6830</v>
      </c>
      <c r="J115" s="240" t="s">
        <v>6830</v>
      </c>
      <c r="K115" s="240" t="s">
        <v>6830</v>
      </c>
      <c r="L115" s="240" t="s">
        <v>6832</v>
      </c>
      <c r="M115" s="240"/>
      <c r="N115" s="240"/>
      <c r="O115" s="240"/>
      <c r="P115" s="240"/>
      <c r="Q115" s="240"/>
      <c r="R115" s="240"/>
      <c r="S115" s="240"/>
      <c r="T115" s="240"/>
      <c r="U115" s="240"/>
      <c r="V115" s="240"/>
      <c r="W115" s="240"/>
      <c r="X115" s="240"/>
      <c r="Y115" s="240"/>
      <c r="Z115" s="240"/>
      <c r="AA115" s="240"/>
      <c r="AB115" s="240"/>
    </row>
    <row r="116">
      <c r="A116" s="240" t="s">
        <v>7183</v>
      </c>
      <c r="B116" s="240" t="s">
        <v>7184</v>
      </c>
      <c r="C116" s="240" t="s">
        <v>2590</v>
      </c>
      <c r="D116" s="240" t="s">
        <v>2591</v>
      </c>
      <c r="E116" s="240" t="s">
        <v>7185</v>
      </c>
      <c r="F116" s="169" t="str">
        <f t="shared" si="1"/>
        <v>Welcome from the History of the Web Track Chairs
Oshani Seneviratne, Wendy Hall
</v>
      </c>
      <c r="G116" s="240" t="s">
        <v>7186</v>
      </c>
      <c r="H116" s="240" t="s">
        <v>2955</v>
      </c>
      <c r="I116" s="240" t="s">
        <v>6830</v>
      </c>
      <c r="J116" s="240" t="s">
        <v>6831</v>
      </c>
      <c r="K116" s="240" t="s">
        <v>6830</v>
      </c>
      <c r="L116" s="240" t="s">
        <v>6832</v>
      </c>
      <c r="M116" s="240"/>
      <c r="N116" s="240"/>
      <c r="O116" s="240"/>
      <c r="P116" s="240"/>
      <c r="Q116" s="240"/>
      <c r="R116" s="240"/>
      <c r="S116" s="240"/>
      <c r="T116" s="240"/>
      <c r="U116" s="240"/>
      <c r="V116" s="240"/>
      <c r="W116" s="240"/>
      <c r="X116" s="240"/>
      <c r="Y116" s="240"/>
      <c r="Z116" s="240"/>
      <c r="AA116" s="240"/>
      <c r="AB116" s="240"/>
    </row>
    <row r="117">
      <c r="A117" s="240" t="s">
        <v>7187</v>
      </c>
      <c r="B117" s="240" t="s">
        <v>7184</v>
      </c>
      <c r="C117" s="240" t="s">
        <v>2592</v>
      </c>
      <c r="D117" s="240" t="s">
        <v>2593</v>
      </c>
      <c r="E117" s="240" t="s">
        <v>2973</v>
      </c>
      <c r="F117" s="169" t="str">
        <f t="shared" si="1"/>
        <v>Evolving Notions of Success on the Web: From Retrieval to Experience
Mounia Lalmas
</v>
      </c>
      <c r="G117" s="240" t="s">
        <v>4213</v>
      </c>
      <c r="H117" s="240" t="s">
        <v>2955</v>
      </c>
      <c r="I117" s="240" t="s">
        <v>6830</v>
      </c>
      <c r="J117" s="240" t="s">
        <v>6831</v>
      </c>
      <c r="K117" s="240" t="s">
        <v>6830</v>
      </c>
      <c r="L117" s="240" t="s">
        <v>6832</v>
      </c>
      <c r="M117" s="240"/>
      <c r="N117" s="240"/>
      <c r="O117" s="240"/>
      <c r="P117" s="240"/>
      <c r="Q117" s="240"/>
      <c r="R117" s="240"/>
      <c r="S117" s="240"/>
      <c r="T117" s="240"/>
      <c r="U117" s="240"/>
      <c r="V117" s="240"/>
      <c r="W117" s="240"/>
      <c r="X117" s="240"/>
      <c r="Y117" s="240"/>
      <c r="Z117" s="240"/>
      <c r="AA117" s="240"/>
      <c r="AB117" s="240"/>
    </row>
    <row r="118">
      <c r="A118" s="240" t="s">
        <v>7188</v>
      </c>
      <c r="B118" s="240" t="s">
        <v>7184</v>
      </c>
      <c r="C118" s="240" t="s">
        <v>2594</v>
      </c>
      <c r="D118" s="240" t="s">
        <v>2595</v>
      </c>
      <c r="E118" s="240" t="s">
        <v>2970</v>
      </c>
      <c r="F118" s="169" t="str">
        <f t="shared" si="1"/>
        <v>From Lexical and Semantic to Predictive Search
Ricardo Baeza-Yates
</v>
      </c>
      <c r="G118" s="240" t="s">
        <v>229</v>
      </c>
      <c r="H118" s="240" t="s">
        <v>2955</v>
      </c>
      <c r="I118" s="240" t="s">
        <v>6830</v>
      </c>
      <c r="J118" s="240" t="s">
        <v>6831</v>
      </c>
      <c r="K118" s="240" t="s">
        <v>6830</v>
      </c>
      <c r="L118" s="240" t="s">
        <v>6832</v>
      </c>
      <c r="M118" s="240"/>
      <c r="N118" s="240"/>
      <c r="O118" s="240"/>
      <c r="P118" s="240"/>
      <c r="Q118" s="240"/>
      <c r="R118" s="240"/>
      <c r="S118" s="240"/>
      <c r="T118" s="240"/>
      <c r="U118" s="240"/>
      <c r="V118" s="240"/>
      <c r="W118" s="240"/>
      <c r="X118" s="240"/>
      <c r="Y118" s="240"/>
      <c r="Z118" s="240"/>
      <c r="AA118" s="240"/>
      <c r="AB118" s="240"/>
    </row>
    <row r="119">
      <c r="A119" s="240" t="s">
        <v>7189</v>
      </c>
      <c r="B119" s="240" t="s">
        <v>7184</v>
      </c>
      <c r="C119" s="240" t="s">
        <v>2596</v>
      </c>
      <c r="D119" s="240" t="s">
        <v>2597</v>
      </c>
      <c r="E119" s="240" t="s">
        <v>7190</v>
      </c>
      <c r="F119" s="169" t="str">
        <f t="shared" si="1"/>
        <v>On the Historic Roots of Agentic AI in Semantic Web Services
Axel Polleres, Frederik Bauer, Daniil Dobriy, Tobias Käfer, Lukas Kubelka, Andreas Harth, Thomas Wehr
</v>
      </c>
      <c r="G119" s="240" t="s">
        <v>7191</v>
      </c>
      <c r="H119" s="240" t="s">
        <v>2955</v>
      </c>
      <c r="I119" s="240" t="s">
        <v>6830</v>
      </c>
      <c r="J119" s="240" t="s">
        <v>6831</v>
      </c>
      <c r="K119" s="240" t="s">
        <v>6830</v>
      </c>
      <c r="L119" s="240" t="s">
        <v>6832</v>
      </c>
      <c r="M119" s="240"/>
      <c r="N119" s="240"/>
      <c r="O119" s="240"/>
      <c r="P119" s="240"/>
      <c r="Q119" s="240"/>
      <c r="R119" s="240"/>
      <c r="S119" s="240"/>
      <c r="T119" s="240"/>
      <c r="U119" s="240"/>
      <c r="V119" s="240"/>
      <c r="W119" s="240"/>
      <c r="X119" s="240"/>
      <c r="Y119" s="240"/>
      <c r="Z119" s="240"/>
      <c r="AA119" s="240"/>
      <c r="AB119" s="240"/>
    </row>
    <row r="120">
      <c r="A120" s="240" t="s">
        <v>7192</v>
      </c>
      <c r="B120" s="240" t="s">
        <v>7193</v>
      </c>
      <c r="C120" s="240" t="s">
        <v>2598</v>
      </c>
      <c r="D120" s="240" t="s">
        <v>2599</v>
      </c>
      <c r="E120" s="240" t="s">
        <v>7194</v>
      </c>
      <c r="F120" s="169" t="str">
        <f t="shared" si="1"/>
        <v>SemTech 2026: The 4th International Workshop on AI and Semantic Technologies for the Scientific, Technical, and Legal Web
Danilo Dessì, Rima Dessì, Jeenu Joy, Hidir Aras, Francesco Osborne
</v>
      </c>
      <c r="G120" s="240" t="s">
        <v>7195</v>
      </c>
      <c r="H120" s="240" t="s">
        <v>2955</v>
      </c>
      <c r="I120" s="240" t="s">
        <v>6830</v>
      </c>
      <c r="J120" s="240" t="s">
        <v>6831</v>
      </c>
      <c r="K120" s="240" t="s">
        <v>6830</v>
      </c>
      <c r="L120" s="240" t="s">
        <v>6832</v>
      </c>
      <c r="M120" s="240"/>
      <c r="N120" s="240"/>
      <c r="O120" s="240"/>
      <c r="P120" s="240"/>
      <c r="Q120" s="240"/>
      <c r="R120" s="240"/>
      <c r="S120" s="240"/>
      <c r="T120" s="240"/>
      <c r="U120" s="240"/>
      <c r="V120" s="240"/>
      <c r="W120" s="240"/>
      <c r="X120" s="240"/>
      <c r="Y120" s="240"/>
      <c r="Z120" s="240"/>
      <c r="AA120" s="240"/>
      <c r="AB120" s="240"/>
    </row>
    <row r="121">
      <c r="A121" s="240" t="s">
        <v>7196</v>
      </c>
      <c r="B121" s="240" t="s">
        <v>7193</v>
      </c>
      <c r="C121" s="240" t="s">
        <v>2600</v>
      </c>
      <c r="D121" s="240" t="s">
        <v>2601</v>
      </c>
      <c r="E121" s="240" t="s">
        <v>7197</v>
      </c>
      <c r="F121" s="169" t="str">
        <f t="shared" si="1"/>
        <v>The LOPE Method: Improving Consistent Property Extraction for Scientific Knowledge Graphs Using LLMs
Sandra Schaftner, Martin Gaedke
</v>
      </c>
      <c r="G121" s="240" t="s">
        <v>7198</v>
      </c>
      <c r="H121" s="240" t="s">
        <v>6829</v>
      </c>
      <c r="I121" s="240" t="s">
        <v>6830</v>
      </c>
      <c r="J121" s="240" t="s">
        <v>6830</v>
      </c>
      <c r="K121" s="240" t="s">
        <v>6830</v>
      </c>
      <c r="L121" s="240" t="s">
        <v>6832</v>
      </c>
      <c r="M121" s="240"/>
      <c r="N121" s="240"/>
      <c r="O121" s="240"/>
      <c r="P121" s="240"/>
      <c r="Q121" s="240"/>
      <c r="R121" s="240"/>
      <c r="S121" s="240"/>
      <c r="T121" s="240"/>
      <c r="U121" s="240"/>
      <c r="V121" s="240"/>
      <c r="W121" s="240"/>
      <c r="X121" s="240"/>
      <c r="Y121" s="240"/>
      <c r="Z121" s="240"/>
      <c r="AA121" s="240"/>
      <c r="AB121" s="240"/>
    </row>
    <row r="122">
      <c r="A122" s="240" t="s">
        <v>7199</v>
      </c>
      <c r="B122" s="240" t="s">
        <v>7193</v>
      </c>
      <c r="C122" s="240" t="s">
        <v>2602</v>
      </c>
      <c r="D122" s="240" t="s">
        <v>2603</v>
      </c>
      <c r="E122" s="240" t="s">
        <v>7197</v>
      </c>
      <c r="F122" s="169" t="str">
        <f t="shared" si="1"/>
        <v>ORKG Properties Ontology Consolidated: LLM-Driven Refinement of Crowdsourced Knowledge for Machine-Actionability
Sandra Schaftner, Martin Gaedke
</v>
      </c>
      <c r="G122" s="240" t="s">
        <v>7198</v>
      </c>
      <c r="H122" s="240" t="s">
        <v>6829</v>
      </c>
      <c r="I122" s="240" t="s">
        <v>6830</v>
      </c>
      <c r="J122" s="240" t="s">
        <v>6830</v>
      </c>
      <c r="K122" s="240" t="s">
        <v>6830</v>
      </c>
      <c r="L122" s="240" t="s">
        <v>6832</v>
      </c>
      <c r="M122" s="240"/>
      <c r="N122" s="240"/>
      <c r="O122" s="240"/>
      <c r="P122" s="240"/>
      <c r="Q122" s="240"/>
      <c r="R122" s="240"/>
      <c r="S122" s="240"/>
      <c r="T122" s="240"/>
      <c r="U122" s="240"/>
      <c r="V122" s="240"/>
      <c r="W122" s="240"/>
      <c r="X122" s="240"/>
      <c r="Y122" s="240"/>
      <c r="Z122" s="240"/>
      <c r="AA122" s="240"/>
      <c r="AB122" s="240"/>
    </row>
    <row r="123">
      <c r="A123" s="240" t="s">
        <v>7200</v>
      </c>
      <c r="B123" s="240" t="s">
        <v>7193</v>
      </c>
      <c r="C123" s="240" t="s">
        <v>2604</v>
      </c>
      <c r="D123" s="240" t="s">
        <v>2605</v>
      </c>
      <c r="E123" s="240" t="s">
        <v>7201</v>
      </c>
      <c r="F123" s="169" t="str">
        <f t="shared" si="1"/>
        <v>Beyond the Rules: Understanding the Design Logic of Internet Standards
Jie Bian, Michael Welzl, Nikolay Arefyev
</v>
      </c>
      <c r="G123" s="240" t="s">
        <v>7202</v>
      </c>
      <c r="H123" s="240" t="s">
        <v>6829</v>
      </c>
      <c r="I123" s="240" t="s">
        <v>6830</v>
      </c>
      <c r="J123" s="240" t="s">
        <v>6830</v>
      </c>
      <c r="K123" s="240" t="s">
        <v>6830</v>
      </c>
      <c r="L123" s="240" t="s">
        <v>6832</v>
      </c>
      <c r="M123" s="240"/>
      <c r="N123" s="240"/>
      <c r="O123" s="240"/>
      <c r="P123" s="240"/>
      <c r="Q123" s="240"/>
      <c r="R123" s="240"/>
      <c r="S123" s="240"/>
      <c r="T123" s="240"/>
      <c r="U123" s="240"/>
      <c r="V123" s="240"/>
      <c r="W123" s="240"/>
      <c r="X123" s="240"/>
      <c r="Y123" s="240"/>
      <c r="Z123" s="240"/>
      <c r="AA123" s="240"/>
      <c r="AB123" s="240"/>
    </row>
    <row r="124">
      <c r="A124" s="240" t="s">
        <v>7203</v>
      </c>
      <c r="B124" s="240" t="s">
        <v>7193</v>
      </c>
      <c r="C124" s="240" t="s">
        <v>2606</v>
      </c>
      <c r="D124" s="240" t="s">
        <v>2607</v>
      </c>
      <c r="E124" s="240" t="s">
        <v>7204</v>
      </c>
      <c r="F124" s="169" t="str">
        <f t="shared" si="1"/>
        <v>The Atomic Instruction Gap: Instruction-Tuned LLMs Struggle with Simple, Self-Contained Directives
Henry Lim, Kwan Hui Lim
</v>
      </c>
      <c r="G124" s="240" t="s">
        <v>7205</v>
      </c>
      <c r="H124" s="240" t="s">
        <v>6829</v>
      </c>
      <c r="I124" s="240" t="s">
        <v>6830</v>
      </c>
      <c r="J124" s="240" t="s">
        <v>6831</v>
      </c>
      <c r="K124" s="240" t="s">
        <v>6830</v>
      </c>
      <c r="L124" s="240" t="s">
        <v>6832</v>
      </c>
      <c r="M124" s="240"/>
      <c r="N124" s="240"/>
      <c r="O124" s="240"/>
      <c r="P124" s="240"/>
      <c r="Q124" s="240"/>
      <c r="R124" s="240"/>
      <c r="S124" s="240"/>
      <c r="T124" s="240"/>
      <c r="U124" s="240"/>
      <c r="V124" s="240"/>
      <c r="W124" s="240"/>
      <c r="X124" s="240"/>
      <c r="Y124" s="240"/>
      <c r="Z124" s="240"/>
      <c r="AA124" s="240"/>
      <c r="AB124" s="240"/>
    </row>
    <row r="125">
      <c r="A125" s="240" t="s">
        <v>7206</v>
      </c>
      <c r="B125" s="240" t="s">
        <v>7193</v>
      </c>
      <c r="C125" s="240" t="s">
        <v>2608</v>
      </c>
      <c r="D125" s="240" t="s">
        <v>2609</v>
      </c>
      <c r="E125" s="240" t="s">
        <v>7207</v>
      </c>
      <c r="F125" s="169" t="str">
        <f t="shared" si="1"/>
        <v>Saliency-Guided Embedding Alignment for Query-to-Document Legal Case Retrieval
Yu-Han Shi, Yao-Chung Fan
</v>
      </c>
      <c r="G125" s="240" t="s">
        <v>7208</v>
      </c>
      <c r="H125" s="240" t="s">
        <v>6829</v>
      </c>
      <c r="I125" s="240" t="s">
        <v>6830</v>
      </c>
      <c r="J125" s="240" t="s">
        <v>6831</v>
      </c>
      <c r="K125" s="240" t="s">
        <v>6830</v>
      </c>
      <c r="L125" s="240" t="s">
        <v>6832</v>
      </c>
      <c r="M125" s="240"/>
      <c r="N125" s="240"/>
      <c r="O125" s="240"/>
      <c r="P125" s="240"/>
      <c r="Q125" s="240"/>
      <c r="R125" s="240"/>
      <c r="S125" s="240"/>
      <c r="T125" s="240"/>
      <c r="U125" s="240"/>
      <c r="V125" s="240"/>
      <c r="W125" s="240"/>
      <c r="X125" s="240"/>
      <c r="Y125" s="240"/>
      <c r="Z125" s="240"/>
      <c r="AA125" s="240"/>
      <c r="AB125" s="240"/>
    </row>
    <row r="126">
      <c r="A126" s="240" t="s">
        <v>7209</v>
      </c>
      <c r="B126" s="240" t="s">
        <v>7210</v>
      </c>
      <c r="C126" s="240" t="s">
        <v>2610</v>
      </c>
      <c r="D126" s="240" t="s">
        <v>2611</v>
      </c>
      <c r="E126" s="240" t="s">
        <v>7211</v>
      </c>
      <c r="F126" s="169" t="str">
        <f t="shared" si="1"/>
        <v>The 1st International Workshop on Foundations and Architectures for the Agentic Web
Boualem Benatallah, Pradyumna Chari, Abul Ehtesham, Abderrahmane Maaradji, Luca Muscariello, Fatma Outay, Ramesh Raskar, Yacine Sam, Sabrina Senatore, Aditi Singh
</v>
      </c>
      <c r="G126" s="240" t="s">
        <v>7212</v>
      </c>
      <c r="H126" s="240" t="s">
        <v>2955</v>
      </c>
      <c r="I126" s="240" t="s">
        <v>6830</v>
      </c>
      <c r="J126" s="240" t="s">
        <v>6831</v>
      </c>
      <c r="K126" s="240" t="s">
        <v>6830</v>
      </c>
      <c r="L126" s="240" t="s">
        <v>6832</v>
      </c>
      <c r="M126" s="240"/>
      <c r="N126" s="240"/>
      <c r="O126" s="240"/>
      <c r="P126" s="240"/>
      <c r="Q126" s="240"/>
      <c r="R126" s="240"/>
      <c r="S126" s="240"/>
      <c r="T126" s="240"/>
      <c r="U126" s="240"/>
      <c r="V126" s="240"/>
      <c r="W126" s="240"/>
      <c r="X126" s="240"/>
      <c r="Y126" s="240"/>
      <c r="Z126" s="240"/>
      <c r="AA126" s="240"/>
      <c r="AB126" s="240"/>
    </row>
    <row r="127">
      <c r="A127" s="240" t="s">
        <v>7213</v>
      </c>
      <c r="B127" s="240" t="s">
        <v>7210</v>
      </c>
      <c r="C127" s="240" t="s">
        <v>2612</v>
      </c>
      <c r="D127" s="240" t="s">
        <v>2613</v>
      </c>
      <c r="E127" s="240" t="s">
        <v>7214</v>
      </c>
      <c r="F127" s="169" t="str">
        <f t="shared" si="1"/>
        <v>Real-Time Procedural Learning From Experience for AI Agents
Dasheng Bi, Yubin Hu, Mohammed Nasir
</v>
      </c>
      <c r="G127" s="240" t="s">
        <v>7215</v>
      </c>
      <c r="H127" s="240" t="s">
        <v>7216</v>
      </c>
      <c r="I127" s="240" t="s">
        <v>6830</v>
      </c>
      <c r="J127" s="240" t="s">
        <v>6831</v>
      </c>
      <c r="K127" s="240" t="s">
        <v>6830</v>
      </c>
      <c r="L127" s="240" t="s">
        <v>6832</v>
      </c>
      <c r="M127" s="240"/>
      <c r="N127" s="240"/>
      <c r="O127" s="240"/>
      <c r="P127" s="240"/>
      <c r="Q127" s="240"/>
      <c r="R127" s="240"/>
      <c r="S127" s="240"/>
      <c r="T127" s="240"/>
      <c r="U127" s="240"/>
      <c r="V127" s="240"/>
      <c r="W127" s="240"/>
      <c r="X127" s="240"/>
      <c r="Y127" s="240"/>
      <c r="Z127" s="240"/>
      <c r="AA127" s="240"/>
      <c r="AB127" s="240"/>
    </row>
    <row r="128">
      <c r="A128" s="240" t="s">
        <v>7217</v>
      </c>
      <c r="B128" s="240" t="s">
        <v>7210</v>
      </c>
      <c r="C128" s="240" t="s">
        <v>2614</v>
      </c>
      <c r="D128" s="240" t="s">
        <v>2615</v>
      </c>
      <c r="E128" s="240" t="s">
        <v>7218</v>
      </c>
      <c r="F128" s="169" t="str">
        <f t="shared" si="1"/>
        <v>SemaReg: Semantic Service Registry for Resilient IoTWorkflow Orchestration in Edge Computing Environments
Iacovos Ioannou, Ala Khalifeh
</v>
      </c>
      <c r="G128" s="240" t="s">
        <v>7219</v>
      </c>
      <c r="H128" s="240" t="s">
        <v>7220</v>
      </c>
      <c r="I128" s="240" t="s">
        <v>6830</v>
      </c>
      <c r="J128" s="240" t="s">
        <v>6831</v>
      </c>
      <c r="K128" s="240" t="s">
        <v>6830</v>
      </c>
      <c r="L128" s="240" t="s">
        <v>6832</v>
      </c>
      <c r="M128" s="240"/>
      <c r="N128" s="240"/>
      <c r="O128" s="240"/>
      <c r="P128" s="240"/>
      <c r="Q128" s="240"/>
      <c r="R128" s="240"/>
      <c r="S128" s="240"/>
      <c r="T128" s="240"/>
      <c r="U128" s="240"/>
      <c r="V128" s="240"/>
      <c r="W128" s="240"/>
      <c r="X128" s="240"/>
      <c r="Y128" s="240"/>
      <c r="Z128" s="240"/>
      <c r="AA128" s="240"/>
      <c r="AB128" s="240"/>
    </row>
    <row r="129">
      <c r="A129" s="240" t="s">
        <v>7221</v>
      </c>
      <c r="B129" s="240" t="s">
        <v>7210</v>
      </c>
      <c r="C129" s="240" t="s">
        <v>2616</v>
      </c>
      <c r="D129" s="240" t="s">
        <v>2617</v>
      </c>
      <c r="E129" s="240" t="s">
        <v>7222</v>
      </c>
      <c r="F129" s="169" t="str">
        <f t="shared" si="1"/>
        <v>On the Economic and Governance Mechanisms for the Agentic Web: A Global South Perspective
Diogo Cortiz, Beatriz Rocha, Vagner Figueredo de Santana, Henrique S. Xavier, Jacqueline Custodio
</v>
      </c>
      <c r="G129" s="240" t="s">
        <v>7223</v>
      </c>
      <c r="H129" s="240" t="s">
        <v>6829</v>
      </c>
      <c r="I129" s="240" t="s">
        <v>6830</v>
      </c>
      <c r="J129" s="240" t="s">
        <v>6831</v>
      </c>
      <c r="K129" s="240" t="s">
        <v>6830</v>
      </c>
      <c r="L129" s="240" t="s">
        <v>6832</v>
      </c>
      <c r="M129" s="240"/>
      <c r="N129" s="240"/>
      <c r="O129" s="240"/>
      <c r="P129" s="240"/>
      <c r="Q129" s="240"/>
      <c r="R129" s="240"/>
      <c r="S129" s="240"/>
      <c r="T129" s="240"/>
      <c r="U129" s="240"/>
      <c r="V129" s="240"/>
      <c r="W129" s="240"/>
      <c r="X129" s="240"/>
      <c r="Y129" s="240"/>
      <c r="Z129" s="240"/>
      <c r="AA129" s="240"/>
      <c r="AB129" s="240"/>
    </row>
    <row r="130">
      <c r="A130" s="240" t="s">
        <v>7224</v>
      </c>
      <c r="B130" s="240" t="s">
        <v>7210</v>
      </c>
      <c r="C130" s="240" t="s">
        <v>2618</v>
      </c>
      <c r="D130" s="240" t="s">
        <v>2619</v>
      </c>
      <c r="E130" s="240" t="s">
        <v>7225</v>
      </c>
      <c r="F130" s="169" t="str">
        <f t="shared" si="1"/>
        <v>An Agentic System for Automated Polymer Property Prediction in Low-Code Environments
Djamel-Eddine Louhbaibat, Juba Agoun, Mohand-Saïd Hacid
</v>
      </c>
      <c r="G130" s="240" t="s">
        <v>7226</v>
      </c>
      <c r="H130" s="240" t="s">
        <v>7227</v>
      </c>
      <c r="I130" s="240" t="s">
        <v>6830</v>
      </c>
      <c r="J130" s="240" t="s">
        <v>2955</v>
      </c>
      <c r="K130" s="240" t="s">
        <v>6830</v>
      </c>
      <c r="L130" s="240" t="s">
        <v>6832</v>
      </c>
      <c r="M130" s="240"/>
      <c r="N130" s="240"/>
      <c r="O130" s="240"/>
      <c r="P130" s="240"/>
      <c r="Q130" s="240"/>
      <c r="R130" s="240"/>
      <c r="S130" s="240"/>
      <c r="T130" s="240"/>
      <c r="U130" s="240"/>
      <c r="V130" s="240"/>
      <c r="W130" s="240"/>
      <c r="X130" s="240"/>
      <c r="Y130" s="240"/>
      <c r="Z130" s="240"/>
      <c r="AA130" s="240"/>
      <c r="AB130" s="240"/>
    </row>
    <row r="131">
      <c r="A131" s="240" t="s">
        <v>7224</v>
      </c>
      <c r="B131" s="240" t="s">
        <v>7210</v>
      </c>
      <c r="C131" s="240" t="s">
        <v>2620</v>
      </c>
      <c r="D131" s="240" t="s">
        <v>2619</v>
      </c>
      <c r="E131" s="240" t="s">
        <v>7225</v>
      </c>
      <c r="F131" s="169" t="str">
        <f t="shared" si="1"/>
        <v>An Agentic System for Automated Polymer Property Prediction in Low-Code Environments
Djamel-Eddine Louhbaibat, Juba Agoun, Mohand-Saïd Hacid
</v>
      </c>
      <c r="G131" s="240" t="s">
        <v>7228</v>
      </c>
      <c r="H131" s="240" t="s">
        <v>7227</v>
      </c>
      <c r="I131" s="240" t="s">
        <v>6830</v>
      </c>
      <c r="J131" s="240" t="s">
        <v>2955</v>
      </c>
      <c r="K131" s="240" t="s">
        <v>6830</v>
      </c>
      <c r="L131" s="240" t="s">
        <v>6832</v>
      </c>
      <c r="M131" s="240"/>
      <c r="N131" s="240"/>
      <c r="O131" s="240"/>
      <c r="P131" s="240"/>
      <c r="Q131" s="240"/>
      <c r="R131" s="240"/>
      <c r="S131" s="240"/>
      <c r="T131" s="240"/>
      <c r="U131" s="240"/>
      <c r="V131" s="240"/>
      <c r="W131" s="240"/>
      <c r="X131" s="240"/>
      <c r="Y131" s="240"/>
      <c r="Z131" s="240"/>
      <c r="AA131" s="240"/>
      <c r="AB131" s="240"/>
    </row>
    <row r="132">
      <c r="A132" s="240" t="s">
        <v>7229</v>
      </c>
      <c r="B132" s="240" t="s">
        <v>7210</v>
      </c>
      <c r="C132" s="240" t="s">
        <v>2621</v>
      </c>
      <c r="D132" s="240" t="s">
        <v>2622</v>
      </c>
      <c r="E132" s="240" t="s">
        <v>7230</v>
      </c>
      <c r="F132" s="169" t="str">
        <f t="shared" si="1"/>
        <v>Can Large Language Models Govern Themselves? A Technical, Ethical, and Governance Perspective
Djallel Bouneffouf
</v>
      </c>
      <c r="G132" s="240" t="s">
        <v>6975</v>
      </c>
      <c r="H132" s="240" t="s">
        <v>6829</v>
      </c>
      <c r="I132" s="240" t="s">
        <v>6830</v>
      </c>
      <c r="J132" s="240" t="s">
        <v>6831</v>
      </c>
      <c r="K132" s="240" t="s">
        <v>6830</v>
      </c>
      <c r="L132" s="240" t="s">
        <v>6832</v>
      </c>
      <c r="M132" s="240"/>
      <c r="N132" s="240"/>
      <c r="O132" s="240"/>
      <c r="P132" s="240"/>
      <c r="Q132" s="240"/>
      <c r="R132" s="240"/>
      <c r="S132" s="240"/>
      <c r="T132" s="240"/>
      <c r="U132" s="240"/>
      <c r="V132" s="240"/>
      <c r="W132" s="240"/>
      <c r="X132" s="240"/>
      <c r="Y132" s="240"/>
      <c r="Z132" s="240"/>
      <c r="AA132" s="240"/>
      <c r="AB132" s="240"/>
    </row>
    <row r="133">
      <c r="A133" s="240" t="s">
        <v>7231</v>
      </c>
      <c r="B133" s="240" t="s">
        <v>7210</v>
      </c>
      <c r="C133" s="240" t="s">
        <v>2623</v>
      </c>
      <c r="D133" s="240" t="s">
        <v>2624</v>
      </c>
      <c r="E133" s="240" t="s">
        <v>7232</v>
      </c>
      <c r="F133" s="169" t="str">
        <f t="shared" si="1"/>
        <v>A Prompt-Aware Structuring Framework for Reliable Reuse of AI-Generated Content in the Agentic Web
Shusaku Egami, Masahiro Hamasaki
</v>
      </c>
      <c r="G133" s="240" t="s">
        <v>7233</v>
      </c>
      <c r="H133" s="240" t="s">
        <v>6829</v>
      </c>
      <c r="I133" s="240" t="s">
        <v>6830</v>
      </c>
      <c r="J133" s="240" t="s">
        <v>6831</v>
      </c>
      <c r="K133" s="240" t="s">
        <v>6830</v>
      </c>
      <c r="L133" s="240" t="s">
        <v>6832</v>
      </c>
      <c r="M133" s="240"/>
      <c r="N133" s="240"/>
      <c r="O133" s="240"/>
      <c r="P133" s="240"/>
      <c r="Q133" s="240"/>
      <c r="R133" s="240"/>
      <c r="S133" s="240"/>
      <c r="T133" s="240"/>
      <c r="U133" s="240"/>
      <c r="V133" s="240"/>
      <c r="W133" s="240"/>
      <c r="X133" s="240"/>
      <c r="Y133" s="240"/>
      <c r="Z133" s="240"/>
      <c r="AA133" s="240"/>
      <c r="AB133" s="240"/>
    </row>
    <row r="134">
      <c r="A134" s="240" t="s">
        <v>7234</v>
      </c>
      <c r="B134" s="240" t="s">
        <v>7210</v>
      </c>
      <c r="C134" s="240" t="s">
        <v>2625</v>
      </c>
      <c r="D134" s="240" t="s">
        <v>2626</v>
      </c>
      <c r="E134" s="240" t="s">
        <v>7235</v>
      </c>
      <c r="F134" s="169" t="str">
        <f t="shared" si="1"/>
        <v>WAB: Overcoming Memory, Network, and Security Walls in Native Agentic Browsers with WebAssembly
Mugeng Liu, Shuoqi Li, Qi Yang, Yun Ma
</v>
      </c>
      <c r="G134" s="240" t="s">
        <v>7236</v>
      </c>
      <c r="H134" s="240" t="s">
        <v>7237</v>
      </c>
      <c r="I134" s="240" t="s">
        <v>6831</v>
      </c>
      <c r="J134" s="240" t="s">
        <v>6831</v>
      </c>
      <c r="K134" s="240" t="s">
        <v>6831</v>
      </c>
      <c r="L134" s="240" t="s">
        <v>6832</v>
      </c>
      <c r="M134" s="240"/>
      <c r="N134" s="240"/>
      <c r="O134" s="240"/>
      <c r="P134" s="240"/>
      <c r="Q134" s="240"/>
      <c r="R134" s="240"/>
      <c r="S134" s="240"/>
      <c r="T134" s="240"/>
      <c r="U134" s="240"/>
      <c r="V134" s="240"/>
      <c r="W134" s="240"/>
      <c r="X134" s="240"/>
      <c r="Y134" s="240"/>
      <c r="Z134" s="240"/>
      <c r="AA134" s="240"/>
      <c r="AB134" s="240"/>
    </row>
    <row r="135">
      <c r="A135" s="240" t="s">
        <v>7238</v>
      </c>
      <c r="B135" s="240" t="s">
        <v>7210</v>
      </c>
      <c r="C135" s="240" t="s">
        <v>2627</v>
      </c>
      <c r="D135" s="240" t="s">
        <v>2628</v>
      </c>
      <c r="E135" s="240" t="s">
        <v>7239</v>
      </c>
      <c r="F135" s="169" t="str">
        <f t="shared" si="1"/>
        <v>How to Measure Node Importance in the Agentic Web
Ivan Samoylenko, Elizaveta Pribytkova
</v>
      </c>
      <c r="G135" s="240" t="s">
        <v>7240</v>
      </c>
      <c r="H135" s="240" t="s">
        <v>7124</v>
      </c>
      <c r="I135" s="240" t="s">
        <v>6830</v>
      </c>
      <c r="J135" s="240" t="s">
        <v>6831</v>
      </c>
      <c r="K135" s="240" t="s">
        <v>6830</v>
      </c>
      <c r="L135" s="240" t="s">
        <v>6832</v>
      </c>
      <c r="M135" s="240"/>
      <c r="N135" s="240"/>
      <c r="O135" s="240"/>
      <c r="P135" s="240"/>
      <c r="Q135" s="240"/>
      <c r="R135" s="240"/>
      <c r="S135" s="240"/>
      <c r="T135" s="240"/>
      <c r="U135" s="240"/>
      <c r="V135" s="240"/>
      <c r="W135" s="240"/>
      <c r="X135" s="240"/>
      <c r="Y135" s="240"/>
      <c r="Z135" s="240"/>
      <c r="AA135" s="240"/>
      <c r="AB135" s="240"/>
    </row>
    <row r="136">
      <c r="A136" s="240" t="s">
        <v>7241</v>
      </c>
      <c r="B136" s="240" t="s">
        <v>7242</v>
      </c>
      <c r="C136" s="240" t="s">
        <v>2629</v>
      </c>
      <c r="D136" s="240" t="s">
        <v>2630</v>
      </c>
      <c r="E136" s="240" t="s">
        <v>7243</v>
      </c>
      <c r="F136" s="169" t="str">
        <f t="shared" si="1"/>
        <v>16th Temporal Web Analytics Workshop (TempWeb)
Marc Spaniol, Omar Alonso, Ricardo Baeza-Yates
</v>
      </c>
      <c r="G136" s="240" t="s">
        <v>386</v>
      </c>
      <c r="H136" s="240" t="s">
        <v>2955</v>
      </c>
      <c r="I136" s="240" t="s">
        <v>6830</v>
      </c>
      <c r="J136" s="240" t="s">
        <v>6831</v>
      </c>
      <c r="K136" s="240" t="s">
        <v>6830</v>
      </c>
      <c r="L136" s="240" t="s">
        <v>6832</v>
      </c>
      <c r="M136" s="240"/>
      <c r="N136" s="240"/>
      <c r="O136" s="240"/>
      <c r="P136" s="240"/>
      <c r="Q136" s="240"/>
      <c r="R136" s="240"/>
      <c r="S136" s="240"/>
      <c r="T136" s="240"/>
      <c r="U136" s="240"/>
      <c r="V136" s="240"/>
      <c r="W136" s="240"/>
      <c r="X136" s="240"/>
      <c r="Y136" s="240"/>
      <c r="Z136" s="240"/>
      <c r="AA136" s="240"/>
      <c r="AB136" s="240"/>
    </row>
    <row r="137">
      <c r="A137" s="240" t="s">
        <v>7244</v>
      </c>
      <c r="B137" s="240" t="s">
        <v>7242</v>
      </c>
      <c r="C137" s="240" t="s">
        <v>2631</v>
      </c>
      <c r="D137" s="240" t="s">
        <v>2632</v>
      </c>
      <c r="E137" s="240" t="s">
        <v>7245</v>
      </c>
      <c r="F137" s="169" t="str">
        <f t="shared" si="1"/>
        <v>SLS: A Scalable Logic Subgraph Framework for Temporal Web Analytics and Hybrid Search
Jiajia Nie, Zekun Yin, Haoliang Sun, Weipeng Jiang, Wei Han, Bo Bai
</v>
      </c>
      <c r="G137" s="240" t="s">
        <v>7246</v>
      </c>
      <c r="H137" s="240" t="s">
        <v>7247</v>
      </c>
      <c r="I137" s="240" t="s">
        <v>6830</v>
      </c>
      <c r="J137" s="240" t="s">
        <v>6831</v>
      </c>
      <c r="K137" s="240" t="s">
        <v>6831</v>
      </c>
      <c r="L137" s="240" t="s">
        <v>6832</v>
      </c>
      <c r="M137" s="240"/>
      <c r="N137" s="240"/>
      <c r="O137" s="240"/>
      <c r="P137" s="240"/>
      <c r="Q137" s="240"/>
      <c r="R137" s="240"/>
      <c r="S137" s="240"/>
      <c r="T137" s="240"/>
      <c r="U137" s="240"/>
      <c r="V137" s="240"/>
      <c r="W137" s="240"/>
      <c r="X137" s="240"/>
      <c r="Y137" s="240"/>
      <c r="Z137" s="240"/>
      <c r="AA137" s="240"/>
      <c r="AB137" s="240"/>
    </row>
    <row r="138">
      <c r="A138" s="240" t="s">
        <v>7248</v>
      </c>
      <c r="B138" s="240" t="s">
        <v>7242</v>
      </c>
      <c r="C138" s="240" t="s">
        <v>2633</v>
      </c>
      <c r="D138" s="240" t="s">
        <v>2634</v>
      </c>
      <c r="E138" s="240" t="s">
        <v>7249</v>
      </c>
      <c r="F138" s="169" t="str">
        <f t="shared" si="1"/>
        <v>Scalable Anomaly Detection for Temporal Web Streams via Approximate Nearest Neighbor Search
Chuangen Gao, Haoliang Sun, Zekun Yin, Weipeng Jiang, Wei Han, Bo Bai
</v>
      </c>
      <c r="G138" s="240" t="s">
        <v>7250</v>
      </c>
      <c r="H138" s="240" t="s">
        <v>7251</v>
      </c>
      <c r="I138" s="240" t="s">
        <v>6830</v>
      </c>
      <c r="J138" s="240" t="s">
        <v>6831</v>
      </c>
      <c r="K138" s="240" t="s">
        <v>6830</v>
      </c>
      <c r="L138" s="240" t="s">
        <v>6832</v>
      </c>
      <c r="M138" s="240"/>
      <c r="N138" s="240"/>
      <c r="O138" s="240"/>
      <c r="P138" s="240"/>
      <c r="Q138" s="240"/>
      <c r="R138" s="240"/>
      <c r="S138" s="240"/>
      <c r="T138" s="240"/>
      <c r="U138" s="240"/>
      <c r="V138" s="240"/>
      <c r="W138" s="240"/>
      <c r="X138" s="240"/>
      <c r="Y138" s="240"/>
      <c r="Z138" s="240"/>
      <c r="AA138" s="240"/>
      <c r="AB138" s="240"/>
    </row>
    <row r="139">
      <c r="A139" s="240" t="s">
        <v>7252</v>
      </c>
      <c r="B139" s="240" t="s">
        <v>7242</v>
      </c>
      <c r="C139" s="240" t="s">
        <v>2635</v>
      </c>
      <c r="D139" s="240" t="s">
        <v>2636</v>
      </c>
      <c r="E139" s="240" t="s">
        <v>7253</v>
      </c>
      <c r="F139" s="169" t="str">
        <f t="shared" si="1"/>
        <v>Community-Preserving Temporal Graph Backboning via Joint Spectral Analysis of Laplacians
Carmela Comito, Annalisa Socievole
</v>
      </c>
      <c r="G139" s="240" t="s">
        <v>7254</v>
      </c>
      <c r="H139" s="240" t="s">
        <v>6829</v>
      </c>
      <c r="I139" s="240" t="s">
        <v>6830</v>
      </c>
      <c r="J139" s="240" t="s">
        <v>6831</v>
      </c>
      <c r="K139" s="240" t="s">
        <v>6830</v>
      </c>
      <c r="L139" s="240" t="s">
        <v>6832</v>
      </c>
      <c r="M139" s="240"/>
      <c r="N139" s="240"/>
      <c r="O139" s="240"/>
      <c r="P139" s="240"/>
      <c r="Q139" s="240"/>
      <c r="R139" s="240"/>
      <c r="S139" s="240"/>
      <c r="T139" s="240"/>
      <c r="U139" s="240"/>
      <c r="V139" s="240"/>
      <c r="W139" s="240"/>
      <c r="X139" s="240"/>
      <c r="Y139" s="240"/>
      <c r="Z139" s="240"/>
      <c r="AA139" s="240"/>
      <c r="AB139" s="240"/>
    </row>
    <row r="140">
      <c r="A140" s="240" t="s">
        <v>7255</v>
      </c>
      <c r="B140" s="240" t="s">
        <v>7242</v>
      </c>
      <c r="C140" s="240" t="s">
        <v>2637</v>
      </c>
      <c r="D140" s="240" t="s">
        <v>2638</v>
      </c>
      <c r="E140" s="240" t="s">
        <v>7256</v>
      </c>
      <c r="F140" s="169" t="str">
        <f t="shared" si="1"/>
        <v>The State of the Internet: Insights from Security Indicators
Florian Nettersheim, Stephan Arlt
</v>
      </c>
      <c r="G140" s="240" t="s">
        <v>7257</v>
      </c>
      <c r="H140" s="240" t="s">
        <v>6829</v>
      </c>
      <c r="I140" s="240" t="s">
        <v>6831</v>
      </c>
      <c r="J140" s="240" t="s">
        <v>6831</v>
      </c>
      <c r="K140" s="240" t="s">
        <v>6831</v>
      </c>
      <c r="L140" s="240" t="s">
        <v>6832</v>
      </c>
      <c r="M140" s="240"/>
      <c r="N140" s="240"/>
      <c r="O140" s="240"/>
      <c r="P140" s="240"/>
      <c r="Q140" s="240"/>
      <c r="R140" s="240"/>
      <c r="S140" s="240"/>
      <c r="T140" s="240"/>
      <c r="U140" s="240"/>
      <c r="V140" s="240"/>
      <c r="W140" s="240"/>
      <c r="X140" s="240"/>
      <c r="Y140" s="240"/>
      <c r="Z140" s="240"/>
      <c r="AA140" s="240"/>
      <c r="AB140" s="240"/>
    </row>
    <row r="141">
      <c r="A141" s="240" t="s">
        <v>7258</v>
      </c>
      <c r="B141" s="240" t="s">
        <v>7242</v>
      </c>
      <c r="C141" s="240" t="s">
        <v>2639</v>
      </c>
      <c r="D141" s="240" t="s">
        <v>2640</v>
      </c>
      <c r="E141" s="240" t="s">
        <v>7259</v>
      </c>
      <c r="F141" s="169" t="str">
        <f t="shared" si="1"/>
        <v>MiningWeb Evolution: A Dataset of DOM Changes Across Websites
Hilal Taha, Jeongju Sohn, Michail Papadakis
</v>
      </c>
      <c r="G141" s="240" t="s">
        <v>7260</v>
      </c>
      <c r="H141" s="240" t="s">
        <v>6829</v>
      </c>
      <c r="I141" s="240" t="s">
        <v>6830</v>
      </c>
      <c r="J141" s="240" t="s">
        <v>6830</v>
      </c>
      <c r="K141" s="240" t="s">
        <v>6830</v>
      </c>
      <c r="L141" s="240" t="s">
        <v>6832</v>
      </c>
      <c r="M141" s="240"/>
      <c r="N141" s="240"/>
      <c r="O141" s="240"/>
      <c r="P141" s="240"/>
      <c r="Q141" s="240"/>
      <c r="R141" s="240"/>
      <c r="S141" s="240"/>
      <c r="T141" s="240"/>
      <c r="U141" s="240"/>
      <c r="V141" s="240"/>
      <c r="W141" s="240"/>
      <c r="X141" s="240"/>
      <c r="Y141" s="240"/>
      <c r="Z141" s="240"/>
      <c r="AA141" s="240"/>
      <c r="AB141" s="240"/>
    </row>
    <row r="142">
      <c r="A142" s="240" t="s">
        <v>7261</v>
      </c>
      <c r="B142" s="240" t="s">
        <v>7242</v>
      </c>
      <c r="C142" s="240" t="s">
        <v>2641</v>
      </c>
      <c r="D142" s="240" t="s">
        <v>2642</v>
      </c>
      <c r="E142" s="240" t="s">
        <v>7262</v>
      </c>
      <c r="F142" s="169" t="str">
        <f t="shared" si="1"/>
        <v>ImVision: Adapting Pretrained Vision Models for Time-Series Imputation
Alireza Shammasi, Amin Beheshti, Milad Mosharraf, Min Li, Pooyan Asgari, Yuankai Qi
</v>
      </c>
      <c r="G142" s="240" t="s">
        <v>7263</v>
      </c>
      <c r="H142" s="240" t="s">
        <v>6829</v>
      </c>
      <c r="I142" s="240" t="s">
        <v>6830</v>
      </c>
      <c r="J142" s="240" t="s">
        <v>6831</v>
      </c>
      <c r="K142" s="240" t="s">
        <v>6830</v>
      </c>
      <c r="L142" s="240" t="s">
        <v>6832</v>
      </c>
      <c r="M142" s="240"/>
      <c r="N142" s="240"/>
      <c r="O142" s="240"/>
      <c r="P142" s="240"/>
      <c r="Q142" s="240"/>
      <c r="R142" s="240"/>
      <c r="S142" s="240"/>
      <c r="T142" s="240"/>
      <c r="U142" s="240"/>
      <c r="V142" s="240"/>
      <c r="W142" s="240"/>
      <c r="X142" s="240"/>
      <c r="Y142" s="240"/>
      <c r="Z142" s="240"/>
      <c r="AA142" s="240"/>
      <c r="AB142" s="240"/>
    </row>
    <row r="143">
      <c r="A143" s="240" t="s">
        <v>7264</v>
      </c>
      <c r="B143" s="240" t="s">
        <v>7242</v>
      </c>
      <c r="C143" s="240" t="s">
        <v>2643</v>
      </c>
      <c r="D143" s="240" t="s">
        <v>2644</v>
      </c>
      <c r="E143" s="240" t="s">
        <v>7265</v>
      </c>
      <c r="F143" s="169" t="str">
        <f t="shared" si="1"/>
        <v>Using Psycholinguistic Features for Multiplex Community Detection in Temporal Social Networks
Karolina Sliwa, Ema Kahr, Mark Strembeck
</v>
      </c>
      <c r="G143" s="240" t="s">
        <v>7266</v>
      </c>
      <c r="H143" s="240" t="s">
        <v>6829</v>
      </c>
      <c r="I143" s="240" t="s">
        <v>6830</v>
      </c>
      <c r="J143" s="240" t="s">
        <v>6831</v>
      </c>
      <c r="K143" s="240" t="s">
        <v>6831</v>
      </c>
      <c r="L143" s="240" t="s">
        <v>6832</v>
      </c>
      <c r="M143" s="240"/>
      <c r="N143" s="240"/>
      <c r="O143" s="240"/>
      <c r="P143" s="240"/>
      <c r="Q143" s="240"/>
      <c r="R143" s="240"/>
      <c r="S143" s="240"/>
      <c r="T143" s="240"/>
      <c r="U143" s="240"/>
      <c r="V143" s="240"/>
      <c r="W143" s="240"/>
      <c r="X143" s="240"/>
      <c r="Y143" s="240"/>
      <c r="Z143" s="240"/>
      <c r="AA143" s="240"/>
      <c r="AB143" s="240"/>
    </row>
    <row r="144">
      <c r="A144" s="240" t="s">
        <v>7267</v>
      </c>
      <c r="B144" s="240" t="s">
        <v>7242</v>
      </c>
      <c r="C144" s="240" t="s">
        <v>2645</v>
      </c>
      <c r="D144" s="240" t="s">
        <v>2646</v>
      </c>
      <c r="E144" s="240" t="s">
        <v>7268</v>
      </c>
      <c r="F144" s="169" t="str">
        <f t="shared" si="1"/>
        <v>PerQA: A Benchmark for Temporally Sensitive Questions on Heterogeneous Personal Data
Philipp Christmann, Gerhard Weikum
</v>
      </c>
      <c r="G144" s="240" t="s">
        <v>7269</v>
      </c>
      <c r="H144" s="240" t="s">
        <v>6829</v>
      </c>
      <c r="I144" s="240" t="s">
        <v>6830</v>
      </c>
      <c r="J144" s="240" t="s">
        <v>6831</v>
      </c>
      <c r="K144" s="240" t="s">
        <v>6830</v>
      </c>
      <c r="L144" s="240" t="s">
        <v>6832</v>
      </c>
      <c r="M144" s="240"/>
      <c r="N144" s="240"/>
      <c r="O144" s="240"/>
      <c r="P144" s="240"/>
      <c r="Q144" s="240"/>
      <c r="R144" s="240"/>
      <c r="S144" s="240"/>
      <c r="T144" s="240"/>
      <c r="U144" s="240"/>
      <c r="V144" s="240"/>
      <c r="W144" s="240"/>
      <c r="X144" s="240"/>
      <c r="Y144" s="240"/>
      <c r="Z144" s="240"/>
      <c r="AA144" s="240"/>
      <c r="AB144" s="240"/>
    </row>
    <row r="145">
      <c r="A145" s="240" t="s">
        <v>7270</v>
      </c>
      <c r="B145" s="240" t="s">
        <v>7242</v>
      </c>
      <c r="C145" s="240" t="s">
        <v>2647</v>
      </c>
      <c r="D145" s="240" t="s">
        <v>2648</v>
      </c>
      <c r="E145" s="240" t="s">
        <v>7271</v>
      </c>
      <c r="F145" s="169" t="str">
        <f t="shared" si="1"/>
        <v>Benchmarking Temporal Web3 Intelligence: Lessons from the FinSurvival 2025 Challenge
Oshani Seneviratne, Fernando Spadea, Adrien Pavao, Aaron Green, Kristin Bennett
</v>
      </c>
      <c r="G145" s="240" t="s">
        <v>7186</v>
      </c>
      <c r="H145" s="240" t="s">
        <v>6829</v>
      </c>
      <c r="I145" s="240" t="s">
        <v>6830</v>
      </c>
      <c r="J145" s="240" t="s">
        <v>6831</v>
      </c>
      <c r="K145" s="240" t="s">
        <v>6830</v>
      </c>
      <c r="L145" s="240" t="s">
        <v>6832</v>
      </c>
      <c r="M145" s="240"/>
      <c r="N145" s="240"/>
      <c r="O145" s="240"/>
      <c r="P145" s="240"/>
      <c r="Q145" s="240"/>
      <c r="R145" s="240"/>
      <c r="S145" s="240"/>
      <c r="T145" s="240"/>
      <c r="U145" s="240"/>
      <c r="V145" s="240"/>
      <c r="W145" s="240"/>
      <c r="X145" s="240"/>
      <c r="Y145" s="240"/>
      <c r="Z145" s="240"/>
      <c r="AA145" s="240"/>
      <c r="AB145" s="240"/>
    </row>
    <row r="146">
      <c r="A146" s="240" t="s">
        <v>7272</v>
      </c>
      <c r="B146" s="240" t="s">
        <v>7242</v>
      </c>
      <c r="C146" s="240" t="s">
        <v>2649</v>
      </c>
      <c r="D146" s="240" t="s">
        <v>2650</v>
      </c>
      <c r="E146" s="240" t="s">
        <v>7273</v>
      </c>
      <c r="F146" s="169" t="str">
        <f t="shared" si="1"/>
        <v>Suicide Risk Prediction via Comment‑Influenced Mental State Trajectories
Jun Li, Xiangmeng Wang, Ziyan Zhang, Qun Zhao, Hong Va Leong, Qing Li
</v>
      </c>
      <c r="G146" s="240" t="s">
        <v>7274</v>
      </c>
      <c r="H146" s="240" t="s">
        <v>6829</v>
      </c>
      <c r="I146" s="240" t="s">
        <v>6830</v>
      </c>
      <c r="J146" s="240" t="s">
        <v>6830</v>
      </c>
      <c r="K146" s="240" t="s">
        <v>6830</v>
      </c>
      <c r="L146" s="240" t="s">
        <v>6832</v>
      </c>
      <c r="M146" s="240"/>
      <c r="N146" s="240"/>
      <c r="O146" s="240"/>
      <c r="P146" s="240"/>
      <c r="Q146" s="240"/>
      <c r="R146" s="240"/>
      <c r="S146" s="240"/>
      <c r="T146" s="240"/>
      <c r="U146" s="240"/>
      <c r="V146" s="240"/>
      <c r="W146" s="240"/>
      <c r="X146" s="240"/>
      <c r="Y146" s="240"/>
      <c r="Z146" s="240"/>
      <c r="AA146" s="240"/>
      <c r="AB146" s="240"/>
    </row>
    <row r="147">
      <c r="A147" s="240" t="s">
        <v>7275</v>
      </c>
      <c r="B147" s="240" t="s">
        <v>7242</v>
      </c>
      <c r="C147" s="240" t="s">
        <v>2651</v>
      </c>
      <c r="D147" s="240" t="s">
        <v>2652</v>
      </c>
      <c r="E147" s="240" t="s">
        <v>7276</v>
      </c>
      <c r="F147" s="169" t="str">
        <f t="shared" si="1"/>
        <v>Temporal Challenges in Data-Driven Scenario-Building for Climate-Neutral Cities
Dirk Ahlers, Sagnik Bhattacharjee, Jiří Tencar
</v>
      </c>
      <c r="G147" s="240" t="s">
        <v>7277</v>
      </c>
      <c r="H147" s="240" t="s">
        <v>6829</v>
      </c>
      <c r="I147" s="240" t="s">
        <v>6830</v>
      </c>
      <c r="J147" s="240" t="s">
        <v>6830</v>
      </c>
      <c r="K147" s="240" t="s">
        <v>6830</v>
      </c>
      <c r="L147" s="240" t="s">
        <v>6832</v>
      </c>
      <c r="M147" s="240"/>
      <c r="N147" s="240"/>
      <c r="O147" s="240"/>
      <c r="P147" s="240"/>
      <c r="Q147" s="240"/>
      <c r="R147" s="240"/>
      <c r="S147" s="240"/>
      <c r="T147" s="240"/>
      <c r="U147" s="240"/>
      <c r="V147" s="240"/>
      <c r="W147" s="240"/>
      <c r="X147" s="240"/>
      <c r="Y147" s="240"/>
      <c r="Z147" s="240"/>
      <c r="AA147" s="240"/>
      <c r="AB147" s="240"/>
    </row>
    <row r="148">
      <c r="A148" s="240" t="s">
        <v>7278</v>
      </c>
      <c r="B148" s="240" t="s">
        <v>7279</v>
      </c>
      <c r="C148" s="240" t="s">
        <v>2653</v>
      </c>
      <c r="D148" s="240" t="s">
        <v>2654</v>
      </c>
      <c r="E148" s="240" t="s">
        <v>7280</v>
      </c>
      <c r="F148" s="169" t="str">
        <f t="shared" si="1"/>
        <v>Multimodal Content Analysis for Social Good
Surendrabikram Thapa, Roy Ka-Wei Lee, Mehwish Nasim, Usman Naseem
</v>
      </c>
      <c r="G148" s="240" t="s">
        <v>7281</v>
      </c>
      <c r="H148" s="240" t="s">
        <v>2955</v>
      </c>
      <c r="I148" s="240" t="s">
        <v>6831</v>
      </c>
      <c r="J148" s="240" t="s">
        <v>6831</v>
      </c>
      <c r="K148" s="240" t="s">
        <v>6831</v>
      </c>
      <c r="L148" s="240" t="s">
        <v>6832</v>
      </c>
      <c r="M148" s="240"/>
      <c r="N148" s="240"/>
      <c r="O148" s="240"/>
      <c r="P148" s="240"/>
      <c r="Q148" s="240"/>
      <c r="R148" s="240"/>
      <c r="S148" s="240"/>
      <c r="T148" s="240"/>
      <c r="U148" s="240"/>
      <c r="V148" s="240"/>
      <c r="W148" s="240"/>
      <c r="X148" s="240"/>
      <c r="Y148" s="240"/>
      <c r="Z148" s="240"/>
      <c r="AA148" s="240"/>
      <c r="AB148" s="240"/>
    </row>
    <row r="149">
      <c r="A149" s="240" t="s">
        <v>7282</v>
      </c>
      <c r="B149" s="240" t="s">
        <v>7279</v>
      </c>
      <c r="C149" s="240" t="s">
        <v>2655</v>
      </c>
      <c r="D149" s="240" t="s">
        <v>2656</v>
      </c>
      <c r="E149" s="240" t="s">
        <v>7283</v>
      </c>
      <c r="F149" s="169" t="str">
        <f t="shared" si="1"/>
        <v>Concept-Grounded Detection of Vaccine Misinformation in Multimodal Content Using Interpretable Vision-Language Models
Laxmi Thapa, Aryaman Jain, Lakshmojee Koduru, Surabhi Adhikari, Junaid Rashid, Jungeun Kim, Surendrabikram Thapa, Usman Naseem
</v>
      </c>
      <c r="G149" s="240" t="s">
        <v>7281</v>
      </c>
      <c r="H149" s="240" t="s">
        <v>6829</v>
      </c>
      <c r="I149" s="240" t="s">
        <v>6831</v>
      </c>
      <c r="J149" s="240" t="s">
        <v>6831</v>
      </c>
      <c r="K149" s="240" t="s">
        <v>6831</v>
      </c>
      <c r="L149" s="240" t="s">
        <v>6832</v>
      </c>
      <c r="M149" s="240"/>
      <c r="N149" s="240"/>
      <c r="O149" s="240"/>
      <c r="P149" s="240"/>
      <c r="Q149" s="240"/>
      <c r="R149" s="240"/>
      <c r="S149" s="240"/>
      <c r="T149" s="240"/>
      <c r="U149" s="240"/>
      <c r="V149" s="240"/>
      <c r="W149" s="240"/>
      <c r="X149" s="240"/>
      <c r="Y149" s="240"/>
      <c r="Z149" s="240"/>
      <c r="AA149" s="240"/>
      <c r="AB149" s="240"/>
    </row>
    <row r="150">
      <c r="A150" s="240" t="s">
        <v>7284</v>
      </c>
      <c r="B150" s="240" t="s">
        <v>7279</v>
      </c>
      <c r="C150" s="240" t="s">
        <v>2657</v>
      </c>
      <c r="D150" s="240" t="s">
        <v>2658</v>
      </c>
      <c r="E150" s="240" t="s">
        <v>7285</v>
      </c>
      <c r="F150" s="169" t="str">
        <f t="shared" si="1"/>
        <v>UniSafe: Modality-Agnostic Hateful Content Detection via Shared-Space Projection
Siam Shibly Antar, Syem Shibly Ador, Steven H. H. Ding, Benjamin C. M. Fung
</v>
      </c>
      <c r="G150" s="240" t="s">
        <v>7286</v>
      </c>
      <c r="H150" s="240" t="s">
        <v>6829</v>
      </c>
      <c r="I150" s="240" t="s">
        <v>6830</v>
      </c>
      <c r="J150" s="240" t="s">
        <v>6831</v>
      </c>
      <c r="K150" s="240" t="s">
        <v>6830</v>
      </c>
      <c r="L150" s="240" t="s">
        <v>6832</v>
      </c>
      <c r="M150" s="240"/>
      <c r="N150" s="240"/>
      <c r="O150" s="240"/>
      <c r="P150" s="240"/>
      <c r="Q150" s="240"/>
      <c r="R150" s="240"/>
      <c r="S150" s="240"/>
      <c r="T150" s="240"/>
      <c r="U150" s="240"/>
      <c r="V150" s="240"/>
      <c r="W150" s="240"/>
      <c r="X150" s="240"/>
      <c r="Y150" s="240"/>
      <c r="Z150" s="240"/>
      <c r="AA150" s="240"/>
      <c r="AB150" s="240"/>
    </row>
    <row r="151">
      <c r="A151" s="240" t="s">
        <v>7287</v>
      </c>
      <c r="B151" s="240" t="s">
        <v>7279</v>
      </c>
      <c r="C151" s="240" t="s">
        <v>2659</v>
      </c>
      <c r="D151" s="240" t="s">
        <v>2660</v>
      </c>
      <c r="E151" s="240" t="s">
        <v>7288</v>
      </c>
      <c r="F151" s="169" t="str">
        <f t="shared" si="1"/>
        <v>Frugal Agents: Efficient Bio Reasoning via Long-Sequence Compression and Prompt-Gated Memory
Mohammadhossein Ahmadi, Saleh Afzoon, Kamyar Taeb, Parimehr Morassa Far, Amin Beheshti
</v>
      </c>
      <c r="G151" s="240" t="s">
        <v>7289</v>
      </c>
      <c r="H151" s="240" t="s">
        <v>7124</v>
      </c>
      <c r="I151" s="240" t="s">
        <v>6830</v>
      </c>
      <c r="J151" s="240" t="s">
        <v>6831</v>
      </c>
      <c r="K151" s="240" t="s">
        <v>6830</v>
      </c>
      <c r="L151" s="240" t="s">
        <v>6832</v>
      </c>
      <c r="M151" s="240"/>
      <c r="N151" s="240"/>
      <c r="O151" s="240"/>
      <c r="P151" s="240"/>
      <c r="Q151" s="240"/>
      <c r="R151" s="240"/>
      <c r="S151" s="240"/>
      <c r="T151" s="240"/>
      <c r="U151" s="240"/>
      <c r="V151" s="240"/>
      <c r="W151" s="240"/>
      <c r="X151" s="240"/>
      <c r="Y151" s="240"/>
      <c r="Z151" s="240"/>
      <c r="AA151" s="240"/>
      <c r="AB151" s="240"/>
    </row>
    <row r="152">
      <c r="A152" s="240" t="s">
        <v>7290</v>
      </c>
      <c r="B152" s="240" t="s">
        <v>7279</v>
      </c>
      <c r="C152" s="240" t="s">
        <v>2661</v>
      </c>
      <c r="D152" s="240" t="s">
        <v>2662</v>
      </c>
      <c r="E152" s="240" t="s">
        <v>7291</v>
      </c>
      <c r="F152" s="169" t="str">
        <f t="shared" si="1"/>
        <v>Fair Geolocation Extraction from Humanitarian Documents Using Large Language Models
Gianmarco Cafferata, Tiziano Demarco, Kyriaki Kalimeri, Yelena Mejova, Mariano Beiró
</v>
      </c>
      <c r="G152" s="240" t="s">
        <v>7292</v>
      </c>
      <c r="H152" s="240" t="s">
        <v>7293</v>
      </c>
      <c r="I152" s="240" t="s">
        <v>6830</v>
      </c>
      <c r="J152" s="240" t="s">
        <v>6831</v>
      </c>
      <c r="K152" s="240" t="s">
        <v>6830</v>
      </c>
      <c r="L152" s="240" t="s">
        <v>6832</v>
      </c>
      <c r="M152" s="240"/>
      <c r="N152" s="240"/>
      <c r="O152" s="240"/>
      <c r="P152" s="240"/>
      <c r="Q152" s="240"/>
      <c r="R152" s="240"/>
      <c r="S152" s="240"/>
      <c r="T152" s="240"/>
      <c r="U152" s="240"/>
      <c r="V152" s="240"/>
      <c r="W152" s="240"/>
      <c r="X152" s="240"/>
      <c r="Y152" s="240"/>
      <c r="Z152" s="240"/>
      <c r="AA152" s="240"/>
      <c r="AB152" s="240"/>
    </row>
    <row r="153">
      <c r="A153" s="240" t="s">
        <v>7294</v>
      </c>
      <c r="B153" s="240" t="s">
        <v>7279</v>
      </c>
      <c r="C153" s="240" t="s">
        <v>2663</v>
      </c>
      <c r="D153" s="240" t="s">
        <v>2664</v>
      </c>
      <c r="E153" s="240" t="s">
        <v>7295</v>
      </c>
      <c r="F153" s="169" t="str">
        <f t="shared" si="1"/>
        <v>From Code to Rubrics: A Multimodal Evaluation of LLM Systems for Automated Feedback Generation
Muhammad Haseeb, Ahmad Imam Amjad, Maaz Amjad, Victor S. Sheng
</v>
      </c>
      <c r="G153" s="240" t="s">
        <v>7296</v>
      </c>
      <c r="H153" s="240" t="s">
        <v>6829</v>
      </c>
      <c r="I153" s="240" t="s">
        <v>6831</v>
      </c>
      <c r="J153" s="240" t="s">
        <v>6831</v>
      </c>
      <c r="K153" s="240" t="s">
        <v>6831</v>
      </c>
      <c r="L153" s="240" t="s">
        <v>6832</v>
      </c>
      <c r="M153" s="240"/>
      <c r="N153" s="240"/>
      <c r="O153" s="240"/>
      <c r="P153" s="240"/>
      <c r="Q153" s="240"/>
      <c r="R153" s="240"/>
      <c r="S153" s="240"/>
      <c r="T153" s="240"/>
      <c r="U153" s="240"/>
      <c r="V153" s="240"/>
      <c r="W153" s="240"/>
      <c r="X153" s="240"/>
      <c r="Y153" s="240"/>
      <c r="Z153" s="240"/>
      <c r="AA153" s="240"/>
      <c r="AB153" s="240"/>
    </row>
    <row r="154">
      <c r="A154" s="240" t="s">
        <v>7297</v>
      </c>
      <c r="B154" s="240" t="s">
        <v>7279</v>
      </c>
      <c r="C154" s="240" t="s">
        <v>2665</v>
      </c>
      <c r="D154" s="240" t="s">
        <v>2666</v>
      </c>
      <c r="E154" s="240" t="s">
        <v>7298</v>
      </c>
      <c r="F154" s="169" t="str">
        <f t="shared" si="1"/>
        <v>MAF-GAN: Modality-Aware Fusion GAN for Multimodal Fake News Detection
Ali Anaissi, Junaid Akram, Xiaojie Lin, Morteza Saberi, Ali Braytee
</v>
      </c>
      <c r="G154" s="240" t="s">
        <v>7299</v>
      </c>
      <c r="H154" s="240" t="s">
        <v>6829</v>
      </c>
      <c r="I154" s="240" t="s">
        <v>6830</v>
      </c>
      <c r="J154" s="240" t="s">
        <v>6831</v>
      </c>
      <c r="K154" s="240" t="s">
        <v>6830</v>
      </c>
      <c r="L154" s="240" t="s">
        <v>6832</v>
      </c>
      <c r="M154" s="240"/>
      <c r="N154" s="240"/>
      <c r="O154" s="240"/>
      <c r="P154" s="240"/>
      <c r="Q154" s="240"/>
      <c r="R154" s="240"/>
      <c r="S154" s="240"/>
      <c r="T154" s="240"/>
      <c r="U154" s="240"/>
      <c r="V154" s="240"/>
      <c r="W154" s="240"/>
      <c r="X154" s="240"/>
      <c r="Y154" s="240"/>
      <c r="Z154" s="240"/>
      <c r="AA154" s="240"/>
      <c r="AB154" s="240"/>
    </row>
    <row r="155">
      <c r="A155" s="240" t="s">
        <v>7300</v>
      </c>
      <c r="B155" s="240" t="s">
        <v>7279</v>
      </c>
      <c r="C155" s="240" t="s">
        <v>2667</v>
      </c>
      <c r="D155" s="240" t="s">
        <v>2668</v>
      </c>
      <c r="E155" s="240" t="s">
        <v>7301</v>
      </c>
      <c r="F155" s="169" t="str">
        <f t="shared" si="1"/>
        <v>Multimodal Deployment Risks in Manufacturing AI: A Survey of Boundary Failures, Taxonomy, and Governance in Industry 5.0
Jialu Yang, Taotao Cai, Kaize Shi
</v>
      </c>
      <c r="G155" s="240" t="s">
        <v>7302</v>
      </c>
      <c r="H155" s="240" t="s">
        <v>6829</v>
      </c>
      <c r="I155" s="240" t="s">
        <v>6830</v>
      </c>
      <c r="J155" s="240" t="s">
        <v>6831</v>
      </c>
      <c r="K155" s="240" t="s">
        <v>6830</v>
      </c>
      <c r="L155" s="240" t="s">
        <v>6832</v>
      </c>
      <c r="M155" s="240"/>
      <c r="N155" s="240"/>
      <c r="O155" s="240"/>
      <c r="P155" s="240"/>
      <c r="Q155" s="240"/>
      <c r="R155" s="240"/>
      <c r="S155" s="240"/>
      <c r="T155" s="240"/>
      <c r="U155" s="240"/>
      <c r="V155" s="240"/>
      <c r="W155" s="240"/>
      <c r="X155" s="240"/>
      <c r="Y155" s="240"/>
      <c r="Z155" s="240"/>
      <c r="AA155" s="240"/>
      <c r="AB155" s="240"/>
    </row>
    <row r="156">
      <c r="A156" s="240" t="s">
        <v>7303</v>
      </c>
      <c r="B156" s="240" t="s">
        <v>7279</v>
      </c>
      <c r="C156" s="240" t="s">
        <v>2669</v>
      </c>
      <c r="D156" s="240" t="s">
        <v>2670</v>
      </c>
      <c r="E156" s="240" t="s">
        <v>7304</v>
      </c>
      <c r="F156" s="169" t="str">
        <f t="shared" si="1"/>
        <v>Fed-S2: Adversarially Disentangled Federated Multimodal RAG for Safety-Critical Long-Tail Fault Diagnosis
Qianqi Zhang, Zeling Xu, Caichun Cen, Yuntao Zou, Hongyan Liu, Yaohua Deng, Hao Wu, Zhiyong Liao, Zihui Lin, Dagang Li, Wei Wang
</v>
      </c>
      <c r="G156" s="240" t="s">
        <v>7305</v>
      </c>
      <c r="H156" s="240" t="s">
        <v>6829</v>
      </c>
      <c r="I156" s="240" t="s">
        <v>6831</v>
      </c>
      <c r="J156" s="240" t="s">
        <v>6831</v>
      </c>
      <c r="K156" s="240" t="s">
        <v>6831</v>
      </c>
      <c r="L156" s="240" t="s">
        <v>6832</v>
      </c>
      <c r="M156" s="240"/>
      <c r="N156" s="240"/>
      <c r="O156" s="240"/>
      <c r="P156" s="240"/>
      <c r="Q156" s="240"/>
      <c r="R156" s="240"/>
      <c r="S156" s="240"/>
      <c r="T156" s="240"/>
      <c r="U156" s="240"/>
      <c r="V156" s="240"/>
      <c r="W156" s="240"/>
      <c r="X156" s="240"/>
      <c r="Y156" s="240"/>
      <c r="Z156" s="240"/>
      <c r="AA156" s="240"/>
      <c r="AB156" s="240"/>
    </row>
    <row r="157">
      <c r="A157" s="240" t="s">
        <v>7306</v>
      </c>
      <c r="B157" s="240" t="s">
        <v>7279</v>
      </c>
      <c r="C157" s="240" t="s">
        <v>2671</v>
      </c>
      <c r="D157" s="240" t="s">
        <v>2672</v>
      </c>
      <c r="E157" s="240" t="s">
        <v>7307</v>
      </c>
      <c r="F157" s="169" t="str">
        <f t="shared" si="1"/>
        <v>No Evidence, No Problem: When Less is More for Out of Context Multimodal Misinformation Detection
Siyuan Chen, Usman Naseem, Mehwish Nasim
</v>
      </c>
      <c r="G157" s="240" t="s">
        <v>257</v>
      </c>
      <c r="H157" s="240" t="s">
        <v>6829</v>
      </c>
      <c r="I157" s="240" t="s">
        <v>6830</v>
      </c>
      <c r="J157" s="240" t="s">
        <v>6831</v>
      </c>
      <c r="K157" s="240" t="s">
        <v>6830</v>
      </c>
      <c r="L157" s="240" t="s">
        <v>6832</v>
      </c>
      <c r="M157" s="240"/>
      <c r="N157" s="240"/>
      <c r="O157" s="240"/>
      <c r="P157" s="240"/>
      <c r="Q157" s="240"/>
      <c r="R157" s="240"/>
      <c r="S157" s="240"/>
      <c r="T157" s="240"/>
      <c r="U157" s="240"/>
      <c r="V157" s="240"/>
      <c r="W157" s="240"/>
      <c r="X157" s="240"/>
      <c r="Y157" s="240"/>
      <c r="Z157" s="240"/>
      <c r="AA157" s="240"/>
      <c r="AB157" s="240"/>
    </row>
    <row r="158">
      <c r="A158" s="240" t="s">
        <v>7308</v>
      </c>
      <c r="B158" s="240" t="s">
        <v>7279</v>
      </c>
      <c r="C158" s="240" t="s">
        <v>2673</v>
      </c>
      <c r="D158" s="240" t="s">
        <v>2674</v>
      </c>
      <c r="E158" s="240" t="s">
        <v>7309</v>
      </c>
      <c r="F158" s="169" t="str">
        <f t="shared" si="1"/>
        <v>Do You Think What I Think? A Qualitative Study for Maximising User Engagement through Latent Visual Properties
Md Rafiqul Islam, Bem Le Hunte, Alice Xiaodan Dong, Dan Ferreira, Feng Yu, Sami Azam, Weidong Huang
</v>
      </c>
      <c r="G158" s="240" t="s">
        <v>7310</v>
      </c>
      <c r="H158" s="240" t="s">
        <v>6829</v>
      </c>
      <c r="I158" s="240" t="s">
        <v>6830</v>
      </c>
      <c r="J158" s="240" t="s">
        <v>6831</v>
      </c>
      <c r="K158" s="240" t="s">
        <v>6831</v>
      </c>
      <c r="L158" s="240" t="s">
        <v>6832</v>
      </c>
      <c r="M158" s="240"/>
      <c r="N158" s="240"/>
      <c r="O158" s="240"/>
      <c r="P158" s="240"/>
      <c r="Q158" s="240"/>
      <c r="R158" s="240"/>
      <c r="S158" s="240"/>
      <c r="T158" s="240"/>
      <c r="U158" s="240"/>
      <c r="V158" s="240"/>
      <c r="W158" s="240"/>
      <c r="X158" s="240"/>
      <c r="Y158" s="240"/>
      <c r="Z158" s="240"/>
      <c r="AA158" s="240"/>
      <c r="AB158" s="240"/>
    </row>
    <row r="159">
      <c r="A159" s="240" t="s">
        <v>7311</v>
      </c>
      <c r="B159" s="240" t="s">
        <v>7279</v>
      </c>
      <c r="C159" s="240" t="s">
        <v>2675</v>
      </c>
      <c r="D159" s="240" t="s">
        <v>2676</v>
      </c>
      <c r="E159" s="240" t="s">
        <v>7312</v>
      </c>
      <c r="F159" s="169" t="str">
        <f t="shared" si="1"/>
        <v>Exploring the Influence of Lifestyle, Social Health, and Demographic Factors on Psychological Well-being and Engagement Levels
Niranjana Arun Menon, Md Rafiqul Islam, Mohamed Reda Bouadjenek, Shoaib Jameel, Eran Segal, Imran Razzak
</v>
      </c>
      <c r="G159" s="240" t="s">
        <v>7313</v>
      </c>
      <c r="H159" s="240" t="s">
        <v>6829</v>
      </c>
      <c r="I159" s="240" t="s">
        <v>6830</v>
      </c>
      <c r="J159" s="240" t="s">
        <v>6831</v>
      </c>
      <c r="K159" s="240" t="s">
        <v>6830</v>
      </c>
      <c r="L159" s="240" t="s">
        <v>6832</v>
      </c>
      <c r="M159" s="240"/>
      <c r="N159" s="240"/>
      <c r="O159" s="240"/>
      <c r="P159" s="240"/>
      <c r="Q159" s="240"/>
      <c r="R159" s="240"/>
      <c r="S159" s="240"/>
      <c r="T159" s="240"/>
      <c r="U159" s="240"/>
      <c r="V159" s="240"/>
      <c r="W159" s="240"/>
      <c r="X159" s="240"/>
      <c r="Y159" s="240"/>
      <c r="Z159" s="240"/>
      <c r="AA159" s="240"/>
      <c r="AB159" s="240"/>
    </row>
    <row r="160">
      <c r="A160" s="240" t="s">
        <v>7314</v>
      </c>
      <c r="B160" s="240" t="s">
        <v>7279</v>
      </c>
      <c r="C160" s="240" t="s">
        <v>2677</v>
      </c>
      <c r="D160" s="240" t="s">
        <v>2678</v>
      </c>
      <c r="E160" s="240" t="s">
        <v>7315</v>
      </c>
      <c r="F160" s="169" t="str">
        <f t="shared" si="1"/>
        <v>Can Thinking Models Think to Detect Hateful Memes?
Mohamed Bayan Kmainasi, Mucahid Kutlu, Ali Ezzat Shahroor, Abul Hasnat, Firoj Alam
</v>
      </c>
      <c r="G160" s="240" t="s">
        <v>7316</v>
      </c>
      <c r="H160" s="240" t="s">
        <v>6829</v>
      </c>
      <c r="I160" s="240" t="s">
        <v>6830</v>
      </c>
      <c r="J160" s="240" t="s">
        <v>6830</v>
      </c>
      <c r="K160" s="240" t="s">
        <v>6830</v>
      </c>
      <c r="L160" s="240" t="s">
        <v>6832</v>
      </c>
      <c r="M160" s="240"/>
      <c r="N160" s="240"/>
      <c r="O160" s="240"/>
      <c r="P160" s="240"/>
      <c r="Q160" s="240"/>
      <c r="R160" s="240"/>
      <c r="S160" s="240"/>
      <c r="T160" s="240"/>
      <c r="U160" s="240"/>
      <c r="V160" s="240"/>
      <c r="W160" s="240"/>
      <c r="X160" s="240"/>
      <c r="Y160" s="240"/>
      <c r="Z160" s="240"/>
      <c r="AA160" s="240"/>
      <c r="AB160" s="240"/>
    </row>
    <row r="161">
      <c r="A161" s="240" t="s">
        <v>7317</v>
      </c>
      <c r="B161" s="240" t="s">
        <v>7279</v>
      </c>
      <c r="C161" s="240" t="s">
        <v>2679</v>
      </c>
      <c r="D161" s="240" t="s">
        <v>2680</v>
      </c>
      <c r="E161" s="240" t="s">
        <v>7318</v>
      </c>
      <c r="F161" s="169" t="str">
        <f t="shared" si="1"/>
        <v>Semi-supervised Instruction Tuning for Large Language Models on Text-Attributed Graphs
Zixing Song, Irwin King
</v>
      </c>
      <c r="G161" s="240" t="s">
        <v>7319</v>
      </c>
      <c r="H161" s="240" t="s">
        <v>6829</v>
      </c>
      <c r="I161" s="240" t="s">
        <v>6831</v>
      </c>
      <c r="J161" s="240" t="s">
        <v>6831</v>
      </c>
      <c r="K161" s="240" t="s">
        <v>6831</v>
      </c>
      <c r="L161" s="240" t="s">
        <v>6832</v>
      </c>
      <c r="M161" s="240"/>
      <c r="N161" s="240"/>
      <c r="O161" s="240"/>
      <c r="P161" s="240"/>
      <c r="Q161" s="240"/>
      <c r="R161" s="240"/>
      <c r="S161" s="240"/>
      <c r="T161" s="240"/>
      <c r="U161" s="240"/>
      <c r="V161" s="240"/>
      <c r="W161" s="240"/>
      <c r="X161" s="240"/>
      <c r="Y161" s="240"/>
      <c r="Z161" s="240"/>
      <c r="AA161" s="240"/>
      <c r="AB161" s="240"/>
    </row>
    <row r="162">
      <c r="A162" s="240" t="s">
        <v>7320</v>
      </c>
      <c r="B162" s="240" t="s">
        <v>7279</v>
      </c>
      <c r="C162" s="240" t="s">
        <v>2681</v>
      </c>
      <c r="D162" s="240" t="s">
        <v>2682</v>
      </c>
      <c r="E162" s="240" t="s">
        <v>7321</v>
      </c>
      <c r="F162" s="169" t="str">
        <f t="shared" si="1"/>
        <v>Analyzing the Impact of Image Novelty and Text Emotion on Meme Engagement
Sumeet Kumar, Aditya Bobde, Rakesh Mallipeddi
</v>
      </c>
      <c r="G162" s="240" t="s">
        <v>7322</v>
      </c>
      <c r="H162" s="240" t="s">
        <v>7323</v>
      </c>
      <c r="I162" s="240" t="s">
        <v>6830</v>
      </c>
      <c r="J162" s="240" t="s">
        <v>6831</v>
      </c>
      <c r="K162" s="240" t="s">
        <v>6830</v>
      </c>
      <c r="L162" s="240" t="s">
        <v>6832</v>
      </c>
      <c r="M162" s="240"/>
      <c r="N162" s="240"/>
      <c r="O162" s="240"/>
      <c r="P162" s="240"/>
      <c r="Q162" s="240"/>
      <c r="R162" s="240"/>
      <c r="S162" s="240"/>
      <c r="T162" s="240"/>
      <c r="U162" s="240"/>
      <c r="V162" s="240"/>
      <c r="W162" s="240"/>
      <c r="X162" s="240"/>
      <c r="Y162" s="240"/>
      <c r="Z162" s="240"/>
      <c r="AA162" s="240"/>
      <c r="AB162" s="240"/>
    </row>
    <row r="163">
      <c r="A163" s="240" t="s">
        <v>7324</v>
      </c>
      <c r="B163" s="240" t="s">
        <v>7325</v>
      </c>
      <c r="C163" s="240" t="s">
        <v>2683</v>
      </c>
      <c r="D163" s="240" t="s">
        <v>2684</v>
      </c>
      <c r="E163" s="240" t="s">
        <v>7326</v>
      </c>
      <c r="F163" s="169" t="str">
        <f t="shared" si="1"/>
        <v>AiOfAi: 4th Workshop on Adverse Impacts and Collateral Effects of Artificial Intelligence Technologies
Esma Aïmeur, Rim Ben Salem, Dorsaf Sallami, Julita Vassileva, Nora Boulahia-Cuppens
</v>
      </c>
      <c r="G163" s="240" t="s">
        <v>7327</v>
      </c>
      <c r="H163" s="240" t="s">
        <v>2955</v>
      </c>
      <c r="I163" s="240" t="s">
        <v>6831</v>
      </c>
      <c r="J163" s="240" t="s">
        <v>6831</v>
      </c>
      <c r="K163" s="240" t="s">
        <v>6831</v>
      </c>
      <c r="L163" s="240" t="s">
        <v>6832</v>
      </c>
      <c r="M163" s="240"/>
      <c r="N163" s="240"/>
      <c r="O163" s="240"/>
      <c r="P163" s="240"/>
      <c r="Q163" s="240"/>
      <c r="R163" s="240"/>
      <c r="S163" s="240"/>
      <c r="T163" s="240"/>
      <c r="U163" s="240"/>
      <c r="V163" s="240"/>
      <c r="W163" s="240"/>
      <c r="X163" s="240"/>
      <c r="Y163" s="240"/>
      <c r="Z163" s="240"/>
      <c r="AA163" s="240"/>
      <c r="AB163" s="240"/>
    </row>
    <row r="164">
      <c r="A164" s="240" t="s">
        <v>7328</v>
      </c>
      <c r="B164" s="240" t="s">
        <v>7325</v>
      </c>
      <c r="C164" s="240" t="s">
        <v>2685</v>
      </c>
      <c r="D164" s="240" t="s">
        <v>2686</v>
      </c>
      <c r="E164" s="240" t="s">
        <v>7329</v>
      </c>
      <c r="F164" s="169" t="str">
        <f t="shared" si="1"/>
        <v>Prompt Scene Investigation: Uncovering the Evidence in LLMs
Lidaw Fabrice Ledjaki, Yuan-Chen Chang, Mohamed Loutis, Esma Aïmeur
</v>
      </c>
      <c r="G164" s="240" t="s">
        <v>7330</v>
      </c>
      <c r="H164" s="240" t="s">
        <v>6829</v>
      </c>
      <c r="I164" s="240" t="s">
        <v>6830</v>
      </c>
      <c r="J164" s="240" t="s">
        <v>6831</v>
      </c>
      <c r="K164" s="240" t="s">
        <v>6830</v>
      </c>
      <c r="L164" s="240" t="s">
        <v>6832</v>
      </c>
      <c r="M164" s="240"/>
      <c r="N164" s="240"/>
      <c r="O164" s="240"/>
      <c r="P164" s="240"/>
      <c r="Q164" s="240"/>
      <c r="R164" s="240"/>
      <c r="S164" s="240"/>
      <c r="T164" s="240"/>
      <c r="U164" s="240"/>
      <c r="V164" s="240"/>
      <c r="W164" s="240"/>
      <c r="X164" s="240"/>
      <c r="Y164" s="240"/>
      <c r="Z164" s="240"/>
      <c r="AA164" s="240"/>
      <c r="AB164" s="240"/>
    </row>
    <row r="165">
      <c r="A165" s="240" t="s">
        <v>7331</v>
      </c>
      <c r="B165" s="240" t="s">
        <v>7325</v>
      </c>
      <c r="C165" s="240" t="s">
        <v>2687</v>
      </c>
      <c r="D165" s="240" t="s">
        <v>2688</v>
      </c>
      <c r="E165" s="240" t="s">
        <v>7332</v>
      </c>
      <c r="F165" s="169" t="str">
        <f t="shared" si="1"/>
        <v>DEMO: Ontology-Based Automated Security Analysis for AI Systems and Applications
Jonathan Roy, Lina Rashdan, Fehmi Jaafar
</v>
      </c>
      <c r="G165" s="240" t="s">
        <v>7333</v>
      </c>
      <c r="H165" s="240" t="s">
        <v>6829</v>
      </c>
      <c r="I165" s="240" t="s">
        <v>6830</v>
      </c>
      <c r="J165" s="240" t="s">
        <v>6830</v>
      </c>
      <c r="K165" s="240" t="s">
        <v>6830</v>
      </c>
      <c r="L165" s="240" t="s">
        <v>6832</v>
      </c>
      <c r="M165" s="240"/>
      <c r="N165" s="240"/>
      <c r="O165" s="240"/>
      <c r="P165" s="240"/>
      <c r="Q165" s="240"/>
      <c r="R165" s="240"/>
      <c r="S165" s="240"/>
      <c r="T165" s="240"/>
      <c r="U165" s="240"/>
      <c r="V165" s="240"/>
      <c r="W165" s="240"/>
      <c r="X165" s="240"/>
      <c r="Y165" s="240"/>
      <c r="Z165" s="240"/>
      <c r="AA165" s="240"/>
      <c r="AB165" s="240"/>
    </row>
    <row r="166">
      <c r="A166" s="240" t="s">
        <v>7334</v>
      </c>
      <c r="B166" s="240" t="s">
        <v>7325</v>
      </c>
      <c r="C166" s="240" t="s">
        <v>2689</v>
      </c>
      <c r="D166" s="240" t="s">
        <v>2690</v>
      </c>
      <c r="E166" s="240" t="s">
        <v>7335</v>
      </c>
      <c r="F166" s="169" t="str">
        <f t="shared" si="1"/>
        <v>Industrialized Deception: The Collateral Effects of LLM-Generated Misinformation on Digital Ecosystems
Alexander Loth, Martin Kappes, Marc-Oliver Pahl
</v>
      </c>
      <c r="G166" s="240" t="s">
        <v>7336</v>
      </c>
      <c r="H166" s="240" t="s">
        <v>6829</v>
      </c>
      <c r="I166" s="240" t="s">
        <v>6830</v>
      </c>
      <c r="J166" s="240" t="s">
        <v>6831</v>
      </c>
      <c r="K166" s="240" t="s">
        <v>6830</v>
      </c>
      <c r="L166" s="240" t="s">
        <v>6832</v>
      </c>
      <c r="M166" s="240"/>
      <c r="N166" s="240"/>
      <c r="O166" s="240"/>
      <c r="P166" s="240"/>
      <c r="Q166" s="240"/>
      <c r="R166" s="240"/>
      <c r="S166" s="240"/>
      <c r="T166" s="240"/>
      <c r="U166" s="240"/>
      <c r="V166" s="240"/>
      <c r="W166" s="240"/>
      <c r="X166" s="240"/>
      <c r="Y166" s="240"/>
      <c r="Z166" s="240"/>
      <c r="AA166" s="240"/>
      <c r="AB166" s="240"/>
    </row>
    <row r="167">
      <c r="A167" s="240" t="s">
        <v>7337</v>
      </c>
      <c r="B167" s="240" t="s">
        <v>7325</v>
      </c>
      <c r="C167" s="240" t="s">
        <v>2691</v>
      </c>
      <c r="D167" s="240" t="s">
        <v>2692</v>
      </c>
      <c r="E167" s="240" t="s">
        <v>7338</v>
      </c>
      <c r="F167" s="169" t="str">
        <f t="shared" si="1"/>
        <v>Age Classification in Child Sexual Abuse Materials
Michał Koźbiał, Mateusz Kowalczyk
</v>
      </c>
      <c r="G167" s="240" t="s">
        <v>7339</v>
      </c>
      <c r="H167" s="240" t="s">
        <v>7340</v>
      </c>
      <c r="I167" s="240" t="s">
        <v>6830</v>
      </c>
      <c r="J167" s="240" t="s">
        <v>6831</v>
      </c>
      <c r="K167" s="240" t="s">
        <v>6830</v>
      </c>
      <c r="L167" s="240" t="s">
        <v>6832</v>
      </c>
      <c r="M167" s="240"/>
      <c r="N167" s="240"/>
      <c r="O167" s="240"/>
      <c r="P167" s="240"/>
      <c r="Q167" s="240"/>
      <c r="R167" s="240"/>
      <c r="S167" s="240"/>
      <c r="T167" s="240"/>
      <c r="U167" s="240"/>
      <c r="V167" s="240"/>
      <c r="W167" s="240"/>
      <c r="X167" s="240"/>
      <c r="Y167" s="240"/>
      <c r="Z167" s="240"/>
      <c r="AA167" s="240"/>
      <c r="AB167" s="240"/>
    </row>
    <row r="168">
      <c r="A168" s="240" t="s">
        <v>7341</v>
      </c>
      <c r="B168" s="240" t="s">
        <v>7325</v>
      </c>
      <c r="C168" s="240" t="s">
        <v>2693</v>
      </c>
      <c r="D168" s="240" t="s">
        <v>2694</v>
      </c>
      <c r="E168" s="240" t="s">
        <v>7342</v>
      </c>
      <c r="F168" s="169" t="str">
        <f t="shared" si="1"/>
        <v>The More You Say, the More You Risk: Ethical Concerns in Large Language Model Reasoning Frameworks
Jinman Zhao, Linbo Cao, Xueyan Zhang, Ken Shi, Yining Wang, Gerald Penn
</v>
      </c>
      <c r="G168" s="240" t="s">
        <v>7117</v>
      </c>
      <c r="H168" s="240" t="s">
        <v>6829</v>
      </c>
      <c r="I168" s="240" t="s">
        <v>6830</v>
      </c>
      <c r="J168" s="240" t="s">
        <v>6831</v>
      </c>
      <c r="K168" s="240" t="s">
        <v>6831</v>
      </c>
      <c r="L168" s="240" t="s">
        <v>6832</v>
      </c>
      <c r="M168" s="240"/>
      <c r="N168" s="240"/>
      <c r="O168" s="240"/>
      <c r="P168" s="240"/>
      <c r="Q168" s="240"/>
      <c r="R168" s="240"/>
      <c r="S168" s="240"/>
      <c r="T168" s="240"/>
      <c r="U168" s="240"/>
      <c r="V168" s="240"/>
      <c r="W168" s="240"/>
      <c r="X168" s="240"/>
      <c r="Y168" s="240"/>
      <c r="Z168" s="240"/>
      <c r="AA168" s="240"/>
      <c r="AB168" s="240"/>
    </row>
    <row r="169">
      <c r="A169" s="240" t="s">
        <v>7343</v>
      </c>
      <c r="B169" s="240" t="s">
        <v>7325</v>
      </c>
      <c r="C169" s="240" t="s">
        <v>2695</v>
      </c>
      <c r="D169" s="240" t="s">
        <v>2696</v>
      </c>
      <c r="E169" s="240" t="s">
        <v>7344</v>
      </c>
      <c r="F169" s="169" t="str">
        <f t="shared" si="1"/>
        <v>The Agentic Insider: Redefining Insider Threats Beyond Human Actors in Autonomous AI Systems
Christian Kengne
</v>
      </c>
      <c r="G169" s="240" t="s">
        <v>7345</v>
      </c>
      <c r="H169" s="240" t="s">
        <v>6829</v>
      </c>
      <c r="I169" s="240" t="s">
        <v>6830</v>
      </c>
      <c r="J169" s="240" t="s">
        <v>6831</v>
      </c>
      <c r="K169" s="240" t="s">
        <v>6830</v>
      </c>
      <c r="L169" s="240" t="s">
        <v>6832</v>
      </c>
      <c r="M169" s="240"/>
      <c r="N169" s="240"/>
      <c r="O169" s="240"/>
      <c r="P169" s="240"/>
      <c r="Q169" s="240"/>
      <c r="R169" s="240"/>
      <c r="S169" s="240"/>
      <c r="T169" s="240"/>
      <c r="U169" s="240"/>
      <c r="V169" s="240"/>
      <c r="W169" s="240"/>
      <c r="X169" s="240"/>
      <c r="Y169" s="240"/>
      <c r="Z169" s="240"/>
      <c r="AA169" s="240"/>
      <c r="AB169" s="240"/>
    </row>
    <row r="170">
      <c r="A170" s="240" t="s">
        <v>7346</v>
      </c>
      <c r="B170" s="240" t="s">
        <v>7325</v>
      </c>
      <c r="C170" s="240" t="s">
        <v>2697</v>
      </c>
      <c r="D170" s="240" t="s">
        <v>2698</v>
      </c>
      <c r="E170" s="240" t="s">
        <v>7347</v>
      </c>
      <c r="F170" s="169" t="str">
        <f t="shared" si="1"/>
        <v>Assessing the Reliability of Persona-Conditioned LLMs as Synthetic Survey Respondents
Erika Elizabeth Taday Morocho, Lorenzo Cima, Tiziano Fagni, Marco Avvenuti, Stefano Cresci
</v>
      </c>
      <c r="G170" s="240" t="s">
        <v>7348</v>
      </c>
      <c r="H170" s="240" t="s">
        <v>6829</v>
      </c>
      <c r="I170" s="240" t="s">
        <v>6830</v>
      </c>
      <c r="J170" s="240" t="s">
        <v>6831</v>
      </c>
      <c r="K170" s="240" t="s">
        <v>6830</v>
      </c>
      <c r="L170" s="240" t="s">
        <v>6832</v>
      </c>
      <c r="M170" s="240"/>
      <c r="N170" s="240"/>
      <c r="O170" s="240"/>
      <c r="P170" s="240"/>
      <c r="Q170" s="240"/>
      <c r="R170" s="240"/>
      <c r="S170" s="240"/>
      <c r="T170" s="240"/>
      <c r="U170" s="240"/>
      <c r="V170" s="240"/>
      <c r="W170" s="240"/>
      <c r="X170" s="240"/>
      <c r="Y170" s="240"/>
      <c r="Z170" s="240"/>
      <c r="AA170" s="240"/>
      <c r="AB170" s="240"/>
    </row>
    <row r="171">
      <c r="A171" s="240" t="s">
        <v>7349</v>
      </c>
      <c r="B171" s="240" t="s">
        <v>7350</v>
      </c>
      <c r="C171" s="240" t="s">
        <v>2699</v>
      </c>
      <c r="D171" s="240" t="s">
        <v>2700</v>
      </c>
      <c r="E171" s="240" t="s">
        <v>7351</v>
      </c>
      <c r="F171" s="169" t="str">
        <f t="shared" si="1"/>
        <v>The 2nd Workshop on Social Science Meets Web Data: Reproducible and Reusable Computational Approaches (R2CASS)
Fakhri Momeni, Arnim Bleier, Danilo Dessì, Muhammad Taimoor Khan
</v>
      </c>
      <c r="G171" s="240" t="s">
        <v>7352</v>
      </c>
      <c r="H171" s="240" t="s">
        <v>2955</v>
      </c>
      <c r="I171" s="240" t="s">
        <v>6830</v>
      </c>
      <c r="J171" s="240" t="s">
        <v>6831</v>
      </c>
      <c r="K171" s="240" t="s">
        <v>6830</v>
      </c>
      <c r="L171" s="240" t="s">
        <v>6832</v>
      </c>
      <c r="M171" s="240"/>
      <c r="N171" s="240"/>
      <c r="O171" s="240"/>
      <c r="P171" s="240"/>
      <c r="Q171" s="240"/>
      <c r="R171" s="240"/>
      <c r="S171" s="240"/>
      <c r="T171" s="240"/>
      <c r="U171" s="240"/>
      <c r="V171" s="240"/>
      <c r="W171" s="240"/>
      <c r="X171" s="240"/>
      <c r="Y171" s="240"/>
      <c r="Z171" s="240"/>
      <c r="AA171" s="240"/>
      <c r="AB171" s="240"/>
    </row>
    <row r="172">
      <c r="A172" s="240" t="s">
        <v>7353</v>
      </c>
      <c r="B172" s="240" t="s">
        <v>7350</v>
      </c>
      <c r="C172" s="240" t="s">
        <v>2701</v>
      </c>
      <c r="D172" s="240" t="s">
        <v>2702</v>
      </c>
      <c r="E172" s="240" t="s">
        <v>7354</v>
      </c>
      <c r="F172" s="169" t="str">
        <f t="shared" si="1"/>
        <v>From Code to Executable Method: Making Your Code Both Methods Hub and MyBinder Ready
Muhammad Taimoor Khan, Fakhri Momeni, Arnim Bleier
</v>
      </c>
      <c r="G172" s="240" t="s">
        <v>7352</v>
      </c>
      <c r="H172" s="240" t="s">
        <v>2955</v>
      </c>
      <c r="I172" s="240" t="s">
        <v>6830</v>
      </c>
      <c r="J172" s="240" t="s">
        <v>6831</v>
      </c>
      <c r="K172" s="240" t="s">
        <v>6830</v>
      </c>
      <c r="L172" s="240" t="s">
        <v>6832</v>
      </c>
      <c r="M172" s="240"/>
      <c r="N172" s="240"/>
      <c r="O172" s="240"/>
      <c r="P172" s="240"/>
      <c r="Q172" s="240"/>
      <c r="R172" s="240"/>
      <c r="S172" s="240"/>
      <c r="T172" s="240"/>
      <c r="U172" s="240"/>
      <c r="V172" s="240"/>
      <c r="W172" s="240"/>
      <c r="X172" s="240"/>
      <c r="Y172" s="240"/>
      <c r="Z172" s="240"/>
      <c r="AA172" s="240"/>
      <c r="AB172" s="240"/>
    </row>
    <row r="173">
      <c r="A173" s="240" t="s">
        <v>7355</v>
      </c>
      <c r="B173" s="240" t="s">
        <v>7350</v>
      </c>
      <c r="C173" s="240" t="s">
        <v>2703</v>
      </c>
      <c r="D173" s="240" t="s">
        <v>2704</v>
      </c>
      <c r="E173" s="240" t="s">
        <v>7356</v>
      </c>
      <c r="F173" s="169" t="str">
        <f t="shared" si="1"/>
        <v>Who Shapes Web Standards? Uncovering the Main Topics of Interest in the W3C
Henrique Xavier, Beatriz Rocha, Diogo Cortiz
</v>
      </c>
      <c r="G173" s="240" t="s">
        <v>7357</v>
      </c>
      <c r="H173" s="240" t="s">
        <v>7358</v>
      </c>
      <c r="I173" s="240" t="s">
        <v>6830</v>
      </c>
      <c r="J173" s="240" t="s">
        <v>6830</v>
      </c>
      <c r="K173" s="240" t="s">
        <v>6830</v>
      </c>
      <c r="L173" s="240" t="s">
        <v>6832</v>
      </c>
      <c r="M173" s="240"/>
      <c r="N173" s="240"/>
      <c r="O173" s="240"/>
      <c r="P173" s="240"/>
      <c r="Q173" s="240"/>
      <c r="R173" s="240"/>
      <c r="S173" s="240"/>
      <c r="T173" s="240"/>
      <c r="U173" s="240"/>
      <c r="V173" s="240"/>
      <c r="W173" s="240"/>
      <c r="X173" s="240"/>
      <c r="Y173" s="240"/>
      <c r="Z173" s="240"/>
      <c r="AA173" s="240"/>
      <c r="AB173" s="240"/>
    </row>
    <row r="174">
      <c r="A174" s="240" t="s">
        <v>7359</v>
      </c>
      <c r="B174" s="240" t="s">
        <v>7350</v>
      </c>
      <c r="C174" s="240" t="s">
        <v>2705</v>
      </c>
      <c r="D174" s="240" t="s">
        <v>2706</v>
      </c>
      <c r="E174" s="240" t="s">
        <v>7335</v>
      </c>
      <c r="F174" s="169" t="str">
        <f t="shared" si="1"/>
        <v>The Verification Crisis: Expert Perceptions of GenAI Disinformation and the Case for Reproducible Provenance
Alexander Loth, Martin Kappes, Marc-Oliver Pahl
</v>
      </c>
      <c r="G174" s="240" t="s">
        <v>7336</v>
      </c>
      <c r="H174" s="240" t="s">
        <v>6829</v>
      </c>
      <c r="I174" s="240" t="s">
        <v>6830</v>
      </c>
      <c r="J174" s="240" t="s">
        <v>6831</v>
      </c>
      <c r="K174" s="240" t="s">
        <v>6830</v>
      </c>
      <c r="L174" s="240" t="s">
        <v>6832</v>
      </c>
      <c r="M174" s="240"/>
      <c r="N174" s="240"/>
      <c r="O174" s="240"/>
      <c r="P174" s="240"/>
      <c r="Q174" s="240"/>
      <c r="R174" s="240"/>
      <c r="S174" s="240"/>
      <c r="T174" s="240"/>
      <c r="U174" s="240"/>
      <c r="V174" s="240"/>
      <c r="W174" s="240"/>
      <c r="X174" s="240"/>
      <c r="Y174" s="240"/>
      <c r="Z174" s="240"/>
      <c r="AA174" s="240"/>
      <c r="AB174" s="240"/>
    </row>
    <row r="175">
      <c r="A175" s="240" t="s">
        <v>7360</v>
      </c>
      <c r="B175" s="240" t="s">
        <v>7350</v>
      </c>
      <c r="C175" s="240" t="s">
        <v>2707</v>
      </c>
      <c r="D175" s="240" t="s">
        <v>2708</v>
      </c>
      <c r="E175" s="240" t="s">
        <v>7361</v>
      </c>
      <c r="F175" s="169" t="str">
        <f t="shared" si="1"/>
        <v>Automating Computational Reproducibility in Social Science: Comparing Prompt-Based and Agent-Based Approaches
Syed Mehtab Hussain Shah, Frank Hopfgartner, Arnim Bleier
</v>
      </c>
      <c r="G175" s="240" t="s">
        <v>7362</v>
      </c>
      <c r="H175" s="240" t="s">
        <v>7363</v>
      </c>
      <c r="I175" s="240" t="s">
        <v>6830</v>
      </c>
      <c r="J175" s="240" t="s">
        <v>6831</v>
      </c>
      <c r="K175" s="240" t="s">
        <v>6830</v>
      </c>
      <c r="L175" s="240" t="s">
        <v>6832</v>
      </c>
      <c r="M175" s="240"/>
      <c r="N175" s="240"/>
      <c r="O175" s="240"/>
      <c r="P175" s="240"/>
      <c r="Q175" s="240"/>
      <c r="R175" s="240"/>
      <c r="S175" s="240"/>
      <c r="T175" s="240"/>
      <c r="U175" s="240"/>
      <c r="V175" s="240"/>
      <c r="W175" s="240"/>
      <c r="X175" s="240"/>
      <c r="Y175" s="240"/>
      <c r="Z175" s="240"/>
      <c r="AA175" s="240"/>
      <c r="AB175" s="240"/>
    </row>
    <row r="176">
      <c r="A176" s="240" t="s">
        <v>7364</v>
      </c>
      <c r="B176" s="240" t="s">
        <v>7365</v>
      </c>
      <c r="C176" s="240" t="s">
        <v>2709</v>
      </c>
      <c r="D176" s="240" t="s">
        <v>2710</v>
      </c>
      <c r="E176" s="240" t="s">
        <v>7366</v>
      </c>
      <c r="F176" s="169" t="str">
        <f t="shared" si="1"/>
        <v>Augmented Intelligence in Technology-Assisted Review Systems (ALTARS 2026)
Giorgio Maria Di Nunzio, Evangelos Kanoulas, Prasenjit Majumder
</v>
      </c>
      <c r="G176" s="240" t="s">
        <v>7367</v>
      </c>
      <c r="H176" s="240" t="s">
        <v>2955</v>
      </c>
      <c r="I176" s="240" t="s">
        <v>6830</v>
      </c>
      <c r="J176" s="240" t="s">
        <v>6831</v>
      </c>
      <c r="K176" s="240" t="s">
        <v>6830</v>
      </c>
      <c r="L176" s="240" t="s">
        <v>6832</v>
      </c>
      <c r="M176" s="240"/>
      <c r="N176" s="240"/>
      <c r="O176" s="240"/>
      <c r="P176" s="240"/>
      <c r="Q176" s="240"/>
      <c r="R176" s="240"/>
      <c r="S176" s="240"/>
      <c r="T176" s="240"/>
      <c r="U176" s="240"/>
      <c r="V176" s="240"/>
      <c r="W176" s="240"/>
      <c r="X176" s="240"/>
      <c r="Y176" s="240"/>
      <c r="Z176" s="240"/>
      <c r="AA176" s="240"/>
      <c r="AB176" s="240"/>
    </row>
    <row r="177">
      <c r="A177" s="240" t="s">
        <v>7368</v>
      </c>
      <c r="B177" s="240" t="s">
        <v>7365</v>
      </c>
      <c r="C177" s="240" t="s">
        <v>2711</v>
      </c>
      <c r="D177" s="240" t="s">
        <v>2712</v>
      </c>
      <c r="E177" s="240" t="s">
        <v>7369</v>
      </c>
      <c r="F177" s="169" t="str">
        <f t="shared" si="1"/>
        <v>Early Recall Estimation and Stopping in Technology-Assisted Reviews via Ranker-Sampler Fusion
Giorgio Maria Di Nunzio
</v>
      </c>
      <c r="G177" s="240" t="s">
        <v>7367</v>
      </c>
      <c r="H177" s="240" t="s">
        <v>6829</v>
      </c>
      <c r="I177" s="240" t="s">
        <v>6830</v>
      </c>
      <c r="J177" s="240" t="s">
        <v>6830</v>
      </c>
      <c r="K177" s="240" t="s">
        <v>6830</v>
      </c>
      <c r="L177" s="240" t="s">
        <v>6832</v>
      </c>
      <c r="M177" s="240"/>
      <c r="N177" s="240"/>
      <c r="O177" s="240"/>
      <c r="P177" s="240"/>
      <c r="Q177" s="240"/>
      <c r="R177" s="240"/>
      <c r="S177" s="240"/>
      <c r="T177" s="240"/>
      <c r="U177" s="240"/>
      <c r="V177" s="240"/>
      <c r="W177" s="240"/>
      <c r="X177" s="240"/>
      <c r="Y177" s="240"/>
      <c r="Z177" s="240"/>
      <c r="AA177" s="240"/>
      <c r="AB177" s="240"/>
    </row>
    <row r="178">
      <c r="A178" s="240" t="s">
        <v>7370</v>
      </c>
      <c r="B178" s="240" t="s">
        <v>7365</v>
      </c>
      <c r="C178" s="240" t="s">
        <v>2713</v>
      </c>
      <c r="D178" s="240" t="s">
        <v>2714</v>
      </c>
      <c r="E178" s="240" t="s">
        <v>7371</v>
      </c>
      <c r="F178" s="169" t="str">
        <f t="shared" si="1"/>
        <v>Deep GraphRAG: A Balanced Approach to Hierarchical Retrieval and Adaptive Integration
Yuejie Li, Ke Yang, Tao Wang, Bolin Chen, Bowen Li, Chengjun Mao
</v>
      </c>
      <c r="G178" s="240" t="s">
        <v>7372</v>
      </c>
      <c r="H178" s="240" t="s">
        <v>6829</v>
      </c>
      <c r="I178" s="240" t="s">
        <v>6830</v>
      </c>
      <c r="J178" s="240" t="s">
        <v>6831</v>
      </c>
      <c r="K178" s="240" t="s">
        <v>6830</v>
      </c>
      <c r="L178" s="240" t="s">
        <v>6832</v>
      </c>
      <c r="M178" s="240"/>
      <c r="N178" s="240"/>
      <c r="O178" s="240"/>
      <c r="P178" s="240"/>
      <c r="Q178" s="240"/>
      <c r="R178" s="240"/>
      <c r="S178" s="240"/>
      <c r="T178" s="240"/>
      <c r="U178" s="240"/>
      <c r="V178" s="240"/>
      <c r="W178" s="240"/>
      <c r="X178" s="240"/>
      <c r="Y178" s="240"/>
      <c r="Z178" s="240"/>
      <c r="AA178" s="240"/>
      <c r="AB178" s="240"/>
    </row>
    <row r="179">
      <c r="A179" s="240" t="s">
        <v>7373</v>
      </c>
      <c r="B179" s="240" t="s">
        <v>7365</v>
      </c>
      <c r="C179" s="240" t="s">
        <v>2715</v>
      </c>
      <c r="D179" s="240" t="s">
        <v>2716</v>
      </c>
      <c r="E179" s="240" t="s">
        <v>7374</v>
      </c>
      <c r="F179" s="169" t="str">
        <f t="shared" si="1"/>
        <v>Train Large-Use Small: Optimizing within the Theoretical Limits of Embedding-based Retrieval
Sourav Dutta
</v>
      </c>
      <c r="G179" s="240" t="s">
        <v>7375</v>
      </c>
      <c r="H179" s="240" t="s">
        <v>6829</v>
      </c>
      <c r="I179" s="240" t="s">
        <v>6830</v>
      </c>
      <c r="J179" s="240" t="s">
        <v>6830</v>
      </c>
      <c r="K179" s="240" t="s">
        <v>6830</v>
      </c>
      <c r="L179" s="240" t="s">
        <v>6832</v>
      </c>
      <c r="M179" s="240"/>
      <c r="N179" s="240"/>
      <c r="O179" s="240"/>
      <c r="P179" s="240"/>
      <c r="Q179" s="240"/>
      <c r="R179" s="240"/>
      <c r="S179" s="240"/>
      <c r="T179" s="240"/>
      <c r="U179" s="240"/>
      <c r="V179" s="240"/>
      <c r="W179" s="240"/>
      <c r="X179" s="240"/>
      <c r="Y179" s="240"/>
      <c r="Z179" s="240"/>
      <c r="AA179" s="240"/>
      <c r="AB179" s="240"/>
    </row>
    <row r="180">
      <c r="A180" s="240" t="s">
        <v>7376</v>
      </c>
      <c r="B180" s="240" t="s">
        <v>7365</v>
      </c>
      <c r="C180" s="240" t="s">
        <v>2717</v>
      </c>
      <c r="D180" s="240" t="s">
        <v>2718</v>
      </c>
      <c r="E180" s="240" t="s">
        <v>7377</v>
      </c>
      <c r="F180" s="169" t="str">
        <f t="shared" si="1"/>
        <v>Towards Automating Articles Screening Processes Using Chain-of-Thought Large Language Models
Carlo Arpini, Mirko Cesarini, Emmanuele Lotano
</v>
      </c>
      <c r="G180" s="240" t="s">
        <v>7378</v>
      </c>
      <c r="H180" s="240" t="s">
        <v>6829</v>
      </c>
      <c r="I180" s="240" t="s">
        <v>6830</v>
      </c>
      <c r="J180" s="240" t="s">
        <v>6831</v>
      </c>
      <c r="K180" s="240" t="s">
        <v>6830</v>
      </c>
      <c r="L180" s="240" t="s">
        <v>6832</v>
      </c>
      <c r="M180" s="240"/>
      <c r="N180" s="240"/>
      <c r="O180" s="240"/>
      <c r="P180" s="240"/>
      <c r="Q180" s="240"/>
      <c r="R180" s="240"/>
      <c r="S180" s="240"/>
      <c r="T180" s="240"/>
      <c r="U180" s="240"/>
      <c r="V180" s="240"/>
      <c r="W180" s="240"/>
      <c r="X180" s="240"/>
      <c r="Y180" s="240"/>
      <c r="Z180" s="240"/>
      <c r="AA180" s="240"/>
      <c r="AB180" s="240"/>
    </row>
    <row r="181">
      <c r="A181" s="240" t="s">
        <v>7379</v>
      </c>
      <c r="B181" s="240" t="s">
        <v>7380</v>
      </c>
      <c r="C181" s="240" t="s">
        <v>2719</v>
      </c>
      <c r="D181" s="240" t="s">
        <v>2720</v>
      </c>
      <c r="E181" s="240" t="s">
        <v>7381</v>
      </c>
      <c r="F181" s="169" t="str">
        <f t="shared" si="1"/>
        <v>1st Workshop on Applied AI and Multimodal Visualization Technologies (AAIMVT 2026)
Cesar Sanin, Md Rafiqul Islam, Edward Szczerbicki
</v>
      </c>
      <c r="G181" s="240" t="s">
        <v>7382</v>
      </c>
      <c r="H181" s="240" t="s">
        <v>2955</v>
      </c>
      <c r="I181" s="240" t="s">
        <v>6830</v>
      </c>
      <c r="J181" s="240" t="s">
        <v>6831</v>
      </c>
      <c r="K181" s="240" t="s">
        <v>6830</v>
      </c>
      <c r="L181" s="240" t="s">
        <v>6832</v>
      </c>
      <c r="M181" s="240"/>
      <c r="N181" s="240"/>
      <c r="O181" s="240"/>
      <c r="P181" s="240"/>
      <c r="Q181" s="240"/>
      <c r="R181" s="240"/>
      <c r="S181" s="240"/>
      <c r="T181" s="240"/>
      <c r="U181" s="240"/>
      <c r="V181" s="240"/>
      <c r="W181" s="240"/>
      <c r="X181" s="240"/>
      <c r="Y181" s="240"/>
      <c r="Z181" s="240"/>
      <c r="AA181" s="240"/>
      <c r="AB181" s="240"/>
    </row>
    <row r="182">
      <c r="A182" s="240" t="s">
        <v>7383</v>
      </c>
      <c r="B182" s="240" t="s">
        <v>7380</v>
      </c>
      <c r="C182" s="240" t="s">
        <v>2721</v>
      </c>
      <c r="D182" s="240" t="s">
        <v>2722</v>
      </c>
      <c r="E182" s="240" t="s">
        <v>7384</v>
      </c>
      <c r="F182" s="169" t="str">
        <f t="shared" si="1"/>
        <v>VOICY: A Privacy-Centric Modular Architecture for Zero-Shot Voice Cloning and Fine-Tuned Speech Synthesis
Kushal Pokhrel, Cesar Sanin, Md Kowsar Hossain Sakib, Edward Szczerbicki
</v>
      </c>
      <c r="G182" s="240" t="s">
        <v>7382</v>
      </c>
      <c r="H182" s="240" t="s">
        <v>6829</v>
      </c>
      <c r="I182" s="240" t="s">
        <v>6830</v>
      </c>
      <c r="J182" s="240" t="s">
        <v>6831</v>
      </c>
      <c r="K182" s="240" t="s">
        <v>6830</v>
      </c>
      <c r="L182" s="240" t="s">
        <v>6832</v>
      </c>
      <c r="M182" s="240"/>
      <c r="N182" s="240"/>
      <c r="O182" s="240"/>
      <c r="P182" s="240"/>
      <c r="Q182" s="240"/>
      <c r="R182" s="240"/>
      <c r="S182" s="240"/>
      <c r="T182" s="240"/>
      <c r="U182" s="240"/>
      <c r="V182" s="240"/>
      <c r="W182" s="240"/>
      <c r="X182" s="240"/>
      <c r="Y182" s="240"/>
      <c r="Z182" s="240"/>
      <c r="AA182" s="240"/>
      <c r="AB182" s="240"/>
    </row>
    <row r="183">
      <c r="A183" s="240" t="s">
        <v>7385</v>
      </c>
      <c r="B183" s="240" t="s">
        <v>7380</v>
      </c>
      <c r="C183" s="240" t="s">
        <v>2723</v>
      </c>
      <c r="D183" s="240" t="s">
        <v>2724</v>
      </c>
      <c r="E183" s="240" t="s">
        <v>7386</v>
      </c>
      <c r="F183" s="169" t="str">
        <f t="shared" si="1"/>
        <v>Bridging the Semantic Gap: A Homonym-Aware Ontology Platform for Cybersecurity Interoperability
A B M Mehedi Hasan, Ljiljana Brankovic, Cesar Sanin, David Paul
</v>
      </c>
      <c r="G183" s="240" t="s">
        <v>7387</v>
      </c>
      <c r="H183" s="240" t="s">
        <v>6829</v>
      </c>
      <c r="I183" s="240" t="s">
        <v>6830</v>
      </c>
      <c r="J183" s="240" t="s">
        <v>6831</v>
      </c>
      <c r="K183" s="240" t="s">
        <v>6830</v>
      </c>
      <c r="L183" s="240" t="s">
        <v>6832</v>
      </c>
      <c r="M183" s="240"/>
      <c r="N183" s="240"/>
      <c r="O183" s="240"/>
      <c r="P183" s="240"/>
      <c r="Q183" s="240"/>
      <c r="R183" s="240"/>
      <c r="S183" s="240"/>
      <c r="T183" s="240"/>
      <c r="U183" s="240"/>
      <c r="V183" s="240"/>
      <c r="W183" s="240"/>
      <c r="X183" s="240"/>
      <c r="Y183" s="240"/>
      <c r="Z183" s="240"/>
      <c r="AA183" s="240"/>
      <c r="AB183" s="240"/>
    </row>
    <row r="184">
      <c r="A184" s="240" t="s">
        <v>7388</v>
      </c>
      <c r="B184" s="240" t="s">
        <v>7380</v>
      </c>
      <c r="C184" s="240" t="s">
        <v>2725</v>
      </c>
      <c r="D184" s="240" t="s">
        <v>2726</v>
      </c>
      <c r="E184" s="240" t="s">
        <v>7389</v>
      </c>
      <c r="F184" s="169" t="str">
        <f t="shared" si="1"/>
        <v>Spatial-Temporal Inference of Indoor RSSI and CQI for 3D Coverage Mapping using Dynamic Graph Attention Networks
David Hason Rudd, A B M Mehedi Hasan, Johan Sebastian Ramirez Vallejo, Md. Rafiqul Islam, Andrew Levula, Cesar Sanin
</v>
      </c>
      <c r="G184" s="240" t="s">
        <v>7390</v>
      </c>
      <c r="H184" s="240" t="s">
        <v>6829</v>
      </c>
      <c r="I184" s="240" t="s">
        <v>6830</v>
      </c>
      <c r="J184" s="240" t="s">
        <v>6831</v>
      </c>
      <c r="K184" s="240" t="s">
        <v>6830</v>
      </c>
      <c r="L184" s="240" t="s">
        <v>6832</v>
      </c>
      <c r="M184" s="240"/>
      <c r="N184" s="240"/>
      <c r="O184" s="240"/>
      <c r="P184" s="240"/>
      <c r="Q184" s="240"/>
      <c r="R184" s="240"/>
      <c r="S184" s="240"/>
      <c r="T184" s="240"/>
      <c r="U184" s="240"/>
      <c r="V184" s="240"/>
      <c r="W184" s="240"/>
      <c r="X184" s="240"/>
      <c r="Y184" s="240"/>
      <c r="Z184" s="240"/>
      <c r="AA184" s="240"/>
      <c r="AB184" s="240"/>
    </row>
    <row r="185">
      <c r="A185" s="240" t="s">
        <v>7391</v>
      </c>
      <c r="B185" s="240" t="s">
        <v>7380</v>
      </c>
      <c r="C185" s="240" t="s">
        <v>2727</v>
      </c>
      <c r="D185" s="240" t="s">
        <v>2728</v>
      </c>
      <c r="E185" s="240" t="s">
        <v>7392</v>
      </c>
      <c r="F185" s="169" t="str">
        <f t="shared" si="1"/>
        <v>Viet Medi Species 2026: A Web-Accessible Multilingual Dataset for Vietnamese Medicinal Biodiversity
Trien Tran, Fareed Ud Din, Ljiljana Brankovic, Cesar Sanin, Susan Hester
</v>
      </c>
      <c r="G185" s="240" t="s">
        <v>7393</v>
      </c>
      <c r="H185" s="240" t="s">
        <v>6829</v>
      </c>
      <c r="I185" s="240" t="s">
        <v>6830</v>
      </c>
      <c r="J185" s="240" t="s">
        <v>6831</v>
      </c>
      <c r="K185" s="240" t="s">
        <v>6830</v>
      </c>
      <c r="L185" s="240" t="s">
        <v>6832</v>
      </c>
      <c r="M185" s="240"/>
      <c r="N185" s="240"/>
      <c r="O185" s="240"/>
      <c r="P185" s="240"/>
      <c r="Q185" s="240"/>
      <c r="R185" s="240"/>
      <c r="S185" s="240"/>
      <c r="T185" s="240"/>
      <c r="U185" s="240"/>
      <c r="V185" s="240"/>
      <c r="W185" s="240"/>
      <c r="X185" s="240"/>
      <c r="Y185" s="240"/>
      <c r="Z185" s="240"/>
      <c r="AA185" s="240"/>
      <c r="AB185" s="240"/>
    </row>
    <row r="186">
      <c r="A186" s="240" t="s">
        <v>7394</v>
      </c>
      <c r="B186" s="240" t="s">
        <v>7380</v>
      </c>
      <c r="C186" s="240" t="s">
        <v>2729</v>
      </c>
      <c r="D186" s="240" t="s">
        <v>2730</v>
      </c>
      <c r="E186" s="240" t="s">
        <v>7395</v>
      </c>
      <c r="F186" s="169" t="str">
        <f t="shared" si="1"/>
        <v>Robust Harmful Meme Detection under Missing Modalities via Shared Representation Learning
Felix Breiteneder, Mohammad Belal, Muhammad Saad Saeed, Shahed Masoudian, Usman Naseem, Kulshrestha Juhi, Markus Schedl, Shah Nawaz
</v>
      </c>
      <c r="G186" s="240" t="s">
        <v>254</v>
      </c>
      <c r="H186" s="240" t="s">
        <v>6829</v>
      </c>
      <c r="I186" s="240" t="s">
        <v>6830</v>
      </c>
      <c r="J186" s="240" t="s">
        <v>6831</v>
      </c>
      <c r="K186" s="240" t="s">
        <v>6830</v>
      </c>
      <c r="L186" s="240" t="s">
        <v>6832</v>
      </c>
      <c r="M186" s="240"/>
      <c r="N186" s="240"/>
      <c r="O186" s="240"/>
      <c r="P186" s="240"/>
      <c r="Q186" s="240"/>
      <c r="R186" s="240"/>
      <c r="S186" s="240"/>
      <c r="T186" s="240"/>
      <c r="U186" s="240"/>
      <c r="V186" s="240"/>
      <c r="W186" s="240"/>
      <c r="X186" s="240"/>
      <c r="Y186" s="240"/>
      <c r="Z186" s="240"/>
      <c r="AA186" s="240"/>
      <c r="AB186" s="240"/>
    </row>
    <row r="187">
      <c r="A187" s="240" t="s">
        <v>7396</v>
      </c>
      <c r="B187" s="240" t="s">
        <v>7397</v>
      </c>
      <c r="C187" s="240" t="s">
        <v>2731</v>
      </c>
      <c r="D187" s="240" t="s">
        <v>2732</v>
      </c>
      <c r="E187" s="240" t="s">
        <v>7398</v>
      </c>
      <c r="F187" s="169" t="str">
        <f t="shared" si="1"/>
        <v>LLM and Agents for Recommendation Systems (LARS)
Keerthi Gopalakrishnan, Qi Xu, Aysenur Inan, Zhigang Hua, Luyi Ma, Prabhat Agarwal, Shuang Yang, Shradha Sehgal, Hao Wang, Kai Zhao, Yashar Deldjoo, Rong Jin, Kamilia Ahmadi, Luke Simon
</v>
      </c>
      <c r="G187" s="240" t="s">
        <v>7399</v>
      </c>
      <c r="H187" s="240" t="s">
        <v>2955</v>
      </c>
      <c r="I187" s="240" t="s">
        <v>6830</v>
      </c>
      <c r="J187" s="240" t="s">
        <v>6831</v>
      </c>
      <c r="K187" s="240" t="s">
        <v>6830</v>
      </c>
      <c r="L187" s="240" t="s">
        <v>6832</v>
      </c>
      <c r="M187" s="240"/>
      <c r="N187" s="240"/>
      <c r="O187" s="240"/>
      <c r="P187" s="240"/>
      <c r="Q187" s="240"/>
      <c r="R187" s="240"/>
      <c r="S187" s="240"/>
      <c r="T187" s="240"/>
      <c r="U187" s="240"/>
      <c r="V187" s="240"/>
      <c r="W187" s="240"/>
      <c r="X187" s="240"/>
      <c r="Y187" s="240"/>
      <c r="Z187" s="240"/>
      <c r="AA187" s="240"/>
      <c r="AB187" s="240"/>
    </row>
    <row r="188">
      <c r="A188" s="240" t="s">
        <v>7400</v>
      </c>
      <c r="B188" s="240" t="s">
        <v>7397</v>
      </c>
      <c r="C188" s="240" t="s">
        <v>2733</v>
      </c>
      <c r="D188" s="240" t="s">
        <v>2734</v>
      </c>
      <c r="E188" s="240" t="s">
        <v>7401</v>
      </c>
      <c r="F188" s="169" t="str">
        <f t="shared" si="1"/>
        <v>LLM-augmented Hybrid Recommendation System for Structured Classification of Customs Commodity Descriptions
Ivan Malashin, Igor Masich, Vadim Tynchenko, Aleksei Borodulin, Andrei Gantimurov, Vladimir Nelyub, Dmitry Martysyuk, Sergei Kurashkin
</v>
      </c>
      <c r="G188" s="240" t="s">
        <v>7402</v>
      </c>
      <c r="H188" s="240" t="s">
        <v>7124</v>
      </c>
      <c r="I188" s="240" t="s">
        <v>6830</v>
      </c>
      <c r="J188" s="240" t="s">
        <v>6831</v>
      </c>
      <c r="K188" s="240" t="s">
        <v>6830</v>
      </c>
      <c r="L188" s="240" t="s">
        <v>6832</v>
      </c>
      <c r="M188" s="240"/>
      <c r="N188" s="240"/>
      <c r="O188" s="240"/>
      <c r="P188" s="240"/>
      <c r="Q188" s="240"/>
      <c r="R188" s="240"/>
      <c r="S188" s="240"/>
      <c r="T188" s="240"/>
      <c r="U188" s="240"/>
      <c r="V188" s="240"/>
      <c r="W188" s="240"/>
      <c r="X188" s="240"/>
      <c r="Y188" s="240"/>
      <c r="Z188" s="240"/>
      <c r="AA188" s="240"/>
      <c r="AB188" s="240"/>
    </row>
    <row r="189">
      <c r="A189" s="240" t="s">
        <v>7403</v>
      </c>
      <c r="B189" s="240" t="s">
        <v>7397</v>
      </c>
      <c r="C189" s="240" t="s">
        <v>2735</v>
      </c>
      <c r="D189" s="240" t="s">
        <v>2736</v>
      </c>
      <c r="E189" s="240" t="s">
        <v>7404</v>
      </c>
      <c r="F189" s="169" t="str">
        <f t="shared" si="1"/>
        <v>GALRec: Aligning Graph with Large Language Model for Sequential Recommendation
He Lu, Yanting Wang, Haohua Du, Yue Liu, Hanqing Yu
</v>
      </c>
      <c r="G189" s="240" t="s">
        <v>5194</v>
      </c>
      <c r="H189" s="240" t="s">
        <v>7405</v>
      </c>
      <c r="I189" s="240" t="s">
        <v>6830</v>
      </c>
      <c r="J189" s="240" t="s">
        <v>6831</v>
      </c>
      <c r="K189" s="240" t="s">
        <v>6830</v>
      </c>
      <c r="L189" s="240" t="s">
        <v>6832</v>
      </c>
      <c r="M189" s="240"/>
      <c r="N189" s="240"/>
      <c r="O189" s="240"/>
      <c r="P189" s="240"/>
      <c r="Q189" s="240"/>
      <c r="R189" s="240"/>
      <c r="S189" s="240"/>
      <c r="T189" s="240"/>
      <c r="U189" s="240"/>
      <c r="V189" s="240"/>
      <c r="W189" s="240"/>
      <c r="X189" s="240"/>
      <c r="Y189" s="240"/>
      <c r="Z189" s="240"/>
      <c r="AA189" s="240"/>
      <c r="AB189" s="240"/>
    </row>
    <row r="190">
      <c r="A190" s="240" t="s">
        <v>7406</v>
      </c>
      <c r="B190" s="240" t="s">
        <v>7397</v>
      </c>
      <c r="C190" s="240" t="s">
        <v>2737</v>
      </c>
      <c r="D190" s="240" t="s">
        <v>2738</v>
      </c>
      <c r="E190" s="240" t="s">
        <v>7407</v>
      </c>
      <c r="F190" s="169" t="str">
        <f t="shared" si="1"/>
        <v>Smart Book Seeker: Agent-Augmented Retrieval System for Metadata-Sparse Libraries
Hao-Quan Liu, Yao-Chung Fan
</v>
      </c>
      <c r="G190" s="240" t="s">
        <v>6496</v>
      </c>
      <c r="H190" s="240" t="s">
        <v>6829</v>
      </c>
      <c r="I190" s="240" t="s">
        <v>6830</v>
      </c>
      <c r="J190" s="240" t="s">
        <v>6830</v>
      </c>
      <c r="K190" s="240" t="s">
        <v>6830</v>
      </c>
      <c r="L190" s="240" t="s">
        <v>6832</v>
      </c>
      <c r="M190" s="240"/>
      <c r="N190" s="240"/>
      <c r="O190" s="240"/>
      <c r="P190" s="240"/>
      <c r="Q190" s="240"/>
      <c r="R190" s="240"/>
      <c r="S190" s="240"/>
      <c r="T190" s="240"/>
      <c r="U190" s="240"/>
      <c r="V190" s="240"/>
      <c r="W190" s="240"/>
      <c r="X190" s="240"/>
      <c r="Y190" s="240"/>
      <c r="Z190" s="240"/>
      <c r="AA190" s="240"/>
      <c r="AB190" s="240"/>
    </row>
    <row r="191">
      <c r="A191" s="240" t="s">
        <v>7408</v>
      </c>
      <c r="B191" s="240" t="s">
        <v>7397</v>
      </c>
      <c r="C191" s="240" t="s">
        <v>2739</v>
      </c>
      <c r="D191" s="240" t="s">
        <v>2740</v>
      </c>
      <c r="E191" s="240" t="s">
        <v>7230</v>
      </c>
      <c r="F191" s="169" t="str">
        <f t="shared" si="1"/>
        <v>Ethical Decision-Making under Moral Uncertainty
Djallel Bouneffouf
</v>
      </c>
      <c r="G191" s="240" t="s">
        <v>7409</v>
      </c>
      <c r="H191" s="240" t="s">
        <v>6829</v>
      </c>
      <c r="I191" s="240" t="s">
        <v>6830</v>
      </c>
      <c r="J191" s="240" t="s">
        <v>6831</v>
      </c>
      <c r="K191" s="240" t="s">
        <v>6830</v>
      </c>
      <c r="L191" s="240" t="s">
        <v>6832</v>
      </c>
      <c r="M191" s="240"/>
      <c r="N191" s="240"/>
      <c r="O191" s="240"/>
      <c r="P191" s="240"/>
      <c r="Q191" s="240"/>
      <c r="R191" s="240"/>
      <c r="S191" s="240"/>
      <c r="T191" s="240"/>
      <c r="U191" s="240"/>
      <c r="V191" s="240"/>
      <c r="W191" s="240"/>
      <c r="X191" s="240"/>
      <c r="Y191" s="240"/>
      <c r="Z191" s="240"/>
      <c r="AA191" s="240"/>
      <c r="AB191" s="240"/>
    </row>
    <row r="192">
      <c r="A192" s="240" t="s">
        <v>7410</v>
      </c>
      <c r="B192" s="240" t="s">
        <v>7397</v>
      </c>
      <c r="C192" s="240" t="s">
        <v>2741</v>
      </c>
      <c r="D192" s="240" t="s">
        <v>2742</v>
      </c>
      <c r="E192" s="240" t="s">
        <v>7411</v>
      </c>
      <c r="F192" s="169" t="str">
        <f t="shared" si="1"/>
        <v>Triple Modality Fusion: Aligning Visual, Textual, and Graph Data for LLM-based Multi-Behavior Recommender Systems
Luyi Ma, Xiaohan Li, Zezhong Fan, Kai Zhao, Jianpeng Xu, Jason Cho, Praveen Kanumala, Kaushiki Nag, Evren Korpeoglu, Sushant Kumar, Kannan Achan
</v>
      </c>
      <c r="G192" s="240" t="s">
        <v>7412</v>
      </c>
      <c r="H192" s="240" t="s">
        <v>7413</v>
      </c>
      <c r="I192" s="240" t="s">
        <v>6830</v>
      </c>
      <c r="J192" s="240" t="s">
        <v>6831</v>
      </c>
      <c r="K192" s="240" t="s">
        <v>6830</v>
      </c>
      <c r="L192" s="240" t="s">
        <v>6832</v>
      </c>
      <c r="M192" s="240"/>
      <c r="N192" s="240"/>
      <c r="O192" s="240"/>
      <c r="P192" s="240"/>
      <c r="Q192" s="240"/>
      <c r="R192" s="240"/>
      <c r="S192" s="240"/>
      <c r="T192" s="240"/>
      <c r="U192" s="240"/>
      <c r="V192" s="240"/>
      <c r="W192" s="240"/>
      <c r="X192" s="240"/>
      <c r="Y192" s="240"/>
      <c r="Z192" s="240"/>
      <c r="AA192" s="240"/>
      <c r="AB192" s="240"/>
    </row>
    <row r="193">
      <c r="A193" s="240" t="s">
        <v>7414</v>
      </c>
      <c r="B193" s="240" t="s">
        <v>7397</v>
      </c>
      <c r="C193" s="240" t="s">
        <v>2743</v>
      </c>
      <c r="D193" s="240" t="s">
        <v>2744</v>
      </c>
      <c r="E193" s="240" t="s">
        <v>7415</v>
      </c>
      <c r="F193" s="169" t="str">
        <f t="shared" si="1"/>
        <v>AID: Hypothesis-Grounded Probing for Conversational Recommendation
Rajarshee Dhar, Vivek Singh, Ambrose Taylor, M. Hanes, Yogesh Ramdoss
</v>
      </c>
      <c r="G193" s="240" t="s">
        <v>7416</v>
      </c>
      <c r="H193" s="240" t="s">
        <v>7417</v>
      </c>
      <c r="I193" s="240" t="s">
        <v>6830</v>
      </c>
      <c r="J193" s="240" t="s">
        <v>6831</v>
      </c>
      <c r="K193" s="240" t="s">
        <v>6830</v>
      </c>
      <c r="L193" s="240" t="s">
        <v>6832</v>
      </c>
      <c r="M193" s="240"/>
      <c r="N193" s="240"/>
      <c r="O193" s="240"/>
      <c r="P193" s="240"/>
      <c r="Q193" s="240"/>
      <c r="R193" s="240"/>
      <c r="S193" s="240"/>
      <c r="T193" s="240"/>
      <c r="U193" s="240"/>
      <c r="V193" s="240"/>
      <c r="W193" s="240"/>
      <c r="X193" s="240"/>
      <c r="Y193" s="240"/>
      <c r="Z193" s="240"/>
      <c r="AA193" s="240"/>
      <c r="AB193" s="240"/>
    </row>
    <row r="194">
      <c r="A194" s="240" t="s">
        <v>7418</v>
      </c>
      <c r="B194" s="240" t="s">
        <v>7397</v>
      </c>
      <c r="C194" s="240" t="s">
        <v>2745</v>
      </c>
      <c r="D194" s="240" t="s">
        <v>2746</v>
      </c>
      <c r="E194" s="240" t="s">
        <v>7419</v>
      </c>
      <c r="F194" s="169" t="str">
        <f t="shared" si="1"/>
        <v>LLMs as Orchestrators: Constraint-Compliant Multi-Agent Optimization for Recommendation Systems
Guilin Zhang, Kai Zhao, Jeffrey Friedman, Xu Chu
</v>
      </c>
      <c r="G194" s="240" t="s">
        <v>7420</v>
      </c>
      <c r="H194" s="240" t="s">
        <v>7421</v>
      </c>
      <c r="I194" s="240" t="s">
        <v>6830</v>
      </c>
      <c r="J194" s="240" t="s">
        <v>6831</v>
      </c>
      <c r="K194" s="240" t="s">
        <v>6830</v>
      </c>
      <c r="L194" s="240" t="s">
        <v>6832</v>
      </c>
      <c r="M194" s="240"/>
      <c r="N194" s="240"/>
      <c r="O194" s="240"/>
      <c r="P194" s="240"/>
      <c r="Q194" s="240"/>
      <c r="R194" s="240"/>
      <c r="S194" s="240"/>
      <c r="T194" s="240"/>
      <c r="U194" s="240"/>
      <c r="V194" s="240"/>
      <c r="W194" s="240"/>
      <c r="X194" s="240"/>
      <c r="Y194" s="240"/>
      <c r="Z194" s="240"/>
      <c r="AA194" s="240"/>
      <c r="AB194" s="240"/>
    </row>
    <row r="195">
      <c r="A195" s="240" t="s">
        <v>7422</v>
      </c>
      <c r="B195" s="240" t="s">
        <v>7397</v>
      </c>
      <c r="C195" s="240" t="s">
        <v>2747</v>
      </c>
      <c r="D195" s="240" t="s">
        <v>2748</v>
      </c>
      <c r="E195" s="240" t="s">
        <v>7419</v>
      </c>
      <c r="F195" s="169" t="str">
        <f t="shared" si="1"/>
        <v>RobustExplain: Evaluating Robustness of LLM-Based Explanation Agents for Recommendation
Guilin Zhang, Kai Zhao, Jeffrey Friedman, Xu Chu
</v>
      </c>
      <c r="G195" s="240" t="s">
        <v>7420</v>
      </c>
      <c r="H195" s="240" t="s">
        <v>7423</v>
      </c>
      <c r="I195" s="240" t="s">
        <v>6830</v>
      </c>
      <c r="J195" s="240" t="s">
        <v>6831</v>
      </c>
      <c r="K195" s="240" t="s">
        <v>6830</v>
      </c>
      <c r="L195" s="240" t="s">
        <v>6832</v>
      </c>
      <c r="M195" s="240"/>
      <c r="N195" s="240"/>
      <c r="O195" s="240"/>
      <c r="P195" s="240"/>
      <c r="Q195" s="240"/>
      <c r="R195" s="240"/>
      <c r="S195" s="240"/>
      <c r="T195" s="240"/>
      <c r="U195" s="240"/>
      <c r="V195" s="240"/>
      <c r="W195" s="240"/>
      <c r="X195" s="240"/>
      <c r="Y195" s="240"/>
      <c r="Z195" s="240"/>
      <c r="AA195" s="240"/>
      <c r="AB195" s="240"/>
    </row>
    <row r="196">
      <c r="A196" s="240" t="s">
        <v>7424</v>
      </c>
      <c r="B196" s="240" t="s">
        <v>7397</v>
      </c>
      <c r="C196" s="240" t="s">
        <v>2749</v>
      </c>
      <c r="D196" s="240" t="s">
        <v>2750</v>
      </c>
      <c r="E196" s="240" t="s">
        <v>7425</v>
      </c>
      <c r="F196" s="169" t="str">
        <f t="shared" si="1"/>
        <v>Campaign-2-PT-RAG: LLM-Guided Semantic Product Type Attribution for Scalable Campaign Ranking
Yiming Che, Mansi Ranjit Mane, Keerthi Gopalakrishnan, Parisa Kaghazgaran, Murali Mohana Krishna Dandu, Archana Venkatachalapathy, Sinduja Subramaniam, Yokila Arora, Evren Korpeoglu, Sushant Kumar, Kannan Achan
</v>
      </c>
      <c r="G196" s="240" t="s">
        <v>7426</v>
      </c>
      <c r="H196" s="240" t="s">
        <v>7427</v>
      </c>
      <c r="I196" s="240" t="s">
        <v>6830</v>
      </c>
      <c r="J196" s="240" t="s">
        <v>6830</v>
      </c>
      <c r="K196" s="240" t="s">
        <v>6830</v>
      </c>
      <c r="L196" s="240" t="s">
        <v>6832</v>
      </c>
      <c r="M196" s="240"/>
      <c r="N196" s="240"/>
      <c r="O196" s="240"/>
      <c r="P196" s="240"/>
      <c r="Q196" s="240"/>
      <c r="R196" s="240"/>
      <c r="S196" s="240"/>
      <c r="T196" s="240"/>
      <c r="U196" s="240"/>
      <c r="V196" s="240"/>
      <c r="W196" s="240"/>
      <c r="X196" s="240"/>
      <c r="Y196" s="240"/>
      <c r="Z196" s="240"/>
      <c r="AA196" s="240"/>
      <c r="AB196" s="240"/>
    </row>
    <row r="197">
      <c r="A197" s="240" t="s">
        <v>7428</v>
      </c>
      <c r="B197" s="240" t="s">
        <v>7397</v>
      </c>
      <c r="C197" s="240" t="s">
        <v>2751</v>
      </c>
      <c r="D197" s="240" t="s">
        <v>2752</v>
      </c>
      <c r="E197" s="240" t="s">
        <v>7429</v>
      </c>
      <c r="F197" s="169" t="str">
        <f t="shared" si="1"/>
        <v>TCR: A Trust-Aligned Text-Only Cross-Attention Ranker Distilling Multimodal LLM Reasoning for Recommendation Agents
Liping Zhang, Tracy King
</v>
      </c>
      <c r="G197" s="240" t="s">
        <v>7430</v>
      </c>
      <c r="H197" s="240" t="s">
        <v>6829</v>
      </c>
      <c r="I197" s="240" t="s">
        <v>6830</v>
      </c>
      <c r="J197" s="240" t="s">
        <v>6830</v>
      </c>
      <c r="K197" s="240" t="s">
        <v>6830</v>
      </c>
      <c r="L197" s="240" t="s">
        <v>6832</v>
      </c>
      <c r="M197" s="240"/>
      <c r="N197" s="240"/>
      <c r="O197" s="240"/>
      <c r="P197" s="240"/>
      <c r="Q197" s="240"/>
      <c r="R197" s="240"/>
      <c r="S197" s="240"/>
      <c r="T197" s="240"/>
      <c r="U197" s="240"/>
      <c r="V197" s="240"/>
      <c r="W197" s="240"/>
      <c r="X197" s="240"/>
      <c r="Y197" s="240"/>
      <c r="Z197" s="240"/>
      <c r="AA197" s="240"/>
      <c r="AB197" s="240"/>
    </row>
    <row r="198">
      <c r="A198" s="240" t="s">
        <v>7431</v>
      </c>
      <c r="B198" s="240" t="s">
        <v>7397</v>
      </c>
      <c r="C198" s="240" t="s">
        <v>2753</v>
      </c>
      <c r="D198" s="240" t="s">
        <v>2754</v>
      </c>
      <c r="E198" s="240" t="s">
        <v>7432</v>
      </c>
      <c r="F198" s="169" t="str">
        <f t="shared" si="1"/>
        <v>SCORE: Story Coherence and Retrieval Enhancement for AI Narratives
Qiang Yi, Yangfan He, Jianhui Wang, Xinyuan Song, Kuan Lu, Shiyao Qian, Xinhang Yuan, Yi Xin, Yijin Wang, Jingqun Tang, Yuchen Li, Hongyang He, Zhen Tian, Tianxiang Xu, Keqin Li, Menghao Huo, Jiaqi Chen, Miao Zhang, Tianyu Shi, Jianyuan Ni
</v>
      </c>
      <c r="G198" s="240" t="s">
        <v>7433</v>
      </c>
      <c r="H198" s="240" t="s">
        <v>7434</v>
      </c>
      <c r="I198" s="240" t="s">
        <v>6831</v>
      </c>
      <c r="J198" s="240" t="s">
        <v>6831</v>
      </c>
      <c r="K198" s="240" t="s">
        <v>6831</v>
      </c>
      <c r="L198" s="240" t="s">
        <v>6832</v>
      </c>
      <c r="M198" s="240"/>
      <c r="N198" s="240"/>
      <c r="O198" s="240"/>
      <c r="P198" s="240"/>
      <c r="Q198" s="240"/>
      <c r="R198" s="240"/>
      <c r="S198" s="240"/>
      <c r="T198" s="240"/>
      <c r="U198" s="240"/>
      <c r="V198" s="240"/>
      <c r="W198" s="240"/>
      <c r="X198" s="240"/>
      <c r="Y198" s="240"/>
      <c r="Z198" s="240"/>
      <c r="AA198" s="240"/>
      <c r="AB198" s="240"/>
    </row>
    <row r="199">
      <c r="A199" s="240" t="s">
        <v>7435</v>
      </c>
      <c r="B199" s="240" t="s">
        <v>7436</v>
      </c>
      <c r="C199" s="240" t="s">
        <v>53</v>
      </c>
      <c r="D199" s="240" t="s">
        <v>2755</v>
      </c>
      <c r="E199" s="240" t="s">
        <v>7437</v>
      </c>
      <c r="F199" s="169" t="str">
        <f t="shared" si="1"/>
        <v>Trustworthy Foundation Models for Web Intelligence: Causal Perspectives and Challenges
Haoang Chi, Qi Wang, Jiantong Jiang, Jiangchao Yao, Feng Liu, Bo Han
</v>
      </c>
      <c r="G199" s="240" t="s">
        <v>7438</v>
      </c>
      <c r="H199" s="240" t="s">
        <v>2955</v>
      </c>
      <c r="I199" s="240" t="s">
        <v>6830</v>
      </c>
      <c r="J199" s="240" t="s">
        <v>6831</v>
      </c>
      <c r="K199" s="240" t="s">
        <v>6830</v>
      </c>
      <c r="L199" s="240" t="s">
        <v>6832</v>
      </c>
      <c r="M199" s="240"/>
      <c r="N199" s="240"/>
      <c r="O199" s="240"/>
      <c r="P199" s="240"/>
      <c r="Q199" s="240"/>
      <c r="R199" s="240"/>
      <c r="S199" s="240"/>
      <c r="T199" s="240"/>
      <c r="U199" s="240"/>
      <c r="V199" s="240"/>
      <c r="W199" s="240"/>
      <c r="X199" s="240"/>
      <c r="Y199" s="240"/>
      <c r="Z199" s="240"/>
      <c r="AA199" s="240"/>
      <c r="AB199" s="240"/>
    </row>
    <row r="200">
      <c r="A200" s="240" t="s">
        <v>7439</v>
      </c>
      <c r="B200" s="240" t="s">
        <v>7436</v>
      </c>
      <c r="C200" s="240" t="s">
        <v>2756</v>
      </c>
      <c r="D200" s="240" t="s">
        <v>2757</v>
      </c>
      <c r="E200" s="240" t="s">
        <v>7335</v>
      </c>
      <c r="F200" s="169" t="str">
        <f t="shared" si="1"/>
        <v>Eroding the Truth-Default: A Causal Analysis of Human Susceptibility to Foundation Model Hallucinations and Disinformation in the Wild
Alexander Loth, Martin Kappes, Marc-Oliver Pahl
</v>
      </c>
      <c r="G200" s="240" t="s">
        <v>7336</v>
      </c>
      <c r="H200" s="240" t="s">
        <v>6829</v>
      </c>
      <c r="I200" s="240" t="s">
        <v>6830</v>
      </c>
      <c r="J200" s="240" t="s">
        <v>6831</v>
      </c>
      <c r="K200" s="240" t="s">
        <v>6830</v>
      </c>
      <c r="L200" s="240" t="s">
        <v>6832</v>
      </c>
      <c r="M200" s="240"/>
      <c r="N200" s="240"/>
      <c r="O200" s="240"/>
      <c r="P200" s="240"/>
      <c r="Q200" s="240"/>
      <c r="R200" s="240"/>
      <c r="S200" s="240"/>
      <c r="T200" s="240"/>
      <c r="U200" s="240"/>
      <c r="V200" s="240"/>
      <c r="W200" s="240"/>
      <c r="X200" s="240"/>
      <c r="Y200" s="240"/>
      <c r="Z200" s="240"/>
      <c r="AA200" s="240"/>
      <c r="AB200" s="240"/>
    </row>
    <row r="201">
      <c r="A201" s="240" t="s">
        <v>7440</v>
      </c>
      <c r="B201" s="240" t="s">
        <v>7436</v>
      </c>
      <c r="C201" s="240" t="s">
        <v>2758</v>
      </c>
      <c r="D201" s="240" t="s">
        <v>2759</v>
      </c>
      <c r="E201" s="240" t="s">
        <v>7230</v>
      </c>
      <c r="F201" s="169" t="str">
        <f t="shared" si="1"/>
        <v>LLM and AI Agent: Golden Rule is All We Need
Djallel Bouneffouf
</v>
      </c>
      <c r="G201" s="240" t="s">
        <v>6975</v>
      </c>
      <c r="H201" s="240" t="s">
        <v>6829</v>
      </c>
      <c r="I201" s="240" t="s">
        <v>6830</v>
      </c>
      <c r="J201" s="240" t="s">
        <v>6831</v>
      </c>
      <c r="K201" s="240" t="s">
        <v>6830</v>
      </c>
      <c r="L201" s="240" t="s">
        <v>6832</v>
      </c>
      <c r="M201" s="240"/>
      <c r="N201" s="240"/>
      <c r="O201" s="240"/>
      <c r="P201" s="240"/>
      <c r="Q201" s="240"/>
      <c r="R201" s="240"/>
      <c r="S201" s="240"/>
      <c r="T201" s="240"/>
      <c r="U201" s="240"/>
      <c r="V201" s="240"/>
      <c r="W201" s="240"/>
      <c r="X201" s="240"/>
      <c r="Y201" s="240"/>
      <c r="Z201" s="240"/>
      <c r="AA201" s="240"/>
      <c r="AB201" s="240"/>
    </row>
    <row r="202">
      <c r="A202" s="240" t="s">
        <v>7441</v>
      </c>
      <c r="B202" s="240" t="s">
        <v>7436</v>
      </c>
      <c r="C202" s="240" t="s">
        <v>2760</v>
      </c>
      <c r="D202" s="240" t="s">
        <v>2761</v>
      </c>
      <c r="E202" s="240" t="s">
        <v>7442</v>
      </c>
      <c r="F202" s="169" t="str">
        <f t="shared" si="1"/>
        <v>Hierarchical Prompt Contrastive Learning for Weakly Supervised Histopathology Segmentation
Zengmao Wang, Ming Hu, Chaoyang Zhou, Shiying Sun, Qingping Zheng, Leifei Zhang, Yongchao Xu, Bo Du
</v>
      </c>
      <c r="G202" s="240" t="s">
        <v>7443</v>
      </c>
      <c r="H202" s="240" t="s">
        <v>7444</v>
      </c>
      <c r="I202" s="240" t="s">
        <v>6830</v>
      </c>
      <c r="J202" s="240" t="s">
        <v>6831</v>
      </c>
      <c r="K202" s="240" t="s">
        <v>6830</v>
      </c>
      <c r="L202" s="240" t="s">
        <v>6832</v>
      </c>
      <c r="M202" s="240"/>
      <c r="N202" s="240"/>
      <c r="O202" s="240"/>
      <c r="P202" s="240"/>
      <c r="Q202" s="240"/>
      <c r="R202" s="240"/>
      <c r="S202" s="240"/>
      <c r="T202" s="240"/>
      <c r="U202" s="240"/>
      <c r="V202" s="240"/>
      <c r="W202" s="240"/>
      <c r="X202" s="240"/>
      <c r="Y202" s="240"/>
      <c r="Z202" s="240"/>
      <c r="AA202" s="240"/>
      <c r="AB202" s="240"/>
    </row>
    <row r="203">
      <c r="A203" s="240" t="s">
        <v>7445</v>
      </c>
      <c r="B203" s="240" t="s">
        <v>7436</v>
      </c>
      <c r="C203" s="240" t="s">
        <v>2762</v>
      </c>
      <c r="D203" s="240" t="s">
        <v>2763</v>
      </c>
      <c r="E203" s="240" t="s">
        <v>7446</v>
      </c>
      <c r="F203" s="169" t="str">
        <f t="shared" si="1"/>
        <v>TRACE: Transparent Web Reliability Assessment with Contextual Explanations
Joydeep Chandra, Aleksandr Algazinov, Satyam Kumar Navneet, Rim El Filali, Matt Laing, Andrew Hanna, Yong Zhang
</v>
      </c>
      <c r="G203" s="240" t="s">
        <v>7447</v>
      </c>
      <c r="H203" s="240" t="s">
        <v>6829</v>
      </c>
      <c r="I203" s="240" t="s">
        <v>6830</v>
      </c>
      <c r="J203" s="240" t="s">
        <v>6831</v>
      </c>
      <c r="K203" s="240" t="s">
        <v>6830</v>
      </c>
      <c r="L203" s="240" t="s">
        <v>6832</v>
      </c>
      <c r="M203" s="240"/>
      <c r="N203" s="240"/>
      <c r="O203" s="240"/>
      <c r="P203" s="240"/>
      <c r="Q203" s="240"/>
      <c r="R203" s="240"/>
      <c r="S203" s="240"/>
      <c r="T203" s="240"/>
      <c r="U203" s="240"/>
      <c r="V203" s="240"/>
      <c r="W203" s="240"/>
      <c r="X203" s="240"/>
      <c r="Y203" s="240"/>
      <c r="Z203" s="240"/>
      <c r="AA203" s="240"/>
      <c r="AB203" s="240"/>
    </row>
    <row r="204">
      <c r="A204" s="240" t="s">
        <v>7448</v>
      </c>
      <c r="B204" s="240" t="s">
        <v>7436</v>
      </c>
      <c r="C204" s="240" t="s">
        <v>2764</v>
      </c>
      <c r="D204" s="240" t="s">
        <v>2765</v>
      </c>
      <c r="E204" s="240" t="s">
        <v>7449</v>
      </c>
      <c r="F204" s="169" t="str">
        <f t="shared" si="1"/>
        <v>Multi-Branch Cooperation Networks for Enhanced Click-Through Rate Prediction in Large-Scale E-Commerce Search
Xu Chen, Zida Cheng, Shuai Xiao, Chen Ju, Xiaoming Liu, Jinsong Lan, Xiaoyong Zhu, Bo Zheng
</v>
      </c>
      <c r="G204" s="240" t="s">
        <v>7450</v>
      </c>
      <c r="H204" s="240" t="s">
        <v>7451</v>
      </c>
      <c r="I204" s="240" t="s">
        <v>6830</v>
      </c>
      <c r="J204" s="240" t="s">
        <v>6831</v>
      </c>
      <c r="K204" s="240" t="s">
        <v>6830</v>
      </c>
      <c r="L204" s="240" t="s">
        <v>6832</v>
      </c>
      <c r="M204" s="240"/>
      <c r="N204" s="240"/>
      <c r="O204" s="240"/>
      <c r="P204" s="240"/>
      <c r="Q204" s="240"/>
      <c r="R204" s="240"/>
      <c r="S204" s="240"/>
      <c r="T204" s="240"/>
      <c r="U204" s="240"/>
      <c r="V204" s="240"/>
      <c r="W204" s="240"/>
      <c r="X204" s="240"/>
      <c r="Y204" s="240"/>
      <c r="Z204" s="240"/>
      <c r="AA204" s="240"/>
      <c r="AB204" s="240"/>
    </row>
    <row r="205">
      <c r="A205" s="240" t="s">
        <v>7452</v>
      </c>
      <c r="B205" s="240" t="s">
        <v>7436</v>
      </c>
      <c r="C205" s="240" t="s">
        <v>2766</v>
      </c>
      <c r="D205" s="240" t="s">
        <v>2767</v>
      </c>
      <c r="E205" s="240" t="s">
        <v>7453</v>
      </c>
      <c r="F205" s="169" t="str">
        <f t="shared" si="1"/>
        <v>Struggling at the Start: Structural Causes of Decoding Difficulty in Code Generation
Yuqi Zhu, Jia Li, Hao Jiang, Shengze Li, Jieyuan Zhang, Ang Li
</v>
      </c>
      <c r="G205" s="240" t="s">
        <v>7454</v>
      </c>
      <c r="H205" s="240" t="s">
        <v>7455</v>
      </c>
      <c r="I205" s="240" t="s">
        <v>6830</v>
      </c>
      <c r="J205" s="240" t="s">
        <v>6831</v>
      </c>
      <c r="K205" s="240" t="s">
        <v>6830</v>
      </c>
      <c r="L205" s="240" t="s">
        <v>6832</v>
      </c>
      <c r="M205" s="240"/>
      <c r="N205" s="240"/>
      <c r="O205" s="240"/>
      <c r="P205" s="240"/>
      <c r="Q205" s="240"/>
      <c r="R205" s="240"/>
      <c r="S205" s="240"/>
      <c r="T205" s="240"/>
      <c r="U205" s="240"/>
      <c r="V205" s="240"/>
      <c r="W205" s="240"/>
      <c r="X205" s="240"/>
      <c r="Y205" s="240"/>
      <c r="Z205" s="240"/>
      <c r="AA205" s="240"/>
      <c r="AB205" s="240"/>
    </row>
    <row r="206">
      <c r="A206" s="240" t="s">
        <v>7456</v>
      </c>
      <c r="B206" s="240" t="s">
        <v>7457</v>
      </c>
      <c r="C206" s="240" t="s">
        <v>24</v>
      </c>
      <c r="D206" s="240" t="s">
        <v>2768</v>
      </c>
      <c r="E206" s="240" t="s">
        <v>7458</v>
      </c>
      <c r="F206" s="169" t="str">
        <f t="shared" si="1"/>
        <v>International Workshop on Trustworthy Multimodal Learning for Social Media Analysis
Fengmao Lv, Jingwei Sun, Guosheng Lin
</v>
      </c>
      <c r="G206" s="240" t="s">
        <v>7459</v>
      </c>
      <c r="H206" s="240" t="s">
        <v>2955</v>
      </c>
      <c r="I206" s="240" t="s">
        <v>6830</v>
      </c>
      <c r="J206" s="240" t="s">
        <v>6831</v>
      </c>
      <c r="K206" s="240" t="s">
        <v>6830</v>
      </c>
      <c r="L206" s="240" t="s">
        <v>6832</v>
      </c>
      <c r="M206" s="240"/>
      <c r="N206" s="240"/>
      <c r="O206" s="240"/>
      <c r="P206" s="240"/>
      <c r="Q206" s="240"/>
      <c r="R206" s="240"/>
      <c r="S206" s="240"/>
      <c r="T206" s="240"/>
      <c r="U206" s="240"/>
      <c r="V206" s="240"/>
      <c r="W206" s="240"/>
      <c r="X206" s="240"/>
      <c r="Y206" s="240"/>
      <c r="Z206" s="240"/>
      <c r="AA206" s="240"/>
      <c r="AB206" s="240"/>
    </row>
    <row r="207">
      <c r="A207" s="240" t="s">
        <v>7460</v>
      </c>
      <c r="B207" s="240" t="s">
        <v>7457</v>
      </c>
      <c r="C207" s="240" t="s">
        <v>2769</v>
      </c>
      <c r="D207" s="240" t="s">
        <v>2770</v>
      </c>
      <c r="E207" s="240" t="s">
        <v>7461</v>
      </c>
      <c r="F207" s="169" t="str">
        <f t="shared" si="1"/>
        <v>GeoPBR: Multimodal-Guided PBR Material Generation from a Single View
Luying Zhou, Guowu Yang
</v>
      </c>
      <c r="G207" s="240" t="s">
        <v>7462</v>
      </c>
      <c r="H207" s="240" t="s">
        <v>7463</v>
      </c>
      <c r="I207" s="240" t="s">
        <v>6831</v>
      </c>
      <c r="J207" s="240" t="s">
        <v>6831</v>
      </c>
      <c r="K207" s="240" t="s">
        <v>6831</v>
      </c>
      <c r="L207" s="240" t="s">
        <v>6832</v>
      </c>
      <c r="M207" s="240"/>
      <c r="N207" s="240"/>
      <c r="O207" s="240"/>
      <c r="P207" s="240"/>
      <c r="Q207" s="240"/>
      <c r="R207" s="240"/>
      <c r="S207" s="240"/>
      <c r="T207" s="240"/>
      <c r="U207" s="240"/>
      <c r="V207" s="240"/>
      <c r="W207" s="240"/>
      <c r="X207" s="240"/>
      <c r="Y207" s="240"/>
      <c r="Z207" s="240"/>
      <c r="AA207" s="240"/>
      <c r="AB207" s="240"/>
    </row>
    <row r="208">
      <c r="A208" s="240" t="s">
        <v>7464</v>
      </c>
      <c r="B208" s="240" t="s">
        <v>7457</v>
      </c>
      <c r="C208" s="240" t="s">
        <v>2771</v>
      </c>
      <c r="D208" s="240" t="s">
        <v>2772</v>
      </c>
      <c r="E208" s="240" t="s">
        <v>7465</v>
      </c>
      <c r="F208" s="169" t="str">
        <f t="shared" si="1"/>
        <v>HGSA: Heterogeneity-Guided Sarcasm Adaptation for Video Sentiment Analysis via Polarity Disentanglement
Tiansheng Fang, Guowu Yang
</v>
      </c>
      <c r="G208" s="240" t="s">
        <v>7466</v>
      </c>
      <c r="H208" s="240" t="s">
        <v>7467</v>
      </c>
      <c r="I208" s="240" t="s">
        <v>6830</v>
      </c>
      <c r="J208" s="240" t="s">
        <v>6831</v>
      </c>
      <c r="K208" s="240" t="s">
        <v>6830</v>
      </c>
      <c r="L208" s="240" t="s">
        <v>6832</v>
      </c>
      <c r="M208" s="240"/>
      <c r="N208" s="240"/>
      <c r="O208" s="240"/>
      <c r="P208" s="240"/>
      <c r="Q208" s="240"/>
      <c r="R208" s="240"/>
      <c r="S208" s="240"/>
      <c r="T208" s="240"/>
      <c r="U208" s="240"/>
      <c r="V208" s="240"/>
      <c r="W208" s="240"/>
      <c r="X208" s="240"/>
      <c r="Y208" s="240"/>
      <c r="Z208" s="240"/>
      <c r="AA208" s="240"/>
      <c r="AB208" s="240"/>
    </row>
    <row r="209">
      <c r="A209" s="240" t="s">
        <v>7468</v>
      </c>
      <c r="B209" s="240" t="s">
        <v>7457</v>
      </c>
      <c r="C209" s="240" t="s">
        <v>2773</v>
      </c>
      <c r="D209" s="240" t="s">
        <v>2774</v>
      </c>
      <c r="E209" s="240" t="s">
        <v>7469</v>
      </c>
      <c r="F209" s="169" t="str">
        <f t="shared" si="1"/>
        <v>Sparse Causal Latent Features for Robust Multimodal Learning under Distribution Shifts
Liang Cao, Weide Liu, Yan Qin, Zhenghua Chen, Zhuo Chen, Bhushan Gopaluni
</v>
      </c>
      <c r="G209" s="240" t="s">
        <v>7470</v>
      </c>
      <c r="H209" s="240" t="s">
        <v>6829</v>
      </c>
      <c r="I209" s="240" t="s">
        <v>6830</v>
      </c>
      <c r="J209" s="240" t="s">
        <v>6831</v>
      </c>
      <c r="K209" s="240" t="s">
        <v>6830</v>
      </c>
      <c r="L209" s="240" t="s">
        <v>6832</v>
      </c>
      <c r="M209" s="240"/>
      <c r="N209" s="240"/>
      <c r="O209" s="240"/>
      <c r="P209" s="240"/>
      <c r="Q209" s="240"/>
      <c r="R209" s="240"/>
      <c r="S209" s="240"/>
      <c r="T209" s="240"/>
      <c r="U209" s="240"/>
      <c r="V209" s="240"/>
      <c r="W209" s="240"/>
      <c r="X209" s="240"/>
      <c r="Y209" s="240"/>
      <c r="Z209" s="240"/>
      <c r="AA209" s="240"/>
      <c r="AB209" s="240"/>
    </row>
    <row r="210">
      <c r="A210" s="240" t="s">
        <v>7471</v>
      </c>
      <c r="B210" s="240" t="s">
        <v>7457</v>
      </c>
      <c r="C210" s="240" t="s">
        <v>2775</v>
      </c>
      <c r="D210" s="240" t="s">
        <v>2776</v>
      </c>
      <c r="E210" s="240" t="s">
        <v>7472</v>
      </c>
      <c r="F210" s="169" t="str">
        <f t="shared" si="1"/>
        <v>Evidential Mixture-of-Experts for Sentiment Regression
Yankai Yu, Zhuyang Xie, Xiaofan Li, Yan Yang, Bo Peng, Yu He
</v>
      </c>
      <c r="G210" s="240" t="s">
        <v>7473</v>
      </c>
      <c r="H210" s="240" t="s">
        <v>7474</v>
      </c>
      <c r="I210" s="240" t="s">
        <v>6831</v>
      </c>
      <c r="J210" s="240" t="s">
        <v>6831</v>
      </c>
      <c r="K210" s="240" t="s">
        <v>6830</v>
      </c>
      <c r="L210" s="240" t="s">
        <v>6832</v>
      </c>
      <c r="M210" s="240"/>
      <c r="N210" s="240"/>
      <c r="O210" s="240"/>
      <c r="P210" s="240"/>
      <c r="Q210" s="240"/>
      <c r="R210" s="240"/>
      <c r="S210" s="240"/>
      <c r="T210" s="240"/>
      <c r="U210" s="240"/>
      <c r="V210" s="240"/>
      <c r="W210" s="240"/>
      <c r="X210" s="240"/>
      <c r="Y210" s="240"/>
      <c r="Z210" s="240"/>
      <c r="AA210" s="240"/>
      <c r="AB210" s="240"/>
    </row>
    <row r="211">
      <c r="A211" s="240" t="s">
        <v>7475</v>
      </c>
      <c r="B211" s="240" t="s">
        <v>7457</v>
      </c>
      <c r="C211" s="240" t="s">
        <v>2777</v>
      </c>
      <c r="D211" s="240" t="s">
        <v>2778</v>
      </c>
      <c r="E211" s="240" t="s">
        <v>7476</v>
      </c>
      <c r="F211" s="169" t="str">
        <f t="shared" si="1"/>
        <v>PLM: Point-Language Maps for Zero-shot Object Goal Navigation
Shengxiang Luo, Haonan Luo, Wenjing Yang, Tianrui Li, Yang Bai
</v>
      </c>
      <c r="G211" s="240" t="s">
        <v>7477</v>
      </c>
      <c r="H211" s="240" t="s">
        <v>7478</v>
      </c>
      <c r="I211" s="240" t="s">
        <v>6830</v>
      </c>
      <c r="J211" s="240" t="s">
        <v>6831</v>
      </c>
      <c r="K211" s="240" t="s">
        <v>6830</v>
      </c>
      <c r="L211" s="240" t="s">
        <v>6832</v>
      </c>
      <c r="M211" s="240"/>
      <c r="N211" s="240"/>
      <c r="O211" s="240"/>
      <c r="P211" s="240"/>
      <c r="Q211" s="240"/>
      <c r="R211" s="240"/>
      <c r="S211" s="240"/>
      <c r="T211" s="240"/>
      <c r="U211" s="240"/>
      <c r="V211" s="240"/>
      <c r="W211" s="240"/>
      <c r="X211" s="240"/>
      <c r="Y211" s="240"/>
      <c r="Z211" s="240"/>
      <c r="AA211" s="240"/>
      <c r="AB211" s="240"/>
    </row>
    <row r="212">
      <c r="A212" s="240" t="s">
        <v>7479</v>
      </c>
      <c r="B212" s="240" t="s">
        <v>7457</v>
      </c>
      <c r="C212" s="240" t="s">
        <v>2779</v>
      </c>
      <c r="D212" s="240" t="s">
        <v>2780</v>
      </c>
      <c r="E212" s="240" t="s">
        <v>7480</v>
      </c>
      <c r="F212" s="169" t="str">
        <f t="shared" si="1"/>
        <v>Task-Aligned Unlearning for Multimodal Large Language Models
Tianyu Zhang, Chenlu Ding, Junfeng Fang, Jiancan Wu, Xiang Wang
</v>
      </c>
      <c r="G212" s="240" t="s">
        <v>6382</v>
      </c>
      <c r="H212" s="240" t="s">
        <v>6829</v>
      </c>
      <c r="I212" s="240" t="s">
        <v>6830</v>
      </c>
      <c r="J212" s="240" t="s">
        <v>6831</v>
      </c>
      <c r="K212" s="240" t="s">
        <v>6830</v>
      </c>
      <c r="L212" s="240" t="s">
        <v>6832</v>
      </c>
      <c r="M212" s="240"/>
      <c r="N212" s="240"/>
      <c r="O212" s="240"/>
      <c r="P212" s="240"/>
      <c r="Q212" s="240"/>
      <c r="R212" s="240"/>
      <c r="S212" s="240"/>
      <c r="T212" s="240"/>
      <c r="U212" s="240"/>
      <c r="V212" s="240"/>
      <c r="W212" s="240"/>
      <c r="X212" s="240"/>
      <c r="Y212" s="240"/>
      <c r="Z212" s="240"/>
      <c r="AA212" s="240"/>
      <c r="AB212" s="240"/>
    </row>
    <row r="213">
      <c r="A213" s="240" t="s">
        <v>7481</v>
      </c>
      <c r="B213" s="240" t="s">
        <v>7457</v>
      </c>
      <c r="C213" s="240" t="s">
        <v>2781</v>
      </c>
      <c r="D213" s="240" t="s">
        <v>2782</v>
      </c>
      <c r="E213" s="240" t="s">
        <v>7482</v>
      </c>
      <c r="F213" s="169" t="str">
        <f t="shared" si="1"/>
        <v>Unsupervised Multi-Source Causal Feature Selection
Zijing Wang, Minghui Lu, Minbo Ma, Yanyong Huang
</v>
      </c>
      <c r="G213" s="240" t="s">
        <v>7483</v>
      </c>
      <c r="H213" s="240" t="s">
        <v>6829</v>
      </c>
      <c r="I213" s="240" t="s">
        <v>6830</v>
      </c>
      <c r="J213" s="240" t="s">
        <v>6831</v>
      </c>
      <c r="K213" s="240" t="s">
        <v>6830</v>
      </c>
      <c r="L213" s="240" t="s">
        <v>6832</v>
      </c>
      <c r="M213" s="240"/>
      <c r="N213" s="240"/>
      <c r="O213" s="240"/>
      <c r="P213" s="240"/>
      <c r="Q213" s="240"/>
      <c r="R213" s="240"/>
      <c r="S213" s="240"/>
      <c r="T213" s="240"/>
      <c r="U213" s="240"/>
      <c r="V213" s="240"/>
      <c r="W213" s="240"/>
      <c r="X213" s="240"/>
      <c r="Y213" s="240"/>
      <c r="Z213" s="240"/>
      <c r="AA213" s="240"/>
      <c r="AB213" s="240"/>
    </row>
    <row r="214">
      <c r="A214" s="240" t="s">
        <v>7484</v>
      </c>
      <c r="B214" s="240" t="s">
        <v>7457</v>
      </c>
      <c r="C214" s="240" t="s">
        <v>2783</v>
      </c>
      <c r="D214" s="240" t="s">
        <v>2784</v>
      </c>
      <c r="E214" s="240" t="s">
        <v>7485</v>
      </c>
      <c r="F214" s="169" t="str">
        <f t="shared" si="1"/>
        <v>EmoTg: Modeling Social Response to Telegram Posts Using LLM and NLP Features
Sergei Kurashkin, Ivan Malashin, Dmitry Martysyuk, Vladimir Nelyub, Igor Masich, Andrei Gantimurov, Aleksei Borodulin, Vadim Tynchenko
</v>
      </c>
      <c r="G214" s="240" t="s">
        <v>7486</v>
      </c>
      <c r="H214" s="240" t="s">
        <v>7124</v>
      </c>
      <c r="I214" s="240" t="s">
        <v>6830</v>
      </c>
      <c r="J214" s="240" t="s">
        <v>6831</v>
      </c>
      <c r="K214" s="240" t="s">
        <v>6830</v>
      </c>
      <c r="L214" s="240" t="s">
        <v>6832</v>
      </c>
      <c r="M214" s="240"/>
      <c r="N214" s="240"/>
      <c r="O214" s="240"/>
      <c r="P214" s="240"/>
      <c r="Q214" s="240"/>
      <c r="R214" s="240"/>
      <c r="S214" s="240"/>
      <c r="T214" s="240"/>
      <c r="U214" s="240"/>
      <c r="V214" s="240"/>
      <c r="W214" s="240"/>
      <c r="X214" s="240"/>
      <c r="Y214" s="240"/>
      <c r="Z214" s="240"/>
      <c r="AA214" s="240"/>
      <c r="AB214" s="240"/>
    </row>
    <row r="215">
      <c r="A215" s="240" t="s">
        <v>7487</v>
      </c>
      <c r="B215" s="240" t="s">
        <v>7488</v>
      </c>
      <c r="C215" s="240" t="s">
        <v>2785</v>
      </c>
      <c r="D215" s="240" t="s">
        <v>2786</v>
      </c>
      <c r="E215" s="240" t="s">
        <v>7489</v>
      </c>
      <c r="F215" s="169" t="str">
        <f t="shared" si="1"/>
        <v>WebAndTheCity 12th International Smart City Workshop - Data-Driven Smart Cities
Leonidas Anthopoulos, Marijn Janssen, Vishanth Weerakkody
</v>
      </c>
      <c r="G215" s="240" t="s">
        <v>7490</v>
      </c>
      <c r="H215" s="240" t="s">
        <v>2955</v>
      </c>
      <c r="I215" s="240" t="s">
        <v>6830</v>
      </c>
      <c r="J215" s="240" t="s">
        <v>6831</v>
      </c>
      <c r="K215" s="240" t="s">
        <v>6830</v>
      </c>
      <c r="L215" s="240" t="s">
        <v>6832</v>
      </c>
      <c r="M215" s="240"/>
      <c r="N215" s="240"/>
      <c r="O215" s="240"/>
      <c r="P215" s="240"/>
      <c r="Q215" s="240"/>
      <c r="R215" s="240"/>
      <c r="S215" s="240"/>
      <c r="T215" s="240"/>
      <c r="U215" s="240"/>
      <c r="V215" s="240"/>
      <c r="W215" s="240"/>
      <c r="X215" s="240"/>
      <c r="Y215" s="240"/>
      <c r="Z215" s="240"/>
      <c r="AA215" s="240"/>
      <c r="AB215" s="240"/>
    </row>
    <row r="216">
      <c r="A216" s="240" t="s">
        <v>7491</v>
      </c>
      <c r="B216" s="240" t="s">
        <v>7488</v>
      </c>
      <c r="C216" s="240" t="s">
        <v>2787</v>
      </c>
      <c r="D216" s="240" t="s">
        <v>2788</v>
      </c>
      <c r="E216" s="240" t="s">
        <v>7492</v>
      </c>
      <c r="F216" s="169" t="str">
        <f t="shared" si="1"/>
        <v>A Toolset for Modelling Non-Mediated Governance
Alois Paulin
</v>
      </c>
      <c r="G216" s="240" t="s">
        <v>7493</v>
      </c>
      <c r="H216" s="240" t="s">
        <v>7494</v>
      </c>
      <c r="I216" s="240" t="s">
        <v>6830</v>
      </c>
      <c r="J216" s="240" t="s">
        <v>6831</v>
      </c>
      <c r="K216" s="240" t="s">
        <v>6830</v>
      </c>
      <c r="L216" s="240" t="s">
        <v>6832</v>
      </c>
      <c r="M216" s="240"/>
      <c r="N216" s="240"/>
      <c r="O216" s="240"/>
      <c r="P216" s="240"/>
      <c r="Q216" s="240"/>
      <c r="R216" s="240"/>
      <c r="S216" s="240"/>
      <c r="T216" s="240"/>
      <c r="U216" s="240"/>
      <c r="V216" s="240"/>
      <c r="W216" s="240"/>
      <c r="X216" s="240"/>
      <c r="Y216" s="240"/>
      <c r="Z216" s="240"/>
      <c r="AA216" s="240"/>
      <c r="AB216" s="240"/>
    </row>
    <row r="217">
      <c r="A217" s="240" t="s">
        <v>7495</v>
      </c>
      <c r="B217" s="240" t="s">
        <v>7488</v>
      </c>
      <c r="C217" s="240" t="s">
        <v>2789</v>
      </c>
      <c r="D217" s="240" t="s">
        <v>2790</v>
      </c>
      <c r="E217" s="240" t="s">
        <v>7496</v>
      </c>
      <c r="F217" s="169" t="str">
        <f t="shared" si="1"/>
        <v>Boltzmann Interaction Models with Gibbs Decision Policies in Multi-Agent Delivery Systems
Vitaly Krasikov, Ivan Malashin, Aleksei Borodulin, Andrei Gantimurov, Dmitry Martysyuk, Vladimir Nelyub, Igor Masich, Vadim Tynchneko
</v>
      </c>
      <c r="G217" s="240" t="s">
        <v>7497</v>
      </c>
      <c r="H217" s="240" t="s">
        <v>7124</v>
      </c>
      <c r="I217" s="240" t="s">
        <v>6830</v>
      </c>
      <c r="J217" s="240" t="s">
        <v>6831</v>
      </c>
      <c r="K217" s="240" t="s">
        <v>6830</v>
      </c>
      <c r="L217" s="240" t="s">
        <v>6832</v>
      </c>
      <c r="M217" s="240"/>
      <c r="N217" s="240"/>
      <c r="O217" s="240"/>
      <c r="P217" s="240"/>
      <c r="Q217" s="240"/>
      <c r="R217" s="240"/>
      <c r="S217" s="240"/>
      <c r="T217" s="240"/>
      <c r="U217" s="240"/>
      <c r="V217" s="240"/>
      <c r="W217" s="240"/>
      <c r="X217" s="240"/>
      <c r="Y217" s="240"/>
      <c r="Z217" s="240"/>
      <c r="AA217" s="240"/>
      <c r="AB217" s="240"/>
    </row>
    <row r="218">
      <c r="A218" s="240" t="s">
        <v>7498</v>
      </c>
      <c r="B218" s="240" t="s">
        <v>7488</v>
      </c>
      <c r="C218" s="240" t="s">
        <v>2791</v>
      </c>
      <c r="D218" s="240" t="s">
        <v>2792</v>
      </c>
      <c r="E218" s="240" t="s">
        <v>7499</v>
      </c>
      <c r="F218" s="169" t="str">
        <f t="shared" si="1"/>
        <v>LLM-Enabled Participatory Platforms for People-Centric Smart Cities
Miguel Domingues, Marco Neto, Amanda Silva, Tomas Dias, Luis Rosa, Pedro Tomas, Carla Guerra, Vania Martins, Luis Cordeiro
</v>
      </c>
      <c r="G218" s="240" t="s">
        <v>7500</v>
      </c>
      <c r="H218" s="240" t="s">
        <v>7501</v>
      </c>
      <c r="I218" s="240" t="s">
        <v>6830</v>
      </c>
      <c r="J218" s="240" t="s">
        <v>6831</v>
      </c>
      <c r="K218" s="240" t="s">
        <v>6830</v>
      </c>
      <c r="L218" s="240" t="s">
        <v>6832</v>
      </c>
      <c r="M218" s="240"/>
      <c r="N218" s="240"/>
      <c r="O218" s="240"/>
      <c r="P218" s="240"/>
      <c r="Q218" s="240"/>
      <c r="R218" s="240"/>
      <c r="S218" s="240"/>
      <c r="T218" s="240"/>
      <c r="U218" s="240"/>
      <c r="V218" s="240"/>
      <c r="W218" s="240"/>
      <c r="X218" s="240"/>
      <c r="Y218" s="240"/>
      <c r="Z218" s="240"/>
      <c r="AA218" s="240"/>
      <c r="AB218" s="240"/>
    </row>
    <row r="219">
      <c r="A219" s="240" t="s">
        <v>7502</v>
      </c>
      <c r="B219" s="240" t="s">
        <v>7488</v>
      </c>
      <c r="C219" s="240" t="s">
        <v>2793</v>
      </c>
      <c r="D219" s="240" t="s">
        <v>2794</v>
      </c>
      <c r="E219" s="240" t="s">
        <v>7503</v>
      </c>
      <c r="F219" s="169" t="str">
        <f t="shared" si="1"/>
        <v>Super-Resolution of Urban Socioeconomic Indicators via Graph-Based Recommender Systems
Francesco Paolo Nerini, Claudio Borile, Antonio Ferrara, André Panisson
</v>
      </c>
      <c r="G219" s="240" t="s">
        <v>7504</v>
      </c>
      <c r="H219" s="240" t="s">
        <v>6829</v>
      </c>
      <c r="I219" s="240" t="s">
        <v>6830</v>
      </c>
      <c r="J219" s="240" t="s">
        <v>6830</v>
      </c>
      <c r="K219" s="240" t="s">
        <v>6830</v>
      </c>
      <c r="L219" s="240" t="s">
        <v>6832</v>
      </c>
      <c r="M219" s="240"/>
      <c r="N219" s="240"/>
      <c r="O219" s="240"/>
      <c r="P219" s="240"/>
      <c r="Q219" s="240"/>
      <c r="R219" s="240"/>
      <c r="S219" s="240"/>
      <c r="T219" s="240"/>
      <c r="U219" s="240"/>
      <c r="V219" s="240"/>
      <c r="W219" s="240"/>
      <c r="X219" s="240"/>
      <c r="Y219" s="240"/>
      <c r="Z219" s="240"/>
      <c r="AA219" s="240"/>
      <c r="AB219" s="240"/>
    </row>
    <row r="220">
      <c r="A220" s="240" t="s">
        <v>7505</v>
      </c>
      <c r="B220" s="240" t="s">
        <v>7488</v>
      </c>
      <c r="C220" s="240" t="s">
        <v>2795</v>
      </c>
      <c r="D220" s="240" t="s">
        <v>2796</v>
      </c>
      <c r="E220" s="240" t="s">
        <v>7506</v>
      </c>
      <c r="F220" s="169" t="str">
        <f t="shared" si="1"/>
        <v>Closed-Loop Intelligence Architectures for Data-Driven Smart Cities
João Fernandes, José Guimarães, André S. de Carvalho, Luís Rosa, Arush Mendon, David Portugal, Carlos Viegas, Luís Cordeiro
</v>
      </c>
      <c r="G220" s="240" t="s">
        <v>7507</v>
      </c>
      <c r="H220" s="240" t="s">
        <v>7508</v>
      </c>
      <c r="I220" s="240" t="s">
        <v>6830</v>
      </c>
      <c r="J220" s="240" t="s">
        <v>6831</v>
      </c>
      <c r="K220" s="240" t="s">
        <v>6830</v>
      </c>
      <c r="L220" s="240" t="s">
        <v>6832</v>
      </c>
      <c r="M220" s="240"/>
      <c r="N220" s="240"/>
      <c r="O220" s="240"/>
      <c r="P220" s="240"/>
      <c r="Q220" s="240"/>
      <c r="R220" s="240"/>
      <c r="S220" s="240"/>
      <c r="T220" s="240"/>
      <c r="U220" s="240"/>
      <c r="V220" s="240"/>
      <c r="W220" s="240"/>
      <c r="X220" s="240"/>
      <c r="Y220" s="240"/>
      <c r="Z220" s="240"/>
      <c r="AA220" s="240"/>
      <c r="AB220" s="240"/>
    </row>
    <row r="221">
      <c r="A221" s="240" t="s">
        <v>7509</v>
      </c>
      <c r="B221" s="240" t="s">
        <v>7488</v>
      </c>
      <c r="C221" s="240" t="s">
        <v>2797</v>
      </c>
      <c r="D221" s="240" t="s">
        <v>2798</v>
      </c>
      <c r="E221" s="240" t="s">
        <v>7510</v>
      </c>
      <c r="F221" s="169" t="str">
        <f t="shared" si="1"/>
        <v>A Contrastive Learning and Prompt-Driven Framework for Low-Resource User Geolocation
Menglin Li, Kwan Hui Lim
</v>
      </c>
      <c r="G221" s="240" t="s">
        <v>7511</v>
      </c>
      <c r="H221" s="240" t="s">
        <v>6829</v>
      </c>
      <c r="I221" s="240" t="s">
        <v>6830</v>
      </c>
      <c r="J221" s="240" t="s">
        <v>6831</v>
      </c>
      <c r="K221" s="240" t="s">
        <v>6830</v>
      </c>
      <c r="L221" s="240" t="s">
        <v>6832</v>
      </c>
      <c r="M221" s="240"/>
      <c r="N221" s="240"/>
      <c r="O221" s="240"/>
      <c r="P221" s="240"/>
      <c r="Q221" s="240"/>
      <c r="R221" s="240"/>
      <c r="S221" s="240"/>
      <c r="T221" s="240"/>
      <c r="U221" s="240"/>
      <c r="V221" s="240"/>
      <c r="W221" s="240"/>
      <c r="X221" s="240"/>
      <c r="Y221" s="240"/>
      <c r="Z221" s="240"/>
      <c r="AA221" s="240"/>
      <c r="AB221" s="240"/>
    </row>
    <row r="222">
      <c r="A222" s="240" t="s">
        <v>7512</v>
      </c>
      <c r="B222" s="240" t="s">
        <v>7488</v>
      </c>
      <c r="C222" s="240" t="s">
        <v>2799</v>
      </c>
      <c r="D222" s="240" t="s">
        <v>2800</v>
      </c>
      <c r="E222" s="240" t="s">
        <v>7513</v>
      </c>
      <c r="F222" s="169" t="str">
        <f t="shared" si="1"/>
        <v>Big Data and AI in Smart City Negotiations: A Literature Review
Leonidas Anthopoulos, Dimitris Apostolopoulos
</v>
      </c>
      <c r="G222" s="240" t="s">
        <v>7490</v>
      </c>
      <c r="H222" s="240" t="s">
        <v>6829</v>
      </c>
      <c r="I222" s="240" t="s">
        <v>6830</v>
      </c>
      <c r="J222" s="240" t="s">
        <v>6831</v>
      </c>
      <c r="K222" s="240" t="s">
        <v>6830</v>
      </c>
      <c r="L222" s="240" t="s">
        <v>6832</v>
      </c>
      <c r="M222" s="240"/>
      <c r="N222" s="240"/>
      <c r="O222" s="240"/>
      <c r="P222" s="240"/>
      <c r="Q222" s="240"/>
      <c r="R222" s="240"/>
      <c r="S222" s="240"/>
      <c r="T222" s="240"/>
      <c r="U222" s="240"/>
      <c r="V222" s="240"/>
      <c r="W222" s="240"/>
      <c r="X222" s="240"/>
      <c r="Y222" s="240"/>
      <c r="Z222" s="240"/>
      <c r="AA222" s="240"/>
      <c r="AB222" s="240"/>
    </row>
    <row r="223">
      <c r="A223" s="240" t="s">
        <v>7514</v>
      </c>
      <c r="B223" s="240" t="s">
        <v>7350</v>
      </c>
      <c r="C223" s="240" t="s">
        <v>2801</v>
      </c>
      <c r="D223" s="240" t="s">
        <v>2802</v>
      </c>
      <c r="E223" s="240" t="s">
        <v>7515</v>
      </c>
      <c r="F223" s="169" t="str">
        <f t="shared" si="1"/>
        <v>Social Bias Benchmarks for Large Language Models
Yue Feng
</v>
      </c>
      <c r="G223" s="240" t="s">
        <v>7516</v>
      </c>
      <c r="H223" s="240" t="s">
        <v>2955</v>
      </c>
      <c r="I223" s="240" t="s">
        <v>6830</v>
      </c>
      <c r="J223" s="240" t="s">
        <v>6831</v>
      </c>
      <c r="K223" s="240" t="s">
        <v>6830</v>
      </c>
      <c r="L223" s="240" t="s">
        <v>6832</v>
      </c>
      <c r="M223" s="240"/>
      <c r="N223" s="240"/>
      <c r="O223" s="240"/>
      <c r="P223" s="240"/>
      <c r="Q223" s="240"/>
      <c r="R223" s="240"/>
      <c r="S223" s="240"/>
      <c r="T223" s="240"/>
      <c r="U223" s="240"/>
      <c r="V223" s="240"/>
      <c r="W223" s="240"/>
      <c r="X223" s="240"/>
      <c r="Y223" s="240"/>
      <c r="Z223" s="240"/>
      <c r="AA223" s="240"/>
      <c r="AB223" s="240"/>
    </row>
    <row r="224">
      <c r="A224" s="240" t="s">
        <v>7517</v>
      </c>
      <c r="B224" s="240" t="s">
        <v>7279</v>
      </c>
      <c r="C224" s="240" t="s">
        <v>2803</v>
      </c>
      <c r="D224" s="240" t="s">
        <v>2804</v>
      </c>
      <c r="E224" s="240" t="s">
        <v>7518</v>
      </c>
      <c r="F224" s="169" t="str">
        <f t="shared" si="1"/>
        <v>Mixture of Orthogonal Decomposition for Semantically Generalisable Multimodal Deepfake Detection with Deepfake Manifold Disentanglement
Qian Liu, Zongxiong Chen, Sonja Schimmler, Manfred Hauswirth
</v>
      </c>
      <c r="G224" s="240" t="s">
        <v>7519</v>
      </c>
      <c r="H224" s="240" t="s">
        <v>6829</v>
      </c>
      <c r="I224" s="240" t="s">
        <v>6830</v>
      </c>
      <c r="J224" s="240" t="s">
        <v>6830</v>
      </c>
      <c r="K224" s="240" t="s">
        <v>6830</v>
      </c>
      <c r="L224" s="240" t="s">
        <v>6832</v>
      </c>
      <c r="M224" s="240"/>
      <c r="N224" s="240"/>
      <c r="O224" s="240"/>
      <c r="P224" s="240"/>
      <c r="Q224" s="240"/>
      <c r="R224" s="240"/>
      <c r="S224" s="240"/>
      <c r="T224" s="240"/>
      <c r="U224" s="240"/>
      <c r="V224" s="240"/>
      <c r="W224" s="240"/>
      <c r="X224" s="240"/>
      <c r="Y224" s="240"/>
      <c r="Z224" s="240"/>
      <c r="AA224" s="240"/>
      <c r="AB224" s="240"/>
    </row>
    <row r="225">
      <c r="A225" s="240" t="s">
        <v>7520</v>
      </c>
      <c r="B225" s="240" t="s">
        <v>7436</v>
      </c>
      <c r="C225" s="240" t="s">
        <v>2805</v>
      </c>
      <c r="D225" s="240" t="s">
        <v>2806</v>
      </c>
      <c r="E225" s="240" t="s">
        <v>7521</v>
      </c>
      <c r="F225" s="169" t="str">
        <f t="shared" si="1"/>
        <v>Prediction Guardian: A Distribution-based Real-time Anomaly Detection and Mitigation Framework for Online Advertising
Gaurav Nagar, Yang Jin, Heesuk Son, Mohit Asudani, Shubham Gupta, Xing Zhang, Kestutis Patiejunas, Atul Goyal, Huan Guo, Jing Maggie Ma, Yijia Liu, Yi Meng, Bilal Fadlallah
</v>
      </c>
      <c r="G225" s="240" t="s">
        <v>7522</v>
      </c>
      <c r="H225" s="240" t="s">
        <v>6829</v>
      </c>
      <c r="I225" s="240" t="s">
        <v>6830</v>
      </c>
      <c r="J225" s="240" t="s">
        <v>6831</v>
      </c>
      <c r="K225" s="240" t="s">
        <v>6830</v>
      </c>
      <c r="L225" s="240" t="s">
        <v>6832</v>
      </c>
      <c r="M225" s="240"/>
      <c r="N225" s="240"/>
      <c r="O225" s="240"/>
      <c r="P225" s="240"/>
      <c r="Q225" s="240"/>
      <c r="R225" s="240"/>
      <c r="S225" s="240"/>
      <c r="T225" s="240"/>
      <c r="U225" s="240"/>
      <c r="V225" s="240"/>
      <c r="W225" s="240"/>
      <c r="X225" s="240"/>
      <c r="Y225" s="240"/>
      <c r="Z225" s="240"/>
      <c r="AA225" s="240"/>
      <c r="AB225" s="240"/>
    </row>
    <row r="226">
      <c r="A226" s="240" t="s">
        <v>7523</v>
      </c>
      <c r="B226" s="240" t="s">
        <v>7210</v>
      </c>
      <c r="C226" s="240" t="s">
        <v>2807</v>
      </c>
      <c r="D226" s="240" t="s">
        <v>2808</v>
      </c>
      <c r="E226" s="240" t="s">
        <v>7524</v>
      </c>
      <c r="F226" s="169" t="str">
        <f t="shared" si="1"/>
        <v>NANDA: Resolution, Discovery, and Governance for the Agentic Web
Ramesh Raskar
</v>
      </c>
      <c r="G226" s="240" t="s">
        <v>7525</v>
      </c>
      <c r="H226" s="240" t="s">
        <v>2955</v>
      </c>
      <c r="I226" s="240" t="s">
        <v>6830</v>
      </c>
      <c r="J226" s="240" t="s">
        <v>6830</v>
      </c>
      <c r="K226" s="240" t="s">
        <v>6830</v>
      </c>
      <c r="L226" s="240" t="s">
        <v>6832</v>
      </c>
      <c r="M226" s="240"/>
      <c r="N226" s="240"/>
      <c r="O226" s="240"/>
      <c r="P226" s="240"/>
      <c r="Q226" s="240"/>
      <c r="R226" s="240"/>
      <c r="S226" s="240"/>
      <c r="T226" s="240"/>
      <c r="U226" s="240"/>
      <c r="V226" s="240"/>
      <c r="W226" s="240"/>
      <c r="X226" s="240"/>
      <c r="Y226" s="240"/>
      <c r="Z226" s="240"/>
      <c r="AA226" s="240"/>
      <c r="AB226" s="240"/>
    </row>
    <row r="227">
      <c r="A227" s="240" t="s">
        <v>7526</v>
      </c>
      <c r="B227" s="240" t="s">
        <v>7527</v>
      </c>
      <c r="C227" s="240" t="s">
        <v>2809</v>
      </c>
      <c r="D227" s="240" t="s">
        <v>2810</v>
      </c>
      <c r="E227" s="240" t="s">
        <v>7528</v>
      </c>
      <c r="F227" s="169" t="str">
        <f t="shared" si="1"/>
        <v>DHOW-MiLLA: Joint Workshop on Diffusion of Harmful Content on Online Web and Countering Misinformation in the Age of LLMs and Agents
Gautam Kishore Shahi, Thomas Mandl, Haiming Liu, Amit Kumar Jaiswal, Durgesh Nandini, Luis-Daniel Ibáñez, Junichi Suga, Dai Yamamoto, Rahul Mishra, Rajakrishnan P Rajkumar, Sagar Uprety, Bornali Phukon, Sujit Kumar
</v>
      </c>
      <c r="G227" s="240" t="s">
        <v>7529</v>
      </c>
      <c r="H227" s="240" t="s">
        <v>2955</v>
      </c>
      <c r="I227" s="240" t="s">
        <v>6831</v>
      </c>
      <c r="J227" s="240" t="s">
        <v>6831</v>
      </c>
      <c r="K227" s="240" t="s">
        <v>6831</v>
      </c>
      <c r="L227" s="240" t="s">
        <v>6832</v>
      </c>
      <c r="M227" s="240"/>
      <c r="N227" s="240"/>
      <c r="O227" s="240"/>
      <c r="P227" s="240"/>
      <c r="Q227" s="240"/>
      <c r="R227" s="240"/>
      <c r="S227" s="240"/>
      <c r="T227" s="240"/>
      <c r="U227" s="240"/>
      <c r="V227" s="240"/>
      <c r="W227" s="240"/>
      <c r="X227" s="240"/>
      <c r="Y227" s="240"/>
      <c r="Z227" s="240"/>
      <c r="AA227" s="240"/>
      <c r="AB227" s="240"/>
    </row>
    <row r="228">
      <c r="A228" s="240" t="s">
        <v>7530</v>
      </c>
      <c r="B228" s="240" t="s">
        <v>7527</v>
      </c>
      <c r="C228" s="240" t="s">
        <v>2811</v>
      </c>
      <c r="D228" s="240" t="s">
        <v>2812</v>
      </c>
      <c r="E228" s="240" t="s">
        <v>7531</v>
      </c>
      <c r="F228" s="169" t="str">
        <f t="shared" si="1"/>
        <v>Deception Factories: Industrial-Scale Cloaking in Harmful Synthetic Media
Ewelina Bartuzi-Trokielewicz, Alicja Martinek, Mateusz Trokielewicz
</v>
      </c>
      <c r="G228" s="240" t="s">
        <v>7127</v>
      </c>
      <c r="H228" s="240" t="s">
        <v>7532</v>
      </c>
      <c r="I228" s="240" t="s">
        <v>6831</v>
      </c>
      <c r="J228" s="240" t="s">
        <v>6831</v>
      </c>
      <c r="K228" s="240" t="s">
        <v>6831</v>
      </c>
      <c r="L228" s="240" t="s">
        <v>6832</v>
      </c>
      <c r="M228" s="240"/>
      <c r="N228" s="240"/>
      <c r="O228" s="240"/>
      <c r="P228" s="240"/>
      <c r="Q228" s="240"/>
      <c r="R228" s="240"/>
      <c r="S228" s="240"/>
      <c r="T228" s="240"/>
      <c r="U228" s="240"/>
      <c r="V228" s="240"/>
      <c r="W228" s="240"/>
      <c r="X228" s="240"/>
      <c r="Y228" s="240"/>
      <c r="Z228" s="240"/>
      <c r="AA228" s="240"/>
      <c r="AB228" s="240"/>
    </row>
    <row r="229">
      <c r="A229" s="240" t="s">
        <v>7533</v>
      </c>
      <c r="B229" s="240" t="s">
        <v>7527</v>
      </c>
      <c r="C229" s="240" t="s">
        <v>2813</v>
      </c>
      <c r="D229" s="240" t="s">
        <v>2814</v>
      </c>
      <c r="E229" s="240" t="s">
        <v>7534</v>
      </c>
      <c r="F229" s="169" t="str">
        <f t="shared" si="1"/>
        <v>RAMA: Retrieval-Augmented Multi-Agent Framework for Misinformation Detection in Multimodal Fact-Checking
Shuo Yang, Zijian Yu, Zhenzhe Ying, Yuqin Dai, Guoqing Wang, Jun Lan, Jinfeng Xu, Jinze Li, Edith Ngai
</v>
      </c>
      <c r="G229" s="240" t="s">
        <v>7535</v>
      </c>
      <c r="H229" s="240" t="s">
        <v>6829</v>
      </c>
      <c r="I229" s="240" t="s">
        <v>6831</v>
      </c>
      <c r="J229" s="240" t="s">
        <v>6831</v>
      </c>
      <c r="K229" s="240" t="s">
        <v>6831</v>
      </c>
      <c r="L229" s="240" t="s">
        <v>6832</v>
      </c>
      <c r="M229" s="240"/>
      <c r="N229" s="240"/>
      <c r="O229" s="240"/>
      <c r="P229" s="240"/>
      <c r="Q229" s="240"/>
      <c r="R229" s="240"/>
      <c r="S229" s="240"/>
      <c r="T229" s="240"/>
      <c r="U229" s="240"/>
      <c r="V229" s="240"/>
      <c r="W229" s="240"/>
      <c r="X229" s="240"/>
      <c r="Y229" s="240"/>
      <c r="Z229" s="240"/>
      <c r="AA229" s="240"/>
      <c r="AB229" s="240"/>
    </row>
    <row r="230">
      <c r="A230" s="240" t="s">
        <v>7536</v>
      </c>
      <c r="B230" s="240" t="s">
        <v>7527</v>
      </c>
      <c r="C230" s="240" t="s">
        <v>2815</v>
      </c>
      <c r="D230" s="240" t="s">
        <v>2816</v>
      </c>
      <c r="E230" s="240" t="s">
        <v>7537</v>
      </c>
      <c r="F230" s="169" t="str">
        <f t="shared" si="1"/>
        <v>ToxiTwitch: Toward Emote-Aware Hybrid Moderation for Live Streaming Platforms
Baktash Ansari, Elias Martin, Afra Mashhadi
</v>
      </c>
      <c r="G230" s="240" t="s">
        <v>7538</v>
      </c>
      <c r="H230" s="240" t="s">
        <v>6829</v>
      </c>
      <c r="I230" s="240" t="s">
        <v>6830</v>
      </c>
      <c r="J230" s="240" t="s">
        <v>6831</v>
      </c>
      <c r="K230" s="240" t="s">
        <v>6830</v>
      </c>
      <c r="L230" s="240" t="s">
        <v>6832</v>
      </c>
      <c r="M230" s="240"/>
      <c r="N230" s="240"/>
      <c r="O230" s="240"/>
      <c r="P230" s="240"/>
      <c r="Q230" s="240"/>
      <c r="R230" s="240"/>
      <c r="S230" s="240"/>
      <c r="T230" s="240"/>
      <c r="U230" s="240"/>
      <c r="V230" s="240"/>
      <c r="W230" s="240"/>
      <c r="X230" s="240"/>
      <c r="Y230" s="240"/>
      <c r="Z230" s="240"/>
      <c r="AA230" s="240"/>
      <c r="AB230" s="240"/>
    </row>
    <row r="231">
      <c r="A231" s="240" t="s">
        <v>7539</v>
      </c>
      <c r="B231" s="240" t="s">
        <v>7527</v>
      </c>
      <c r="C231" s="240" t="s">
        <v>2817</v>
      </c>
      <c r="D231" s="240" t="s">
        <v>2818</v>
      </c>
      <c r="E231" s="240" t="s">
        <v>7540</v>
      </c>
      <c r="F231" s="169" t="str">
        <f t="shared" si="1"/>
        <v>Context-Aware Silhouette-Based Age Estimation for Child Sexual Abuse Material (CSAM) Detection
Michał Koźbiał, Ewelina Bartuzi-Trokielewicz
</v>
      </c>
      <c r="G231" s="240" t="s">
        <v>7339</v>
      </c>
      <c r="H231" s="240" t="s">
        <v>7541</v>
      </c>
      <c r="I231" s="240" t="s">
        <v>6830</v>
      </c>
      <c r="J231" s="240" t="s">
        <v>6830</v>
      </c>
      <c r="K231" s="240" t="s">
        <v>6830</v>
      </c>
      <c r="L231" s="240" t="s">
        <v>6832</v>
      </c>
      <c r="M231" s="240"/>
      <c r="N231" s="240"/>
      <c r="O231" s="240"/>
      <c r="P231" s="240"/>
      <c r="Q231" s="240"/>
      <c r="R231" s="240"/>
      <c r="S231" s="240"/>
      <c r="T231" s="240"/>
      <c r="U231" s="240"/>
      <c r="V231" s="240"/>
      <c r="W231" s="240"/>
      <c r="X231" s="240"/>
      <c r="Y231" s="240"/>
      <c r="Z231" s="240"/>
      <c r="AA231" s="240"/>
      <c r="AB231" s="240"/>
    </row>
    <row r="232">
      <c r="A232" s="240" t="s">
        <v>7542</v>
      </c>
      <c r="B232" s="240" t="s">
        <v>7527</v>
      </c>
      <c r="C232" s="240" t="s">
        <v>2819</v>
      </c>
      <c r="D232" s="240" t="s">
        <v>2820</v>
      </c>
      <c r="E232" s="240" t="s">
        <v>7543</v>
      </c>
      <c r="F232" s="169" t="str">
        <f t="shared" si="1"/>
        <v>On VLMs for Diverse Tasks in Multimodal Meme Classification
Deepesh Gavit, Gaurav Kumar, Debajyoti Mazumder, Samiran Das, Jasabanta Patro
</v>
      </c>
      <c r="G232" s="240" t="s">
        <v>7544</v>
      </c>
      <c r="H232" s="240" t="s">
        <v>6829</v>
      </c>
      <c r="I232" s="240" t="s">
        <v>6830</v>
      </c>
      <c r="J232" s="240" t="s">
        <v>6831</v>
      </c>
      <c r="K232" s="240" t="s">
        <v>6830</v>
      </c>
      <c r="L232" s="240" t="s">
        <v>6832</v>
      </c>
      <c r="M232" s="240"/>
      <c r="N232" s="240"/>
      <c r="O232" s="240"/>
      <c r="P232" s="240"/>
      <c r="Q232" s="240"/>
      <c r="R232" s="240"/>
      <c r="S232" s="240"/>
      <c r="T232" s="240"/>
      <c r="U232" s="240"/>
      <c r="V232" s="240"/>
      <c r="W232" s="240"/>
      <c r="X232" s="240"/>
      <c r="Y232" s="240"/>
      <c r="Z232" s="240"/>
      <c r="AA232" s="240"/>
      <c r="AB232" s="240"/>
    </row>
    <row r="233">
      <c r="A233" s="240" t="s">
        <v>7545</v>
      </c>
      <c r="B233" s="240" t="s">
        <v>7527</v>
      </c>
      <c r="C233" s="240" t="s">
        <v>2821</v>
      </c>
      <c r="D233" s="240" t="s">
        <v>2822</v>
      </c>
      <c r="E233" s="240" t="s">
        <v>7546</v>
      </c>
      <c r="F233" s="169" t="str">
        <f t="shared" si="1"/>
        <v>An Interpretable Agentic Framework for Multimodal Hate Video Analysis with Explicit Evidence Attribution
Ashok Yadav, Vrijendra Singh
</v>
      </c>
      <c r="G233" s="240" t="s">
        <v>7547</v>
      </c>
      <c r="H233" s="240" t="s">
        <v>6829</v>
      </c>
      <c r="I233" s="240" t="s">
        <v>6831</v>
      </c>
      <c r="J233" s="240" t="s">
        <v>6831</v>
      </c>
      <c r="K233" s="240" t="s">
        <v>6831</v>
      </c>
      <c r="L233" s="240" t="s">
        <v>6832</v>
      </c>
      <c r="M233" s="240"/>
      <c r="N233" s="240"/>
      <c r="O233" s="240"/>
      <c r="P233" s="240"/>
      <c r="Q233" s="240"/>
      <c r="R233" s="240"/>
      <c r="S233" s="240"/>
      <c r="T233" s="240"/>
      <c r="U233" s="240"/>
      <c r="V233" s="240"/>
      <c r="W233" s="240"/>
      <c r="X233" s="240"/>
      <c r="Y233" s="240"/>
      <c r="Z233" s="240"/>
      <c r="AA233" s="240"/>
      <c r="AB233" s="240"/>
    </row>
    <row r="234">
      <c r="A234" s="240" t="s">
        <v>7548</v>
      </c>
      <c r="B234" s="240" t="s">
        <v>7527</v>
      </c>
      <c r="C234" s="240" t="s">
        <v>2823</v>
      </c>
      <c r="D234" s="240" t="s">
        <v>2824</v>
      </c>
      <c r="E234" s="240" t="s">
        <v>7549</v>
      </c>
      <c r="F234" s="169" t="str">
        <f t="shared" si="1"/>
        <v>From Generation to Detection: Leveraging Empirically Derived Linguistic Hints for LLM-Based Fake News Detection
Piyush Ghasiya, Kazutoshi Sasahara
</v>
      </c>
      <c r="G234" s="240" t="s">
        <v>7550</v>
      </c>
      <c r="H234" s="240" t="s">
        <v>7551</v>
      </c>
      <c r="I234" s="240" t="s">
        <v>6830</v>
      </c>
      <c r="J234" s="240" t="s">
        <v>6831</v>
      </c>
      <c r="K234" s="240" t="s">
        <v>6830</v>
      </c>
      <c r="L234" s="240" t="s">
        <v>6832</v>
      </c>
      <c r="M234" s="240"/>
      <c r="N234" s="240"/>
      <c r="O234" s="240"/>
      <c r="P234" s="240"/>
      <c r="Q234" s="240"/>
      <c r="R234" s="240"/>
      <c r="S234" s="240"/>
      <c r="T234" s="240"/>
      <c r="U234" s="240"/>
      <c r="V234" s="240"/>
      <c r="W234" s="240"/>
      <c r="X234" s="240"/>
      <c r="Y234" s="240"/>
      <c r="Z234" s="240"/>
      <c r="AA234" s="240"/>
      <c r="AB234" s="240"/>
    </row>
    <row r="235">
      <c r="A235" s="240" t="s">
        <v>7552</v>
      </c>
      <c r="B235" s="240" t="s">
        <v>7527</v>
      </c>
      <c r="C235" s="240" t="s">
        <v>2825</v>
      </c>
      <c r="D235" s="240" t="s">
        <v>2826</v>
      </c>
      <c r="E235" s="240" t="s">
        <v>7553</v>
      </c>
      <c r="F235" s="169" t="str">
        <f t="shared" si="1"/>
        <v>Exploring the Domain Sensitivity of AI Chatbots in Correcting Misinformation
Mihir Pandey, Shail Shankar, Suyash Mishra
</v>
      </c>
      <c r="G235" s="240" t="s">
        <v>7554</v>
      </c>
      <c r="H235" s="240" t="s">
        <v>6829</v>
      </c>
      <c r="I235" s="240" t="s">
        <v>6831</v>
      </c>
      <c r="J235" s="240" t="s">
        <v>6831</v>
      </c>
      <c r="K235" s="240" t="s">
        <v>6831</v>
      </c>
      <c r="L235" s="240" t="s">
        <v>6832</v>
      </c>
      <c r="M235" s="240"/>
      <c r="N235" s="240"/>
      <c r="O235" s="240"/>
      <c r="P235" s="240"/>
      <c r="Q235" s="240"/>
      <c r="R235" s="240"/>
      <c r="S235" s="240"/>
      <c r="T235" s="240"/>
      <c r="U235" s="240"/>
      <c r="V235" s="240"/>
      <c r="W235" s="240"/>
      <c r="X235" s="240"/>
      <c r="Y235" s="240"/>
      <c r="Z235" s="240"/>
      <c r="AA235" s="240"/>
      <c r="AB235" s="240"/>
    </row>
    <row r="236">
      <c r="A236" s="240" t="s">
        <v>7555</v>
      </c>
      <c r="B236" s="240" t="s">
        <v>7556</v>
      </c>
      <c r="C236" s="240" t="s">
        <v>52</v>
      </c>
      <c r="D236" s="240" t="s">
        <v>2827</v>
      </c>
      <c r="E236" s="240" t="s">
        <v>7557</v>
      </c>
      <c r="F236" s="169" t="str">
        <f t="shared" si="1"/>
        <v>FL@FM-TheWebConf’26: The 3rd International Workshop on Federated Foundation Models for the Web
Irwin King, Guodong Long, Zenglin Xu, Han Yu, Xiaoli Tang, Liping Yi
</v>
      </c>
      <c r="G236" s="240" t="s">
        <v>7558</v>
      </c>
      <c r="H236" s="240" t="s">
        <v>2955</v>
      </c>
      <c r="I236" s="240" t="s">
        <v>6831</v>
      </c>
      <c r="J236" s="240" t="s">
        <v>6831</v>
      </c>
      <c r="K236" s="240" t="s">
        <v>6831</v>
      </c>
      <c r="L236" s="240" t="s">
        <v>6832</v>
      </c>
      <c r="M236" s="240"/>
      <c r="N236" s="240"/>
      <c r="O236" s="240"/>
      <c r="P236" s="240"/>
      <c r="Q236" s="240"/>
      <c r="R236" s="240"/>
      <c r="S236" s="240"/>
      <c r="T236" s="240"/>
      <c r="U236" s="240"/>
      <c r="V236" s="240"/>
      <c r="W236" s="240"/>
      <c r="X236" s="240"/>
      <c r="Y236" s="240"/>
      <c r="Z236" s="240"/>
      <c r="AA236" s="240"/>
      <c r="AB236" s="240"/>
    </row>
    <row r="237">
      <c r="A237" s="240" t="s">
        <v>7559</v>
      </c>
      <c r="B237" s="240" t="s">
        <v>7556</v>
      </c>
      <c r="C237" s="240" t="s">
        <v>2828</v>
      </c>
      <c r="D237" s="240" t="s">
        <v>2829</v>
      </c>
      <c r="E237" s="240" t="s">
        <v>7560</v>
      </c>
      <c r="F237" s="169" t="str">
        <f t="shared" si="1"/>
        <v>FedUMM: A General Framework for Federated Learning with Unified Multimodal Models
Zhaolong Su, Leheng Zhao, Xiaoying Wu, Ziyue Xu, Jindong Wang
</v>
      </c>
      <c r="G237" s="240" t="s">
        <v>7561</v>
      </c>
      <c r="H237" s="240" t="s">
        <v>6829</v>
      </c>
      <c r="I237" s="240" t="s">
        <v>6830</v>
      </c>
      <c r="J237" s="240" t="s">
        <v>6831</v>
      </c>
      <c r="K237" s="240" t="s">
        <v>6830</v>
      </c>
      <c r="L237" s="240" t="s">
        <v>6832</v>
      </c>
      <c r="M237" s="240"/>
      <c r="N237" s="240"/>
      <c r="O237" s="240"/>
      <c r="P237" s="240"/>
      <c r="Q237" s="240"/>
      <c r="R237" s="240"/>
      <c r="S237" s="240"/>
      <c r="T237" s="240"/>
      <c r="U237" s="240"/>
      <c r="V237" s="240"/>
      <c r="W237" s="240"/>
      <c r="X237" s="240"/>
      <c r="Y237" s="240"/>
      <c r="Z237" s="240"/>
      <c r="AA237" s="240"/>
      <c r="AB237" s="240"/>
    </row>
    <row r="238">
      <c r="A238" s="240" t="s">
        <v>7562</v>
      </c>
      <c r="B238" s="240" t="s">
        <v>7066</v>
      </c>
      <c r="C238" s="240" t="s">
        <v>2830</v>
      </c>
      <c r="D238" s="240" t="s">
        <v>2831</v>
      </c>
      <c r="E238" s="240" t="s">
        <v>7563</v>
      </c>
      <c r="F238" s="169" t="str">
        <f t="shared" si="1"/>
        <v>Orchestrating Heterogeneous Experts: A Scalable MoE Framework with Anisotropy-Preserving Fusion
Ye Liu, Wuji Chen, Xu Chen, Mang Li
</v>
      </c>
      <c r="G238" s="240" t="s">
        <v>7564</v>
      </c>
      <c r="H238" s="240" t="s">
        <v>7565</v>
      </c>
      <c r="I238" s="240" t="s">
        <v>6830</v>
      </c>
      <c r="J238" s="240" t="s">
        <v>6831</v>
      </c>
      <c r="K238" s="240" t="s">
        <v>6830</v>
      </c>
      <c r="L238" s="240" t="s">
        <v>6832</v>
      </c>
      <c r="M238" s="240"/>
      <c r="N238" s="240"/>
      <c r="O238" s="240"/>
      <c r="P238" s="240"/>
      <c r="Q238" s="240"/>
      <c r="R238" s="240"/>
      <c r="S238" s="240"/>
      <c r="T238" s="240"/>
      <c r="U238" s="240"/>
      <c r="V238" s="240"/>
      <c r="W238" s="240"/>
      <c r="X238" s="240"/>
      <c r="Y238" s="240"/>
      <c r="Z238" s="240"/>
      <c r="AA238" s="240"/>
      <c r="AB238" s="240"/>
    </row>
    <row r="239">
      <c r="A239" s="240" t="s">
        <v>7566</v>
      </c>
      <c r="B239" s="240" t="s">
        <v>7066</v>
      </c>
      <c r="C239" s="240" t="s">
        <v>2832</v>
      </c>
      <c r="D239" s="240" t="s">
        <v>2833</v>
      </c>
      <c r="E239" s="240" t="s">
        <v>7567</v>
      </c>
      <c r="F239" s="169" t="str">
        <f t="shared" si="1"/>
        <v>Measuring Privacy Risks and Tradeoffs in Financial Synthetic Data Generation
Michael Zuo, Inwon Kang, Stacy Patterson, Oshani Seneviratne
</v>
      </c>
      <c r="G239" s="240" t="s">
        <v>7186</v>
      </c>
      <c r="H239" s="240" t="s">
        <v>7568</v>
      </c>
      <c r="I239" s="240" t="s">
        <v>6830</v>
      </c>
      <c r="J239" s="240" t="s">
        <v>6830</v>
      </c>
      <c r="K239" s="240" t="s">
        <v>6830</v>
      </c>
      <c r="L239" s="240" t="s">
        <v>6832</v>
      </c>
      <c r="M239" s="240"/>
      <c r="N239" s="240"/>
      <c r="O239" s="240"/>
      <c r="P239" s="240"/>
      <c r="Q239" s="240"/>
      <c r="R239" s="240"/>
      <c r="S239" s="240"/>
      <c r="T239" s="240"/>
      <c r="U239" s="240"/>
      <c r="V239" s="240"/>
      <c r="W239" s="240"/>
      <c r="X239" s="240"/>
      <c r="Y239" s="240"/>
      <c r="Z239" s="240"/>
      <c r="AA239" s="240"/>
      <c r="AB239" s="240"/>
    </row>
    <row r="240">
      <c r="A240" s="240" t="s">
        <v>7569</v>
      </c>
      <c r="B240" s="240" t="s">
        <v>7527</v>
      </c>
      <c r="C240" s="240" t="s">
        <v>2834</v>
      </c>
      <c r="D240" s="240" t="s">
        <v>2835</v>
      </c>
      <c r="E240" s="240" t="s">
        <v>7570</v>
      </c>
      <c r="F240" s="169" t="str">
        <f t="shared" si="1"/>
        <v>Beyond Detection: An Epistemic Limit of Purely Computational Misinformation Defense
Farhana Ferdousi Liza
</v>
      </c>
      <c r="G240" s="240" t="s">
        <v>7571</v>
      </c>
      <c r="H240" s="240" t="s">
        <v>6829</v>
      </c>
      <c r="I240" s="240" t="s">
        <v>2955</v>
      </c>
      <c r="J240" s="240" t="s">
        <v>2955</v>
      </c>
      <c r="K240" s="240" t="s">
        <v>2955</v>
      </c>
      <c r="L240" s="240" t="s">
        <v>7572</v>
      </c>
      <c r="M240" s="240"/>
      <c r="N240" s="240"/>
      <c r="O240" s="240"/>
      <c r="P240" s="240"/>
      <c r="Q240" s="240"/>
      <c r="R240" s="240"/>
      <c r="S240" s="240"/>
      <c r="T240" s="240"/>
      <c r="U240" s="240"/>
      <c r="V240" s="240"/>
      <c r="W240" s="240"/>
      <c r="X240" s="240"/>
      <c r="Y240" s="240"/>
      <c r="Z240" s="240"/>
      <c r="AA240" s="240"/>
      <c r="AB240" s="240"/>
    </row>
    <row r="241">
      <c r="A241" s="240" t="s">
        <v>7573</v>
      </c>
      <c r="B241" s="240" t="s">
        <v>7527</v>
      </c>
      <c r="C241" s="240" t="s">
        <v>2836</v>
      </c>
      <c r="D241" s="240" t="s">
        <v>2826</v>
      </c>
      <c r="E241" s="240" t="s">
        <v>7553</v>
      </c>
      <c r="F241" s="169" t="str">
        <f t="shared" si="1"/>
        <v>Exploring the Domain Sensitivity of AI Chatbots in Correcting Misinformation
Mihir Pandey, Shail Shankar, Suyash Mishra
</v>
      </c>
      <c r="G241" s="240" t="s">
        <v>7574</v>
      </c>
      <c r="H241" s="240" t="s">
        <v>6829</v>
      </c>
      <c r="I241" s="240" t="s">
        <v>2955</v>
      </c>
      <c r="J241" s="240" t="s">
        <v>2955</v>
      </c>
      <c r="K241" s="240" t="s">
        <v>2955</v>
      </c>
      <c r="L241" s="240" t="s">
        <v>7572</v>
      </c>
      <c r="M241" s="240"/>
      <c r="N241" s="240"/>
      <c r="O241" s="240"/>
      <c r="P241" s="240"/>
      <c r="Q241" s="240"/>
      <c r="R241" s="240"/>
      <c r="S241" s="240"/>
      <c r="T241" s="240"/>
      <c r="U241" s="240"/>
      <c r="V241" s="240"/>
      <c r="W241" s="240"/>
      <c r="X241" s="240"/>
      <c r="Y241" s="240"/>
      <c r="Z241" s="240"/>
      <c r="AA241" s="240"/>
      <c r="AB241" s="240"/>
    </row>
    <row r="242">
      <c r="A242" s="240" t="s">
        <v>7575</v>
      </c>
      <c r="B242" s="240" t="s">
        <v>7527</v>
      </c>
      <c r="C242" s="240" t="s">
        <v>2837</v>
      </c>
      <c r="D242" s="240" t="s">
        <v>2838</v>
      </c>
      <c r="E242" s="240" t="s">
        <v>7576</v>
      </c>
      <c r="F242" s="169" t="str">
        <f t="shared" si="1"/>
        <v>Amplified Adversarial Vulnerabilities in Multi-Agent LLM Systems Despite Safety Tuning
Nikhil Pathiyil, Jatin Garg, Talib Siddiqiu, Mustafa Saify, Amit Agarwal
</v>
      </c>
      <c r="G242" s="240" t="s">
        <v>7577</v>
      </c>
      <c r="H242" s="240" t="s">
        <v>7578</v>
      </c>
      <c r="I242" s="240" t="s">
        <v>2955</v>
      </c>
      <c r="J242" s="240" t="s">
        <v>2955</v>
      </c>
      <c r="K242" s="240" t="s">
        <v>2955</v>
      </c>
      <c r="L242" s="240" t="s">
        <v>7572</v>
      </c>
      <c r="M242" s="240"/>
      <c r="N242" s="240"/>
      <c r="O242" s="240"/>
      <c r="P242" s="240"/>
      <c r="Q242" s="240"/>
      <c r="R242" s="240"/>
      <c r="S242" s="240"/>
      <c r="T242" s="240"/>
      <c r="U242" s="240"/>
      <c r="V242" s="240"/>
      <c r="W242" s="240"/>
      <c r="X242" s="240"/>
      <c r="Y242" s="240"/>
      <c r="Z242" s="240"/>
      <c r="AA242" s="240"/>
      <c r="AB242" s="240"/>
    </row>
    <row r="243">
      <c r="A243" s="240" t="s">
        <v>7579</v>
      </c>
      <c r="B243" s="240" t="s">
        <v>7527</v>
      </c>
      <c r="C243" s="240" t="s">
        <v>2839</v>
      </c>
      <c r="D243" s="240" t="s">
        <v>2840</v>
      </c>
      <c r="E243" s="240" t="s">
        <v>7580</v>
      </c>
      <c r="F243" s="169" t="str">
        <f t="shared" si="1"/>
        <v>Trustworthy or Just Lucky? Composite Trust Scoring for Behavioral Evaluation of LLM Agents
Punit Maheshwari, Mustafa Saify, Amit Agarwal
</v>
      </c>
      <c r="G243" s="240" t="s">
        <v>7581</v>
      </c>
      <c r="H243" s="240" t="s">
        <v>7578</v>
      </c>
      <c r="I243" s="240" t="s">
        <v>2955</v>
      </c>
      <c r="J243" s="240" t="s">
        <v>2955</v>
      </c>
      <c r="K243" s="240" t="s">
        <v>2955</v>
      </c>
      <c r="L243" s="240" t="s">
        <v>7572</v>
      </c>
      <c r="M243" s="240"/>
      <c r="N243" s="240"/>
      <c r="O243" s="240"/>
      <c r="P243" s="240"/>
      <c r="Q243" s="240"/>
      <c r="R243" s="240"/>
      <c r="S243" s="240"/>
      <c r="T243" s="240"/>
      <c r="U243" s="240"/>
      <c r="V243" s="240"/>
      <c r="W243" s="240"/>
      <c r="X243" s="240"/>
      <c r="Y243" s="240"/>
      <c r="Z243" s="240"/>
      <c r="AA243" s="240"/>
      <c r="AB243" s="240"/>
    </row>
    <row r="244">
      <c r="A244" s="240" t="s">
        <v>7582</v>
      </c>
      <c r="B244" s="240" t="s">
        <v>7583</v>
      </c>
      <c r="C244" s="240" t="s">
        <v>2841</v>
      </c>
      <c r="D244" s="240" t="s">
        <v>2842</v>
      </c>
      <c r="E244" s="240" t="s">
        <v>7584</v>
      </c>
      <c r="F244" s="169" t="str">
        <f t="shared" si="1"/>
        <v>[PromptEng] Third International Workshop on Prompt Engineering for Pre-Trained Language Models
Damien Graux, Sebastien Montella, Hajira Jabeen
</v>
      </c>
      <c r="G244" s="240" t="s">
        <v>7585</v>
      </c>
      <c r="H244" s="240" t="s">
        <v>2955</v>
      </c>
      <c r="I244" s="240" t="s">
        <v>6830</v>
      </c>
      <c r="J244" s="240" t="s">
        <v>6831</v>
      </c>
      <c r="K244" s="240" t="s">
        <v>6830</v>
      </c>
      <c r="L244" s="240" t="s">
        <v>6832</v>
      </c>
      <c r="M244" s="240"/>
      <c r="N244" s="240"/>
      <c r="O244" s="240"/>
      <c r="P244" s="240"/>
      <c r="Q244" s="240"/>
      <c r="R244" s="240"/>
      <c r="S244" s="240"/>
      <c r="T244" s="240"/>
      <c r="U244" s="240"/>
      <c r="V244" s="240"/>
      <c r="W244" s="240"/>
      <c r="X244" s="240"/>
      <c r="Y244" s="240"/>
      <c r="Z244" s="240"/>
      <c r="AA244" s="240"/>
      <c r="AB244" s="240"/>
    </row>
    <row r="245">
      <c r="A245" s="240"/>
      <c r="B245" s="240" t="s">
        <v>2955</v>
      </c>
      <c r="C245" s="240"/>
      <c r="D245" s="240"/>
      <c r="E245" s="240"/>
      <c r="G245" s="240"/>
      <c r="H245" s="240"/>
      <c r="I245" s="240"/>
      <c r="J245" s="240"/>
      <c r="K245" s="240"/>
      <c r="L245" s="240"/>
      <c r="M245" s="240"/>
      <c r="N245" s="240"/>
      <c r="O245" s="240"/>
      <c r="P245" s="240"/>
      <c r="Q245" s="240"/>
      <c r="R245" s="240"/>
      <c r="S245" s="240"/>
      <c r="T245" s="240"/>
      <c r="U245" s="240"/>
      <c r="V245" s="240"/>
      <c r="W245" s="240"/>
      <c r="X245" s="240"/>
      <c r="Y245" s="240"/>
      <c r="Z245" s="240"/>
      <c r="AA245" s="240"/>
      <c r="AB245" s="240"/>
    </row>
    <row r="246">
      <c r="A246" s="240"/>
      <c r="B246" s="240" t="s">
        <v>2955</v>
      </c>
      <c r="C246" s="240"/>
      <c r="D246" s="240"/>
      <c r="E246" s="240"/>
      <c r="G246" s="240"/>
      <c r="H246" s="240"/>
      <c r="I246" s="240"/>
      <c r="J246" s="240"/>
      <c r="K246" s="240"/>
      <c r="L246" s="240"/>
      <c r="M246" s="240"/>
      <c r="N246" s="240"/>
      <c r="O246" s="240"/>
      <c r="P246" s="240"/>
      <c r="Q246" s="240"/>
      <c r="R246" s="240"/>
      <c r="S246" s="240"/>
      <c r="T246" s="240"/>
      <c r="U246" s="240"/>
      <c r="V246" s="240"/>
      <c r="W246" s="240"/>
      <c r="X246" s="240"/>
      <c r="Y246" s="240"/>
      <c r="Z246" s="240"/>
      <c r="AA246" s="240"/>
      <c r="AB246" s="240"/>
    </row>
    <row r="247">
      <c r="A247" s="240"/>
      <c r="B247" s="240" t="s">
        <v>2955</v>
      </c>
      <c r="C247" s="240"/>
      <c r="D247" s="240"/>
      <c r="E247" s="240"/>
      <c r="G247" s="240"/>
      <c r="H247" s="240"/>
      <c r="I247" s="240"/>
      <c r="J247" s="240"/>
      <c r="K247" s="240"/>
      <c r="L247" s="240"/>
      <c r="M247" s="240"/>
      <c r="N247" s="240"/>
      <c r="O247" s="240"/>
      <c r="P247" s="240"/>
      <c r="Q247" s="240"/>
      <c r="R247" s="240"/>
      <c r="S247" s="240"/>
      <c r="T247" s="240"/>
      <c r="U247" s="240"/>
      <c r="V247" s="240"/>
      <c r="W247" s="240"/>
      <c r="X247" s="240"/>
      <c r="Y247" s="240"/>
      <c r="Z247" s="240"/>
      <c r="AA247" s="240"/>
      <c r="AB247" s="240"/>
    </row>
    <row r="248">
      <c r="A248" s="240"/>
      <c r="B248" s="240" t="s">
        <v>2955</v>
      </c>
      <c r="C248" s="240"/>
      <c r="D248" s="240"/>
      <c r="E248" s="240"/>
      <c r="G248" s="240"/>
      <c r="H248" s="240"/>
      <c r="I248" s="240"/>
      <c r="J248" s="240"/>
      <c r="K248" s="240"/>
      <c r="L248" s="240"/>
      <c r="M248" s="240"/>
      <c r="N248" s="240"/>
      <c r="O248" s="240"/>
      <c r="P248" s="240"/>
      <c r="Q248" s="240"/>
      <c r="R248" s="240"/>
      <c r="S248" s="240"/>
      <c r="T248" s="240"/>
      <c r="U248" s="240"/>
      <c r="V248" s="240"/>
      <c r="W248" s="240"/>
      <c r="X248" s="240"/>
      <c r="Y248" s="240"/>
      <c r="Z248" s="240"/>
      <c r="AA248" s="240"/>
      <c r="AB248" s="240"/>
    </row>
    <row r="249">
      <c r="A249" s="240"/>
      <c r="B249" s="240" t="s">
        <v>2955</v>
      </c>
      <c r="C249" s="240"/>
      <c r="D249" s="240"/>
      <c r="E249" s="240"/>
      <c r="G249" s="240"/>
      <c r="H249" s="240"/>
      <c r="I249" s="240"/>
      <c r="J249" s="240"/>
      <c r="K249" s="240"/>
      <c r="L249" s="240"/>
      <c r="M249" s="240"/>
      <c r="N249" s="240"/>
      <c r="O249" s="240"/>
      <c r="P249" s="240"/>
      <c r="Q249" s="240"/>
      <c r="R249" s="240"/>
      <c r="S249" s="240"/>
      <c r="T249" s="240"/>
      <c r="U249" s="240"/>
      <c r="V249" s="240"/>
      <c r="W249" s="240"/>
      <c r="X249" s="240"/>
      <c r="Y249" s="240"/>
      <c r="Z249" s="240"/>
      <c r="AA249" s="240"/>
      <c r="AB249" s="240"/>
    </row>
    <row r="250">
      <c r="A250" s="240"/>
      <c r="B250" s="240" t="s">
        <v>2955</v>
      </c>
      <c r="C250" s="240"/>
      <c r="D250" s="240"/>
      <c r="E250" s="240"/>
      <c r="G250" s="240"/>
      <c r="H250" s="240"/>
      <c r="I250" s="240"/>
      <c r="J250" s="240"/>
      <c r="K250" s="240"/>
      <c r="L250" s="240"/>
      <c r="M250" s="240"/>
      <c r="N250" s="240"/>
      <c r="O250" s="240"/>
      <c r="P250" s="240"/>
      <c r="Q250" s="240"/>
      <c r="R250" s="240"/>
      <c r="S250" s="240"/>
      <c r="T250" s="240"/>
      <c r="U250" s="240"/>
      <c r="V250" s="240"/>
      <c r="W250" s="240"/>
      <c r="X250" s="240"/>
      <c r="Y250" s="240"/>
      <c r="Z250" s="240"/>
      <c r="AA250" s="240"/>
      <c r="AB250" s="240"/>
    </row>
    <row r="251">
      <c r="A251" s="240"/>
      <c r="B251" s="240" t="s">
        <v>2955</v>
      </c>
      <c r="C251" s="240"/>
      <c r="D251" s="240"/>
      <c r="E251" s="240"/>
      <c r="G251" s="240"/>
      <c r="H251" s="240"/>
      <c r="I251" s="240"/>
      <c r="J251" s="240"/>
      <c r="K251" s="240"/>
      <c r="L251" s="240"/>
      <c r="M251" s="240"/>
      <c r="N251" s="240"/>
      <c r="O251" s="240"/>
      <c r="P251" s="240"/>
      <c r="Q251" s="240"/>
      <c r="R251" s="240"/>
      <c r="S251" s="240"/>
      <c r="T251" s="240"/>
      <c r="U251" s="240"/>
      <c r="V251" s="240"/>
      <c r="W251" s="240"/>
      <c r="X251" s="240"/>
      <c r="Y251" s="240"/>
      <c r="Z251" s="240"/>
      <c r="AA251" s="240"/>
      <c r="AB251" s="240"/>
    </row>
    <row r="252">
      <c r="A252" s="240"/>
      <c r="B252" s="240" t="s">
        <v>2955</v>
      </c>
      <c r="C252" s="240"/>
      <c r="D252" s="240"/>
      <c r="E252" s="240"/>
      <c r="G252" s="240"/>
      <c r="H252" s="240"/>
      <c r="I252" s="240"/>
      <c r="J252" s="240"/>
      <c r="K252" s="240"/>
      <c r="L252" s="240"/>
      <c r="M252" s="240"/>
      <c r="N252" s="240"/>
      <c r="O252" s="240"/>
      <c r="P252" s="240"/>
      <c r="Q252" s="240"/>
      <c r="R252" s="240"/>
      <c r="S252" s="240"/>
      <c r="T252" s="240"/>
      <c r="U252" s="240"/>
      <c r="V252" s="240"/>
      <c r="W252" s="240"/>
      <c r="X252" s="240"/>
      <c r="Y252" s="240"/>
      <c r="Z252" s="240"/>
      <c r="AA252" s="240"/>
      <c r="AB252" s="240"/>
    </row>
    <row r="253">
      <c r="A253" s="240"/>
      <c r="B253" s="240" t="s">
        <v>2955</v>
      </c>
      <c r="C253" s="240"/>
      <c r="D253" s="240"/>
      <c r="E253" s="240"/>
      <c r="G253" s="240"/>
      <c r="H253" s="240"/>
      <c r="I253" s="240"/>
      <c r="J253" s="240"/>
      <c r="K253" s="240"/>
      <c r="L253" s="240"/>
      <c r="M253" s="240"/>
      <c r="N253" s="240"/>
      <c r="O253" s="240"/>
      <c r="P253" s="240"/>
      <c r="Q253" s="240"/>
      <c r="R253" s="240"/>
      <c r="S253" s="240"/>
      <c r="T253" s="240"/>
      <c r="U253" s="240"/>
      <c r="V253" s="240"/>
      <c r="W253" s="240"/>
      <c r="X253" s="240"/>
      <c r="Y253" s="240"/>
      <c r="Z253" s="240"/>
      <c r="AA253" s="240"/>
      <c r="AB253" s="240"/>
    </row>
    <row r="254">
      <c r="A254" s="240"/>
      <c r="B254" s="240" t="s">
        <v>2955</v>
      </c>
      <c r="C254" s="240"/>
      <c r="D254" s="240"/>
      <c r="E254" s="240"/>
      <c r="G254" s="240"/>
      <c r="H254" s="240"/>
      <c r="I254" s="240"/>
      <c r="J254" s="240"/>
      <c r="K254" s="240"/>
      <c r="L254" s="240"/>
      <c r="M254" s="240"/>
      <c r="N254" s="240"/>
      <c r="O254" s="240"/>
      <c r="P254" s="240"/>
      <c r="Q254" s="240"/>
      <c r="R254" s="240"/>
      <c r="S254" s="240"/>
      <c r="T254" s="240"/>
      <c r="U254" s="240"/>
      <c r="V254" s="240"/>
      <c r="W254" s="240"/>
      <c r="X254" s="240"/>
      <c r="Y254" s="240"/>
      <c r="Z254" s="240"/>
      <c r="AA254" s="240"/>
      <c r="AB254" s="240"/>
    </row>
    <row r="255">
      <c r="A255" s="240"/>
      <c r="B255" s="240" t="s">
        <v>2955</v>
      </c>
      <c r="C255" s="240"/>
      <c r="D255" s="240"/>
      <c r="E255" s="240"/>
      <c r="G255" s="240"/>
      <c r="H255" s="240"/>
      <c r="I255" s="240"/>
      <c r="J255" s="240"/>
      <c r="K255" s="240"/>
      <c r="L255" s="240"/>
      <c r="M255" s="240"/>
      <c r="N255" s="240"/>
      <c r="O255" s="240"/>
      <c r="P255" s="240"/>
      <c r="Q255" s="240"/>
      <c r="R255" s="240"/>
      <c r="S255" s="240"/>
      <c r="T255" s="240"/>
      <c r="U255" s="240"/>
      <c r="V255" s="240"/>
      <c r="W255" s="240"/>
      <c r="X255" s="240"/>
      <c r="Y255" s="240"/>
      <c r="Z255" s="240"/>
      <c r="AA255" s="240"/>
      <c r="AB255" s="240"/>
    </row>
    <row r="256">
      <c r="A256" s="240"/>
      <c r="B256" s="240" t="s">
        <v>2955</v>
      </c>
      <c r="C256" s="240"/>
      <c r="D256" s="240"/>
      <c r="E256" s="240"/>
      <c r="G256" s="240"/>
      <c r="H256" s="240"/>
      <c r="I256" s="240"/>
      <c r="J256" s="240"/>
      <c r="K256" s="240"/>
      <c r="L256" s="240"/>
      <c r="M256" s="240"/>
      <c r="N256" s="240"/>
      <c r="O256" s="240"/>
      <c r="P256" s="240"/>
      <c r="Q256" s="240"/>
      <c r="R256" s="240"/>
      <c r="S256" s="240"/>
      <c r="T256" s="240"/>
      <c r="U256" s="240"/>
      <c r="V256" s="240"/>
      <c r="W256" s="240"/>
      <c r="X256" s="240"/>
      <c r="Y256" s="240"/>
      <c r="Z256" s="240"/>
      <c r="AA256" s="240"/>
      <c r="AB256" s="240"/>
    </row>
    <row r="257">
      <c r="A257" s="240"/>
      <c r="B257" s="240" t="s">
        <v>2955</v>
      </c>
      <c r="C257" s="240"/>
      <c r="D257" s="240"/>
      <c r="E257" s="240"/>
      <c r="G257" s="240"/>
      <c r="H257" s="240"/>
      <c r="I257" s="240"/>
      <c r="J257" s="240"/>
      <c r="K257" s="240"/>
      <c r="L257" s="240"/>
      <c r="M257" s="240"/>
      <c r="N257" s="240"/>
      <c r="O257" s="240"/>
      <c r="P257" s="240"/>
      <c r="Q257" s="240"/>
      <c r="R257" s="240"/>
      <c r="S257" s="240"/>
      <c r="T257" s="240"/>
      <c r="U257" s="240"/>
      <c r="V257" s="240"/>
      <c r="W257" s="240"/>
      <c r="X257" s="240"/>
      <c r="Y257" s="240"/>
      <c r="Z257" s="240"/>
      <c r="AA257" s="240"/>
      <c r="AB257" s="240"/>
    </row>
    <row r="258">
      <c r="A258" s="240"/>
      <c r="B258" s="240" t="s">
        <v>2955</v>
      </c>
      <c r="C258" s="240"/>
      <c r="D258" s="240"/>
      <c r="E258" s="240"/>
      <c r="G258" s="240"/>
      <c r="H258" s="240"/>
      <c r="I258" s="240"/>
      <c r="J258" s="240"/>
      <c r="K258" s="240"/>
      <c r="L258" s="240"/>
      <c r="M258" s="240"/>
      <c r="N258" s="240"/>
      <c r="O258" s="240"/>
      <c r="P258" s="240"/>
      <c r="Q258" s="240"/>
      <c r="R258" s="240"/>
      <c r="S258" s="240"/>
      <c r="T258" s="240"/>
      <c r="U258" s="240"/>
      <c r="V258" s="240"/>
      <c r="W258" s="240"/>
      <c r="X258" s="240"/>
      <c r="Y258" s="240"/>
      <c r="Z258" s="240"/>
      <c r="AA258" s="240"/>
      <c r="AB258" s="240"/>
    </row>
    <row r="259">
      <c r="A259" s="240"/>
      <c r="B259" s="240" t="s">
        <v>2955</v>
      </c>
      <c r="C259" s="240"/>
      <c r="D259" s="240"/>
      <c r="E259" s="240"/>
      <c r="G259" s="240"/>
      <c r="H259" s="240"/>
      <c r="I259" s="240"/>
      <c r="J259" s="240"/>
      <c r="K259" s="240"/>
      <c r="L259" s="240"/>
      <c r="M259" s="240"/>
      <c r="N259" s="240"/>
      <c r="O259" s="240"/>
      <c r="P259" s="240"/>
      <c r="Q259" s="240"/>
      <c r="R259" s="240"/>
      <c r="S259" s="240"/>
      <c r="T259" s="240"/>
      <c r="U259" s="240"/>
      <c r="V259" s="240"/>
      <c r="W259" s="240"/>
      <c r="X259" s="240"/>
      <c r="Y259" s="240"/>
      <c r="Z259" s="240"/>
      <c r="AA259" s="240"/>
      <c r="AB259" s="240"/>
    </row>
    <row r="260">
      <c r="A260" s="240"/>
      <c r="B260" s="240" t="s">
        <v>2955</v>
      </c>
      <c r="C260" s="240"/>
      <c r="D260" s="240"/>
      <c r="E260" s="240"/>
      <c r="G260" s="240"/>
      <c r="H260" s="240"/>
      <c r="I260" s="240"/>
      <c r="J260" s="240"/>
      <c r="K260" s="240"/>
      <c r="L260" s="240"/>
      <c r="M260" s="240"/>
      <c r="N260" s="240"/>
      <c r="O260" s="240"/>
      <c r="P260" s="240"/>
      <c r="Q260" s="240"/>
      <c r="R260" s="240"/>
      <c r="S260" s="240"/>
      <c r="T260" s="240"/>
      <c r="U260" s="240"/>
      <c r="V260" s="240"/>
      <c r="W260" s="240"/>
      <c r="X260" s="240"/>
      <c r="Y260" s="240"/>
      <c r="Z260" s="240"/>
      <c r="AA260" s="240"/>
      <c r="AB260" s="240"/>
    </row>
    <row r="261">
      <c r="A261" s="240"/>
      <c r="B261" s="240" t="s">
        <v>2955</v>
      </c>
      <c r="C261" s="240"/>
      <c r="D261" s="240"/>
      <c r="E261" s="240"/>
      <c r="G261" s="240"/>
      <c r="H261" s="240"/>
      <c r="I261" s="240"/>
      <c r="J261" s="240"/>
      <c r="K261" s="240"/>
      <c r="L261" s="240"/>
      <c r="M261" s="240"/>
      <c r="N261" s="240"/>
      <c r="O261" s="240"/>
      <c r="P261" s="240"/>
      <c r="Q261" s="240"/>
      <c r="R261" s="240"/>
      <c r="S261" s="240"/>
      <c r="T261" s="240"/>
      <c r="U261" s="240"/>
      <c r="V261" s="240"/>
      <c r="W261" s="240"/>
      <c r="X261" s="240"/>
      <c r="Y261" s="240"/>
      <c r="Z261" s="240"/>
      <c r="AA261" s="240"/>
      <c r="AB261" s="240"/>
    </row>
    <row r="262">
      <c r="A262" s="240"/>
      <c r="B262" s="240" t="s">
        <v>2955</v>
      </c>
      <c r="C262" s="240"/>
      <c r="D262" s="240"/>
      <c r="E262" s="240"/>
      <c r="G262" s="240"/>
      <c r="H262" s="240"/>
      <c r="I262" s="240"/>
      <c r="J262" s="240"/>
      <c r="K262" s="240"/>
      <c r="L262" s="240"/>
      <c r="M262" s="240"/>
      <c r="N262" s="240"/>
      <c r="O262" s="240"/>
      <c r="P262" s="240"/>
      <c r="Q262" s="240"/>
      <c r="R262" s="240"/>
      <c r="S262" s="240"/>
      <c r="T262" s="240"/>
      <c r="U262" s="240"/>
      <c r="V262" s="240"/>
      <c r="W262" s="240"/>
      <c r="X262" s="240"/>
      <c r="Y262" s="240"/>
      <c r="Z262" s="240"/>
      <c r="AA262" s="240"/>
      <c r="AB262" s="240"/>
    </row>
    <row r="263">
      <c r="A263" s="240"/>
      <c r="B263" s="240" t="s">
        <v>2955</v>
      </c>
      <c r="C263" s="240"/>
      <c r="D263" s="240"/>
      <c r="E263" s="240"/>
      <c r="G263" s="240"/>
      <c r="H263" s="240"/>
      <c r="I263" s="240"/>
      <c r="J263" s="240"/>
      <c r="K263" s="240"/>
      <c r="L263" s="240"/>
      <c r="M263" s="240"/>
      <c r="N263" s="240"/>
      <c r="O263" s="240"/>
      <c r="P263" s="240"/>
      <c r="Q263" s="240"/>
      <c r="R263" s="240"/>
      <c r="S263" s="240"/>
      <c r="T263" s="240"/>
      <c r="U263" s="240"/>
      <c r="V263" s="240"/>
      <c r="W263" s="240"/>
      <c r="X263" s="240"/>
      <c r="Y263" s="240"/>
      <c r="Z263" s="240"/>
      <c r="AA263" s="240"/>
      <c r="AB263" s="240"/>
    </row>
    <row r="264">
      <c r="A264" s="240"/>
      <c r="B264" s="240" t="s">
        <v>2955</v>
      </c>
      <c r="C264" s="240"/>
      <c r="D264" s="240"/>
      <c r="E264" s="240"/>
      <c r="G264" s="240"/>
      <c r="H264" s="240"/>
      <c r="I264" s="240"/>
      <c r="J264" s="240"/>
      <c r="K264" s="240"/>
      <c r="L264" s="240"/>
      <c r="M264" s="240"/>
      <c r="N264" s="240"/>
      <c r="O264" s="240"/>
      <c r="P264" s="240"/>
      <c r="Q264" s="240"/>
      <c r="R264" s="240"/>
      <c r="S264" s="240"/>
      <c r="T264" s="240"/>
      <c r="U264" s="240"/>
      <c r="V264" s="240"/>
      <c r="W264" s="240"/>
      <c r="X264" s="240"/>
      <c r="Y264" s="240"/>
      <c r="Z264" s="240"/>
      <c r="AA264" s="240"/>
      <c r="AB264" s="240"/>
    </row>
    <row r="265">
      <c r="A265" s="240"/>
      <c r="B265" s="240" t="s">
        <v>2955</v>
      </c>
      <c r="C265" s="240"/>
      <c r="D265" s="240"/>
      <c r="E265" s="240"/>
      <c r="G265" s="240"/>
      <c r="H265" s="240"/>
      <c r="I265" s="240"/>
      <c r="J265" s="240"/>
      <c r="K265" s="240"/>
      <c r="L265" s="240"/>
      <c r="M265" s="240"/>
      <c r="N265" s="240"/>
      <c r="O265" s="240"/>
      <c r="P265" s="240"/>
      <c r="Q265" s="240"/>
      <c r="R265" s="240"/>
      <c r="S265" s="240"/>
      <c r="T265" s="240"/>
      <c r="U265" s="240"/>
      <c r="V265" s="240"/>
      <c r="W265" s="240"/>
      <c r="X265" s="240"/>
      <c r="Y265" s="240"/>
      <c r="Z265" s="240"/>
      <c r="AA265" s="240"/>
      <c r="AB265" s="240"/>
    </row>
    <row r="266">
      <c r="A266" s="240"/>
      <c r="B266" s="240" t="s">
        <v>2955</v>
      </c>
      <c r="C266" s="240"/>
      <c r="D266" s="240"/>
      <c r="E266" s="240"/>
      <c r="G266" s="240"/>
      <c r="H266" s="240"/>
      <c r="I266" s="240"/>
      <c r="J266" s="240"/>
      <c r="K266" s="240"/>
      <c r="L266" s="240"/>
      <c r="M266" s="240"/>
      <c r="N266" s="240"/>
      <c r="O266" s="240"/>
      <c r="P266" s="240"/>
      <c r="Q266" s="240"/>
      <c r="R266" s="240"/>
      <c r="S266" s="240"/>
      <c r="T266" s="240"/>
      <c r="U266" s="240"/>
      <c r="V266" s="240"/>
      <c r="W266" s="240"/>
      <c r="X266" s="240"/>
      <c r="Y266" s="240"/>
      <c r="Z266" s="240"/>
      <c r="AA266" s="240"/>
      <c r="AB266" s="240"/>
    </row>
    <row r="267">
      <c r="A267" s="240"/>
      <c r="B267" s="240" t="s">
        <v>2955</v>
      </c>
      <c r="C267" s="240"/>
      <c r="D267" s="240"/>
      <c r="E267" s="240"/>
      <c r="G267" s="240"/>
      <c r="H267" s="240"/>
      <c r="I267" s="240"/>
      <c r="J267" s="240"/>
      <c r="K267" s="240"/>
      <c r="L267" s="240"/>
      <c r="M267" s="240"/>
      <c r="N267" s="240"/>
      <c r="O267" s="240"/>
      <c r="P267" s="240"/>
      <c r="Q267" s="240"/>
      <c r="R267" s="240"/>
      <c r="S267" s="240"/>
      <c r="T267" s="240"/>
      <c r="U267" s="240"/>
      <c r="V267" s="240"/>
      <c r="W267" s="240"/>
      <c r="X267" s="240"/>
      <c r="Y267" s="240"/>
      <c r="Z267" s="240"/>
      <c r="AA267" s="240"/>
      <c r="AB267" s="240"/>
    </row>
    <row r="268">
      <c r="A268" s="240"/>
      <c r="B268" s="240" t="s">
        <v>2955</v>
      </c>
      <c r="C268" s="240"/>
      <c r="D268" s="240"/>
      <c r="E268" s="240"/>
      <c r="G268" s="240"/>
      <c r="H268" s="240"/>
      <c r="I268" s="240"/>
      <c r="J268" s="240"/>
      <c r="K268" s="240"/>
      <c r="L268" s="240"/>
      <c r="M268" s="240"/>
      <c r="N268" s="240"/>
      <c r="O268" s="240"/>
      <c r="P268" s="240"/>
      <c r="Q268" s="240"/>
      <c r="R268" s="240"/>
      <c r="S268" s="240"/>
      <c r="T268" s="240"/>
      <c r="U268" s="240"/>
      <c r="V268" s="240"/>
      <c r="W268" s="240"/>
      <c r="X268" s="240"/>
      <c r="Y268" s="240"/>
      <c r="Z268" s="240"/>
      <c r="AA268" s="240"/>
      <c r="AB268" s="240"/>
    </row>
    <row r="269">
      <c r="A269" s="240"/>
      <c r="B269" s="240" t="s">
        <v>2955</v>
      </c>
      <c r="C269" s="240"/>
      <c r="D269" s="240"/>
      <c r="E269" s="240"/>
      <c r="G269" s="240"/>
      <c r="H269" s="240"/>
      <c r="I269" s="240"/>
      <c r="J269" s="240"/>
      <c r="K269" s="240"/>
      <c r="L269" s="240"/>
      <c r="M269" s="240"/>
      <c r="N269" s="240"/>
      <c r="O269" s="240"/>
      <c r="P269" s="240"/>
      <c r="Q269" s="240"/>
      <c r="R269" s="240"/>
      <c r="S269" s="240"/>
      <c r="T269" s="240"/>
      <c r="U269" s="240"/>
      <c r="V269" s="240"/>
      <c r="W269" s="240"/>
      <c r="X269" s="240"/>
      <c r="Y269" s="240"/>
      <c r="Z269" s="240"/>
      <c r="AA269" s="240"/>
      <c r="AB269" s="240"/>
    </row>
    <row r="270">
      <c r="A270" s="240"/>
      <c r="B270" s="240" t="s">
        <v>2955</v>
      </c>
      <c r="C270" s="240"/>
      <c r="D270" s="240"/>
      <c r="E270" s="240"/>
      <c r="G270" s="240"/>
      <c r="H270" s="240"/>
      <c r="I270" s="240"/>
      <c r="J270" s="240"/>
      <c r="K270" s="240"/>
      <c r="L270" s="240"/>
      <c r="M270" s="240"/>
      <c r="N270" s="240"/>
      <c r="O270" s="240"/>
      <c r="P270" s="240"/>
      <c r="Q270" s="240"/>
      <c r="R270" s="240"/>
      <c r="S270" s="240"/>
      <c r="T270" s="240"/>
      <c r="U270" s="240"/>
      <c r="V270" s="240"/>
      <c r="W270" s="240"/>
      <c r="X270" s="240"/>
      <c r="Y270" s="240"/>
      <c r="Z270" s="240"/>
      <c r="AA270" s="240"/>
      <c r="AB270" s="240"/>
    </row>
    <row r="271">
      <c r="A271" s="240"/>
      <c r="B271" s="240" t="s">
        <v>2955</v>
      </c>
      <c r="C271" s="240"/>
      <c r="D271" s="240"/>
      <c r="E271" s="240"/>
      <c r="G271" s="240"/>
      <c r="H271" s="240"/>
      <c r="I271" s="240"/>
      <c r="J271" s="240"/>
      <c r="K271" s="240"/>
      <c r="L271" s="240"/>
      <c r="M271" s="240"/>
      <c r="N271" s="240"/>
      <c r="O271" s="240"/>
      <c r="P271" s="240"/>
      <c r="Q271" s="240"/>
      <c r="R271" s="240"/>
      <c r="S271" s="240"/>
      <c r="T271" s="240"/>
      <c r="U271" s="240"/>
      <c r="V271" s="240"/>
      <c r="W271" s="240"/>
      <c r="X271" s="240"/>
      <c r="Y271" s="240"/>
      <c r="Z271" s="240"/>
      <c r="AA271" s="240"/>
      <c r="AB271" s="240"/>
    </row>
    <row r="272">
      <c r="A272" s="240"/>
      <c r="B272" s="240" t="s">
        <v>2955</v>
      </c>
      <c r="C272" s="240"/>
      <c r="D272" s="240"/>
      <c r="E272" s="240"/>
      <c r="G272" s="240"/>
      <c r="H272" s="240"/>
      <c r="I272" s="240"/>
      <c r="J272" s="240"/>
      <c r="K272" s="240"/>
      <c r="L272" s="240"/>
      <c r="M272" s="240"/>
      <c r="N272" s="240"/>
      <c r="O272" s="240"/>
      <c r="P272" s="240"/>
      <c r="Q272" s="240"/>
      <c r="R272" s="240"/>
      <c r="S272" s="240"/>
      <c r="T272" s="240"/>
      <c r="U272" s="240"/>
      <c r="V272" s="240"/>
      <c r="W272" s="240"/>
      <c r="X272" s="240"/>
      <c r="Y272" s="240"/>
      <c r="Z272" s="240"/>
      <c r="AA272" s="240"/>
      <c r="AB272" s="240"/>
    </row>
    <row r="273">
      <c r="A273" s="240"/>
      <c r="B273" s="240" t="s">
        <v>2955</v>
      </c>
      <c r="C273" s="240"/>
      <c r="D273" s="240"/>
      <c r="E273" s="240"/>
      <c r="G273" s="240"/>
      <c r="H273" s="240"/>
      <c r="I273" s="240"/>
      <c r="J273" s="240"/>
      <c r="K273" s="240"/>
      <c r="L273" s="240"/>
      <c r="M273" s="240"/>
      <c r="N273" s="240"/>
      <c r="O273" s="240"/>
      <c r="P273" s="240"/>
      <c r="Q273" s="240"/>
      <c r="R273" s="240"/>
      <c r="S273" s="240"/>
      <c r="T273" s="240"/>
      <c r="U273" s="240"/>
      <c r="V273" s="240"/>
      <c r="W273" s="240"/>
      <c r="X273" s="240"/>
      <c r="Y273" s="240"/>
      <c r="Z273" s="240"/>
      <c r="AA273" s="240"/>
      <c r="AB273" s="240"/>
    </row>
    <row r="274">
      <c r="A274" s="240"/>
      <c r="B274" s="240" t="s">
        <v>2955</v>
      </c>
      <c r="C274" s="240"/>
      <c r="D274" s="240"/>
      <c r="E274" s="240"/>
      <c r="G274" s="240"/>
      <c r="H274" s="240"/>
      <c r="I274" s="240"/>
      <c r="J274" s="240"/>
      <c r="K274" s="240"/>
      <c r="L274" s="240"/>
      <c r="M274" s="240"/>
      <c r="N274" s="240"/>
      <c r="O274" s="240"/>
      <c r="P274" s="240"/>
      <c r="Q274" s="240"/>
      <c r="R274" s="240"/>
      <c r="S274" s="240"/>
      <c r="T274" s="240"/>
      <c r="U274" s="240"/>
      <c r="V274" s="240"/>
      <c r="W274" s="240"/>
      <c r="X274" s="240"/>
      <c r="Y274" s="240"/>
      <c r="Z274" s="240"/>
      <c r="AA274" s="240"/>
      <c r="AB274" s="240"/>
    </row>
    <row r="275">
      <c r="A275" s="240"/>
      <c r="B275" s="240" t="s">
        <v>2955</v>
      </c>
      <c r="C275" s="240"/>
      <c r="D275" s="240"/>
      <c r="E275" s="240"/>
      <c r="G275" s="240"/>
      <c r="H275" s="240"/>
      <c r="I275" s="240"/>
      <c r="J275" s="240"/>
      <c r="K275" s="240"/>
      <c r="L275" s="240"/>
      <c r="M275" s="240"/>
      <c r="N275" s="240"/>
      <c r="O275" s="240"/>
      <c r="P275" s="240"/>
      <c r="Q275" s="240"/>
      <c r="R275" s="240"/>
      <c r="S275" s="240"/>
      <c r="T275" s="240"/>
      <c r="U275" s="240"/>
      <c r="V275" s="240"/>
      <c r="W275" s="240"/>
      <c r="X275" s="240"/>
      <c r="Y275" s="240"/>
      <c r="Z275" s="240"/>
      <c r="AA275" s="240"/>
      <c r="AB275" s="240"/>
    </row>
    <row r="276">
      <c r="A276" s="240"/>
      <c r="B276" s="240" t="s">
        <v>2955</v>
      </c>
      <c r="C276" s="240"/>
      <c r="D276" s="240"/>
      <c r="E276" s="240"/>
      <c r="G276" s="240"/>
      <c r="H276" s="240"/>
      <c r="I276" s="240"/>
      <c r="J276" s="240"/>
      <c r="K276" s="240"/>
      <c r="L276" s="240"/>
      <c r="M276" s="240"/>
      <c r="N276" s="240"/>
      <c r="O276" s="240"/>
      <c r="P276" s="240"/>
      <c r="Q276" s="240"/>
      <c r="R276" s="240"/>
      <c r="S276" s="240"/>
      <c r="T276" s="240"/>
      <c r="U276" s="240"/>
      <c r="V276" s="240"/>
      <c r="W276" s="240"/>
      <c r="X276" s="240"/>
      <c r="Y276" s="240"/>
      <c r="Z276" s="240"/>
      <c r="AA276" s="240"/>
      <c r="AB276" s="240"/>
    </row>
    <row r="277">
      <c r="A277" s="240"/>
      <c r="B277" s="240" t="s">
        <v>2955</v>
      </c>
      <c r="C277" s="240"/>
      <c r="D277" s="240"/>
      <c r="E277" s="240"/>
      <c r="G277" s="240"/>
      <c r="H277" s="240"/>
      <c r="I277" s="240"/>
      <c r="J277" s="240"/>
      <c r="K277" s="240"/>
      <c r="L277" s="240"/>
      <c r="M277" s="240"/>
      <c r="N277" s="240"/>
      <c r="O277" s="240"/>
      <c r="P277" s="240"/>
      <c r="Q277" s="240"/>
      <c r="R277" s="240"/>
      <c r="S277" s="240"/>
      <c r="T277" s="240"/>
      <c r="U277" s="240"/>
      <c r="V277" s="240"/>
      <c r="W277" s="240"/>
      <c r="X277" s="240"/>
      <c r="Y277" s="240"/>
      <c r="Z277" s="240"/>
      <c r="AA277" s="240"/>
      <c r="AB277" s="240"/>
    </row>
    <row r="278">
      <c r="A278" s="240"/>
      <c r="B278" s="240" t="s">
        <v>2955</v>
      </c>
      <c r="C278" s="240"/>
      <c r="D278" s="240"/>
      <c r="E278" s="240"/>
      <c r="G278" s="240"/>
      <c r="H278" s="240"/>
      <c r="I278" s="240"/>
      <c r="J278" s="240"/>
      <c r="K278" s="240"/>
      <c r="L278" s="240"/>
      <c r="M278" s="240"/>
      <c r="N278" s="240"/>
      <c r="O278" s="240"/>
      <c r="P278" s="240"/>
      <c r="Q278" s="240"/>
      <c r="R278" s="240"/>
      <c r="S278" s="240"/>
      <c r="T278" s="240"/>
      <c r="U278" s="240"/>
      <c r="V278" s="240"/>
      <c r="W278" s="240"/>
      <c r="X278" s="240"/>
      <c r="Y278" s="240"/>
      <c r="Z278" s="240"/>
      <c r="AA278" s="240"/>
      <c r="AB278" s="240"/>
    </row>
    <row r="279">
      <c r="A279" s="240"/>
      <c r="B279" s="240" t="s">
        <v>2955</v>
      </c>
      <c r="C279" s="240"/>
      <c r="D279" s="240"/>
      <c r="E279" s="240"/>
      <c r="G279" s="240"/>
      <c r="H279" s="240"/>
      <c r="I279" s="240"/>
      <c r="J279" s="240"/>
      <c r="K279" s="240"/>
      <c r="L279" s="240"/>
      <c r="M279" s="240"/>
      <c r="N279" s="240"/>
      <c r="O279" s="240"/>
      <c r="P279" s="240"/>
      <c r="Q279" s="240"/>
      <c r="R279" s="240"/>
      <c r="S279" s="240"/>
      <c r="T279" s="240"/>
      <c r="U279" s="240"/>
      <c r="V279" s="240"/>
      <c r="W279" s="240"/>
      <c r="X279" s="240"/>
      <c r="Y279" s="240"/>
      <c r="Z279" s="240"/>
      <c r="AA279" s="240"/>
      <c r="AB279" s="240"/>
    </row>
    <row r="280">
      <c r="A280" s="240"/>
      <c r="B280" s="240" t="s">
        <v>2955</v>
      </c>
      <c r="C280" s="240"/>
      <c r="D280" s="240"/>
      <c r="E280" s="240"/>
      <c r="G280" s="240"/>
      <c r="H280" s="240"/>
      <c r="I280" s="240"/>
      <c r="J280" s="240"/>
      <c r="K280" s="240"/>
      <c r="L280" s="240"/>
      <c r="M280" s="240"/>
      <c r="N280" s="240"/>
      <c r="O280" s="240"/>
      <c r="P280" s="240"/>
      <c r="Q280" s="240"/>
      <c r="R280" s="240"/>
      <c r="S280" s="240"/>
      <c r="T280" s="240"/>
      <c r="U280" s="240"/>
      <c r="V280" s="240"/>
      <c r="W280" s="240"/>
      <c r="X280" s="240"/>
      <c r="Y280" s="240"/>
      <c r="Z280" s="240"/>
      <c r="AA280" s="240"/>
      <c r="AB280" s="240"/>
    </row>
    <row r="281">
      <c r="A281" s="240"/>
      <c r="B281" s="240" t="s">
        <v>2955</v>
      </c>
      <c r="C281" s="240"/>
      <c r="D281" s="240"/>
      <c r="E281" s="240"/>
      <c r="G281" s="240"/>
      <c r="H281" s="240"/>
      <c r="I281" s="240"/>
      <c r="J281" s="240"/>
      <c r="K281" s="240"/>
      <c r="L281" s="240"/>
      <c r="M281" s="240"/>
      <c r="N281" s="240"/>
      <c r="O281" s="240"/>
      <c r="P281" s="240"/>
      <c r="Q281" s="240"/>
      <c r="R281" s="240"/>
      <c r="S281" s="240"/>
      <c r="T281" s="240"/>
      <c r="U281" s="240"/>
      <c r="V281" s="240"/>
      <c r="W281" s="240"/>
      <c r="X281" s="240"/>
      <c r="Y281" s="240"/>
      <c r="Z281" s="240"/>
      <c r="AA281" s="240"/>
      <c r="AB281" s="240"/>
    </row>
    <row r="282">
      <c r="A282" s="240"/>
      <c r="B282" s="240" t="s">
        <v>2955</v>
      </c>
      <c r="C282" s="240"/>
      <c r="D282" s="240"/>
      <c r="E282" s="240"/>
      <c r="G282" s="240"/>
      <c r="H282" s="240"/>
      <c r="I282" s="240"/>
      <c r="J282" s="240"/>
      <c r="K282" s="240"/>
      <c r="L282" s="240"/>
      <c r="M282" s="240"/>
      <c r="N282" s="240"/>
      <c r="O282" s="240"/>
      <c r="P282" s="240"/>
      <c r="Q282" s="240"/>
      <c r="R282" s="240"/>
      <c r="S282" s="240"/>
      <c r="T282" s="240"/>
      <c r="U282" s="240"/>
      <c r="V282" s="240"/>
      <c r="W282" s="240"/>
      <c r="X282" s="240"/>
      <c r="Y282" s="240"/>
      <c r="Z282" s="240"/>
      <c r="AA282" s="240"/>
      <c r="AB282" s="240"/>
    </row>
    <row r="283">
      <c r="A283" s="240"/>
      <c r="B283" s="240" t="s">
        <v>2955</v>
      </c>
      <c r="C283" s="240"/>
      <c r="D283" s="240"/>
      <c r="E283" s="240"/>
      <c r="G283" s="240"/>
      <c r="H283" s="240"/>
      <c r="I283" s="240"/>
      <c r="J283" s="240"/>
      <c r="K283" s="240"/>
      <c r="L283" s="240"/>
      <c r="M283" s="240"/>
      <c r="N283" s="240"/>
      <c r="O283" s="240"/>
      <c r="P283" s="240"/>
      <c r="Q283" s="240"/>
      <c r="R283" s="240"/>
      <c r="S283" s="240"/>
      <c r="T283" s="240"/>
      <c r="U283" s="240"/>
      <c r="V283" s="240"/>
      <c r="W283" s="240"/>
      <c r="X283" s="240"/>
      <c r="Y283" s="240"/>
      <c r="Z283" s="240"/>
      <c r="AA283" s="240"/>
      <c r="AB283" s="240"/>
    </row>
    <row r="284">
      <c r="A284" s="240"/>
      <c r="B284" s="240" t="s">
        <v>2955</v>
      </c>
      <c r="C284" s="240"/>
      <c r="D284" s="240"/>
      <c r="E284" s="240"/>
      <c r="G284" s="240"/>
      <c r="H284" s="240"/>
      <c r="I284" s="240"/>
      <c r="J284" s="240"/>
      <c r="K284" s="240"/>
      <c r="L284" s="240"/>
      <c r="M284" s="240"/>
      <c r="N284" s="240"/>
      <c r="O284" s="240"/>
      <c r="P284" s="240"/>
      <c r="Q284" s="240"/>
      <c r="R284" s="240"/>
      <c r="S284" s="240"/>
      <c r="T284" s="240"/>
      <c r="U284" s="240"/>
      <c r="V284" s="240"/>
      <c r="W284" s="240"/>
      <c r="X284" s="240"/>
      <c r="Y284" s="240"/>
      <c r="Z284" s="240"/>
      <c r="AA284" s="240"/>
      <c r="AB284" s="240"/>
    </row>
    <row r="285">
      <c r="A285" s="240"/>
      <c r="B285" s="240" t="s">
        <v>2955</v>
      </c>
      <c r="C285" s="240"/>
      <c r="D285" s="240"/>
      <c r="E285" s="240"/>
      <c r="G285" s="240"/>
      <c r="H285" s="240"/>
      <c r="I285" s="240"/>
      <c r="J285" s="240"/>
      <c r="K285" s="240"/>
      <c r="L285" s="240"/>
      <c r="M285" s="240"/>
      <c r="N285" s="240"/>
      <c r="O285" s="240"/>
      <c r="P285" s="240"/>
      <c r="Q285" s="240"/>
      <c r="R285" s="240"/>
      <c r="S285" s="240"/>
      <c r="T285" s="240"/>
      <c r="U285" s="240"/>
      <c r="V285" s="240"/>
      <c r="W285" s="240"/>
      <c r="X285" s="240"/>
      <c r="Y285" s="240"/>
      <c r="Z285" s="240"/>
      <c r="AA285" s="240"/>
      <c r="AB285" s="240"/>
    </row>
    <row r="286">
      <c r="A286" s="240"/>
      <c r="B286" s="240" t="s">
        <v>2955</v>
      </c>
      <c r="C286" s="240"/>
      <c r="D286" s="240"/>
      <c r="E286" s="240"/>
      <c r="G286" s="240"/>
      <c r="H286" s="240"/>
      <c r="I286" s="240"/>
      <c r="J286" s="240"/>
      <c r="K286" s="240"/>
      <c r="L286" s="240"/>
      <c r="M286" s="240"/>
      <c r="N286" s="240"/>
      <c r="O286" s="240"/>
      <c r="P286" s="240"/>
      <c r="Q286" s="240"/>
      <c r="R286" s="240"/>
      <c r="S286" s="240"/>
      <c r="T286" s="240"/>
      <c r="U286" s="240"/>
      <c r="V286" s="240"/>
      <c r="W286" s="240"/>
      <c r="X286" s="240"/>
      <c r="Y286" s="240"/>
      <c r="Z286" s="240"/>
      <c r="AA286" s="240"/>
      <c r="AB286" s="240"/>
    </row>
    <row r="287">
      <c r="A287" s="240"/>
      <c r="B287" s="240" t="s">
        <v>2955</v>
      </c>
      <c r="C287" s="240"/>
      <c r="D287" s="240"/>
      <c r="E287" s="240"/>
      <c r="G287" s="240"/>
      <c r="H287" s="240"/>
      <c r="I287" s="240"/>
      <c r="J287" s="240"/>
      <c r="K287" s="240"/>
      <c r="L287" s="240"/>
      <c r="M287" s="240"/>
      <c r="N287" s="240"/>
      <c r="O287" s="240"/>
      <c r="P287" s="240"/>
      <c r="Q287" s="240"/>
      <c r="R287" s="240"/>
      <c r="S287" s="240"/>
      <c r="T287" s="240"/>
      <c r="U287" s="240"/>
      <c r="V287" s="240"/>
      <c r="W287" s="240"/>
      <c r="X287" s="240"/>
      <c r="Y287" s="240"/>
      <c r="Z287" s="240"/>
      <c r="AA287" s="240"/>
      <c r="AB287" s="240"/>
    </row>
    <row r="288">
      <c r="A288" s="240"/>
      <c r="B288" s="240" t="s">
        <v>2955</v>
      </c>
      <c r="C288" s="240"/>
      <c r="D288" s="240"/>
      <c r="E288" s="240"/>
      <c r="G288" s="240"/>
      <c r="H288" s="240"/>
      <c r="I288" s="240"/>
      <c r="J288" s="240"/>
      <c r="K288" s="240"/>
      <c r="L288" s="240"/>
      <c r="M288" s="240"/>
      <c r="N288" s="240"/>
      <c r="O288" s="240"/>
      <c r="P288" s="240"/>
      <c r="Q288" s="240"/>
      <c r="R288" s="240"/>
      <c r="S288" s="240"/>
      <c r="T288" s="240"/>
      <c r="U288" s="240"/>
      <c r="V288" s="240"/>
      <c r="W288" s="240"/>
      <c r="X288" s="240"/>
      <c r="Y288" s="240"/>
      <c r="Z288" s="240"/>
      <c r="AA288" s="240"/>
      <c r="AB288" s="240"/>
    </row>
    <row r="289">
      <c r="A289" s="240"/>
      <c r="B289" s="240" t="s">
        <v>2955</v>
      </c>
      <c r="C289" s="240"/>
      <c r="D289" s="240"/>
      <c r="E289" s="240"/>
      <c r="G289" s="240"/>
      <c r="H289" s="240"/>
      <c r="I289" s="240"/>
      <c r="J289" s="240"/>
      <c r="K289" s="240"/>
      <c r="L289" s="240"/>
      <c r="M289" s="240"/>
      <c r="N289" s="240"/>
      <c r="O289" s="240"/>
      <c r="P289" s="240"/>
      <c r="Q289" s="240"/>
      <c r="R289" s="240"/>
      <c r="S289" s="240"/>
      <c r="T289" s="240"/>
      <c r="U289" s="240"/>
      <c r="V289" s="240"/>
      <c r="W289" s="240"/>
      <c r="X289" s="240"/>
      <c r="Y289" s="240"/>
      <c r="Z289" s="240"/>
      <c r="AA289" s="240"/>
      <c r="AB289" s="240"/>
    </row>
    <row r="290">
      <c r="A290" s="240"/>
      <c r="B290" s="240" t="s">
        <v>2955</v>
      </c>
      <c r="C290" s="240"/>
      <c r="D290" s="240"/>
      <c r="E290" s="240"/>
      <c r="G290" s="240"/>
      <c r="H290" s="240"/>
      <c r="I290" s="240"/>
      <c r="J290" s="240"/>
      <c r="K290" s="240"/>
      <c r="L290" s="240"/>
      <c r="M290" s="240"/>
      <c r="N290" s="240"/>
      <c r="O290" s="240"/>
      <c r="P290" s="240"/>
      <c r="Q290" s="240"/>
      <c r="R290" s="240"/>
      <c r="S290" s="240"/>
      <c r="T290" s="240"/>
      <c r="U290" s="240"/>
      <c r="V290" s="240"/>
      <c r="W290" s="240"/>
      <c r="X290" s="240"/>
      <c r="Y290" s="240"/>
      <c r="Z290" s="240"/>
      <c r="AA290" s="240"/>
      <c r="AB290" s="240"/>
    </row>
    <row r="291">
      <c r="A291" s="240"/>
      <c r="B291" s="240" t="s">
        <v>2955</v>
      </c>
      <c r="C291" s="240"/>
      <c r="D291" s="240"/>
      <c r="E291" s="240"/>
      <c r="G291" s="240"/>
      <c r="H291" s="240"/>
      <c r="I291" s="240"/>
      <c r="J291" s="240"/>
      <c r="K291" s="240"/>
      <c r="L291" s="240"/>
      <c r="M291" s="240"/>
      <c r="N291" s="240"/>
      <c r="O291" s="240"/>
      <c r="P291" s="240"/>
      <c r="Q291" s="240"/>
      <c r="R291" s="240"/>
      <c r="S291" s="240"/>
      <c r="T291" s="240"/>
      <c r="U291" s="240"/>
      <c r="V291" s="240"/>
      <c r="W291" s="240"/>
      <c r="X291" s="240"/>
      <c r="Y291" s="240"/>
      <c r="Z291" s="240"/>
      <c r="AA291" s="240"/>
      <c r="AB291" s="240"/>
    </row>
    <row r="292">
      <c r="A292" s="240"/>
      <c r="B292" s="240" t="s">
        <v>2955</v>
      </c>
      <c r="C292" s="240"/>
      <c r="D292" s="240"/>
      <c r="E292" s="240"/>
      <c r="G292" s="240"/>
      <c r="H292" s="240"/>
      <c r="I292" s="240"/>
      <c r="J292" s="240"/>
      <c r="K292" s="240"/>
      <c r="L292" s="240"/>
      <c r="M292" s="240"/>
      <c r="N292" s="240"/>
      <c r="O292" s="240"/>
      <c r="P292" s="240"/>
      <c r="Q292" s="240"/>
      <c r="R292" s="240"/>
      <c r="S292" s="240"/>
      <c r="T292" s="240"/>
      <c r="U292" s="240"/>
      <c r="V292" s="240"/>
      <c r="W292" s="240"/>
      <c r="X292" s="240"/>
      <c r="Y292" s="240"/>
      <c r="Z292" s="240"/>
      <c r="AA292" s="240"/>
      <c r="AB292" s="240"/>
    </row>
    <row r="293">
      <c r="A293" s="240"/>
      <c r="B293" s="240" t="s">
        <v>2955</v>
      </c>
      <c r="C293" s="240"/>
      <c r="D293" s="240"/>
      <c r="E293" s="240"/>
      <c r="G293" s="240"/>
      <c r="H293" s="240"/>
      <c r="I293" s="240"/>
      <c r="J293" s="240"/>
      <c r="K293" s="240"/>
      <c r="L293" s="240"/>
      <c r="M293" s="240"/>
      <c r="N293" s="240"/>
      <c r="O293" s="240"/>
      <c r="P293" s="240"/>
      <c r="Q293" s="240"/>
      <c r="R293" s="240"/>
      <c r="S293" s="240"/>
      <c r="T293" s="240"/>
      <c r="U293" s="240"/>
      <c r="V293" s="240"/>
      <c r="W293" s="240"/>
      <c r="X293" s="240"/>
      <c r="Y293" s="240"/>
      <c r="Z293" s="240"/>
      <c r="AA293" s="240"/>
      <c r="AB293" s="240"/>
    </row>
    <row r="294">
      <c r="A294" s="240"/>
      <c r="B294" s="240" t="s">
        <v>2955</v>
      </c>
      <c r="C294" s="240"/>
      <c r="D294" s="240"/>
      <c r="E294" s="240"/>
      <c r="G294" s="240"/>
      <c r="H294" s="240"/>
      <c r="I294" s="240"/>
      <c r="J294" s="240"/>
      <c r="K294" s="240"/>
      <c r="L294" s="240"/>
      <c r="M294" s="240"/>
      <c r="N294" s="240"/>
      <c r="O294" s="240"/>
      <c r="P294" s="240"/>
      <c r="Q294" s="240"/>
      <c r="R294" s="240"/>
      <c r="S294" s="240"/>
      <c r="T294" s="240"/>
      <c r="U294" s="240"/>
      <c r="V294" s="240"/>
      <c r="W294" s="240"/>
      <c r="X294" s="240"/>
      <c r="Y294" s="240"/>
      <c r="Z294" s="240"/>
      <c r="AA294" s="240"/>
      <c r="AB294" s="240"/>
    </row>
    <row r="295">
      <c r="A295" s="240"/>
      <c r="B295" s="240" t="s">
        <v>2955</v>
      </c>
      <c r="C295" s="240"/>
      <c r="D295" s="240"/>
      <c r="E295" s="240"/>
      <c r="G295" s="240"/>
      <c r="H295" s="240"/>
      <c r="I295" s="240"/>
      <c r="J295" s="240"/>
      <c r="K295" s="240"/>
      <c r="L295" s="240"/>
      <c r="M295" s="240"/>
      <c r="N295" s="240"/>
      <c r="O295" s="240"/>
      <c r="P295" s="240"/>
      <c r="Q295" s="240"/>
      <c r="R295" s="240"/>
      <c r="S295" s="240"/>
      <c r="T295" s="240"/>
      <c r="U295" s="240"/>
      <c r="V295" s="240"/>
      <c r="W295" s="240"/>
      <c r="X295" s="240"/>
      <c r="Y295" s="240"/>
      <c r="Z295" s="240"/>
      <c r="AA295" s="240"/>
      <c r="AB295" s="240"/>
    </row>
    <row r="296">
      <c r="A296" s="240"/>
      <c r="B296" s="240" t="s">
        <v>2955</v>
      </c>
      <c r="C296" s="240"/>
      <c r="D296" s="240"/>
      <c r="E296" s="240"/>
      <c r="G296" s="240"/>
      <c r="H296" s="240"/>
      <c r="I296" s="240"/>
      <c r="J296" s="240"/>
      <c r="K296" s="240"/>
      <c r="L296" s="240"/>
      <c r="M296" s="240"/>
      <c r="N296" s="240"/>
      <c r="O296" s="240"/>
      <c r="P296" s="240"/>
      <c r="Q296" s="240"/>
      <c r="R296" s="240"/>
      <c r="S296" s="240"/>
      <c r="T296" s="240"/>
      <c r="U296" s="240"/>
      <c r="V296" s="240"/>
      <c r="W296" s="240"/>
      <c r="X296" s="240"/>
      <c r="Y296" s="240"/>
      <c r="Z296" s="240"/>
      <c r="AA296" s="240"/>
      <c r="AB296" s="240"/>
    </row>
    <row r="297">
      <c r="A297" s="240"/>
      <c r="B297" s="240" t="s">
        <v>2955</v>
      </c>
      <c r="C297" s="240"/>
      <c r="D297" s="240"/>
      <c r="E297" s="240"/>
      <c r="G297" s="240"/>
      <c r="H297" s="240"/>
      <c r="I297" s="240"/>
      <c r="J297" s="240"/>
      <c r="K297" s="240"/>
      <c r="L297" s="240"/>
      <c r="M297" s="240"/>
      <c r="N297" s="240"/>
      <c r="O297" s="240"/>
      <c r="P297" s="240"/>
      <c r="Q297" s="240"/>
      <c r="R297" s="240"/>
      <c r="S297" s="240"/>
      <c r="T297" s="240"/>
      <c r="U297" s="240"/>
      <c r="V297" s="240"/>
      <c r="W297" s="240"/>
      <c r="X297" s="240"/>
      <c r="Y297" s="240"/>
      <c r="Z297" s="240"/>
      <c r="AA297" s="240"/>
      <c r="AB297" s="240"/>
    </row>
    <row r="298">
      <c r="A298" s="240"/>
      <c r="B298" s="240" t="s">
        <v>2955</v>
      </c>
      <c r="C298" s="240"/>
      <c r="D298" s="240"/>
      <c r="E298" s="240"/>
      <c r="G298" s="240"/>
      <c r="H298" s="240"/>
      <c r="I298" s="240"/>
      <c r="J298" s="240"/>
      <c r="K298" s="240"/>
      <c r="L298" s="240"/>
      <c r="M298" s="240"/>
      <c r="N298" s="240"/>
      <c r="O298" s="240"/>
      <c r="P298" s="240"/>
      <c r="Q298" s="240"/>
      <c r="R298" s="240"/>
      <c r="S298" s="240"/>
      <c r="T298" s="240"/>
      <c r="U298" s="240"/>
      <c r="V298" s="240"/>
      <c r="W298" s="240"/>
      <c r="X298" s="240"/>
      <c r="Y298" s="240"/>
      <c r="Z298" s="240"/>
      <c r="AA298" s="240"/>
      <c r="AB298" s="240"/>
    </row>
    <row r="299">
      <c r="A299" s="240"/>
      <c r="B299" s="240" t="s">
        <v>2955</v>
      </c>
      <c r="C299" s="240"/>
      <c r="D299" s="240"/>
      <c r="E299" s="240"/>
      <c r="G299" s="240"/>
      <c r="H299" s="240"/>
      <c r="I299" s="240"/>
      <c r="J299" s="240"/>
      <c r="K299" s="240"/>
      <c r="L299" s="240"/>
      <c r="M299" s="240"/>
      <c r="N299" s="240"/>
      <c r="O299" s="240"/>
      <c r="P299" s="240"/>
      <c r="Q299" s="240"/>
      <c r="R299" s="240"/>
      <c r="S299" s="240"/>
      <c r="T299" s="240"/>
      <c r="U299" s="240"/>
      <c r="V299" s="240"/>
      <c r="W299" s="240"/>
      <c r="X299" s="240"/>
      <c r="Y299" s="240"/>
      <c r="Z299" s="240"/>
      <c r="AA299" s="240"/>
      <c r="AB299" s="240"/>
    </row>
    <row r="300">
      <c r="A300" s="240"/>
      <c r="B300" s="240" t="s">
        <v>2955</v>
      </c>
      <c r="C300" s="240"/>
      <c r="D300" s="240"/>
      <c r="E300" s="240"/>
      <c r="G300" s="240"/>
      <c r="H300" s="240"/>
      <c r="I300" s="240"/>
      <c r="J300" s="240"/>
      <c r="K300" s="240"/>
      <c r="L300" s="240"/>
      <c r="M300" s="240"/>
      <c r="N300" s="240"/>
      <c r="O300" s="240"/>
      <c r="P300" s="240"/>
      <c r="Q300" s="240"/>
      <c r="R300" s="240"/>
      <c r="S300" s="240"/>
      <c r="T300" s="240"/>
      <c r="U300" s="240"/>
      <c r="V300" s="240"/>
      <c r="W300" s="240"/>
      <c r="X300" s="240"/>
      <c r="Y300" s="240"/>
      <c r="Z300" s="240"/>
      <c r="AA300" s="240"/>
      <c r="AB300" s="240"/>
    </row>
    <row r="301">
      <c r="A301" s="240"/>
      <c r="B301" s="240" t="s">
        <v>2955</v>
      </c>
      <c r="C301" s="240"/>
      <c r="D301" s="240"/>
      <c r="E301" s="240"/>
      <c r="G301" s="240"/>
      <c r="H301" s="240"/>
      <c r="I301" s="240"/>
      <c r="J301" s="240"/>
      <c r="K301" s="240"/>
      <c r="L301" s="240"/>
      <c r="M301" s="240"/>
      <c r="N301" s="240"/>
      <c r="O301" s="240"/>
      <c r="P301" s="240"/>
      <c r="Q301" s="240"/>
      <c r="R301" s="240"/>
      <c r="S301" s="240"/>
      <c r="T301" s="240"/>
      <c r="U301" s="240"/>
      <c r="V301" s="240"/>
      <c r="W301" s="240"/>
      <c r="X301" s="240"/>
      <c r="Y301" s="240"/>
      <c r="Z301" s="240"/>
      <c r="AA301" s="240"/>
      <c r="AB301" s="240"/>
    </row>
    <row r="302">
      <c r="A302" s="240"/>
      <c r="B302" s="240" t="s">
        <v>2955</v>
      </c>
      <c r="C302" s="240"/>
      <c r="D302" s="240"/>
      <c r="E302" s="240"/>
      <c r="G302" s="240"/>
      <c r="H302" s="240"/>
      <c r="I302" s="240"/>
      <c r="J302" s="240"/>
      <c r="K302" s="240"/>
      <c r="L302" s="240"/>
      <c r="M302" s="240"/>
      <c r="N302" s="240"/>
      <c r="O302" s="240"/>
      <c r="P302" s="240"/>
      <c r="Q302" s="240"/>
      <c r="R302" s="240"/>
      <c r="S302" s="240"/>
      <c r="T302" s="240"/>
      <c r="U302" s="240"/>
      <c r="V302" s="240"/>
      <c r="W302" s="240"/>
      <c r="X302" s="240"/>
      <c r="Y302" s="240"/>
      <c r="Z302" s="240"/>
      <c r="AA302" s="240"/>
      <c r="AB302" s="240"/>
    </row>
    <row r="303">
      <c r="A303" s="240"/>
      <c r="B303" s="240" t="s">
        <v>2955</v>
      </c>
      <c r="C303" s="240"/>
      <c r="D303" s="240"/>
      <c r="E303" s="240"/>
      <c r="G303" s="240"/>
      <c r="H303" s="240"/>
      <c r="I303" s="240"/>
      <c r="J303" s="240"/>
      <c r="K303" s="240"/>
      <c r="L303" s="240"/>
      <c r="M303" s="240"/>
      <c r="N303" s="240"/>
      <c r="O303" s="240"/>
      <c r="P303" s="240"/>
      <c r="Q303" s="240"/>
      <c r="R303" s="240"/>
      <c r="S303" s="240"/>
      <c r="T303" s="240"/>
      <c r="U303" s="240"/>
      <c r="V303" s="240"/>
      <c r="W303" s="240"/>
      <c r="X303" s="240"/>
      <c r="Y303" s="240"/>
      <c r="Z303" s="240"/>
      <c r="AA303" s="240"/>
      <c r="AB303" s="240"/>
    </row>
    <row r="304">
      <c r="A304" s="240"/>
      <c r="B304" s="240" t="s">
        <v>2955</v>
      </c>
      <c r="C304" s="240"/>
      <c r="D304" s="240"/>
      <c r="E304" s="240"/>
      <c r="G304" s="240"/>
      <c r="H304" s="240"/>
      <c r="I304" s="240"/>
      <c r="J304" s="240"/>
      <c r="K304" s="240"/>
      <c r="L304" s="240"/>
      <c r="M304" s="240"/>
      <c r="N304" s="240"/>
      <c r="O304" s="240"/>
      <c r="P304" s="240"/>
      <c r="Q304" s="240"/>
      <c r="R304" s="240"/>
      <c r="S304" s="240"/>
      <c r="T304" s="240"/>
      <c r="U304" s="240"/>
      <c r="V304" s="240"/>
      <c r="W304" s="240"/>
      <c r="X304" s="240"/>
      <c r="Y304" s="240"/>
      <c r="Z304" s="240"/>
      <c r="AA304" s="240"/>
      <c r="AB304" s="240"/>
    </row>
    <row r="305">
      <c r="A305" s="240"/>
      <c r="B305" s="240" t="s">
        <v>2955</v>
      </c>
      <c r="C305" s="240"/>
      <c r="D305" s="240"/>
      <c r="E305" s="240"/>
      <c r="G305" s="240"/>
      <c r="H305" s="240"/>
      <c r="I305" s="240"/>
      <c r="J305" s="240"/>
      <c r="K305" s="240"/>
      <c r="L305" s="240"/>
      <c r="M305" s="240"/>
      <c r="N305" s="240"/>
      <c r="O305" s="240"/>
      <c r="P305" s="240"/>
      <c r="Q305" s="240"/>
      <c r="R305" s="240"/>
      <c r="S305" s="240"/>
      <c r="T305" s="240"/>
      <c r="U305" s="240"/>
      <c r="V305" s="240"/>
      <c r="W305" s="240"/>
      <c r="X305" s="240"/>
      <c r="Y305" s="240"/>
      <c r="Z305" s="240"/>
      <c r="AA305" s="240"/>
      <c r="AB305" s="240"/>
    </row>
    <row r="306">
      <c r="A306" s="240"/>
      <c r="B306" s="240" t="s">
        <v>2955</v>
      </c>
      <c r="C306" s="240"/>
      <c r="D306" s="240"/>
      <c r="E306" s="240"/>
      <c r="G306" s="240"/>
      <c r="H306" s="240"/>
      <c r="I306" s="240"/>
      <c r="J306" s="240"/>
      <c r="K306" s="240"/>
      <c r="L306" s="240"/>
      <c r="M306" s="240"/>
      <c r="N306" s="240"/>
      <c r="O306" s="240"/>
      <c r="P306" s="240"/>
      <c r="Q306" s="240"/>
      <c r="R306" s="240"/>
      <c r="S306" s="240"/>
      <c r="T306" s="240"/>
      <c r="U306" s="240"/>
      <c r="V306" s="240"/>
      <c r="W306" s="240"/>
      <c r="X306" s="240"/>
      <c r="Y306" s="240"/>
      <c r="Z306" s="240"/>
      <c r="AA306" s="240"/>
      <c r="AB306" s="240"/>
    </row>
    <row r="307">
      <c r="A307" s="240"/>
      <c r="B307" s="240" t="s">
        <v>2955</v>
      </c>
      <c r="C307" s="240"/>
      <c r="D307" s="240"/>
      <c r="E307" s="240"/>
      <c r="G307" s="240"/>
      <c r="H307" s="240"/>
      <c r="I307" s="240"/>
      <c r="J307" s="240"/>
      <c r="K307" s="240"/>
      <c r="L307" s="240"/>
      <c r="M307" s="240"/>
      <c r="N307" s="240"/>
      <c r="O307" s="240"/>
      <c r="P307" s="240"/>
      <c r="Q307" s="240"/>
      <c r="R307" s="240"/>
      <c r="S307" s="240"/>
      <c r="T307" s="240"/>
      <c r="U307" s="240"/>
      <c r="V307" s="240"/>
      <c r="W307" s="240"/>
      <c r="X307" s="240"/>
      <c r="Y307" s="240"/>
      <c r="Z307" s="240"/>
      <c r="AA307" s="240"/>
      <c r="AB307" s="240"/>
    </row>
    <row r="308">
      <c r="A308" s="240"/>
      <c r="B308" s="240" t="s">
        <v>2955</v>
      </c>
      <c r="C308" s="240"/>
      <c r="D308" s="240"/>
      <c r="E308" s="240"/>
      <c r="G308" s="240"/>
      <c r="H308" s="240"/>
      <c r="I308" s="240"/>
      <c r="J308" s="240"/>
      <c r="K308" s="240"/>
      <c r="L308" s="240"/>
      <c r="M308" s="240"/>
      <c r="N308" s="240"/>
      <c r="O308" s="240"/>
      <c r="P308" s="240"/>
      <c r="Q308" s="240"/>
      <c r="R308" s="240"/>
      <c r="S308" s="240"/>
      <c r="T308" s="240"/>
      <c r="U308" s="240"/>
      <c r="V308" s="240"/>
      <c r="W308" s="240"/>
      <c r="X308" s="240"/>
      <c r="Y308" s="240"/>
      <c r="Z308" s="240"/>
      <c r="AA308" s="240"/>
      <c r="AB308" s="240"/>
    </row>
    <row r="309">
      <c r="A309" s="240"/>
      <c r="B309" s="240" t="s">
        <v>2955</v>
      </c>
      <c r="C309" s="240"/>
      <c r="D309" s="240"/>
      <c r="E309" s="240"/>
      <c r="G309" s="240"/>
      <c r="H309" s="240"/>
      <c r="I309" s="240"/>
      <c r="J309" s="240"/>
      <c r="K309" s="240"/>
      <c r="L309" s="240"/>
      <c r="M309" s="240"/>
      <c r="N309" s="240"/>
      <c r="O309" s="240"/>
      <c r="P309" s="240"/>
      <c r="Q309" s="240"/>
      <c r="R309" s="240"/>
      <c r="S309" s="240"/>
      <c r="T309" s="240"/>
      <c r="U309" s="240"/>
      <c r="V309" s="240"/>
      <c r="W309" s="240"/>
      <c r="X309" s="240"/>
      <c r="Y309" s="240"/>
      <c r="Z309" s="240"/>
      <c r="AA309" s="240"/>
      <c r="AB309" s="240"/>
    </row>
    <row r="310">
      <c r="A310" s="240"/>
      <c r="B310" s="240" t="s">
        <v>2955</v>
      </c>
      <c r="C310" s="240"/>
      <c r="D310" s="240"/>
      <c r="E310" s="240"/>
      <c r="G310" s="240"/>
      <c r="H310" s="240"/>
      <c r="I310" s="240"/>
      <c r="J310" s="240"/>
      <c r="K310" s="240"/>
      <c r="L310" s="240"/>
      <c r="M310" s="240"/>
      <c r="N310" s="240"/>
      <c r="O310" s="240"/>
      <c r="P310" s="240"/>
      <c r="Q310" s="240"/>
      <c r="R310" s="240"/>
      <c r="S310" s="240"/>
      <c r="T310" s="240"/>
      <c r="U310" s="240"/>
      <c r="V310" s="240"/>
      <c r="W310" s="240"/>
      <c r="X310" s="240"/>
      <c r="Y310" s="240"/>
      <c r="Z310" s="240"/>
      <c r="AA310" s="240"/>
      <c r="AB310" s="240"/>
    </row>
    <row r="311">
      <c r="A311" s="240"/>
      <c r="B311" s="240" t="s">
        <v>2955</v>
      </c>
      <c r="C311" s="240"/>
      <c r="D311" s="240"/>
      <c r="E311" s="240"/>
      <c r="G311" s="240"/>
      <c r="H311" s="240"/>
      <c r="I311" s="240"/>
      <c r="J311" s="240"/>
      <c r="K311" s="240"/>
      <c r="L311" s="240"/>
      <c r="M311" s="240"/>
      <c r="N311" s="240"/>
      <c r="O311" s="240"/>
      <c r="P311" s="240"/>
      <c r="Q311" s="240"/>
      <c r="R311" s="240"/>
      <c r="S311" s="240"/>
      <c r="T311" s="240"/>
      <c r="U311" s="240"/>
      <c r="V311" s="240"/>
      <c r="W311" s="240"/>
      <c r="X311" s="240"/>
      <c r="Y311" s="240"/>
      <c r="Z311" s="240"/>
      <c r="AA311" s="240"/>
      <c r="AB311" s="240"/>
    </row>
    <row r="312">
      <c r="A312" s="240"/>
      <c r="B312" s="240" t="s">
        <v>2955</v>
      </c>
      <c r="C312" s="240"/>
      <c r="D312" s="240"/>
      <c r="E312" s="240"/>
      <c r="G312" s="240"/>
      <c r="H312" s="240"/>
      <c r="I312" s="240"/>
      <c r="J312" s="240"/>
      <c r="K312" s="240"/>
      <c r="L312" s="240"/>
      <c r="M312" s="240"/>
      <c r="N312" s="240"/>
      <c r="O312" s="240"/>
      <c r="P312" s="240"/>
      <c r="Q312" s="240"/>
      <c r="R312" s="240"/>
      <c r="S312" s="240"/>
      <c r="T312" s="240"/>
      <c r="U312" s="240"/>
      <c r="V312" s="240"/>
      <c r="W312" s="240"/>
      <c r="X312" s="240"/>
      <c r="Y312" s="240"/>
      <c r="Z312" s="240"/>
      <c r="AA312" s="240"/>
      <c r="AB312" s="240"/>
    </row>
    <row r="313">
      <c r="A313" s="240"/>
      <c r="B313" s="240" t="s">
        <v>2955</v>
      </c>
      <c r="C313" s="240"/>
      <c r="D313" s="240"/>
      <c r="E313" s="240"/>
      <c r="G313" s="240"/>
      <c r="H313" s="240"/>
      <c r="I313" s="240"/>
      <c r="J313" s="240"/>
      <c r="K313" s="240"/>
      <c r="L313" s="240"/>
      <c r="M313" s="240"/>
      <c r="N313" s="240"/>
      <c r="O313" s="240"/>
      <c r="P313" s="240"/>
      <c r="Q313" s="240"/>
      <c r="R313" s="240"/>
      <c r="S313" s="240"/>
      <c r="T313" s="240"/>
      <c r="U313" s="240"/>
      <c r="V313" s="240"/>
      <c r="W313" s="240"/>
      <c r="X313" s="240"/>
      <c r="Y313" s="240"/>
      <c r="Z313" s="240"/>
      <c r="AA313" s="240"/>
      <c r="AB313" s="240"/>
    </row>
    <row r="314">
      <c r="A314" s="240"/>
      <c r="B314" s="240" t="s">
        <v>2955</v>
      </c>
      <c r="C314" s="240"/>
      <c r="D314" s="240"/>
      <c r="E314" s="240"/>
      <c r="G314" s="240"/>
      <c r="H314" s="240"/>
      <c r="I314" s="240"/>
      <c r="J314" s="240"/>
      <c r="K314" s="240"/>
      <c r="L314" s="240"/>
      <c r="M314" s="240"/>
      <c r="N314" s="240"/>
      <c r="O314" s="240"/>
      <c r="P314" s="240"/>
      <c r="Q314" s="240"/>
      <c r="R314" s="240"/>
      <c r="S314" s="240"/>
      <c r="T314" s="240"/>
      <c r="U314" s="240"/>
      <c r="V314" s="240"/>
      <c r="W314" s="240"/>
      <c r="X314" s="240"/>
      <c r="Y314" s="240"/>
      <c r="Z314" s="240"/>
      <c r="AA314" s="240"/>
      <c r="AB314" s="240"/>
    </row>
    <row r="315">
      <c r="A315" s="240"/>
      <c r="B315" s="240" t="s">
        <v>2955</v>
      </c>
      <c r="C315" s="240"/>
      <c r="D315" s="240"/>
      <c r="E315" s="240"/>
      <c r="G315" s="240"/>
      <c r="H315" s="240"/>
      <c r="I315" s="240"/>
      <c r="J315" s="240"/>
      <c r="K315" s="240"/>
      <c r="L315" s="240"/>
      <c r="M315" s="240"/>
      <c r="N315" s="240"/>
      <c r="O315" s="240"/>
      <c r="P315" s="240"/>
      <c r="Q315" s="240"/>
      <c r="R315" s="240"/>
      <c r="S315" s="240"/>
      <c r="T315" s="240"/>
      <c r="U315" s="240"/>
      <c r="V315" s="240"/>
      <c r="W315" s="240"/>
      <c r="X315" s="240"/>
      <c r="Y315" s="240"/>
      <c r="Z315" s="240"/>
      <c r="AA315" s="240"/>
      <c r="AB315" s="240"/>
    </row>
    <row r="316">
      <c r="A316" s="240"/>
      <c r="B316" s="240" t="s">
        <v>2955</v>
      </c>
      <c r="C316" s="240"/>
      <c r="D316" s="240"/>
      <c r="E316" s="240"/>
      <c r="G316" s="240"/>
      <c r="H316" s="240"/>
      <c r="I316" s="240"/>
      <c r="J316" s="240"/>
      <c r="K316" s="240"/>
      <c r="L316" s="240"/>
      <c r="M316" s="240"/>
      <c r="N316" s="240"/>
      <c r="O316" s="240"/>
      <c r="P316" s="240"/>
      <c r="Q316" s="240"/>
      <c r="R316" s="240"/>
      <c r="S316" s="240"/>
      <c r="T316" s="240"/>
      <c r="U316" s="240"/>
      <c r="V316" s="240"/>
      <c r="W316" s="240"/>
      <c r="X316" s="240"/>
      <c r="Y316" s="240"/>
      <c r="Z316" s="240"/>
      <c r="AA316" s="240"/>
      <c r="AB316" s="240"/>
    </row>
    <row r="317">
      <c r="A317" s="240"/>
      <c r="B317" s="240" t="s">
        <v>2955</v>
      </c>
      <c r="C317" s="240"/>
      <c r="D317" s="240"/>
      <c r="E317" s="240"/>
      <c r="G317" s="240"/>
      <c r="H317" s="240"/>
      <c r="I317" s="240"/>
      <c r="J317" s="240"/>
      <c r="K317" s="240"/>
      <c r="L317" s="240"/>
      <c r="M317" s="240"/>
      <c r="N317" s="240"/>
      <c r="O317" s="240"/>
      <c r="P317" s="240"/>
      <c r="Q317" s="240"/>
      <c r="R317" s="240"/>
      <c r="S317" s="240"/>
      <c r="T317" s="240"/>
      <c r="U317" s="240"/>
      <c r="V317" s="240"/>
      <c r="W317" s="240"/>
      <c r="X317" s="240"/>
      <c r="Y317" s="240"/>
      <c r="Z317" s="240"/>
      <c r="AA317" s="240"/>
      <c r="AB317" s="240"/>
    </row>
    <row r="318">
      <c r="A318" s="240"/>
      <c r="B318" s="240" t="s">
        <v>2955</v>
      </c>
      <c r="C318" s="240"/>
      <c r="D318" s="240"/>
      <c r="E318" s="240"/>
      <c r="G318" s="240"/>
      <c r="H318" s="240"/>
      <c r="I318" s="240"/>
      <c r="J318" s="240"/>
      <c r="K318" s="240"/>
      <c r="L318" s="240"/>
      <c r="M318" s="240"/>
      <c r="N318" s="240"/>
      <c r="O318" s="240"/>
      <c r="P318" s="240"/>
      <c r="Q318" s="240"/>
      <c r="R318" s="240"/>
      <c r="S318" s="240"/>
      <c r="T318" s="240"/>
      <c r="U318" s="240"/>
      <c r="V318" s="240"/>
      <c r="W318" s="240"/>
      <c r="X318" s="240"/>
      <c r="Y318" s="240"/>
      <c r="Z318" s="240"/>
      <c r="AA318" s="240"/>
      <c r="AB318" s="240"/>
    </row>
    <row r="319">
      <c r="A319" s="240"/>
      <c r="B319" s="240" t="s">
        <v>2955</v>
      </c>
      <c r="C319" s="240"/>
      <c r="D319" s="240"/>
      <c r="E319" s="240"/>
      <c r="G319" s="240"/>
      <c r="H319" s="240"/>
      <c r="I319" s="240"/>
      <c r="J319" s="240"/>
      <c r="K319" s="240"/>
      <c r="L319" s="240"/>
      <c r="M319" s="240"/>
      <c r="N319" s="240"/>
      <c r="O319" s="240"/>
      <c r="P319" s="240"/>
      <c r="Q319" s="240"/>
      <c r="R319" s="240"/>
      <c r="S319" s="240"/>
      <c r="T319" s="240"/>
      <c r="U319" s="240"/>
      <c r="V319" s="240"/>
      <c r="W319" s="240"/>
      <c r="X319" s="240"/>
      <c r="Y319" s="240"/>
      <c r="Z319" s="240"/>
      <c r="AA319" s="240"/>
      <c r="AB319" s="240"/>
    </row>
    <row r="320">
      <c r="A320" s="240"/>
      <c r="B320" s="240" t="s">
        <v>2955</v>
      </c>
      <c r="C320" s="240"/>
      <c r="D320" s="240"/>
      <c r="E320" s="240"/>
      <c r="G320" s="240"/>
      <c r="H320" s="240"/>
      <c r="I320" s="240"/>
      <c r="J320" s="240"/>
      <c r="K320" s="240"/>
      <c r="L320" s="240"/>
      <c r="M320" s="240"/>
      <c r="N320" s="240"/>
      <c r="O320" s="240"/>
      <c r="P320" s="240"/>
      <c r="Q320" s="240"/>
      <c r="R320" s="240"/>
      <c r="S320" s="240"/>
      <c r="T320" s="240"/>
      <c r="U320" s="240"/>
      <c r="V320" s="240"/>
      <c r="W320" s="240"/>
      <c r="X320" s="240"/>
      <c r="Y320" s="240"/>
      <c r="Z320" s="240"/>
      <c r="AA320" s="240"/>
      <c r="AB320" s="240"/>
    </row>
    <row r="321">
      <c r="A321" s="240"/>
      <c r="B321" s="240" t="s">
        <v>2955</v>
      </c>
      <c r="C321" s="240"/>
      <c r="D321" s="240"/>
      <c r="E321" s="240"/>
      <c r="G321" s="240"/>
      <c r="H321" s="240"/>
      <c r="I321" s="240"/>
      <c r="J321" s="240"/>
      <c r="K321" s="240"/>
      <c r="L321" s="240"/>
      <c r="M321" s="240"/>
      <c r="N321" s="240"/>
      <c r="O321" s="240"/>
      <c r="P321" s="240"/>
      <c r="Q321" s="240"/>
      <c r="R321" s="240"/>
      <c r="S321" s="240"/>
      <c r="T321" s="240"/>
      <c r="U321" s="240"/>
      <c r="V321" s="240"/>
      <c r="W321" s="240"/>
      <c r="X321" s="240"/>
      <c r="Y321" s="240"/>
      <c r="Z321" s="240"/>
      <c r="AA321" s="240"/>
      <c r="AB321" s="240"/>
    </row>
    <row r="322">
      <c r="A322" s="240"/>
      <c r="B322" s="240" t="s">
        <v>2955</v>
      </c>
      <c r="C322" s="240"/>
      <c r="D322" s="240"/>
      <c r="E322" s="240"/>
      <c r="G322" s="240"/>
      <c r="H322" s="240"/>
      <c r="I322" s="240"/>
      <c r="J322" s="240"/>
      <c r="K322" s="240"/>
      <c r="L322" s="240"/>
      <c r="M322" s="240"/>
      <c r="N322" s="240"/>
      <c r="O322" s="240"/>
      <c r="P322" s="240"/>
      <c r="Q322" s="240"/>
      <c r="R322" s="240"/>
      <c r="S322" s="240"/>
      <c r="T322" s="240"/>
      <c r="U322" s="240"/>
      <c r="V322" s="240"/>
      <c r="W322" s="240"/>
      <c r="X322" s="240"/>
      <c r="Y322" s="240"/>
      <c r="Z322" s="240"/>
      <c r="AA322" s="240"/>
      <c r="AB322" s="240"/>
    </row>
    <row r="323">
      <c r="A323" s="240"/>
      <c r="B323" s="240" t="s">
        <v>2955</v>
      </c>
      <c r="C323" s="240"/>
      <c r="D323" s="240"/>
      <c r="E323" s="240"/>
      <c r="G323" s="240"/>
      <c r="H323" s="240"/>
      <c r="I323" s="240"/>
      <c r="J323" s="240"/>
      <c r="K323" s="240"/>
      <c r="L323" s="240"/>
      <c r="M323" s="240"/>
      <c r="N323" s="240"/>
      <c r="O323" s="240"/>
      <c r="P323" s="240"/>
      <c r="Q323" s="240"/>
      <c r="R323" s="240"/>
      <c r="S323" s="240"/>
      <c r="T323" s="240"/>
      <c r="U323" s="240"/>
      <c r="V323" s="240"/>
      <c r="W323" s="240"/>
      <c r="X323" s="240"/>
      <c r="Y323" s="240"/>
      <c r="Z323" s="240"/>
      <c r="AA323" s="240"/>
      <c r="AB323" s="240"/>
    </row>
    <row r="324">
      <c r="A324" s="240"/>
      <c r="B324" s="240" t="s">
        <v>2955</v>
      </c>
      <c r="C324" s="240"/>
      <c r="D324" s="240"/>
      <c r="E324" s="240"/>
      <c r="G324" s="240"/>
      <c r="H324" s="240"/>
      <c r="I324" s="240"/>
      <c r="J324" s="240"/>
      <c r="K324" s="240"/>
      <c r="L324" s="240"/>
      <c r="M324" s="240"/>
      <c r="N324" s="240"/>
      <c r="O324" s="240"/>
      <c r="P324" s="240"/>
      <c r="Q324" s="240"/>
      <c r="R324" s="240"/>
      <c r="S324" s="240"/>
      <c r="T324" s="240"/>
      <c r="U324" s="240"/>
      <c r="V324" s="240"/>
      <c r="W324" s="240"/>
      <c r="X324" s="240"/>
      <c r="Y324" s="240"/>
      <c r="Z324" s="240"/>
      <c r="AA324" s="240"/>
      <c r="AB324" s="240"/>
    </row>
    <row r="325">
      <c r="A325" s="240"/>
      <c r="B325" s="240" t="s">
        <v>2955</v>
      </c>
      <c r="C325" s="240"/>
      <c r="D325" s="240"/>
      <c r="E325" s="240"/>
      <c r="G325" s="240"/>
      <c r="H325" s="240"/>
      <c r="I325" s="240"/>
      <c r="J325" s="240"/>
      <c r="K325" s="240"/>
      <c r="L325" s="240"/>
      <c r="M325" s="240"/>
      <c r="N325" s="240"/>
      <c r="O325" s="240"/>
      <c r="P325" s="240"/>
      <c r="Q325" s="240"/>
      <c r="R325" s="240"/>
      <c r="S325" s="240"/>
      <c r="T325" s="240"/>
      <c r="U325" s="240"/>
      <c r="V325" s="240"/>
      <c r="W325" s="240"/>
      <c r="X325" s="240"/>
      <c r="Y325" s="240"/>
      <c r="Z325" s="240"/>
      <c r="AA325" s="240"/>
      <c r="AB325" s="240"/>
    </row>
    <row r="326">
      <c r="A326" s="240"/>
      <c r="B326" s="240" t="s">
        <v>2955</v>
      </c>
      <c r="C326" s="240"/>
      <c r="D326" s="240"/>
      <c r="E326" s="240"/>
      <c r="G326" s="240"/>
      <c r="H326" s="240"/>
      <c r="I326" s="240"/>
      <c r="J326" s="240"/>
      <c r="K326" s="240"/>
      <c r="L326" s="240"/>
      <c r="M326" s="240"/>
      <c r="N326" s="240"/>
      <c r="O326" s="240"/>
      <c r="P326" s="240"/>
      <c r="Q326" s="240"/>
      <c r="R326" s="240"/>
      <c r="S326" s="240"/>
      <c r="T326" s="240"/>
      <c r="U326" s="240"/>
      <c r="V326" s="240"/>
      <c r="W326" s="240"/>
      <c r="X326" s="240"/>
      <c r="Y326" s="240"/>
      <c r="Z326" s="240"/>
      <c r="AA326" s="240"/>
      <c r="AB326" s="240"/>
    </row>
    <row r="327">
      <c r="A327" s="240"/>
      <c r="B327" s="240" t="s">
        <v>2955</v>
      </c>
      <c r="C327" s="240"/>
      <c r="D327" s="240"/>
      <c r="E327" s="240"/>
      <c r="G327" s="240"/>
      <c r="H327" s="240"/>
      <c r="I327" s="240"/>
      <c r="J327" s="240"/>
      <c r="K327" s="240"/>
      <c r="L327" s="240"/>
      <c r="M327" s="240"/>
      <c r="N327" s="240"/>
      <c r="O327" s="240"/>
      <c r="P327" s="240"/>
      <c r="Q327" s="240"/>
      <c r="R327" s="240"/>
      <c r="S327" s="240"/>
      <c r="T327" s="240"/>
      <c r="U327" s="240"/>
      <c r="V327" s="240"/>
      <c r="W327" s="240"/>
      <c r="X327" s="240"/>
      <c r="Y327" s="240"/>
      <c r="Z327" s="240"/>
      <c r="AA327" s="240"/>
      <c r="AB327" s="240"/>
    </row>
    <row r="328">
      <c r="A328" s="240"/>
      <c r="B328" s="240" t="s">
        <v>2955</v>
      </c>
      <c r="C328" s="240"/>
      <c r="D328" s="240"/>
      <c r="E328" s="240"/>
      <c r="G328" s="240"/>
      <c r="H328" s="240"/>
      <c r="I328" s="240"/>
      <c r="J328" s="240"/>
      <c r="K328" s="240"/>
      <c r="L328" s="240"/>
      <c r="M328" s="240"/>
      <c r="N328" s="240"/>
      <c r="O328" s="240"/>
      <c r="P328" s="240"/>
      <c r="Q328" s="240"/>
      <c r="R328" s="240"/>
      <c r="S328" s="240"/>
      <c r="T328" s="240"/>
      <c r="U328" s="240"/>
      <c r="V328" s="240"/>
      <c r="W328" s="240"/>
      <c r="X328" s="240"/>
      <c r="Y328" s="240"/>
      <c r="Z328" s="240"/>
      <c r="AA328" s="240"/>
      <c r="AB328" s="240"/>
    </row>
    <row r="329">
      <c r="A329" s="240"/>
      <c r="B329" s="240" t="s">
        <v>2955</v>
      </c>
      <c r="C329" s="240"/>
      <c r="D329" s="240"/>
      <c r="E329" s="240"/>
      <c r="G329" s="240"/>
      <c r="H329" s="240"/>
      <c r="I329" s="240"/>
      <c r="J329" s="240"/>
      <c r="K329" s="240"/>
      <c r="L329" s="240"/>
      <c r="M329" s="240"/>
      <c r="N329" s="240"/>
      <c r="O329" s="240"/>
      <c r="P329" s="240"/>
      <c r="Q329" s="240"/>
      <c r="R329" s="240"/>
      <c r="S329" s="240"/>
      <c r="T329" s="240"/>
      <c r="U329" s="240"/>
      <c r="V329" s="240"/>
      <c r="W329" s="240"/>
      <c r="X329" s="240"/>
      <c r="Y329" s="240"/>
      <c r="Z329" s="240"/>
      <c r="AA329" s="240"/>
      <c r="AB329" s="240"/>
    </row>
    <row r="330">
      <c r="A330" s="240"/>
      <c r="B330" s="240" t="s">
        <v>2955</v>
      </c>
      <c r="C330" s="240"/>
      <c r="D330" s="240"/>
      <c r="E330" s="240"/>
      <c r="G330" s="240"/>
      <c r="H330" s="240"/>
      <c r="I330" s="240"/>
      <c r="J330" s="240"/>
      <c r="K330" s="240"/>
      <c r="L330" s="240"/>
      <c r="M330" s="240"/>
      <c r="N330" s="240"/>
      <c r="O330" s="240"/>
      <c r="P330" s="240"/>
      <c r="Q330" s="240"/>
      <c r="R330" s="240"/>
      <c r="S330" s="240"/>
      <c r="T330" s="240"/>
      <c r="U330" s="240"/>
      <c r="V330" s="240"/>
      <c r="W330" s="240"/>
      <c r="X330" s="240"/>
      <c r="Y330" s="240"/>
      <c r="Z330" s="240"/>
      <c r="AA330" s="240"/>
      <c r="AB330" s="240"/>
    </row>
    <row r="331">
      <c r="A331" s="240"/>
      <c r="B331" s="240" t="s">
        <v>2955</v>
      </c>
      <c r="C331" s="240"/>
      <c r="D331" s="240"/>
      <c r="E331" s="240"/>
      <c r="G331" s="240"/>
      <c r="H331" s="240"/>
      <c r="I331" s="240"/>
      <c r="J331" s="240"/>
      <c r="K331" s="240"/>
      <c r="L331" s="240"/>
      <c r="M331" s="240"/>
      <c r="N331" s="240"/>
      <c r="O331" s="240"/>
      <c r="P331" s="240"/>
      <c r="Q331" s="240"/>
      <c r="R331" s="240"/>
      <c r="S331" s="240"/>
      <c r="T331" s="240"/>
      <c r="U331" s="240"/>
      <c r="V331" s="240"/>
      <c r="W331" s="240"/>
      <c r="X331" s="240"/>
      <c r="Y331" s="240"/>
      <c r="Z331" s="240"/>
      <c r="AA331" s="240"/>
      <c r="AB331" s="240"/>
    </row>
    <row r="332">
      <c r="A332" s="240"/>
      <c r="B332" s="240" t="s">
        <v>2955</v>
      </c>
      <c r="C332" s="240"/>
      <c r="D332" s="240"/>
      <c r="E332" s="240"/>
      <c r="G332" s="240"/>
      <c r="H332" s="240"/>
      <c r="I332" s="240"/>
      <c r="J332" s="240"/>
      <c r="K332" s="240"/>
      <c r="L332" s="240"/>
      <c r="M332" s="240"/>
      <c r="N332" s="240"/>
      <c r="O332" s="240"/>
      <c r="P332" s="240"/>
      <c r="Q332" s="240"/>
      <c r="R332" s="240"/>
      <c r="S332" s="240"/>
      <c r="T332" s="240"/>
      <c r="U332" s="240"/>
      <c r="V332" s="240"/>
      <c r="W332" s="240"/>
      <c r="X332" s="240"/>
      <c r="Y332" s="240"/>
      <c r="Z332" s="240"/>
      <c r="AA332" s="240"/>
      <c r="AB332" s="240"/>
    </row>
    <row r="333">
      <c r="A333" s="240"/>
      <c r="B333" s="240" t="s">
        <v>2955</v>
      </c>
      <c r="C333" s="240"/>
      <c r="D333" s="240"/>
      <c r="E333" s="240"/>
      <c r="G333" s="240"/>
      <c r="H333" s="240"/>
      <c r="I333" s="240"/>
      <c r="J333" s="240"/>
      <c r="K333" s="240"/>
      <c r="L333" s="240"/>
      <c r="M333" s="240"/>
      <c r="N333" s="240"/>
      <c r="O333" s="240"/>
      <c r="P333" s="240"/>
      <c r="Q333" s="240"/>
      <c r="R333" s="240"/>
      <c r="S333" s="240"/>
      <c r="T333" s="240"/>
      <c r="U333" s="240"/>
      <c r="V333" s="240"/>
      <c r="W333" s="240"/>
      <c r="X333" s="240"/>
      <c r="Y333" s="240"/>
      <c r="Z333" s="240"/>
      <c r="AA333" s="240"/>
      <c r="AB333" s="240"/>
    </row>
    <row r="334">
      <c r="A334" s="240"/>
      <c r="B334" s="240" t="s">
        <v>2955</v>
      </c>
      <c r="C334" s="240"/>
      <c r="D334" s="240"/>
      <c r="E334" s="240"/>
      <c r="G334" s="240"/>
      <c r="H334" s="240"/>
      <c r="I334" s="240"/>
      <c r="J334" s="240"/>
      <c r="K334" s="240"/>
      <c r="L334" s="240"/>
      <c r="M334" s="240"/>
      <c r="N334" s="240"/>
      <c r="O334" s="240"/>
      <c r="P334" s="240"/>
      <c r="Q334" s="240"/>
      <c r="R334" s="240"/>
      <c r="S334" s="240"/>
      <c r="T334" s="240"/>
      <c r="U334" s="240"/>
      <c r="V334" s="240"/>
      <c r="W334" s="240"/>
      <c r="X334" s="240"/>
      <c r="Y334" s="240"/>
      <c r="Z334" s="240"/>
      <c r="AA334" s="240"/>
      <c r="AB334" s="240"/>
    </row>
    <row r="335">
      <c r="A335" s="240"/>
      <c r="B335" s="240" t="s">
        <v>2955</v>
      </c>
      <c r="C335" s="240"/>
      <c r="D335" s="240"/>
      <c r="E335" s="240"/>
      <c r="G335" s="240"/>
      <c r="H335" s="240"/>
      <c r="I335" s="240"/>
      <c r="J335" s="240"/>
      <c r="K335" s="240"/>
      <c r="L335" s="240"/>
      <c r="M335" s="240"/>
      <c r="N335" s="240"/>
      <c r="O335" s="240"/>
      <c r="P335" s="240"/>
      <c r="Q335" s="240"/>
      <c r="R335" s="240"/>
      <c r="S335" s="240"/>
      <c r="T335" s="240"/>
      <c r="U335" s="240"/>
      <c r="V335" s="240"/>
      <c r="W335" s="240"/>
      <c r="X335" s="240"/>
      <c r="Y335" s="240"/>
      <c r="Z335" s="240"/>
      <c r="AA335" s="240"/>
      <c r="AB335" s="240"/>
    </row>
    <row r="336">
      <c r="A336" s="240"/>
      <c r="B336" s="240" t="s">
        <v>2955</v>
      </c>
      <c r="C336" s="240"/>
      <c r="D336" s="240"/>
      <c r="E336" s="240"/>
      <c r="G336" s="240"/>
      <c r="H336" s="240"/>
      <c r="I336" s="240"/>
      <c r="J336" s="240"/>
      <c r="K336" s="240"/>
      <c r="L336" s="240"/>
      <c r="M336" s="240"/>
      <c r="N336" s="240"/>
      <c r="O336" s="240"/>
      <c r="P336" s="240"/>
      <c r="Q336" s="240"/>
      <c r="R336" s="240"/>
      <c r="S336" s="240"/>
      <c r="T336" s="240"/>
      <c r="U336" s="240"/>
      <c r="V336" s="240"/>
      <c r="W336" s="240"/>
      <c r="X336" s="240"/>
      <c r="Y336" s="240"/>
      <c r="Z336" s="240"/>
      <c r="AA336" s="240"/>
      <c r="AB336" s="240"/>
    </row>
    <row r="337">
      <c r="A337" s="240"/>
      <c r="B337" s="240" t="s">
        <v>2955</v>
      </c>
      <c r="C337" s="240"/>
      <c r="D337" s="240"/>
      <c r="E337" s="240"/>
      <c r="G337" s="240"/>
      <c r="H337" s="240"/>
      <c r="I337" s="240"/>
      <c r="J337" s="240"/>
      <c r="K337" s="240"/>
      <c r="L337" s="240"/>
      <c r="M337" s="240"/>
      <c r="N337" s="240"/>
      <c r="O337" s="240"/>
      <c r="P337" s="240"/>
      <c r="Q337" s="240"/>
      <c r="R337" s="240"/>
      <c r="S337" s="240"/>
      <c r="T337" s="240"/>
      <c r="U337" s="240"/>
      <c r="V337" s="240"/>
      <c r="W337" s="240"/>
      <c r="X337" s="240"/>
      <c r="Y337" s="240"/>
      <c r="Z337" s="240"/>
      <c r="AA337" s="240"/>
      <c r="AB337" s="240"/>
    </row>
    <row r="338">
      <c r="A338" s="240"/>
      <c r="B338" s="240" t="s">
        <v>2955</v>
      </c>
      <c r="C338" s="240"/>
      <c r="D338" s="240"/>
      <c r="E338" s="240"/>
      <c r="G338" s="240"/>
      <c r="H338" s="240"/>
      <c r="I338" s="240"/>
      <c r="J338" s="240"/>
      <c r="K338" s="240"/>
      <c r="L338" s="240"/>
      <c r="M338" s="240"/>
      <c r="N338" s="240"/>
      <c r="O338" s="240"/>
      <c r="P338" s="240"/>
      <c r="Q338" s="240"/>
      <c r="R338" s="240"/>
      <c r="S338" s="240"/>
      <c r="T338" s="240"/>
      <c r="U338" s="240"/>
      <c r="V338" s="240"/>
      <c r="W338" s="240"/>
      <c r="X338" s="240"/>
      <c r="Y338" s="240"/>
      <c r="Z338" s="240"/>
      <c r="AA338" s="240"/>
      <c r="AB338" s="240"/>
    </row>
    <row r="339">
      <c r="A339" s="240"/>
      <c r="B339" s="240" t="s">
        <v>2955</v>
      </c>
      <c r="C339" s="240"/>
      <c r="D339" s="240"/>
      <c r="E339" s="240"/>
      <c r="G339" s="240"/>
      <c r="H339" s="240"/>
      <c r="I339" s="240"/>
      <c r="J339" s="240"/>
      <c r="K339" s="240"/>
      <c r="L339" s="240"/>
      <c r="M339" s="240"/>
      <c r="N339" s="240"/>
      <c r="O339" s="240"/>
      <c r="P339" s="240"/>
      <c r="Q339" s="240"/>
      <c r="R339" s="240"/>
      <c r="S339" s="240"/>
      <c r="T339" s="240"/>
      <c r="U339" s="240"/>
      <c r="V339" s="240"/>
      <c r="W339" s="240"/>
      <c r="X339" s="240"/>
      <c r="Y339" s="240"/>
      <c r="Z339" s="240"/>
      <c r="AA339" s="240"/>
      <c r="AB339" s="240"/>
    </row>
    <row r="340">
      <c r="A340" s="240"/>
      <c r="B340" s="240" t="s">
        <v>2955</v>
      </c>
      <c r="C340" s="240"/>
      <c r="D340" s="240"/>
      <c r="E340" s="240"/>
      <c r="G340" s="240"/>
      <c r="H340" s="240"/>
      <c r="I340" s="240"/>
      <c r="J340" s="240"/>
      <c r="K340" s="240"/>
      <c r="L340" s="240"/>
      <c r="M340" s="240"/>
      <c r="N340" s="240"/>
      <c r="O340" s="240"/>
      <c r="P340" s="240"/>
      <c r="Q340" s="240"/>
      <c r="R340" s="240"/>
      <c r="S340" s="240"/>
      <c r="T340" s="240"/>
      <c r="U340" s="240"/>
      <c r="V340" s="240"/>
      <c r="W340" s="240"/>
      <c r="X340" s="240"/>
      <c r="Y340" s="240"/>
      <c r="Z340" s="240"/>
      <c r="AA340" s="240"/>
      <c r="AB340" s="240"/>
    </row>
    <row r="341">
      <c r="A341" s="240"/>
      <c r="B341" s="240" t="s">
        <v>2955</v>
      </c>
      <c r="C341" s="240"/>
      <c r="D341" s="240"/>
      <c r="E341" s="240"/>
      <c r="G341" s="240"/>
      <c r="H341" s="240"/>
      <c r="I341" s="240"/>
      <c r="J341" s="240"/>
      <c r="K341" s="240"/>
      <c r="L341" s="240"/>
      <c r="M341" s="240"/>
      <c r="N341" s="240"/>
      <c r="O341" s="240"/>
      <c r="P341" s="240"/>
      <c r="Q341" s="240"/>
      <c r="R341" s="240"/>
      <c r="S341" s="240"/>
      <c r="T341" s="240"/>
      <c r="U341" s="240"/>
      <c r="V341" s="240"/>
      <c r="W341" s="240"/>
      <c r="X341" s="240"/>
      <c r="Y341" s="240"/>
      <c r="Z341" s="240"/>
      <c r="AA341" s="240"/>
      <c r="AB341" s="240"/>
    </row>
    <row r="342">
      <c r="A342" s="240"/>
      <c r="B342" s="240" t="s">
        <v>2955</v>
      </c>
      <c r="C342" s="240"/>
      <c r="D342" s="240"/>
      <c r="E342" s="240"/>
      <c r="G342" s="240"/>
      <c r="H342" s="240"/>
      <c r="I342" s="240"/>
      <c r="J342" s="240"/>
      <c r="K342" s="240"/>
      <c r="L342" s="240"/>
      <c r="M342" s="240"/>
      <c r="N342" s="240"/>
      <c r="O342" s="240"/>
      <c r="P342" s="240"/>
      <c r="Q342" s="240"/>
      <c r="R342" s="240"/>
      <c r="S342" s="240"/>
      <c r="T342" s="240"/>
      <c r="U342" s="240"/>
      <c r="V342" s="240"/>
      <c r="W342" s="240"/>
      <c r="X342" s="240"/>
      <c r="Y342" s="240"/>
      <c r="Z342" s="240"/>
      <c r="AA342" s="240"/>
      <c r="AB342" s="240"/>
    </row>
    <row r="343">
      <c r="A343" s="240"/>
      <c r="B343" s="240" t="s">
        <v>2955</v>
      </c>
      <c r="C343" s="240"/>
      <c r="D343" s="240"/>
      <c r="E343" s="240"/>
      <c r="G343" s="240"/>
      <c r="H343" s="240"/>
      <c r="I343" s="240"/>
      <c r="J343" s="240"/>
      <c r="K343" s="240"/>
      <c r="L343" s="240"/>
      <c r="M343" s="240"/>
      <c r="N343" s="240"/>
      <c r="O343" s="240"/>
      <c r="P343" s="240"/>
      <c r="Q343" s="240"/>
      <c r="R343" s="240"/>
      <c r="S343" s="240"/>
      <c r="T343" s="240"/>
      <c r="U343" s="240"/>
      <c r="V343" s="240"/>
      <c r="W343" s="240"/>
      <c r="X343" s="240"/>
      <c r="Y343" s="240"/>
      <c r="Z343" s="240"/>
      <c r="AA343" s="240"/>
      <c r="AB343" s="240"/>
    </row>
    <row r="344">
      <c r="A344" s="240"/>
      <c r="B344" s="240" t="s">
        <v>2955</v>
      </c>
      <c r="C344" s="240"/>
      <c r="D344" s="240"/>
      <c r="E344" s="240"/>
      <c r="G344" s="240"/>
      <c r="H344" s="240"/>
      <c r="I344" s="240"/>
      <c r="J344" s="240"/>
      <c r="K344" s="240"/>
      <c r="L344" s="240"/>
      <c r="M344" s="240"/>
      <c r="N344" s="240"/>
      <c r="O344" s="240"/>
      <c r="P344" s="240"/>
      <c r="Q344" s="240"/>
      <c r="R344" s="240"/>
      <c r="S344" s="240"/>
      <c r="T344" s="240"/>
      <c r="U344" s="240"/>
      <c r="V344" s="240"/>
      <c r="W344" s="240"/>
      <c r="X344" s="240"/>
      <c r="Y344" s="240"/>
      <c r="Z344" s="240"/>
      <c r="AA344" s="240"/>
      <c r="AB344" s="240"/>
    </row>
    <row r="345">
      <c r="A345" s="240"/>
      <c r="B345" s="240" t="s">
        <v>2955</v>
      </c>
      <c r="C345" s="240"/>
      <c r="D345" s="240"/>
      <c r="E345" s="240"/>
      <c r="G345" s="240"/>
      <c r="H345" s="240"/>
      <c r="I345" s="240"/>
      <c r="J345" s="240"/>
      <c r="K345" s="240"/>
      <c r="L345" s="240"/>
      <c r="M345" s="240"/>
      <c r="N345" s="240"/>
      <c r="O345" s="240"/>
      <c r="P345" s="240"/>
      <c r="Q345" s="240"/>
      <c r="R345" s="240"/>
      <c r="S345" s="240"/>
      <c r="T345" s="240"/>
      <c r="U345" s="240"/>
      <c r="V345" s="240"/>
      <c r="W345" s="240"/>
      <c r="X345" s="240"/>
      <c r="Y345" s="240"/>
      <c r="Z345" s="240"/>
      <c r="AA345" s="240"/>
      <c r="AB345" s="240"/>
    </row>
    <row r="346">
      <c r="A346" s="240"/>
      <c r="B346" s="240" t="s">
        <v>2955</v>
      </c>
      <c r="C346" s="240"/>
      <c r="D346" s="240"/>
      <c r="E346" s="240"/>
      <c r="G346" s="240"/>
      <c r="H346" s="240"/>
      <c r="I346" s="240"/>
      <c r="J346" s="240"/>
      <c r="K346" s="240"/>
      <c r="L346" s="240"/>
      <c r="M346" s="240"/>
      <c r="N346" s="240"/>
      <c r="O346" s="240"/>
      <c r="P346" s="240"/>
      <c r="Q346" s="240"/>
      <c r="R346" s="240"/>
      <c r="S346" s="240"/>
      <c r="T346" s="240"/>
      <c r="U346" s="240"/>
      <c r="V346" s="240"/>
      <c r="W346" s="240"/>
      <c r="X346" s="240"/>
      <c r="Y346" s="240"/>
      <c r="Z346" s="240"/>
      <c r="AA346" s="240"/>
      <c r="AB346" s="240"/>
    </row>
    <row r="347">
      <c r="A347" s="240"/>
      <c r="B347" s="240" t="s">
        <v>2955</v>
      </c>
      <c r="C347" s="240"/>
      <c r="D347" s="240"/>
      <c r="E347" s="240"/>
      <c r="G347" s="240"/>
      <c r="H347" s="240"/>
      <c r="I347" s="240"/>
      <c r="J347" s="240"/>
      <c r="K347" s="240"/>
      <c r="L347" s="240"/>
      <c r="M347" s="240"/>
      <c r="N347" s="240"/>
      <c r="O347" s="240"/>
      <c r="P347" s="240"/>
      <c r="Q347" s="240"/>
      <c r="R347" s="240"/>
      <c r="S347" s="240"/>
      <c r="T347" s="240"/>
      <c r="U347" s="240"/>
      <c r="V347" s="240"/>
      <c r="W347" s="240"/>
      <c r="X347" s="240"/>
      <c r="Y347" s="240"/>
      <c r="Z347" s="240"/>
      <c r="AA347" s="240"/>
      <c r="AB347" s="240"/>
    </row>
    <row r="348">
      <c r="A348" s="240"/>
      <c r="B348" s="240" t="s">
        <v>2955</v>
      </c>
      <c r="C348" s="240"/>
      <c r="D348" s="240"/>
      <c r="E348" s="240"/>
      <c r="G348" s="240"/>
      <c r="H348" s="240"/>
      <c r="I348" s="240"/>
      <c r="J348" s="240"/>
      <c r="K348" s="240"/>
      <c r="L348" s="240"/>
      <c r="M348" s="240"/>
      <c r="N348" s="240"/>
      <c r="O348" s="240"/>
      <c r="P348" s="240"/>
      <c r="Q348" s="240"/>
      <c r="R348" s="240"/>
      <c r="S348" s="240"/>
      <c r="T348" s="240"/>
      <c r="U348" s="240"/>
      <c r="V348" s="240"/>
      <c r="W348" s="240"/>
      <c r="X348" s="240"/>
      <c r="Y348" s="240"/>
      <c r="Z348" s="240"/>
      <c r="AA348" s="240"/>
      <c r="AB348" s="240"/>
    </row>
    <row r="349">
      <c r="A349" s="240"/>
      <c r="B349" s="240" t="s">
        <v>2955</v>
      </c>
      <c r="C349" s="240"/>
      <c r="D349" s="240"/>
      <c r="E349" s="240"/>
      <c r="G349" s="240"/>
      <c r="H349" s="240"/>
      <c r="I349" s="240"/>
      <c r="J349" s="240"/>
      <c r="K349" s="240"/>
      <c r="L349" s="240"/>
      <c r="M349" s="240"/>
      <c r="N349" s="240"/>
      <c r="O349" s="240"/>
      <c r="P349" s="240"/>
      <c r="Q349" s="240"/>
      <c r="R349" s="240"/>
      <c r="S349" s="240"/>
      <c r="T349" s="240"/>
      <c r="U349" s="240"/>
      <c r="V349" s="240"/>
      <c r="W349" s="240"/>
      <c r="X349" s="240"/>
      <c r="Y349" s="240"/>
      <c r="Z349" s="240"/>
      <c r="AA349" s="240"/>
      <c r="AB349" s="240"/>
    </row>
    <row r="350">
      <c r="A350" s="240"/>
      <c r="B350" s="240" t="s">
        <v>2955</v>
      </c>
      <c r="C350" s="240"/>
      <c r="D350" s="240"/>
      <c r="E350" s="240"/>
      <c r="G350" s="240"/>
      <c r="H350" s="240"/>
      <c r="I350" s="240"/>
      <c r="J350" s="240"/>
      <c r="K350" s="240"/>
      <c r="L350" s="240"/>
      <c r="M350" s="240"/>
      <c r="N350" s="240"/>
      <c r="O350" s="240"/>
      <c r="P350" s="240"/>
      <c r="Q350" s="240"/>
      <c r="R350" s="240"/>
      <c r="S350" s="240"/>
      <c r="T350" s="240"/>
      <c r="U350" s="240"/>
      <c r="V350" s="240"/>
      <c r="W350" s="240"/>
      <c r="X350" s="240"/>
      <c r="Y350" s="240"/>
      <c r="Z350" s="240"/>
      <c r="AA350" s="240"/>
      <c r="AB350" s="240"/>
    </row>
    <row r="351">
      <c r="A351" s="240"/>
      <c r="B351" s="240" t="s">
        <v>2955</v>
      </c>
      <c r="C351" s="240"/>
      <c r="D351" s="240"/>
      <c r="E351" s="240"/>
      <c r="G351" s="240"/>
      <c r="H351" s="240"/>
      <c r="I351" s="240"/>
      <c r="J351" s="240"/>
      <c r="K351" s="240"/>
      <c r="L351" s="240"/>
      <c r="M351" s="240"/>
      <c r="N351" s="240"/>
      <c r="O351" s="240"/>
      <c r="P351" s="240"/>
      <c r="Q351" s="240"/>
      <c r="R351" s="240"/>
      <c r="S351" s="240"/>
      <c r="T351" s="240"/>
      <c r="U351" s="240"/>
      <c r="V351" s="240"/>
      <c r="W351" s="240"/>
      <c r="X351" s="240"/>
      <c r="Y351" s="240"/>
      <c r="Z351" s="240"/>
      <c r="AA351" s="240"/>
      <c r="AB351" s="240"/>
    </row>
    <row r="352">
      <c r="A352" s="240"/>
      <c r="B352" s="240" t="s">
        <v>2955</v>
      </c>
      <c r="C352" s="240"/>
      <c r="D352" s="240"/>
      <c r="E352" s="240"/>
      <c r="G352" s="240"/>
      <c r="H352" s="240"/>
      <c r="I352" s="240"/>
      <c r="J352" s="240"/>
      <c r="K352" s="240"/>
      <c r="L352" s="240"/>
      <c r="M352" s="240"/>
      <c r="N352" s="240"/>
      <c r="O352" s="240"/>
      <c r="P352" s="240"/>
      <c r="Q352" s="240"/>
      <c r="R352" s="240"/>
      <c r="S352" s="240"/>
      <c r="T352" s="240"/>
      <c r="U352" s="240"/>
      <c r="V352" s="240"/>
      <c r="W352" s="240"/>
      <c r="X352" s="240"/>
      <c r="Y352" s="240"/>
      <c r="Z352" s="240"/>
      <c r="AA352" s="240"/>
      <c r="AB352" s="240"/>
    </row>
    <row r="353">
      <c r="A353" s="240"/>
      <c r="B353" s="240" t="s">
        <v>2955</v>
      </c>
      <c r="C353" s="240"/>
      <c r="D353" s="240"/>
      <c r="E353" s="240"/>
      <c r="G353" s="240"/>
      <c r="H353" s="240"/>
      <c r="I353" s="240"/>
      <c r="J353" s="240"/>
      <c r="K353" s="240"/>
      <c r="L353" s="240"/>
      <c r="M353" s="240"/>
      <c r="N353" s="240"/>
      <c r="O353" s="240"/>
      <c r="P353" s="240"/>
      <c r="Q353" s="240"/>
      <c r="R353" s="240"/>
      <c r="S353" s="240"/>
      <c r="T353" s="240"/>
      <c r="U353" s="240"/>
      <c r="V353" s="240"/>
      <c r="W353" s="240"/>
      <c r="X353" s="240"/>
      <c r="Y353" s="240"/>
      <c r="Z353" s="240"/>
      <c r="AA353" s="240"/>
      <c r="AB353" s="240"/>
    </row>
    <row r="354">
      <c r="A354" s="240"/>
      <c r="B354" s="240" t="s">
        <v>2955</v>
      </c>
      <c r="C354" s="240"/>
      <c r="D354" s="240"/>
      <c r="E354" s="240"/>
      <c r="G354" s="240"/>
      <c r="H354" s="240"/>
      <c r="I354" s="240"/>
      <c r="J354" s="240"/>
      <c r="K354" s="240"/>
      <c r="L354" s="240"/>
      <c r="M354" s="240"/>
      <c r="N354" s="240"/>
      <c r="O354" s="240"/>
      <c r="P354" s="240"/>
      <c r="Q354" s="240"/>
      <c r="R354" s="240"/>
      <c r="S354" s="240"/>
      <c r="T354" s="240"/>
      <c r="U354" s="240"/>
      <c r="V354" s="240"/>
      <c r="W354" s="240"/>
      <c r="X354" s="240"/>
      <c r="Y354" s="240"/>
      <c r="Z354" s="240"/>
      <c r="AA354" s="240"/>
      <c r="AB354" s="240"/>
    </row>
    <row r="355">
      <c r="A355" s="240"/>
      <c r="B355" s="240" t="s">
        <v>2955</v>
      </c>
      <c r="C355" s="240"/>
      <c r="D355" s="240"/>
      <c r="E355" s="240"/>
      <c r="G355" s="240"/>
      <c r="H355" s="240"/>
      <c r="I355" s="240"/>
      <c r="J355" s="240"/>
      <c r="K355" s="240"/>
      <c r="L355" s="240"/>
      <c r="M355" s="240"/>
      <c r="N355" s="240"/>
      <c r="O355" s="240"/>
      <c r="P355" s="240"/>
      <c r="Q355" s="240"/>
      <c r="R355" s="240"/>
      <c r="S355" s="240"/>
      <c r="T355" s="240"/>
      <c r="U355" s="240"/>
      <c r="V355" s="240"/>
      <c r="W355" s="240"/>
      <c r="X355" s="240"/>
      <c r="Y355" s="240"/>
      <c r="Z355" s="240"/>
      <c r="AA355" s="240"/>
      <c r="AB355" s="240"/>
    </row>
    <row r="356">
      <c r="A356" s="240"/>
      <c r="B356" s="240" t="s">
        <v>2955</v>
      </c>
      <c r="C356" s="240"/>
      <c r="D356" s="240"/>
      <c r="E356" s="240"/>
      <c r="G356" s="240"/>
      <c r="H356" s="240"/>
      <c r="I356" s="240"/>
      <c r="J356" s="240"/>
      <c r="K356" s="240"/>
      <c r="L356" s="240"/>
      <c r="M356" s="240"/>
      <c r="N356" s="240"/>
      <c r="O356" s="240"/>
      <c r="P356" s="240"/>
      <c r="Q356" s="240"/>
      <c r="R356" s="240"/>
      <c r="S356" s="240"/>
      <c r="T356" s="240"/>
      <c r="U356" s="240"/>
      <c r="V356" s="240"/>
      <c r="W356" s="240"/>
      <c r="X356" s="240"/>
      <c r="Y356" s="240"/>
      <c r="Z356" s="240"/>
      <c r="AA356" s="240"/>
      <c r="AB356" s="240"/>
    </row>
    <row r="357">
      <c r="A357" s="240"/>
      <c r="B357" s="240" t="s">
        <v>2955</v>
      </c>
      <c r="C357" s="240"/>
      <c r="D357" s="240"/>
      <c r="E357" s="240"/>
      <c r="G357" s="240"/>
      <c r="H357" s="240"/>
      <c r="I357" s="240"/>
      <c r="J357" s="240"/>
      <c r="K357" s="240"/>
      <c r="L357" s="240"/>
      <c r="M357" s="240"/>
      <c r="N357" s="240"/>
      <c r="O357" s="240"/>
      <c r="P357" s="240"/>
      <c r="Q357" s="240"/>
      <c r="R357" s="240"/>
      <c r="S357" s="240"/>
      <c r="T357" s="240"/>
      <c r="U357" s="240"/>
      <c r="V357" s="240"/>
      <c r="W357" s="240"/>
      <c r="X357" s="240"/>
      <c r="Y357" s="240"/>
      <c r="Z357" s="240"/>
      <c r="AA357" s="240"/>
      <c r="AB357" s="240"/>
    </row>
    <row r="358">
      <c r="A358" s="240"/>
      <c r="B358" s="240" t="s">
        <v>2955</v>
      </c>
      <c r="C358" s="240"/>
      <c r="D358" s="240"/>
      <c r="E358" s="240"/>
      <c r="G358" s="240"/>
      <c r="H358" s="240"/>
      <c r="I358" s="240"/>
      <c r="J358" s="240"/>
      <c r="K358" s="240"/>
      <c r="L358" s="240"/>
      <c r="M358" s="240"/>
      <c r="N358" s="240"/>
      <c r="O358" s="240"/>
      <c r="P358" s="240"/>
      <c r="Q358" s="240"/>
      <c r="R358" s="240"/>
      <c r="S358" s="240"/>
      <c r="T358" s="240"/>
      <c r="U358" s="240"/>
      <c r="V358" s="240"/>
      <c r="W358" s="240"/>
      <c r="X358" s="240"/>
      <c r="Y358" s="240"/>
      <c r="Z358" s="240"/>
      <c r="AA358" s="240"/>
      <c r="AB358" s="240"/>
    </row>
    <row r="359">
      <c r="A359" s="240"/>
      <c r="B359" s="240" t="s">
        <v>2955</v>
      </c>
      <c r="C359" s="240"/>
      <c r="D359" s="240"/>
      <c r="E359" s="240"/>
      <c r="G359" s="240"/>
      <c r="H359" s="240"/>
      <c r="I359" s="240"/>
      <c r="J359" s="240"/>
      <c r="K359" s="240"/>
      <c r="L359" s="240"/>
      <c r="M359" s="240"/>
      <c r="N359" s="240"/>
      <c r="O359" s="240"/>
      <c r="P359" s="240"/>
      <c r="Q359" s="240"/>
      <c r="R359" s="240"/>
      <c r="S359" s="240"/>
      <c r="T359" s="240"/>
      <c r="U359" s="240"/>
      <c r="V359" s="240"/>
      <c r="W359" s="240"/>
      <c r="X359" s="240"/>
      <c r="Y359" s="240"/>
      <c r="Z359" s="240"/>
      <c r="AA359" s="240"/>
      <c r="AB359" s="240"/>
    </row>
    <row r="360">
      <c r="A360" s="240"/>
      <c r="B360" s="240" t="s">
        <v>2955</v>
      </c>
      <c r="C360" s="240"/>
      <c r="D360" s="240"/>
      <c r="E360" s="240"/>
      <c r="G360" s="240"/>
      <c r="H360" s="240"/>
      <c r="I360" s="240"/>
      <c r="J360" s="240"/>
      <c r="K360" s="240"/>
      <c r="L360" s="240"/>
      <c r="M360" s="240"/>
      <c r="N360" s="240"/>
      <c r="O360" s="240"/>
      <c r="P360" s="240"/>
      <c r="Q360" s="240"/>
      <c r="R360" s="240"/>
      <c r="S360" s="240"/>
      <c r="T360" s="240"/>
      <c r="U360" s="240"/>
      <c r="V360" s="240"/>
      <c r="W360" s="240"/>
      <c r="X360" s="240"/>
      <c r="Y360" s="240"/>
      <c r="Z360" s="240"/>
      <c r="AA360" s="240"/>
      <c r="AB360" s="240"/>
    </row>
    <row r="361">
      <c r="A361" s="240"/>
      <c r="B361" s="240" t="s">
        <v>2955</v>
      </c>
      <c r="C361" s="240"/>
      <c r="D361" s="240"/>
      <c r="E361" s="240"/>
      <c r="G361" s="240"/>
      <c r="H361" s="240"/>
      <c r="I361" s="240"/>
      <c r="J361" s="240"/>
      <c r="K361" s="240"/>
      <c r="L361" s="240"/>
      <c r="M361" s="240"/>
      <c r="N361" s="240"/>
      <c r="O361" s="240"/>
      <c r="P361" s="240"/>
      <c r="Q361" s="240"/>
      <c r="R361" s="240"/>
      <c r="S361" s="240"/>
      <c r="T361" s="240"/>
      <c r="U361" s="240"/>
      <c r="V361" s="240"/>
      <c r="W361" s="240"/>
      <c r="X361" s="240"/>
      <c r="Y361" s="240"/>
      <c r="Z361" s="240"/>
      <c r="AA361" s="240"/>
      <c r="AB361" s="240"/>
    </row>
    <row r="362">
      <c r="A362" s="240"/>
      <c r="B362" s="240" t="s">
        <v>2955</v>
      </c>
      <c r="C362" s="240"/>
      <c r="D362" s="240"/>
      <c r="E362" s="240"/>
      <c r="G362" s="240"/>
      <c r="H362" s="240"/>
      <c r="I362" s="240"/>
      <c r="J362" s="240"/>
      <c r="K362" s="240"/>
      <c r="L362" s="240"/>
      <c r="M362" s="240"/>
      <c r="N362" s="240"/>
      <c r="O362" s="240"/>
      <c r="P362" s="240"/>
      <c r="Q362" s="240"/>
      <c r="R362" s="240"/>
      <c r="S362" s="240"/>
      <c r="T362" s="240"/>
      <c r="U362" s="240"/>
      <c r="V362" s="240"/>
      <c r="W362" s="240"/>
      <c r="X362" s="240"/>
      <c r="Y362" s="240"/>
      <c r="Z362" s="240"/>
      <c r="AA362" s="240"/>
      <c r="AB362" s="240"/>
    </row>
    <row r="363">
      <c r="A363" s="240"/>
      <c r="B363" s="240" t="s">
        <v>2955</v>
      </c>
      <c r="C363" s="240"/>
      <c r="D363" s="240"/>
      <c r="E363" s="240"/>
      <c r="G363" s="240"/>
      <c r="H363" s="240"/>
      <c r="I363" s="240"/>
      <c r="J363" s="240"/>
      <c r="K363" s="240"/>
      <c r="L363" s="240"/>
      <c r="M363" s="240"/>
      <c r="N363" s="240"/>
      <c r="O363" s="240"/>
      <c r="P363" s="240"/>
      <c r="Q363" s="240"/>
      <c r="R363" s="240"/>
      <c r="S363" s="240"/>
      <c r="T363" s="240"/>
      <c r="U363" s="240"/>
      <c r="V363" s="240"/>
      <c r="W363" s="240"/>
      <c r="X363" s="240"/>
      <c r="Y363" s="240"/>
      <c r="Z363" s="240"/>
      <c r="AA363" s="240"/>
      <c r="AB363" s="240"/>
    </row>
    <row r="364">
      <c r="A364" s="240"/>
      <c r="B364" s="240" t="s">
        <v>2955</v>
      </c>
      <c r="C364" s="240"/>
      <c r="D364" s="240"/>
      <c r="E364" s="240"/>
      <c r="G364" s="240"/>
      <c r="H364" s="240"/>
      <c r="I364" s="240"/>
      <c r="J364" s="240"/>
      <c r="K364" s="240"/>
      <c r="L364" s="240"/>
      <c r="M364" s="240"/>
      <c r="N364" s="240"/>
      <c r="O364" s="240"/>
      <c r="P364" s="240"/>
      <c r="Q364" s="240"/>
      <c r="R364" s="240"/>
      <c r="S364" s="240"/>
      <c r="T364" s="240"/>
      <c r="U364" s="240"/>
      <c r="V364" s="240"/>
      <c r="W364" s="240"/>
      <c r="X364" s="240"/>
      <c r="Y364" s="240"/>
      <c r="Z364" s="240"/>
      <c r="AA364" s="240"/>
      <c r="AB364" s="240"/>
    </row>
    <row r="365">
      <c r="A365" s="240"/>
      <c r="B365" s="240" t="s">
        <v>2955</v>
      </c>
      <c r="C365" s="240"/>
      <c r="D365" s="240"/>
      <c r="E365" s="240"/>
      <c r="G365" s="240"/>
      <c r="H365" s="240"/>
      <c r="I365" s="240"/>
      <c r="J365" s="240"/>
      <c r="K365" s="240"/>
      <c r="L365" s="240"/>
      <c r="M365" s="240"/>
      <c r="N365" s="240"/>
      <c r="O365" s="240"/>
      <c r="P365" s="240"/>
      <c r="Q365" s="240"/>
      <c r="R365" s="240"/>
      <c r="S365" s="240"/>
      <c r="T365" s="240"/>
      <c r="U365" s="240"/>
      <c r="V365" s="240"/>
      <c r="W365" s="240"/>
      <c r="X365" s="240"/>
      <c r="Y365" s="240"/>
      <c r="Z365" s="240"/>
      <c r="AA365" s="240"/>
      <c r="AB365" s="240"/>
    </row>
    <row r="366">
      <c r="A366" s="240"/>
      <c r="B366" s="240" t="s">
        <v>2955</v>
      </c>
      <c r="C366" s="240"/>
      <c r="D366" s="240"/>
      <c r="E366" s="240"/>
      <c r="G366" s="240"/>
      <c r="H366" s="240"/>
      <c r="I366" s="240"/>
      <c r="J366" s="240"/>
      <c r="K366" s="240"/>
      <c r="L366" s="240"/>
      <c r="M366" s="240"/>
      <c r="N366" s="240"/>
      <c r="O366" s="240"/>
      <c r="P366" s="240"/>
      <c r="Q366" s="240"/>
      <c r="R366" s="240"/>
      <c r="S366" s="240"/>
      <c r="T366" s="240"/>
      <c r="U366" s="240"/>
      <c r="V366" s="240"/>
      <c r="W366" s="240"/>
      <c r="X366" s="240"/>
      <c r="Y366" s="240"/>
      <c r="Z366" s="240"/>
      <c r="AA366" s="240"/>
      <c r="AB366" s="240"/>
    </row>
    <row r="367">
      <c r="A367" s="240"/>
      <c r="B367" s="240" t="s">
        <v>2955</v>
      </c>
      <c r="C367" s="240"/>
      <c r="D367" s="240"/>
      <c r="E367" s="240"/>
      <c r="G367" s="240"/>
      <c r="H367" s="240"/>
      <c r="I367" s="240"/>
      <c r="J367" s="240"/>
      <c r="K367" s="240"/>
      <c r="L367" s="240"/>
      <c r="M367" s="240"/>
      <c r="N367" s="240"/>
      <c r="O367" s="240"/>
      <c r="P367" s="240"/>
      <c r="Q367" s="240"/>
      <c r="R367" s="240"/>
      <c r="S367" s="240"/>
      <c r="T367" s="240"/>
      <c r="U367" s="240"/>
      <c r="V367" s="240"/>
      <c r="W367" s="240"/>
      <c r="X367" s="240"/>
      <c r="Y367" s="240"/>
      <c r="Z367" s="240"/>
      <c r="AA367" s="240"/>
      <c r="AB367" s="240"/>
    </row>
    <row r="368">
      <c r="A368" s="240"/>
      <c r="B368" s="240" t="s">
        <v>2955</v>
      </c>
      <c r="C368" s="240"/>
      <c r="D368" s="240"/>
      <c r="E368" s="240"/>
      <c r="G368" s="240"/>
      <c r="H368" s="240"/>
      <c r="I368" s="240"/>
      <c r="J368" s="240"/>
      <c r="K368" s="240"/>
      <c r="L368" s="240"/>
      <c r="M368" s="240"/>
      <c r="N368" s="240"/>
      <c r="O368" s="240"/>
      <c r="P368" s="240"/>
      <c r="Q368" s="240"/>
      <c r="R368" s="240"/>
      <c r="S368" s="240"/>
      <c r="T368" s="240"/>
      <c r="U368" s="240"/>
      <c r="V368" s="240"/>
      <c r="W368" s="240"/>
      <c r="X368" s="240"/>
      <c r="Y368" s="240"/>
      <c r="Z368" s="240"/>
      <c r="AA368" s="240"/>
      <c r="AB368" s="240"/>
    </row>
    <row r="369">
      <c r="A369" s="240"/>
      <c r="B369" s="240" t="s">
        <v>2955</v>
      </c>
      <c r="C369" s="240"/>
      <c r="D369" s="240"/>
      <c r="E369" s="240"/>
      <c r="G369" s="240"/>
      <c r="H369" s="240"/>
      <c r="I369" s="240"/>
      <c r="J369" s="240"/>
      <c r="K369" s="240"/>
      <c r="L369" s="240"/>
      <c r="M369" s="240"/>
      <c r="N369" s="240"/>
      <c r="O369" s="240"/>
      <c r="P369" s="240"/>
      <c r="Q369" s="240"/>
      <c r="R369" s="240"/>
      <c r="S369" s="240"/>
      <c r="T369" s="240"/>
      <c r="U369" s="240"/>
      <c r="V369" s="240"/>
      <c r="W369" s="240"/>
      <c r="X369" s="240"/>
      <c r="Y369" s="240"/>
      <c r="Z369" s="240"/>
      <c r="AA369" s="240"/>
      <c r="AB369" s="240"/>
    </row>
    <row r="370">
      <c r="A370" s="240"/>
      <c r="B370" s="240" t="s">
        <v>2955</v>
      </c>
      <c r="C370" s="240"/>
      <c r="D370" s="240"/>
      <c r="E370" s="240"/>
      <c r="G370" s="240"/>
      <c r="H370" s="240"/>
      <c r="I370" s="240"/>
      <c r="J370" s="240"/>
      <c r="K370" s="240"/>
      <c r="L370" s="240"/>
      <c r="M370" s="240"/>
      <c r="N370" s="240"/>
      <c r="O370" s="240"/>
      <c r="P370" s="240"/>
      <c r="Q370" s="240"/>
      <c r="R370" s="240"/>
      <c r="S370" s="240"/>
      <c r="T370" s="240"/>
      <c r="U370" s="240"/>
      <c r="V370" s="240"/>
      <c r="W370" s="240"/>
      <c r="X370" s="240"/>
      <c r="Y370" s="240"/>
      <c r="Z370" s="240"/>
      <c r="AA370" s="240"/>
      <c r="AB370" s="240"/>
    </row>
    <row r="371">
      <c r="A371" s="240"/>
      <c r="B371" s="240" t="s">
        <v>2955</v>
      </c>
      <c r="C371" s="240"/>
      <c r="D371" s="240"/>
      <c r="E371" s="240"/>
      <c r="G371" s="240"/>
      <c r="H371" s="240"/>
      <c r="I371" s="240"/>
      <c r="J371" s="240"/>
      <c r="K371" s="240"/>
      <c r="L371" s="240"/>
      <c r="M371" s="240"/>
      <c r="N371" s="240"/>
      <c r="O371" s="240"/>
      <c r="P371" s="240"/>
      <c r="Q371" s="240"/>
      <c r="R371" s="240"/>
      <c r="S371" s="240"/>
      <c r="T371" s="240"/>
      <c r="U371" s="240"/>
      <c r="V371" s="240"/>
      <c r="W371" s="240"/>
      <c r="X371" s="240"/>
      <c r="Y371" s="240"/>
      <c r="Z371" s="240"/>
      <c r="AA371" s="240"/>
      <c r="AB371" s="240"/>
    </row>
    <row r="372">
      <c r="A372" s="240"/>
      <c r="B372" s="240" t="s">
        <v>2955</v>
      </c>
      <c r="C372" s="240"/>
      <c r="D372" s="240"/>
      <c r="E372" s="240"/>
      <c r="G372" s="240"/>
      <c r="H372" s="240"/>
      <c r="I372" s="240"/>
      <c r="J372" s="240"/>
      <c r="K372" s="240"/>
      <c r="L372" s="240"/>
      <c r="M372" s="240"/>
      <c r="N372" s="240"/>
      <c r="O372" s="240"/>
      <c r="P372" s="240"/>
      <c r="Q372" s="240"/>
      <c r="R372" s="240"/>
      <c r="S372" s="240"/>
      <c r="T372" s="240"/>
      <c r="U372" s="240"/>
      <c r="V372" s="240"/>
      <c r="W372" s="240"/>
      <c r="X372" s="240"/>
      <c r="Y372" s="240"/>
      <c r="Z372" s="240"/>
      <c r="AA372" s="240"/>
      <c r="AB372" s="240"/>
    </row>
    <row r="373">
      <c r="A373" s="240"/>
      <c r="B373" s="240" t="s">
        <v>2955</v>
      </c>
      <c r="C373" s="240"/>
      <c r="D373" s="240"/>
      <c r="E373" s="240"/>
      <c r="G373" s="240"/>
      <c r="H373" s="240"/>
      <c r="I373" s="240"/>
      <c r="J373" s="240"/>
      <c r="K373" s="240"/>
      <c r="L373" s="240"/>
      <c r="M373" s="240"/>
      <c r="N373" s="240"/>
      <c r="O373" s="240"/>
      <c r="P373" s="240"/>
      <c r="Q373" s="240"/>
      <c r="R373" s="240"/>
      <c r="S373" s="240"/>
      <c r="T373" s="240"/>
      <c r="U373" s="240"/>
      <c r="V373" s="240"/>
      <c r="W373" s="240"/>
      <c r="X373" s="240"/>
      <c r="Y373" s="240"/>
      <c r="Z373" s="240"/>
      <c r="AA373" s="240"/>
      <c r="AB373" s="240"/>
    </row>
    <row r="374">
      <c r="A374" s="240"/>
      <c r="B374" s="240" t="s">
        <v>2955</v>
      </c>
      <c r="C374" s="240"/>
      <c r="D374" s="240"/>
      <c r="E374" s="240"/>
      <c r="G374" s="240"/>
      <c r="H374" s="240"/>
      <c r="I374" s="240"/>
      <c r="J374" s="240"/>
      <c r="K374" s="240"/>
      <c r="L374" s="240"/>
      <c r="M374" s="240"/>
      <c r="N374" s="240"/>
      <c r="O374" s="240"/>
      <c r="P374" s="240"/>
      <c r="Q374" s="240"/>
      <c r="R374" s="240"/>
      <c r="S374" s="240"/>
      <c r="T374" s="240"/>
      <c r="U374" s="240"/>
      <c r="V374" s="240"/>
      <c r="W374" s="240"/>
      <c r="X374" s="240"/>
      <c r="Y374" s="240"/>
      <c r="Z374" s="240"/>
      <c r="AA374" s="240"/>
      <c r="AB374" s="240"/>
    </row>
    <row r="375">
      <c r="A375" s="240"/>
      <c r="B375" s="240" t="s">
        <v>2955</v>
      </c>
      <c r="C375" s="240"/>
      <c r="D375" s="240"/>
      <c r="E375" s="240"/>
      <c r="G375" s="240"/>
      <c r="H375" s="240"/>
      <c r="I375" s="240"/>
      <c r="J375" s="240"/>
      <c r="K375" s="240"/>
      <c r="L375" s="240"/>
      <c r="M375" s="240"/>
      <c r="N375" s="240"/>
      <c r="O375" s="240"/>
      <c r="P375" s="240"/>
      <c r="Q375" s="240"/>
      <c r="R375" s="240"/>
      <c r="S375" s="240"/>
      <c r="T375" s="240"/>
      <c r="U375" s="240"/>
      <c r="V375" s="240"/>
      <c r="W375" s="240"/>
      <c r="X375" s="240"/>
      <c r="Y375" s="240"/>
      <c r="Z375" s="240"/>
      <c r="AA375" s="240"/>
      <c r="AB375" s="240"/>
    </row>
    <row r="376">
      <c r="A376" s="240"/>
      <c r="B376" s="240" t="s">
        <v>2955</v>
      </c>
      <c r="C376" s="240"/>
      <c r="D376" s="240"/>
      <c r="E376" s="240"/>
      <c r="G376" s="240"/>
      <c r="H376" s="240"/>
      <c r="I376" s="240"/>
      <c r="J376" s="240"/>
      <c r="K376" s="240"/>
      <c r="L376" s="240"/>
      <c r="M376" s="240"/>
      <c r="N376" s="240"/>
      <c r="O376" s="240"/>
      <c r="P376" s="240"/>
      <c r="Q376" s="240"/>
      <c r="R376" s="240"/>
      <c r="S376" s="240"/>
      <c r="T376" s="240"/>
      <c r="U376" s="240"/>
      <c r="V376" s="240"/>
      <c r="W376" s="240"/>
      <c r="X376" s="240"/>
      <c r="Y376" s="240"/>
      <c r="Z376" s="240"/>
      <c r="AA376" s="240"/>
      <c r="AB376" s="240"/>
    </row>
    <row r="377">
      <c r="A377" s="240"/>
      <c r="B377" s="240" t="s">
        <v>2955</v>
      </c>
      <c r="C377" s="240"/>
      <c r="D377" s="240"/>
      <c r="E377" s="240"/>
      <c r="G377" s="240"/>
      <c r="H377" s="240"/>
      <c r="I377" s="240"/>
      <c r="J377" s="240"/>
      <c r="K377" s="240"/>
      <c r="L377" s="240"/>
      <c r="M377" s="240"/>
      <c r="N377" s="240"/>
      <c r="O377" s="240"/>
      <c r="P377" s="240"/>
      <c r="Q377" s="240"/>
      <c r="R377" s="240"/>
      <c r="S377" s="240"/>
      <c r="T377" s="240"/>
      <c r="U377" s="240"/>
      <c r="V377" s="240"/>
      <c r="W377" s="240"/>
      <c r="X377" s="240"/>
      <c r="Y377" s="240"/>
      <c r="Z377" s="240"/>
      <c r="AA377" s="240"/>
      <c r="AB377" s="240"/>
    </row>
    <row r="378">
      <c r="A378" s="240"/>
      <c r="B378" s="240" t="s">
        <v>2955</v>
      </c>
      <c r="C378" s="240"/>
      <c r="D378" s="240"/>
      <c r="E378" s="240"/>
      <c r="G378" s="240"/>
      <c r="H378" s="240"/>
      <c r="I378" s="240"/>
      <c r="J378" s="240"/>
      <c r="K378" s="240"/>
      <c r="L378" s="240"/>
      <c r="M378" s="240"/>
      <c r="N378" s="240"/>
      <c r="O378" s="240"/>
      <c r="P378" s="240"/>
      <c r="Q378" s="240"/>
      <c r="R378" s="240"/>
      <c r="S378" s="240"/>
      <c r="T378" s="240"/>
      <c r="U378" s="240"/>
      <c r="V378" s="240"/>
      <c r="W378" s="240"/>
      <c r="X378" s="240"/>
      <c r="Y378" s="240"/>
      <c r="Z378" s="240"/>
      <c r="AA378" s="240"/>
      <c r="AB378" s="240"/>
    </row>
    <row r="379">
      <c r="A379" s="240"/>
      <c r="B379" s="240" t="s">
        <v>2955</v>
      </c>
      <c r="C379" s="240"/>
      <c r="D379" s="240"/>
      <c r="E379" s="240"/>
      <c r="G379" s="240"/>
      <c r="H379" s="240"/>
      <c r="I379" s="240"/>
      <c r="J379" s="240"/>
      <c r="K379" s="240"/>
      <c r="L379" s="240"/>
      <c r="M379" s="240"/>
      <c r="N379" s="240"/>
      <c r="O379" s="240"/>
      <c r="P379" s="240"/>
      <c r="Q379" s="240"/>
      <c r="R379" s="240"/>
      <c r="S379" s="240"/>
      <c r="T379" s="240"/>
      <c r="U379" s="240"/>
      <c r="V379" s="240"/>
      <c r="W379" s="240"/>
      <c r="X379" s="240"/>
      <c r="Y379" s="240"/>
      <c r="Z379" s="240"/>
      <c r="AA379" s="240"/>
      <c r="AB379" s="240"/>
    </row>
    <row r="380">
      <c r="A380" s="240"/>
      <c r="B380" s="240" t="s">
        <v>2955</v>
      </c>
      <c r="C380" s="240"/>
      <c r="D380" s="240"/>
      <c r="E380" s="240"/>
      <c r="G380" s="240"/>
      <c r="H380" s="240"/>
      <c r="I380" s="240"/>
      <c r="J380" s="240"/>
      <c r="K380" s="240"/>
      <c r="L380" s="240"/>
      <c r="M380" s="240"/>
      <c r="N380" s="240"/>
      <c r="O380" s="240"/>
      <c r="P380" s="240"/>
      <c r="Q380" s="240"/>
      <c r="R380" s="240"/>
      <c r="S380" s="240"/>
      <c r="T380" s="240"/>
      <c r="U380" s="240"/>
      <c r="V380" s="240"/>
      <c r="W380" s="240"/>
      <c r="X380" s="240"/>
      <c r="Y380" s="240"/>
      <c r="Z380" s="240"/>
      <c r="AA380" s="240"/>
      <c r="AB380" s="240"/>
    </row>
    <row r="381">
      <c r="A381" s="240"/>
      <c r="B381" s="240" t="s">
        <v>2955</v>
      </c>
      <c r="C381" s="240"/>
      <c r="D381" s="240"/>
      <c r="E381" s="240"/>
      <c r="G381" s="240"/>
      <c r="H381" s="240"/>
      <c r="I381" s="240"/>
      <c r="J381" s="240"/>
      <c r="K381" s="240"/>
      <c r="L381" s="240"/>
      <c r="M381" s="240"/>
      <c r="N381" s="240"/>
      <c r="O381" s="240"/>
      <c r="P381" s="240"/>
      <c r="Q381" s="240"/>
      <c r="R381" s="240"/>
      <c r="S381" s="240"/>
      <c r="T381" s="240"/>
      <c r="U381" s="240"/>
      <c r="V381" s="240"/>
      <c r="W381" s="240"/>
      <c r="X381" s="240"/>
      <c r="Y381" s="240"/>
      <c r="Z381" s="240"/>
      <c r="AA381" s="240"/>
      <c r="AB381" s="240"/>
    </row>
    <row r="382">
      <c r="A382" s="240"/>
      <c r="B382" s="240" t="s">
        <v>2955</v>
      </c>
      <c r="C382" s="240"/>
      <c r="D382" s="240"/>
      <c r="E382" s="240"/>
      <c r="G382" s="240"/>
      <c r="H382" s="240"/>
      <c r="I382" s="240"/>
      <c r="J382" s="240"/>
      <c r="K382" s="240"/>
      <c r="L382" s="240"/>
      <c r="M382" s="240"/>
      <c r="N382" s="240"/>
      <c r="O382" s="240"/>
      <c r="P382" s="240"/>
      <c r="Q382" s="240"/>
      <c r="R382" s="240"/>
      <c r="S382" s="240"/>
      <c r="T382" s="240"/>
      <c r="U382" s="240"/>
      <c r="V382" s="240"/>
      <c r="W382" s="240"/>
      <c r="X382" s="240"/>
      <c r="Y382" s="240"/>
      <c r="Z382" s="240"/>
      <c r="AA382" s="240"/>
      <c r="AB382" s="240"/>
    </row>
    <row r="383">
      <c r="A383" s="240"/>
      <c r="B383" s="240" t="s">
        <v>2955</v>
      </c>
      <c r="C383" s="240"/>
      <c r="D383" s="240"/>
      <c r="E383" s="240"/>
      <c r="G383" s="240"/>
      <c r="H383" s="240"/>
      <c r="I383" s="240"/>
      <c r="J383" s="240"/>
      <c r="K383" s="240"/>
      <c r="L383" s="240"/>
      <c r="M383" s="240"/>
      <c r="N383" s="240"/>
      <c r="O383" s="240"/>
      <c r="P383" s="240"/>
      <c r="Q383" s="240"/>
      <c r="R383" s="240"/>
      <c r="S383" s="240"/>
      <c r="T383" s="240"/>
      <c r="U383" s="240"/>
      <c r="V383" s="240"/>
      <c r="W383" s="240"/>
      <c r="X383" s="240"/>
      <c r="Y383" s="240"/>
      <c r="Z383" s="240"/>
      <c r="AA383" s="240"/>
      <c r="AB383" s="240"/>
    </row>
    <row r="384">
      <c r="A384" s="240"/>
      <c r="B384" s="240" t="s">
        <v>2955</v>
      </c>
      <c r="C384" s="240"/>
      <c r="D384" s="240"/>
      <c r="E384" s="240"/>
      <c r="G384" s="240"/>
      <c r="H384" s="240"/>
      <c r="I384" s="240"/>
      <c r="J384" s="240"/>
      <c r="K384" s="240"/>
      <c r="L384" s="240"/>
      <c r="M384" s="240"/>
      <c r="N384" s="240"/>
      <c r="O384" s="240"/>
      <c r="P384" s="240"/>
      <c r="Q384" s="240"/>
      <c r="R384" s="240"/>
      <c r="S384" s="240"/>
      <c r="T384" s="240"/>
      <c r="U384" s="240"/>
      <c r="V384" s="240"/>
      <c r="W384" s="240"/>
      <c r="X384" s="240"/>
      <c r="Y384" s="240"/>
      <c r="Z384" s="240"/>
      <c r="AA384" s="240"/>
      <c r="AB384" s="240"/>
    </row>
    <row r="385">
      <c r="A385" s="240"/>
      <c r="B385" s="240" t="s">
        <v>2955</v>
      </c>
      <c r="C385" s="240"/>
      <c r="D385" s="240"/>
      <c r="E385" s="240"/>
      <c r="G385" s="240"/>
      <c r="H385" s="240"/>
      <c r="I385" s="240"/>
      <c r="J385" s="240"/>
      <c r="K385" s="240"/>
      <c r="L385" s="240"/>
      <c r="M385" s="240"/>
      <c r="N385" s="240"/>
      <c r="O385" s="240"/>
      <c r="P385" s="240"/>
      <c r="Q385" s="240"/>
      <c r="R385" s="240"/>
      <c r="S385" s="240"/>
      <c r="T385" s="240"/>
      <c r="U385" s="240"/>
      <c r="V385" s="240"/>
      <c r="W385" s="240"/>
      <c r="X385" s="240"/>
      <c r="Y385" s="240"/>
      <c r="Z385" s="240"/>
      <c r="AA385" s="240"/>
      <c r="AB385" s="240"/>
    </row>
    <row r="386">
      <c r="A386" s="240"/>
      <c r="B386" s="240" t="s">
        <v>2955</v>
      </c>
      <c r="C386" s="240"/>
      <c r="D386" s="240"/>
      <c r="E386" s="240"/>
      <c r="G386" s="240"/>
      <c r="H386" s="240"/>
      <c r="I386" s="240"/>
      <c r="J386" s="240"/>
      <c r="K386" s="240"/>
      <c r="L386" s="240"/>
      <c r="M386" s="240"/>
      <c r="N386" s="240"/>
      <c r="O386" s="240"/>
      <c r="P386" s="240"/>
      <c r="Q386" s="240"/>
      <c r="R386" s="240"/>
      <c r="S386" s="240"/>
      <c r="T386" s="240"/>
      <c r="U386" s="240"/>
      <c r="V386" s="240"/>
      <c r="W386" s="240"/>
      <c r="X386" s="240"/>
      <c r="Y386" s="240"/>
      <c r="Z386" s="240"/>
      <c r="AA386" s="240"/>
      <c r="AB386" s="240"/>
    </row>
    <row r="387">
      <c r="A387" s="240"/>
      <c r="B387" s="240" t="s">
        <v>2955</v>
      </c>
      <c r="C387" s="240"/>
      <c r="D387" s="240"/>
      <c r="E387" s="240"/>
      <c r="G387" s="240"/>
      <c r="H387" s="240"/>
      <c r="I387" s="240"/>
      <c r="J387" s="240"/>
      <c r="K387" s="240"/>
      <c r="L387" s="240"/>
      <c r="M387" s="240"/>
      <c r="N387" s="240"/>
      <c r="O387" s="240"/>
      <c r="P387" s="240"/>
      <c r="Q387" s="240"/>
      <c r="R387" s="240"/>
      <c r="S387" s="240"/>
      <c r="T387" s="240"/>
      <c r="U387" s="240"/>
      <c r="V387" s="240"/>
      <c r="W387" s="240"/>
      <c r="X387" s="240"/>
      <c r="Y387" s="240"/>
      <c r="Z387" s="240"/>
      <c r="AA387" s="240"/>
      <c r="AB387" s="240"/>
    </row>
    <row r="388">
      <c r="A388" s="240"/>
      <c r="B388" s="240" t="s">
        <v>2955</v>
      </c>
      <c r="C388" s="240"/>
      <c r="D388" s="240"/>
      <c r="E388" s="240"/>
      <c r="G388" s="240"/>
      <c r="H388" s="240"/>
      <c r="I388" s="240"/>
      <c r="J388" s="240"/>
      <c r="K388" s="240"/>
      <c r="L388" s="240"/>
      <c r="M388" s="240"/>
      <c r="N388" s="240"/>
      <c r="O388" s="240"/>
      <c r="P388" s="240"/>
      <c r="Q388" s="240"/>
      <c r="R388" s="240"/>
      <c r="S388" s="240"/>
      <c r="T388" s="240"/>
      <c r="U388" s="240"/>
      <c r="V388" s="240"/>
      <c r="W388" s="240"/>
      <c r="X388" s="240"/>
      <c r="Y388" s="240"/>
      <c r="Z388" s="240"/>
      <c r="AA388" s="240"/>
      <c r="AB388" s="240"/>
    </row>
    <row r="389">
      <c r="A389" s="240"/>
      <c r="B389" s="240" t="s">
        <v>2955</v>
      </c>
      <c r="C389" s="240"/>
      <c r="D389" s="240"/>
      <c r="E389" s="240"/>
      <c r="G389" s="240"/>
      <c r="H389" s="240"/>
      <c r="I389" s="240"/>
      <c r="J389" s="240"/>
      <c r="K389" s="240"/>
      <c r="L389" s="240"/>
      <c r="M389" s="240"/>
      <c r="N389" s="240"/>
      <c r="O389" s="240"/>
      <c r="P389" s="240"/>
      <c r="Q389" s="240"/>
      <c r="R389" s="240"/>
      <c r="S389" s="240"/>
      <c r="T389" s="240"/>
      <c r="U389" s="240"/>
      <c r="V389" s="240"/>
      <c r="W389" s="240"/>
      <c r="X389" s="240"/>
      <c r="Y389" s="240"/>
      <c r="Z389" s="240"/>
      <c r="AA389" s="240"/>
      <c r="AB389" s="240"/>
    </row>
    <row r="390">
      <c r="A390" s="240"/>
      <c r="B390" s="240" t="s">
        <v>2955</v>
      </c>
      <c r="C390" s="240"/>
      <c r="D390" s="240"/>
      <c r="E390" s="240"/>
      <c r="G390" s="240"/>
      <c r="H390" s="240"/>
      <c r="I390" s="240"/>
      <c r="J390" s="240"/>
      <c r="K390" s="240"/>
      <c r="L390" s="240"/>
      <c r="M390" s="240"/>
      <c r="N390" s="240"/>
      <c r="O390" s="240"/>
      <c r="P390" s="240"/>
      <c r="Q390" s="240"/>
      <c r="R390" s="240"/>
      <c r="S390" s="240"/>
      <c r="T390" s="240"/>
      <c r="U390" s="240"/>
      <c r="V390" s="240"/>
      <c r="W390" s="240"/>
      <c r="X390" s="240"/>
      <c r="Y390" s="240"/>
      <c r="Z390" s="240"/>
      <c r="AA390" s="240"/>
      <c r="AB390" s="240"/>
    </row>
    <row r="391">
      <c r="A391" s="240"/>
      <c r="B391" s="240" t="s">
        <v>2955</v>
      </c>
      <c r="C391" s="240"/>
      <c r="D391" s="240"/>
      <c r="E391" s="240"/>
      <c r="G391" s="240"/>
      <c r="H391" s="240"/>
      <c r="I391" s="240"/>
      <c r="J391" s="240"/>
      <c r="K391" s="240"/>
      <c r="L391" s="240"/>
      <c r="M391" s="240"/>
      <c r="N391" s="240"/>
      <c r="O391" s="240"/>
      <c r="P391" s="240"/>
      <c r="Q391" s="240"/>
      <c r="R391" s="240"/>
      <c r="S391" s="240"/>
      <c r="T391" s="240"/>
      <c r="U391" s="240"/>
      <c r="V391" s="240"/>
      <c r="W391" s="240"/>
      <c r="X391" s="240"/>
      <c r="Y391" s="240"/>
      <c r="Z391" s="240"/>
      <c r="AA391" s="240"/>
      <c r="AB391" s="240"/>
    </row>
    <row r="392">
      <c r="A392" s="240"/>
      <c r="B392" s="240" t="s">
        <v>2955</v>
      </c>
      <c r="C392" s="240"/>
      <c r="D392" s="240"/>
      <c r="E392" s="240"/>
      <c r="G392" s="240"/>
      <c r="H392" s="240"/>
      <c r="I392" s="240"/>
      <c r="J392" s="240"/>
      <c r="K392" s="240"/>
      <c r="L392" s="240"/>
      <c r="M392" s="240"/>
      <c r="N392" s="240"/>
      <c r="O392" s="240"/>
      <c r="P392" s="240"/>
      <c r="Q392" s="240"/>
      <c r="R392" s="240"/>
      <c r="S392" s="240"/>
      <c r="T392" s="240"/>
      <c r="U392" s="240"/>
      <c r="V392" s="240"/>
      <c r="W392" s="240"/>
      <c r="X392" s="240"/>
      <c r="Y392" s="240"/>
      <c r="Z392" s="240"/>
      <c r="AA392" s="240"/>
      <c r="AB392" s="240"/>
    </row>
    <row r="393">
      <c r="A393" s="240"/>
      <c r="B393" s="240" t="s">
        <v>2955</v>
      </c>
      <c r="C393" s="240"/>
      <c r="D393" s="240"/>
      <c r="E393" s="240"/>
      <c r="G393" s="240"/>
      <c r="H393" s="240"/>
      <c r="I393" s="240"/>
      <c r="J393" s="240"/>
      <c r="K393" s="240"/>
      <c r="L393" s="240"/>
      <c r="M393" s="240"/>
      <c r="N393" s="240"/>
      <c r="O393" s="240"/>
      <c r="P393" s="240"/>
      <c r="Q393" s="240"/>
      <c r="R393" s="240"/>
      <c r="S393" s="240"/>
      <c r="T393" s="240"/>
      <c r="U393" s="240"/>
      <c r="V393" s="240"/>
      <c r="W393" s="240"/>
      <c r="X393" s="240"/>
      <c r="Y393" s="240"/>
      <c r="Z393" s="240"/>
      <c r="AA393" s="240"/>
      <c r="AB393" s="240"/>
    </row>
    <row r="394">
      <c r="A394" s="240"/>
      <c r="B394" s="240" t="s">
        <v>2955</v>
      </c>
      <c r="C394" s="240"/>
      <c r="D394" s="240"/>
      <c r="E394" s="240"/>
      <c r="G394" s="240"/>
      <c r="H394" s="240"/>
      <c r="I394" s="240"/>
      <c r="J394" s="240"/>
      <c r="K394" s="240"/>
      <c r="L394" s="240"/>
      <c r="M394" s="240"/>
      <c r="N394" s="240"/>
      <c r="O394" s="240"/>
      <c r="P394" s="240"/>
      <c r="Q394" s="240"/>
      <c r="R394" s="240"/>
      <c r="S394" s="240"/>
      <c r="T394" s="240"/>
      <c r="U394" s="240"/>
      <c r="V394" s="240"/>
      <c r="W394" s="240"/>
      <c r="X394" s="240"/>
      <c r="Y394" s="240"/>
      <c r="Z394" s="240"/>
      <c r="AA394" s="240"/>
      <c r="AB394" s="240"/>
    </row>
    <row r="395">
      <c r="A395" s="240"/>
      <c r="B395" s="240" t="s">
        <v>2955</v>
      </c>
      <c r="C395" s="240"/>
      <c r="D395" s="240"/>
      <c r="E395" s="240"/>
      <c r="G395" s="240"/>
      <c r="H395" s="240"/>
      <c r="I395" s="240"/>
      <c r="J395" s="240"/>
      <c r="K395" s="240"/>
      <c r="L395" s="240"/>
      <c r="M395" s="240"/>
      <c r="N395" s="240"/>
      <c r="O395" s="240"/>
      <c r="P395" s="240"/>
      <c r="Q395" s="240"/>
      <c r="R395" s="240"/>
      <c r="S395" s="240"/>
      <c r="T395" s="240"/>
      <c r="U395" s="240"/>
      <c r="V395" s="240"/>
      <c r="W395" s="240"/>
      <c r="X395" s="240"/>
      <c r="Y395" s="240"/>
      <c r="Z395" s="240"/>
      <c r="AA395" s="240"/>
      <c r="AB395" s="240"/>
    </row>
    <row r="396">
      <c r="A396" s="240"/>
      <c r="B396" s="240" t="s">
        <v>2955</v>
      </c>
      <c r="C396" s="240"/>
      <c r="D396" s="240"/>
      <c r="E396" s="240"/>
      <c r="G396" s="240"/>
      <c r="H396" s="240"/>
      <c r="I396" s="240"/>
      <c r="J396" s="240"/>
      <c r="K396" s="240"/>
      <c r="L396" s="240"/>
      <c r="M396" s="240"/>
      <c r="N396" s="240"/>
      <c r="O396" s="240"/>
      <c r="P396" s="240"/>
      <c r="Q396" s="240"/>
      <c r="R396" s="240"/>
      <c r="S396" s="240"/>
      <c r="T396" s="240"/>
      <c r="U396" s="240"/>
      <c r="V396" s="240"/>
      <c r="W396" s="240"/>
      <c r="X396" s="240"/>
      <c r="Y396" s="240"/>
      <c r="Z396" s="240"/>
      <c r="AA396" s="240"/>
      <c r="AB396" s="240"/>
    </row>
    <row r="397">
      <c r="A397" s="240"/>
      <c r="B397" s="240" t="s">
        <v>2955</v>
      </c>
      <c r="C397" s="240"/>
      <c r="D397" s="240"/>
      <c r="E397" s="240"/>
      <c r="G397" s="240"/>
      <c r="H397" s="240"/>
      <c r="I397" s="240"/>
      <c r="J397" s="240"/>
      <c r="K397" s="240"/>
      <c r="L397" s="240"/>
      <c r="M397" s="240"/>
      <c r="N397" s="240"/>
      <c r="O397" s="240"/>
      <c r="P397" s="240"/>
      <c r="Q397" s="240"/>
      <c r="R397" s="240"/>
      <c r="S397" s="240"/>
      <c r="T397" s="240"/>
      <c r="U397" s="240"/>
      <c r="V397" s="240"/>
      <c r="W397" s="240"/>
      <c r="X397" s="240"/>
      <c r="Y397" s="240"/>
      <c r="Z397" s="240"/>
      <c r="AA397" s="240"/>
      <c r="AB397" s="240"/>
    </row>
    <row r="398">
      <c r="A398" s="240"/>
      <c r="B398" s="240" t="s">
        <v>2955</v>
      </c>
      <c r="C398" s="240"/>
      <c r="D398" s="240"/>
      <c r="E398" s="240"/>
      <c r="G398" s="240"/>
      <c r="H398" s="240"/>
      <c r="I398" s="240"/>
      <c r="J398" s="240"/>
      <c r="K398" s="240"/>
      <c r="L398" s="240"/>
      <c r="M398" s="240"/>
      <c r="N398" s="240"/>
      <c r="O398" s="240"/>
      <c r="P398" s="240"/>
      <c r="Q398" s="240"/>
      <c r="R398" s="240"/>
      <c r="S398" s="240"/>
      <c r="T398" s="240"/>
      <c r="U398" s="240"/>
      <c r="V398" s="240"/>
      <c r="W398" s="240"/>
      <c r="X398" s="240"/>
      <c r="Y398" s="240"/>
      <c r="Z398" s="240"/>
      <c r="AA398" s="240"/>
      <c r="AB398" s="240"/>
    </row>
    <row r="399">
      <c r="A399" s="240"/>
      <c r="B399" s="240" t="s">
        <v>2955</v>
      </c>
      <c r="C399" s="240"/>
      <c r="D399" s="240"/>
      <c r="E399" s="240"/>
      <c r="G399" s="240"/>
      <c r="H399" s="240"/>
      <c r="I399" s="240"/>
      <c r="J399" s="240"/>
      <c r="K399" s="240"/>
      <c r="L399" s="240"/>
      <c r="M399" s="240"/>
      <c r="N399" s="240"/>
      <c r="O399" s="240"/>
      <c r="P399" s="240"/>
      <c r="Q399" s="240"/>
      <c r="R399" s="240"/>
      <c r="S399" s="240"/>
      <c r="T399" s="240"/>
      <c r="U399" s="240"/>
      <c r="V399" s="240"/>
      <c r="W399" s="240"/>
      <c r="X399" s="240"/>
      <c r="Y399" s="240"/>
      <c r="Z399" s="240"/>
      <c r="AA399" s="240"/>
      <c r="AB399" s="240"/>
    </row>
    <row r="400">
      <c r="A400" s="240"/>
      <c r="B400" s="240" t="s">
        <v>2955</v>
      </c>
      <c r="C400" s="240"/>
      <c r="D400" s="240"/>
      <c r="E400" s="240"/>
      <c r="G400" s="240"/>
      <c r="H400" s="240"/>
      <c r="I400" s="240"/>
      <c r="J400" s="240"/>
      <c r="K400" s="240"/>
      <c r="L400" s="240"/>
      <c r="M400" s="240"/>
      <c r="N400" s="240"/>
      <c r="O400" s="240"/>
      <c r="P400" s="240"/>
      <c r="Q400" s="240"/>
      <c r="R400" s="240"/>
      <c r="S400" s="240"/>
      <c r="T400" s="240"/>
      <c r="U400" s="240"/>
      <c r="V400" s="240"/>
      <c r="W400" s="240"/>
      <c r="X400" s="240"/>
      <c r="Y400" s="240"/>
      <c r="Z400" s="240"/>
      <c r="AA400" s="240"/>
      <c r="AB400" s="240"/>
    </row>
    <row r="401">
      <c r="A401" s="240"/>
      <c r="B401" s="240" t="s">
        <v>2955</v>
      </c>
      <c r="C401" s="240"/>
      <c r="D401" s="240"/>
      <c r="E401" s="240"/>
      <c r="G401" s="240"/>
      <c r="H401" s="240"/>
      <c r="I401" s="240"/>
      <c r="J401" s="240"/>
      <c r="K401" s="240"/>
      <c r="L401" s="240"/>
      <c r="M401" s="240"/>
      <c r="N401" s="240"/>
      <c r="O401" s="240"/>
      <c r="P401" s="240"/>
      <c r="Q401" s="240"/>
      <c r="R401" s="240"/>
      <c r="S401" s="240"/>
      <c r="T401" s="240"/>
      <c r="U401" s="240"/>
      <c r="V401" s="240"/>
      <c r="W401" s="240"/>
      <c r="X401" s="240"/>
      <c r="Y401" s="240"/>
      <c r="Z401" s="240"/>
      <c r="AA401" s="240"/>
      <c r="AB401" s="240"/>
    </row>
    <row r="402">
      <c r="A402" s="240"/>
      <c r="B402" s="240" t="s">
        <v>2955</v>
      </c>
      <c r="C402" s="240"/>
      <c r="D402" s="240"/>
      <c r="E402" s="240"/>
      <c r="G402" s="240"/>
      <c r="H402" s="240"/>
      <c r="I402" s="240"/>
      <c r="J402" s="240"/>
      <c r="K402" s="240"/>
      <c r="L402" s="240"/>
      <c r="M402" s="240"/>
      <c r="N402" s="240"/>
      <c r="O402" s="240"/>
      <c r="P402" s="240"/>
      <c r="Q402" s="240"/>
      <c r="R402" s="240"/>
      <c r="S402" s="240"/>
      <c r="T402" s="240"/>
      <c r="U402" s="240"/>
      <c r="V402" s="240"/>
      <c r="W402" s="240"/>
      <c r="X402" s="240"/>
      <c r="Y402" s="240"/>
      <c r="Z402" s="240"/>
      <c r="AA402" s="240"/>
      <c r="AB402" s="240"/>
    </row>
    <row r="403">
      <c r="A403" s="240"/>
      <c r="B403" s="240" t="s">
        <v>2955</v>
      </c>
      <c r="C403" s="240"/>
      <c r="D403" s="240"/>
      <c r="E403" s="240"/>
      <c r="G403" s="240"/>
      <c r="H403" s="240"/>
      <c r="I403" s="240"/>
      <c r="J403" s="240"/>
      <c r="K403" s="240"/>
      <c r="L403" s="240"/>
      <c r="M403" s="240"/>
      <c r="N403" s="240"/>
      <c r="O403" s="240"/>
      <c r="P403" s="240"/>
      <c r="Q403" s="240"/>
      <c r="R403" s="240"/>
      <c r="S403" s="240"/>
      <c r="T403" s="240"/>
      <c r="U403" s="240"/>
      <c r="V403" s="240"/>
      <c r="W403" s="240"/>
      <c r="X403" s="240"/>
      <c r="Y403" s="240"/>
      <c r="Z403" s="240"/>
      <c r="AA403" s="240"/>
      <c r="AB403" s="240"/>
    </row>
    <row r="404">
      <c r="A404" s="240"/>
      <c r="B404" s="240" t="s">
        <v>2955</v>
      </c>
      <c r="C404" s="240"/>
      <c r="D404" s="240"/>
      <c r="E404" s="240"/>
      <c r="G404" s="240"/>
      <c r="H404" s="240"/>
      <c r="I404" s="240"/>
      <c r="J404" s="240"/>
      <c r="K404" s="240"/>
      <c r="L404" s="240"/>
      <c r="M404" s="240"/>
      <c r="N404" s="240"/>
      <c r="O404" s="240"/>
      <c r="P404" s="240"/>
      <c r="Q404" s="240"/>
      <c r="R404" s="240"/>
      <c r="S404" s="240"/>
      <c r="T404" s="240"/>
      <c r="U404" s="240"/>
      <c r="V404" s="240"/>
      <c r="W404" s="240"/>
      <c r="X404" s="240"/>
      <c r="Y404" s="240"/>
      <c r="Z404" s="240"/>
      <c r="AA404" s="240"/>
      <c r="AB404" s="240"/>
    </row>
    <row r="405">
      <c r="A405" s="240"/>
      <c r="B405" s="240" t="s">
        <v>2955</v>
      </c>
      <c r="C405" s="240"/>
      <c r="D405" s="240"/>
      <c r="E405" s="240"/>
      <c r="G405" s="240"/>
      <c r="H405" s="240"/>
      <c r="I405" s="240"/>
      <c r="J405" s="240"/>
      <c r="K405" s="240"/>
      <c r="L405" s="240"/>
      <c r="M405" s="240"/>
      <c r="N405" s="240"/>
      <c r="O405" s="240"/>
      <c r="P405" s="240"/>
      <c r="Q405" s="240"/>
      <c r="R405" s="240"/>
      <c r="S405" s="240"/>
      <c r="T405" s="240"/>
      <c r="U405" s="240"/>
      <c r="V405" s="240"/>
      <c r="W405" s="240"/>
      <c r="X405" s="240"/>
      <c r="Y405" s="240"/>
      <c r="Z405" s="240"/>
      <c r="AA405" s="240"/>
      <c r="AB405" s="240"/>
    </row>
    <row r="406">
      <c r="A406" s="240"/>
      <c r="B406" s="240" t="s">
        <v>2955</v>
      </c>
      <c r="C406" s="240"/>
      <c r="D406" s="240"/>
      <c r="E406" s="240"/>
      <c r="G406" s="240"/>
      <c r="H406" s="240"/>
      <c r="I406" s="240"/>
      <c r="J406" s="240"/>
      <c r="K406" s="240"/>
      <c r="L406" s="240"/>
      <c r="M406" s="240"/>
      <c r="N406" s="240"/>
      <c r="O406" s="240"/>
      <c r="P406" s="240"/>
      <c r="Q406" s="240"/>
      <c r="R406" s="240"/>
      <c r="S406" s="240"/>
      <c r="T406" s="240"/>
      <c r="U406" s="240"/>
      <c r="V406" s="240"/>
      <c r="W406" s="240"/>
      <c r="X406" s="240"/>
      <c r="Y406" s="240"/>
      <c r="Z406" s="240"/>
      <c r="AA406" s="240"/>
      <c r="AB406" s="240"/>
    </row>
    <row r="407">
      <c r="A407" s="240"/>
      <c r="B407" s="240" t="s">
        <v>2955</v>
      </c>
      <c r="C407" s="240"/>
      <c r="D407" s="240"/>
      <c r="E407" s="240"/>
      <c r="G407" s="240"/>
      <c r="H407" s="240"/>
      <c r="I407" s="240"/>
      <c r="J407" s="240"/>
      <c r="K407" s="240"/>
      <c r="L407" s="240"/>
      <c r="M407" s="240"/>
      <c r="N407" s="240"/>
      <c r="O407" s="240"/>
      <c r="P407" s="240"/>
      <c r="Q407" s="240"/>
      <c r="R407" s="240"/>
      <c r="S407" s="240"/>
      <c r="T407" s="240"/>
      <c r="U407" s="240"/>
      <c r="V407" s="240"/>
      <c r="W407" s="240"/>
      <c r="X407" s="240"/>
      <c r="Y407" s="240"/>
      <c r="Z407" s="240"/>
      <c r="AA407" s="240"/>
      <c r="AB407" s="240"/>
    </row>
    <row r="408">
      <c r="A408" s="240"/>
      <c r="B408" s="240" t="s">
        <v>2955</v>
      </c>
      <c r="C408" s="240"/>
      <c r="D408" s="240"/>
      <c r="E408" s="240"/>
      <c r="G408" s="240"/>
      <c r="H408" s="240"/>
      <c r="I408" s="240"/>
      <c r="J408" s="240"/>
      <c r="K408" s="240"/>
      <c r="L408" s="240"/>
      <c r="M408" s="240"/>
      <c r="N408" s="240"/>
      <c r="O408" s="240"/>
      <c r="P408" s="240"/>
      <c r="Q408" s="240"/>
      <c r="R408" s="240"/>
      <c r="S408" s="240"/>
      <c r="T408" s="240"/>
      <c r="U408" s="240"/>
      <c r="V408" s="240"/>
      <c r="W408" s="240"/>
      <c r="X408" s="240"/>
      <c r="Y408" s="240"/>
      <c r="Z408" s="240"/>
      <c r="AA408" s="240"/>
      <c r="AB408" s="240"/>
    </row>
    <row r="409">
      <c r="A409" s="240"/>
      <c r="B409" s="240" t="s">
        <v>2955</v>
      </c>
      <c r="C409" s="240"/>
      <c r="D409" s="240"/>
      <c r="E409" s="240"/>
      <c r="G409" s="240"/>
      <c r="H409" s="240"/>
      <c r="I409" s="240"/>
      <c r="J409" s="240"/>
      <c r="K409" s="240"/>
      <c r="L409" s="240"/>
      <c r="M409" s="240"/>
      <c r="N409" s="240"/>
      <c r="O409" s="240"/>
      <c r="P409" s="240"/>
      <c r="Q409" s="240"/>
      <c r="R409" s="240"/>
      <c r="S409" s="240"/>
      <c r="T409" s="240"/>
      <c r="U409" s="240"/>
      <c r="V409" s="240"/>
      <c r="W409" s="240"/>
      <c r="X409" s="240"/>
      <c r="Y409" s="240"/>
      <c r="Z409" s="240"/>
      <c r="AA409" s="240"/>
      <c r="AB409" s="240"/>
    </row>
    <row r="410">
      <c r="A410" s="240"/>
      <c r="B410" s="240" t="s">
        <v>2955</v>
      </c>
      <c r="C410" s="240"/>
      <c r="D410" s="240"/>
      <c r="E410" s="240"/>
      <c r="G410" s="240"/>
      <c r="H410" s="240"/>
      <c r="I410" s="240"/>
      <c r="J410" s="240"/>
      <c r="K410" s="240"/>
      <c r="L410" s="240"/>
      <c r="M410" s="240"/>
      <c r="N410" s="240"/>
      <c r="O410" s="240"/>
      <c r="P410" s="240"/>
      <c r="Q410" s="240"/>
      <c r="R410" s="240"/>
      <c r="S410" s="240"/>
      <c r="T410" s="240"/>
      <c r="U410" s="240"/>
      <c r="V410" s="240"/>
      <c r="W410" s="240"/>
      <c r="X410" s="240"/>
      <c r="Y410" s="240"/>
      <c r="Z410" s="240"/>
      <c r="AA410" s="240"/>
      <c r="AB410" s="240"/>
    </row>
    <row r="411">
      <c r="A411" s="240"/>
      <c r="B411" s="240" t="s">
        <v>2955</v>
      </c>
      <c r="C411" s="240"/>
      <c r="D411" s="240"/>
      <c r="E411" s="240"/>
      <c r="G411" s="240"/>
      <c r="H411" s="240"/>
      <c r="I411" s="240"/>
      <c r="J411" s="240"/>
      <c r="K411" s="240"/>
      <c r="L411" s="240"/>
      <c r="M411" s="240"/>
      <c r="N411" s="240"/>
      <c r="O411" s="240"/>
      <c r="P411" s="240"/>
      <c r="Q411" s="240"/>
      <c r="R411" s="240"/>
      <c r="S411" s="240"/>
      <c r="T411" s="240"/>
      <c r="U411" s="240"/>
      <c r="V411" s="240"/>
      <c r="W411" s="240"/>
      <c r="X411" s="240"/>
      <c r="Y411" s="240"/>
      <c r="Z411" s="240"/>
      <c r="AA411" s="240"/>
      <c r="AB411" s="240"/>
    </row>
    <row r="412">
      <c r="A412" s="240"/>
      <c r="B412" s="240" t="s">
        <v>2955</v>
      </c>
      <c r="C412" s="240"/>
      <c r="D412" s="240"/>
      <c r="E412" s="240"/>
      <c r="G412" s="240"/>
      <c r="H412" s="240"/>
      <c r="I412" s="240"/>
      <c r="J412" s="240"/>
      <c r="K412" s="240"/>
      <c r="L412" s="240"/>
      <c r="M412" s="240"/>
      <c r="N412" s="240"/>
      <c r="O412" s="240"/>
      <c r="P412" s="240"/>
      <c r="Q412" s="240"/>
      <c r="R412" s="240"/>
      <c r="S412" s="240"/>
      <c r="T412" s="240"/>
      <c r="U412" s="240"/>
      <c r="V412" s="240"/>
      <c r="W412" s="240"/>
      <c r="X412" s="240"/>
      <c r="Y412" s="240"/>
      <c r="Z412" s="240"/>
      <c r="AA412" s="240"/>
      <c r="AB412" s="240"/>
    </row>
    <row r="413">
      <c r="A413" s="240"/>
      <c r="B413" s="240" t="s">
        <v>2955</v>
      </c>
      <c r="C413" s="240"/>
      <c r="D413" s="240"/>
      <c r="E413" s="240"/>
      <c r="G413" s="240"/>
      <c r="H413" s="240"/>
      <c r="I413" s="240"/>
      <c r="J413" s="240"/>
      <c r="K413" s="240"/>
      <c r="L413" s="240"/>
      <c r="M413" s="240"/>
      <c r="N413" s="240"/>
      <c r="O413" s="240"/>
      <c r="P413" s="240"/>
      <c r="Q413" s="240"/>
      <c r="R413" s="240"/>
      <c r="S413" s="240"/>
      <c r="T413" s="240"/>
      <c r="U413" s="240"/>
      <c r="V413" s="240"/>
      <c r="W413" s="240"/>
      <c r="X413" s="240"/>
      <c r="Y413" s="240"/>
      <c r="Z413" s="240"/>
      <c r="AA413" s="240"/>
      <c r="AB413" s="240"/>
    </row>
    <row r="414">
      <c r="A414" s="240"/>
      <c r="B414" s="240" t="s">
        <v>2955</v>
      </c>
      <c r="C414" s="240"/>
      <c r="D414" s="240"/>
      <c r="E414" s="240"/>
      <c r="G414" s="240"/>
      <c r="H414" s="240"/>
      <c r="I414" s="240"/>
      <c r="J414" s="240"/>
      <c r="K414" s="240"/>
      <c r="L414" s="240"/>
      <c r="M414" s="240"/>
      <c r="N414" s="240"/>
      <c r="O414" s="240"/>
      <c r="P414" s="240"/>
      <c r="Q414" s="240"/>
      <c r="R414" s="240"/>
      <c r="S414" s="240"/>
      <c r="T414" s="240"/>
      <c r="U414" s="240"/>
      <c r="V414" s="240"/>
      <c r="W414" s="240"/>
      <c r="X414" s="240"/>
      <c r="Y414" s="240"/>
      <c r="Z414" s="240"/>
      <c r="AA414" s="240"/>
      <c r="AB414" s="240"/>
    </row>
    <row r="415">
      <c r="A415" s="240"/>
      <c r="B415" s="240" t="s">
        <v>2955</v>
      </c>
      <c r="C415" s="240"/>
      <c r="D415" s="240"/>
      <c r="E415" s="240"/>
      <c r="G415" s="240"/>
      <c r="H415" s="240"/>
      <c r="I415" s="240"/>
      <c r="J415" s="240"/>
      <c r="K415" s="240"/>
      <c r="L415" s="240"/>
      <c r="M415" s="240"/>
      <c r="N415" s="240"/>
      <c r="O415" s="240"/>
      <c r="P415" s="240"/>
      <c r="Q415" s="240"/>
      <c r="R415" s="240"/>
      <c r="S415" s="240"/>
      <c r="T415" s="240"/>
      <c r="U415" s="240"/>
      <c r="V415" s="240"/>
      <c r="W415" s="240"/>
      <c r="X415" s="240"/>
      <c r="Y415" s="240"/>
      <c r="Z415" s="240"/>
      <c r="AA415" s="240"/>
      <c r="AB415" s="240"/>
    </row>
    <row r="416">
      <c r="A416" s="240"/>
      <c r="B416" s="240" t="s">
        <v>2955</v>
      </c>
      <c r="C416" s="240"/>
      <c r="D416" s="240"/>
      <c r="E416" s="240"/>
      <c r="G416" s="240"/>
      <c r="H416" s="240"/>
      <c r="I416" s="240"/>
      <c r="J416" s="240"/>
      <c r="K416" s="240"/>
      <c r="L416" s="240"/>
      <c r="M416" s="240"/>
      <c r="N416" s="240"/>
      <c r="O416" s="240"/>
      <c r="P416" s="240"/>
      <c r="Q416" s="240"/>
      <c r="R416" s="240"/>
      <c r="S416" s="240"/>
      <c r="T416" s="240"/>
      <c r="U416" s="240"/>
      <c r="V416" s="240"/>
      <c r="W416" s="240"/>
      <c r="X416" s="240"/>
      <c r="Y416" s="240"/>
      <c r="Z416" s="240"/>
      <c r="AA416" s="240"/>
      <c r="AB416" s="240"/>
    </row>
    <row r="417">
      <c r="A417" s="240"/>
      <c r="B417" s="240" t="s">
        <v>2955</v>
      </c>
      <c r="C417" s="240"/>
      <c r="D417" s="240"/>
      <c r="E417" s="240"/>
      <c r="G417" s="240"/>
      <c r="H417" s="240"/>
      <c r="I417" s="240"/>
      <c r="J417" s="240"/>
      <c r="K417" s="240"/>
      <c r="L417" s="240"/>
      <c r="M417" s="240"/>
      <c r="N417" s="240"/>
      <c r="O417" s="240"/>
      <c r="P417" s="240"/>
      <c r="Q417" s="240"/>
      <c r="R417" s="240"/>
      <c r="S417" s="240"/>
      <c r="T417" s="240"/>
      <c r="U417" s="240"/>
      <c r="V417" s="240"/>
      <c r="W417" s="240"/>
      <c r="X417" s="240"/>
      <c r="Y417" s="240"/>
      <c r="Z417" s="240"/>
      <c r="AA417" s="240"/>
      <c r="AB417" s="240"/>
    </row>
    <row r="418">
      <c r="A418" s="240"/>
      <c r="B418" s="240" t="s">
        <v>2955</v>
      </c>
      <c r="C418" s="240"/>
      <c r="D418" s="240"/>
      <c r="E418" s="240"/>
      <c r="G418" s="240"/>
      <c r="H418" s="240"/>
      <c r="I418" s="240"/>
      <c r="J418" s="240"/>
      <c r="K418" s="240"/>
      <c r="L418" s="240"/>
      <c r="M418" s="240"/>
      <c r="N418" s="240"/>
      <c r="O418" s="240"/>
      <c r="P418" s="240"/>
      <c r="Q418" s="240"/>
      <c r="R418" s="240"/>
      <c r="S418" s="240"/>
      <c r="T418" s="240"/>
      <c r="U418" s="240"/>
      <c r="V418" s="240"/>
      <c r="W418" s="240"/>
      <c r="X418" s="240"/>
      <c r="Y418" s="240"/>
      <c r="Z418" s="240"/>
      <c r="AA418" s="240"/>
      <c r="AB418" s="240"/>
    </row>
    <row r="419">
      <c r="A419" s="240"/>
      <c r="B419" s="240" t="s">
        <v>2955</v>
      </c>
      <c r="C419" s="240"/>
      <c r="D419" s="240"/>
      <c r="E419" s="240"/>
      <c r="G419" s="240"/>
      <c r="H419" s="240"/>
      <c r="I419" s="240"/>
      <c r="J419" s="240"/>
      <c r="K419" s="240"/>
      <c r="L419" s="240"/>
      <c r="M419" s="240"/>
      <c r="N419" s="240"/>
      <c r="O419" s="240"/>
      <c r="P419" s="240"/>
      <c r="Q419" s="240"/>
      <c r="R419" s="240"/>
      <c r="S419" s="240"/>
      <c r="T419" s="240"/>
      <c r="U419" s="240"/>
      <c r="V419" s="240"/>
      <c r="W419" s="240"/>
      <c r="X419" s="240"/>
      <c r="Y419" s="240"/>
      <c r="Z419" s="240"/>
      <c r="AA419" s="240"/>
      <c r="AB419" s="240"/>
    </row>
    <row r="420">
      <c r="A420" s="240"/>
      <c r="B420" s="240" t="s">
        <v>2955</v>
      </c>
      <c r="C420" s="240"/>
      <c r="D420" s="240"/>
      <c r="E420" s="240"/>
      <c r="G420" s="240"/>
      <c r="H420" s="240"/>
      <c r="I420" s="240"/>
      <c r="J420" s="240"/>
      <c r="K420" s="240"/>
      <c r="L420" s="240"/>
      <c r="M420" s="240"/>
      <c r="N420" s="240"/>
      <c r="O420" s="240"/>
      <c r="P420" s="240"/>
      <c r="Q420" s="240"/>
      <c r="R420" s="240"/>
      <c r="S420" s="240"/>
      <c r="T420" s="240"/>
      <c r="U420" s="240"/>
      <c r="V420" s="240"/>
      <c r="W420" s="240"/>
      <c r="X420" s="240"/>
      <c r="Y420" s="240"/>
      <c r="Z420" s="240"/>
      <c r="AA420" s="240"/>
      <c r="AB420" s="240"/>
    </row>
    <row r="421">
      <c r="A421" s="240"/>
      <c r="B421" s="240" t="s">
        <v>2955</v>
      </c>
      <c r="C421" s="240"/>
      <c r="D421" s="240"/>
      <c r="E421" s="240"/>
      <c r="G421" s="240"/>
      <c r="H421" s="240"/>
      <c r="I421" s="240"/>
      <c r="J421" s="240"/>
      <c r="K421" s="240"/>
      <c r="L421" s="240"/>
      <c r="M421" s="240"/>
      <c r="N421" s="240"/>
      <c r="O421" s="240"/>
      <c r="P421" s="240"/>
      <c r="Q421" s="240"/>
      <c r="R421" s="240"/>
      <c r="S421" s="240"/>
      <c r="T421" s="240"/>
      <c r="U421" s="240"/>
      <c r="V421" s="240"/>
      <c r="W421" s="240"/>
      <c r="X421" s="240"/>
      <c r="Y421" s="240"/>
      <c r="Z421" s="240"/>
      <c r="AA421" s="240"/>
      <c r="AB421" s="240"/>
    </row>
    <row r="422">
      <c r="A422" s="240"/>
      <c r="B422" s="240" t="s">
        <v>2955</v>
      </c>
      <c r="C422" s="240"/>
      <c r="D422" s="240"/>
      <c r="E422" s="240"/>
      <c r="G422" s="240"/>
      <c r="H422" s="240"/>
      <c r="I422" s="240"/>
      <c r="J422" s="240"/>
      <c r="K422" s="240"/>
      <c r="L422" s="240"/>
      <c r="M422" s="240"/>
      <c r="N422" s="240"/>
      <c r="O422" s="240"/>
      <c r="P422" s="240"/>
      <c r="Q422" s="240"/>
      <c r="R422" s="240"/>
      <c r="S422" s="240"/>
      <c r="T422" s="240"/>
      <c r="U422" s="240"/>
      <c r="V422" s="240"/>
      <c r="W422" s="240"/>
      <c r="X422" s="240"/>
      <c r="Y422" s="240"/>
      <c r="Z422" s="240"/>
      <c r="AA422" s="240"/>
      <c r="AB422" s="240"/>
    </row>
    <row r="423">
      <c r="A423" s="240"/>
      <c r="B423" s="240" t="s">
        <v>2955</v>
      </c>
      <c r="C423" s="240"/>
      <c r="D423" s="240"/>
      <c r="E423" s="240"/>
      <c r="G423" s="240"/>
      <c r="H423" s="240"/>
      <c r="I423" s="240"/>
      <c r="J423" s="240"/>
      <c r="K423" s="240"/>
      <c r="L423" s="240"/>
      <c r="M423" s="240"/>
      <c r="N423" s="240"/>
      <c r="O423" s="240"/>
      <c r="P423" s="240"/>
      <c r="Q423" s="240"/>
      <c r="R423" s="240"/>
      <c r="S423" s="240"/>
      <c r="T423" s="240"/>
      <c r="U423" s="240"/>
      <c r="V423" s="240"/>
      <c r="W423" s="240"/>
      <c r="X423" s="240"/>
      <c r="Y423" s="240"/>
      <c r="Z423" s="240"/>
      <c r="AA423" s="240"/>
      <c r="AB423" s="240"/>
    </row>
    <row r="424">
      <c r="A424" s="240"/>
      <c r="B424" s="240" t="s">
        <v>2955</v>
      </c>
      <c r="C424" s="240"/>
      <c r="D424" s="240"/>
      <c r="E424" s="240"/>
      <c r="G424" s="240"/>
      <c r="H424" s="240"/>
      <c r="I424" s="240"/>
      <c r="J424" s="240"/>
      <c r="K424" s="240"/>
      <c r="L424" s="240"/>
      <c r="M424" s="240"/>
      <c r="N424" s="240"/>
      <c r="O424" s="240"/>
      <c r="P424" s="240"/>
      <c r="Q424" s="240"/>
      <c r="R424" s="240"/>
      <c r="S424" s="240"/>
      <c r="T424" s="240"/>
      <c r="U424" s="240"/>
      <c r="V424" s="240"/>
      <c r="W424" s="240"/>
      <c r="X424" s="240"/>
      <c r="Y424" s="240"/>
      <c r="Z424" s="240"/>
      <c r="AA424" s="240"/>
      <c r="AB424" s="240"/>
    </row>
    <row r="425">
      <c r="A425" s="240"/>
      <c r="B425" s="240" t="s">
        <v>2955</v>
      </c>
      <c r="C425" s="240"/>
      <c r="D425" s="240"/>
      <c r="E425" s="240"/>
      <c r="G425" s="240"/>
      <c r="H425" s="240"/>
      <c r="I425" s="240"/>
      <c r="J425" s="240"/>
      <c r="K425" s="240"/>
      <c r="L425" s="240"/>
      <c r="M425" s="240"/>
      <c r="N425" s="240"/>
      <c r="O425" s="240"/>
      <c r="P425" s="240"/>
      <c r="Q425" s="240"/>
      <c r="R425" s="240"/>
      <c r="S425" s="240"/>
      <c r="T425" s="240"/>
      <c r="U425" s="240"/>
      <c r="V425" s="240"/>
      <c r="W425" s="240"/>
      <c r="X425" s="240"/>
      <c r="Y425" s="240"/>
      <c r="Z425" s="240"/>
      <c r="AA425" s="240"/>
      <c r="AB425" s="240"/>
    </row>
    <row r="426">
      <c r="A426" s="240"/>
      <c r="B426" s="240" t="s">
        <v>2955</v>
      </c>
      <c r="C426" s="240"/>
      <c r="D426" s="240"/>
      <c r="E426" s="240"/>
      <c r="G426" s="240"/>
      <c r="H426" s="240"/>
      <c r="I426" s="240"/>
      <c r="J426" s="240"/>
      <c r="K426" s="240"/>
      <c r="L426" s="240"/>
      <c r="M426" s="240"/>
      <c r="N426" s="240"/>
      <c r="O426" s="240"/>
      <c r="P426" s="240"/>
      <c r="Q426" s="240"/>
      <c r="R426" s="240"/>
      <c r="S426" s="240"/>
      <c r="T426" s="240"/>
      <c r="U426" s="240"/>
      <c r="V426" s="240"/>
      <c r="W426" s="240"/>
      <c r="X426" s="240"/>
      <c r="Y426" s="240"/>
      <c r="Z426" s="240"/>
      <c r="AA426" s="240"/>
      <c r="AB426" s="240"/>
    </row>
    <row r="427">
      <c r="A427" s="240"/>
      <c r="B427" s="240" t="s">
        <v>2955</v>
      </c>
      <c r="C427" s="240"/>
      <c r="D427" s="240"/>
      <c r="E427" s="240"/>
      <c r="G427" s="240"/>
      <c r="H427" s="240"/>
      <c r="I427" s="240"/>
      <c r="J427" s="240"/>
      <c r="K427" s="240"/>
      <c r="L427" s="240"/>
      <c r="M427" s="240"/>
      <c r="N427" s="240"/>
      <c r="O427" s="240"/>
      <c r="P427" s="240"/>
      <c r="Q427" s="240"/>
      <c r="R427" s="240"/>
      <c r="S427" s="240"/>
      <c r="T427" s="240"/>
      <c r="U427" s="240"/>
      <c r="V427" s="240"/>
      <c r="W427" s="240"/>
      <c r="X427" s="240"/>
      <c r="Y427" s="240"/>
      <c r="Z427" s="240"/>
      <c r="AA427" s="240"/>
      <c r="AB427" s="240"/>
    </row>
    <row r="428">
      <c r="A428" s="240"/>
      <c r="B428" s="240" t="s">
        <v>2955</v>
      </c>
      <c r="C428" s="240"/>
      <c r="D428" s="240"/>
      <c r="E428" s="240"/>
      <c r="G428" s="240"/>
      <c r="H428" s="240"/>
      <c r="I428" s="240"/>
      <c r="J428" s="240"/>
      <c r="K428" s="240"/>
      <c r="L428" s="240"/>
      <c r="M428" s="240"/>
      <c r="N428" s="240"/>
      <c r="O428" s="240"/>
      <c r="P428" s="240"/>
      <c r="Q428" s="240"/>
      <c r="R428" s="240"/>
      <c r="S428" s="240"/>
      <c r="T428" s="240"/>
      <c r="U428" s="240"/>
      <c r="V428" s="240"/>
      <c r="W428" s="240"/>
      <c r="X428" s="240"/>
      <c r="Y428" s="240"/>
      <c r="Z428" s="240"/>
      <c r="AA428" s="240"/>
      <c r="AB428" s="240"/>
    </row>
    <row r="429">
      <c r="A429" s="240"/>
      <c r="B429" s="240" t="s">
        <v>2955</v>
      </c>
      <c r="C429" s="240"/>
      <c r="D429" s="240"/>
      <c r="E429" s="240"/>
      <c r="G429" s="240"/>
      <c r="H429" s="240"/>
      <c r="I429" s="240"/>
      <c r="J429" s="240"/>
      <c r="K429" s="240"/>
      <c r="L429" s="240"/>
      <c r="M429" s="240"/>
      <c r="N429" s="240"/>
      <c r="O429" s="240"/>
      <c r="P429" s="240"/>
      <c r="Q429" s="240"/>
      <c r="R429" s="240"/>
      <c r="S429" s="240"/>
      <c r="T429" s="240"/>
      <c r="U429" s="240"/>
      <c r="V429" s="240"/>
      <c r="W429" s="240"/>
      <c r="X429" s="240"/>
      <c r="Y429" s="240"/>
      <c r="Z429" s="240"/>
      <c r="AA429" s="240"/>
      <c r="AB429" s="240"/>
    </row>
    <row r="430">
      <c r="A430" s="240"/>
      <c r="B430" s="240" t="s">
        <v>2955</v>
      </c>
      <c r="C430" s="240"/>
      <c r="D430" s="240"/>
      <c r="E430" s="240"/>
      <c r="G430" s="240"/>
      <c r="H430" s="240"/>
      <c r="I430" s="240"/>
      <c r="J430" s="240"/>
      <c r="K430" s="240"/>
      <c r="L430" s="240"/>
      <c r="M430" s="240"/>
      <c r="N430" s="240"/>
      <c r="O430" s="240"/>
      <c r="P430" s="240"/>
      <c r="Q430" s="240"/>
      <c r="R430" s="240"/>
      <c r="S430" s="240"/>
      <c r="T430" s="240"/>
      <c r="U430" s="240"/>
      <c r="V430" s="240"/>
      <c r="W430" s="240"/>
      <c r="X430" s="240"/>
      <c r="Y430" s="240"/>
      <c r="Z430" s="240"/>
      <c r="AA430" s="240"/>
      <c r="AB430" s="240"/>
    </row>
    <row r="431">
      <c r="A431" s="240"/>
      <c r="B431" s="240" t="s">
        <v>2955</v>
      </c>
      <c r="C431" s="240"/>
      <c r="D431" s="240"/>
      <c r="E431" s="240"/>
      <c r="G431" s="240"/>
      <c r="H431" s="240"/>
      <c r="I431" s="240"/>
      <c r="J431" s="240"/>
      <c r="K431" s="240"/>
      <c r="L431" s="240"/>
      <c r="M431" s="240"/>
      <c r="N431" s="240"/>
      <c r="O431" s="240"/>
      <c r="P431" s="240"/>
      <c r="Q431" s="240"/>
      <c r="R431" s="240"/>
      <c r="S431" s="240"/>
      <c r="T431" s="240"/>
      <c r="U431" s="240"/>
      <c r="V431" s="240"/>
      <c r="W431" s="240"/>
      <c r="X431" s="240"/>
      <c r="Y431" s="240"/>
      <c r="Z431" s="240"/>
      <c r="AA431" s="240"/>
      <c r="AB431" s="240"/>
    </row>
    <row r="432">
      <c r="A432" s="240"/>
      <c r="B432" s="240" t="s">
        <v>2955</v>
      </c>
      <c r="C432" s="240"/>
      <c r="D432" s="240"/>
      <c r="E432" s="240"/>
      <c r="G432" s="240"/>
      <c r="H432" s="240"/>
      <c r="I432" s="240"/>
      <c r="J432" s="240"/>
      <c r="K432" s="240"/>
      <c r="L432" s="240"/>
      <c r="M432" s="240"/>
      <c r="N432" s="240"/>
      <c r="O432" s="240"/>
      <c r="P432" s="240"/>
      <c r="Q432" s="240"/>
      <c r="R432" s="240"/>
      <c r="S432" s="240"/>
      <c r="T432" s="240"/>
      <c r="U432" s="240"/>
      <c r="V432" s="240"/>
      <c r="W432" s="240"/>
      <c r="X432" s="240"/>
      <c r="Y432" s="240"/>
      <c r="Z432" s="240"/>
      <c r="AA432" s="240"/>
      <c r="AB432" s="240"/>
    </row>
    <row r="433">
      <c r="A433" s="240"/>
      <c r="B433" s="240" t="s">
        <v>2955</v>
      </c>
      <c r="C433" s="240"/>
      <c r="D433" s="240"/>
      <c r="E433" s="240"/>
      <c r="G433" s="240"/>
      <c r="H433" s="240"/>
      <c r="I433" s="240"/>
      <c r="J433" s="240"/>
      <c r="K433" s="240"/>
      <c r="L433" s="240"/>
      <c r="M433" s="240"/>
      <c r="N433" s="240"/>
      <c r="O433" s="240"/>
      <c r="P433" s="240"/>
      <c r="Q433" s="240"/>
      <c r="R433" s="240"/>
      <c r="S433" s="240"/>
      <c r="T433" s="240"/>
      <c r="U433" s="240"/>
      <c r="V433" s="240"/>
      <c r="W433" s="240"/>
      <c r="X433" s="240"/>
      <c r="Y433" s="240"/>
      <c r="Z433" s="240"/>
      <c r="AA433" s="240"/>
      <c r="AB433" s="240"/>
    </row>
    <row r="434">
      <c r="A434" s="240"/>
      <c r="B434" s="240" t="s">
        <v>2955</v>
      </c>
      <c r="C434" s="240"/>
      <c r="D434" s="240"/>
      <c r="E434" s="240"/>
      <c r="G434" s="240"/>
      <c r="H434" s="240"/>
      <c r="I434" s="240"/>
      <c r="J434" s="240"/>
      <c r="K434" s="240"/>
      <c r="L434" s="240"/>
      <c r="M434" s="240"/>
      <c r="N434" s="240"/>
      <c r="O434" s="240"/>
      <c r="P434" s="240"/>
      <c r="Q434" s="240"/>
      <c r="R434" s="240"/>
      <c r="S434" s="240"/>
      <c r="T434" s="240"/>
      <c r="U434" s="240"/>
      <c r="V434" s="240"/>
      <c r="W434" s="240"/>
      <c r="X434" s="240"/>
      <c r="Y434" s="240"/>
      <c r="Z434" s="240"/>
      <c r="AA434" s="240"/>
      <c r="AB434" s="240"/>
    </row>
    <row r="435">
      <c r="A435" s="240"/>
      <c r="B435" s="240" t="s">
        <v>2955</v>
      </c>
      <c r="C435" s="240"/>
      <c r="D435" s="240"/>
      <c r="E435" s="240"/>
      <c r="G435" s="240"/>
      <c r="H435" s="240"/>
      <c r="I435" s="240"/>
      <c r="J435" s="240"/>
      <c r="K435" s="240"/>
      <c r="L435" s="240"/>
      <c r="M435" s="240"/>
      <c r="N435" s="240"/>
      <c r="O435" s="240"/>
      <c r="P435" s="240"/>
      <c r="Q435" s="240"/>
      <c r="R435" s="240"/>
      <c r="S435" s="240"/>
      <c r="T435" s="240"/>
      <c r="U435" s="240"/>
      <c r="V435" s="240"/>
      <c r="W435" s="240"/>
      <c r="X435" s="240"/>
      <c r="Y435" s="240"/>
      <c r="Z435" s="240"/>
      <c r="AA435" s="240"/>
      <c r="AB435" s="240"/>
    </row>
    <row r="436">
      <c r="A436" s="240"/>
      <c r="B436" s="240" t="s">
        <v>2955</v>
      </c>
      <c r="C436" s="240"/>
      <c r="D436" s="240"/>
      <c r="E436" s="240"/>
      <c r="G436" s="240"/>
      <c r="H436" s="240"/>
      <c r="I436" s="240"/>
      <c r="J436" s="240"/>
      <c r="K436" s="240"/>
      <c r="L436" s="240"/>
      <c r="M436" s="240"/>
      <c r="N436" s="240"/>
      <c r="O436" s="240"/>
      <c r="P436" s="240"/>
      <c r="Q436" s="240"/>
      <c r="R436" s="240"/>
      <c r="S436" s="240"/>
      <c r="T436" s="240"/>
      <c r="U436" s="240"/>
      <c r="V436" s="240"/>
      <c r="W436" s="240"/>
      <c r="X436" s="240"/>
      <c r="Y436" s="240"/>
      <c r="Z436" s="240"/>
      <c r="AA436" s="240"/>
      <c r="AB436" s="240"/>
    </row>
    <row r="437">
      <c r="A437" s="240"/>
      <c r="B437" s="240" t="s">
        <v>2955</v>
      </c>
      <c r="C437" s="240"/>
      <c r="D437" s="240"/>
      <c r="E437" s="240"/>
      <c r="G437" s="240"/>
      <c r="H437" s="240"/>
      <c r="I437" s="240"/>
      <c r="J437" s="240"/>
      <c r="K437" s="240"/>
      <c r="L437" s="240"/>
      <c r="M437" s="240"/>
      <c r="N437" s="240"/>
      <c r="O437" s="240"/>
      <c r="P437" s="240"/>
      <c r="Q437" s="240"/>
      <c r="R437" s="240"/>
      <c r="S437" s="240"/>
      <c r="T437" s="240"/>
      <c r="U437" s="240"/>
      <c r="V437" s="240"/>
      <c r="W437" s="240"/>
      <c r="X437" s="240"/>
      <c r="Y437" s="240"/>
      <c r="Z437" s="240"/>
      <c r="AA437" s="240"/>
      <c r="AB437" s="240"/>
    </row>
    <row r="438">
      <c r="A438" s="240"/>
      <c r="B438" s="240" t="s">
        <v>2955</v>
      </c>
      <c r="C438" s="240"/>
      <c r="D438" s="240"/>
      <c r="E438" s="240"/>
      <c r="G438" s="240"/>
      <c r="H438" s="240"/>
      <c r="I438" s="240"/>
      <c r="J438" s="240"/>
      <c r="K438" s="240"/>
      <c r="L438" s="240"/>
      <c r="M438" s="240"/>
      <c r="N438" s="240"/>
      <c r="O438" s="240"/>
      <c r="P438" s="240"/>
      <c r="Q438" s="240"/>
      <c r="R438" s="240"/>
      <c r="S438" s="240"/>
      <c r="T438" s="240"/>
      <c r="U438" s="240"/>
      <c r="V438" s="240"/>
      <c r="W438" s="240"/>
      <c r="X438" s="240"/>
      <c r="Y438" s="240"/>
      <c r="Z438" s="240"/>
      <c r="AA438" s="240"/>
      <c r="AB438" s="240"/>
    </row>
    <row r="439">
      <c r="A439" s="240"/>
      <c r="B439" s="240" t="s">
        <v>2955</v>
      </c>
      <c r="C439" s="240"/>
      <c r="D439" s="240"/>
      <c r="E439" s="240"/>
      <c r="G439" s="240"/>
      <c r="H439" s="240"/>
      <c r="I439" s="240"/>
      <c r="J439" s="240"/>
      <c r="K439" s="240"/>
      <c r="L439" s="240"/>
      <c r="M439" s="240"/>
      <c r="N439" s="240"/>
      <c r="O439" s="240"/>
      <c r="P439" s="240"/>
      <c r="Q439" s="240"/>
      <c r="R439" s="240"/>
      <c r="S439" s="240"/>
      <c r="T439" s="240"/>
      <c r="U439" s="240"/>
      <c r="V439" s="240"/>
      <c r="W439" s="240"/>
      <c r="X439" s="240"/>
      <c r="Y439" s="240"/>
      <c r="Z439" s="240"/>
      <c r="AA439" s="240"/>
      <c r="AB439" s="240"/>
    </row>
    <row r="440">
      <c r="A440" s="240"/>
      <c r="B440" s="240" t="s">
        <v>2955</v>
      </c>
      <c r="C440" s="240"/>
      <c r="D440" s="240"/>
      <c r="E440" s="240"/>
      <c r="G440" s="240"/>
      <c r="H440" s="240"/>
      <c r="I440" s="240"/>
      <c r="J440" s="240"/>
      <c r="K440" s="240"/>
      <c r="L440" s="240"/>
      <c r="M440" s="240"/>
      <c r="N440" s="240"/>
      <c r="O440" s="240"/>
      <c r="P440" s="240"/>
      <c r="Q440" s="240"/>
      <c r="R440" s="240"/>
      <c r="S440" s="240"/>
      <c r="T440" s="240"/>
      <c r="U440" s="240"/>
      <c r="V440" s="240"/>
      <c r="W440" s="240"/>
      <c r="X440" s="240"/>
      <c r="Y440" s="240"/>
      <c r="Z440" s="240"/>
      <c r="AA440" s="240"/>
      <c r="AB440" s="240"/>
    </row>
    <row r="441">
      <c r="A441" s="240"/>
      <c r="B441" s="240" t="s">
        <v>2955</v>
      </c>
      <c r="C441" s="240"/>
      <c r="D441" s="240"/>
      <c r="E441" s="240"/>
      <c r="G441" s="240"/>
      <c r="H441" s="240"/>
      <c r="I441" s="240"/>
      <c r="J441" s="240"/>
      <c r="K441" s="240"/>
      <c r="L441" s="240"/>
      <c r="M441" s="240"/>
      <c r="N441" s="240"/>
      <c r="O441" s="240"/>
      <c r="P441" s="240"/>
      <c r="Q441" s="240"/>
      <c r="R441" s="240"/>
      <c r="S441" s="240"/>
      <c r="T441" s="240"/>
      <c r="U441" s="240"/>
      <c r="V441" s="240"/>
      <c r="W441" s="240"/>
      <c r="X441" s="240"/>
      <c r="Y441" s="240"/>
      <c r="Z441" s="240"/>
      <c r="AA441" s="240"/>
      <c r="AB441" s="240"/>
    </row>
    <row r="442">
      <c r="A442" s="240"/>
      <c r="B442" s="240" t="s">
        <v>2955</v>
      </c>
      <c r="C442" s="240"/>
      <c r="D442" s="240"/>
      <c r="E442" s="240"/>
      <c r="G442" s="240"/>
      <c r="H442" s="240"/>
      <c r="I442" s="240"/>
      <c r="J442" s="240"/>
      <c r="K442" s="240"/>
      <c r="L442" s="240"/>
      <c r="M442" s="240"/>
      <c r="N442" s="240"/>
      <c r="O442" s="240"/>
      <c r="P442" s="240"/>
      <c r="Q442" s="240"/>
      <c r="R442" s="240"/>
      <c r="S442" s="240"/>
      <c r="T442" s="240"/>
      <c r="U442" s="240"/>
      <c r="V442" s="240"/>
      <c r="W442" s="240"/>
      <c r="X442" s="240"/>
      <c r="Y442" s="240"/>
      <c r="Z442" s="240"/>
      <c r="AA442" s="240"/>
      <c r="AB442" s="240"/>
    </row>
    <row r="443">
      <c r="A443" s="240"/>
      <c r="B443" s="240" t="s">
        <v>2955</v>
      </c>
      <c r="C443" s="240"/>
      <c r="D443" s="240"/>
      <c r="E443" s="240"/>
      <c r="G443" s="240"/>
      <c r="H443" s="240"/>
      <c r="I443" s="240"/>
      <c r="J443" s="240"/>
      <c r="K443" s="240"/>
      <c r="L443" s="240"/>
      <c r="M443" s="240"/>
      <c r="N443" s="240"/>
      <c r="O443" s="240"/>
      <c r="P443" s="240"/>
      <c r="Q443" s="240"/>
      <c r="R443" s="240"/>
      <c r="S443" s="240"/>
      <c r="T443" s="240"/>
      <c r="U443" s="240"/>
      <c r="V443" s="240"/>
      <c r="W443" s="240"/>
      <c r="X443" s="240"/>
      <c r="Y443" s="240"/>
      <c r="Z443" s="240"/>
      <c r="AA443" s="240"/>
      <c r="AB443" s="240"/>
    </row>
    <row r="444">
      <c r="A444" s="240"/>
      <c r="B444" s="240" t="s">
        <v>2955</v>
      </c>
      <c r="C444" s="240"/>
      <c r="D444" s="240"/>
      <c r="E444" s="240"/>
      <c r="G444" s="240"/>
      <c r="H444" s="240"/>
      <c r="I444" s="240"/>
      <c r="J444" s="240"/>
      <c r="K444" s="240"/>
      <c r="L444" s="240"/>
      <c r="M444" s="240"/>
      <c r="N444" s="240"/>
      <c r="O444" s="240"/>
      <c r="P444" s="240"/>
      <c r="Q444" s="240"/>
      <c r="R444" s="240"/>
      <c r="S444" s="240"/>
      <c r="T444" s="240"/>
      <c r="U444" s="240"/>
      <c r="V444" s="240"/>
      <c r="W444" s="240"/>
      <c r="X444" s="240"/>
      <c r="Y444" s="240"/>
      <c r="Z444" s="240"/>
      <c r="AA444" s="240"/>
      <c r="AB444" s="240"/>
    </row>
    <row r="445">
      <c r="A445" s="240"/>
      <c r="B445" s="240" t="s">
        <v>2955</v>
      </c>
      <c r="C445" s="240"/>
      <c r="D445" s="240"/>
      <c r="E445" s="240"/>
      <c r="G445" s="240"/>
      <c r="H445" s="240"/>
      <c r="I445" s="240"/>
      <c r="J445" s="240"/>
      <c r="K445" s="240"/>
      <c r="L445" s="240"/>
      <c r="M445" s="240"/>
      <c r="N445" s="240"/>
      <c r="O445" s="240"/>
      <c r="P445" s="240"/>
      <c r="Q445" s="240"/>
      <c r="R445" s="240"/>
      <c r="S445" s="240"/>
      <c r="T445" s="240"/>
      <c r="U445" s="240"/>
      <c r="V445" s="240"/>
      <c r="W445" s="240"/>
      <c r="X445" s="240"/>
      <c r="Y445" s="240"/>
      <c r="Z445" s="240"/>
      <c r="AA445" s="240"/>
      <c r="AB445" s="240"/>
    </row>
    <row r="446">
      <c r="A446" s="240"/>
      <c r="B446" s="240" t="s">
        <v>2955</v>
      </c>
      <c r="C446" s="240"/>
      <c r="D446" s="240"/>
      <c r="E446" s="240"/>
      <c r="G446" s="240"/>
      <c r="H446" s="240"/>
      <c r="I446" s="240"/>
      <c r="J446" s="240"/>
      <c r="K446" s="240"/>
      <c r="L446" s="240"/>
      <c r="M446" s="240"/>
      <c r="N446" s="240"/>
      <c r="O446" s="240"/>
      <c r="P446" s="240"/>
      <c r="Q446" s="240"/>
      <c r="R446" s="240"/>
      <c r="S446" s="240"/>
      <c r="T446" s="240"/>
      <c r="U446" s="240"/>
      <c r="V446" s="240"/>
      <c r="W446" s="240"/>
      <c r="X446" s="240"/>
      <c r="Y446" s="240"/>
      <c r="Z446" s="240"/>
      <c r="AA446" s="240"/>
      <c r="AB446" s="240"/>
    </row>
    <row r="447">
      <c r="A447" s="240"/>
      <c r="B447" s="240" t="s">
        <v>2955</v>
      </c>
      <c r="C447" s="240"/>
      <c r="D447" s="240"/>
      <c r="E447" s="240"/>
      <c r="G447" s="240"/>
      <c r="H447" s="240"/>
      <c r="I447" s="240"/>
      <c r="J447" s="240"/>
      <c r="K447" s="240"/>
      <c r="L447" s="240"/>
      <c r="M447" s="240"/>
      <c r="N447" s="240"/>
      <c r="O447" s="240"/>
      <c r="P447" s="240"/>
      <c r="Q447" s="240"/>
      <c r="R447" s="240"/>
      <c r="S447" s="240"/>
      <c r="T447" s="240"/>
      <c r="U447" s="240"/>
      <c r="V447" s="240"/>
      <c r="W447" s="240"/>
      <c r="X447" s="240"/>
      <c r="Y447" s="240"/>
      <c r="Z447" s="240"/>
      <c r="AA447" s="240"/>
      <c r="AB447" s="240"/>
    </row>
    <row r="448">
      <c r="A448" s="240"/>
      <c r="B448" s="240" t="s">
        <v>2955</v>
      </c>
      <c r="C448" s="240"/>
      <c r="D448" s="240"/>
      <c r="E448" s="240"/>
      <c r="G448" s="240"/>
      <c r="H448" s="240"/>
      <c r="I448" s="240"/>
      <c r="J448" s="240"/>
      <c r="K448" s="240"/>
      <c r="L448" s="240"/>
      <c r="M448" s="240"/>
      <c r="N448" s="240"/>
      <c r="O448" s="240"/>
      <c r="P448" s="240"/>
      <c r="Q448" s="240"/>
      <c r="R448" s="240"/>
      <c r="S448" s="240"/>
      <c r="T448" s="240"/>
      <c r="U448" s="240"/>
      <c r="V448" s="240"/>
      <c r="W448" s="240"/>
      <c r="X448" s="240"/>
      <c r="Y448" s="240"/>
      <c r="Z448" s="240"/>
      <c r="AA448" s="240"/>
      <c r="AB448" s="240"/>
    </row>
    <row r="449">
      <c r="A449" s="240"/>
      <c r="B449" s="240" t="s">
        <v>2955</v>
      </c>
      <c r="C449" s="240"/>
      <c r="D449" s="240"/>
      <c r="E449" s="240"/>
      <c r="G449" s="240"/>
      <c r="H449" s="240"/>
      <c r="I449" s="240"/>
      <c r="J449" s="240"/>
      <c r="K449" s="240"/>
      <c r="L449" s="240"/>
      <c r="M449" s="240"/>
      <c r="N449" s="240"/>
      <c r="O449" s="240"/>
      <c r="P449" s="240"/>
      <c r="Q449" s="240"/>
      <c r="R449" s="240"/>
      <c r="S449" s="240"/>
      <c r="T449" s="240"/>
      <c r="U449" s="240"/>
      <c r="V449" s="240"/>
      <c r="W449" s="240"/>
      <c r="X449" s="240"/>
      <c r="Y449" s="240"/>
      <c r="Z449" s="240"/>
      <c r="AA449" s="240"/>
      <c r="AB449" s="240"/>
    </row>
    <row r="450">
      <c r="A450" s="240"/>
      <c r="B450" s="240" t="s">
        <v>2955</v>
      </c>
      <c r="C450" s="240"/>
      <c r="D450" s="240"/>
      <c r="E450" s="240"/>
      <c r="G450" s="240"/>
      <c r="H450" s="240"/>
      <c r="I450" s="240"/>
      <c r="J450" s="240"/>
      <c r="K450" s="240"/>
      <c r="L450" s="240"/>
      <c r="M450" s="240"/>
      <c r="N450" s="240"/>
      <c r="O450" s="240"/>
      <c r="P450" s="240"/>
      <c r="Q450" s="240"/>
      <c r="R450" s="240"/>
      <c r="S450" s="240"/>
      <c r="T450" s="240"/>
      <c r="U450" s="240"/>
      <c r="V450" s="240"/>
      <c r="W450" s="240"/>
      <c r="X450" s="240"/>
      <c r="Y450" s="240"/>
      <c r="Z450" s="240"/>
      <c r="AA450" s="240"/>
      <c r="AB450" s="240"/>
    </row>
    <row r="451">
      <c r="A451" s="240"/>
      <c r="B451" s="240" t="s">
        <v>2955</v>
      </c>
      <c r="C451" s="240"/>
      <c r="D451" s="240"/>
      <c r="E451" s="240"/>
      <c r="G451" s="240"/>
      <c r="H451" s="240"/>
      <c r="I451" s="240"/>
      <c r="J451" s="240"/>
      <c r="K451" s="240"/>
      <c r="L451" s="240"/>
      <c r="M451" s="240"/>
      <c r="N451" s="240"/>
      <c r="O451" s="240"/>
      <c r="P451" s="240"/>
      <c r="Q451" s="240"/>
      <c r="R451" s="240"/>
      <c r="S451" s="240"/>
      <c r="T451" s="240"/>
      <c r="U451" s="240"/>
      <c r="V451" s="240"/>
      <c r="W451" s="240"/>
      <c r="X451" s="240"/>
      <c r="Y451" s="240"/>
      <c r="Z451" s="240"/>
      <c r="AA451" s="240"/>
      <c r="AB451" s="240"/>
    </row>
    <row r="452">
      <c r="A452" s="240"/>
      <c r="B452" s="240" t="s">
        <v>2955</v>
      </c>
      <c r="C452" s="240"/>
      <c r="D452" s="240"/>
      <c r="E452" s="240"/>
      <c r="G452" s="240"/>
      <c r="H452" s="240"/>
      <c r="I452" s="240"/>
      <c r="J452" s="240"/>
      <c r="K452" s="240"/>
      <c r="L452" s="240"/>
      <c r="M452" s="240"/>
      <c r="N452" s="240"/>
      <c r="O452" s="240"/>
      <c r="P452" s="240"/>
      <c r="Q452" s="240"/>
      <c r="R452" s="240"/>
      <c r="S452" s="240"/>
      <c r="T452" s="240"/>
      <c r="U452" s="240"/>
      <c r="V452" s="240"/>
      <c r="W452" s="240"/>
      <c r="X452" s="240"/>
      <c r="Y452" s="240"/>
      <c r="Z452" s="240"/>
      <c r="AA452" s="240"/>
      <c r="AB452" s="240"/>
    </row>
    <row r="453">
      <c r="A453" s="240"/>
      <c r="B453" s="240" t="s">
        <v>2955</v>
      </c>
      <c r="C453" s="240"/>
      <c r="D453" s="240"/>
      <c r="E453" s="240"/>
      <c r="G453" s="240"/>
      <c r="H453" s="240"/>
      <c r="I453" s="240"/>
      <c r="J453" s="240"/>
      <c r="K453" s="240"/>
      <c r="L453" s="240"/>
      <c r="M453" s="240"/>
      <c r="N453" s="240"/>
      <c r="O453" s="240"/>
      <c r="P453" s="240"/>
      <c r="Q453" s="240"/>
      <c r="R453" s="240"/>
      <c r="S453" s="240"/>
      <c r="T453" s="240"/>
      <c r="U453" s="240"/>
      <c r="V453" s="240"/>
      <c r="W453" s="240"/>
      <c r="X453" s="240"/>
      <c r="Y453" s="240"/>
      <c r="Z453" s="240"/>
      <c r="AA453" s="240"/>
      <c r="AB453" s="240"/>
    </row>
    <row r="454">
      <c r="A454" s="240"/>
      <c r="B454" s="240" t="s">
        <v>2955</v>
      </c>
      <c r="C454" s="240"/>
      <c r="D454" s="240"/>
      <c r="E454" s="240"/>
      <c r="G454" s="240"/>
      <c r="H454" s="240"/>
      <c r="I454" s="240"/>
      <c r="J454" s="240"/>
      <c r="K454" s="240"/>
      <c r="L454" s="240"/>
      <c r="M454" s="240"/>
      <c r="N454" s="240"/>
      <c r="O454" s="240"/>
      <c r="P454" s="240"/>
      <c r="Q454" s="240"/>
      <c r="R454" s="240"/>
      <c r="S454" s="240"/>
      <c r="T454" s="240"/>
      <c r="U454" s="240"/>
      <c r="V454" s="240"/>
      <c r="W454" s="240"/>
      <c r="X454" s="240"/>
      <c r="Y454" s="240"/>
      <c r="Z454" s="240"/>
      <c r="AA454" s="240"/>
      <c r="AB454" s="240"/>
    </row>
    <row r="455">
      <c r="A455" s="240"/>
      <c r="B455" s="240" t="s">
        <v>2955</v>
      </c>
      <c r="C455" s="240"/>
      <c r="D455" s="240"/>
      <c r="E455" s="240"/>
      <c r="G455" s="240"/>
      <c r="H455" s="240"/>
      <c r="I455" s="240"/>
      <c r="J455" s="240"/>
      <c r="K455" s="240"/>
      <c r="L455" s="240"/>
      <c r="M455" s="240"/>
      <c r="N455" s="240"/>
      <c r="O455" s="240"/>
      <c r="P455" s="240"/>
      <c r="Q455" s="240"/>
      <c r="R455" s="240"/>
      <c r="S455" s="240"/>
      <c r="T455" s="240"/>
      <c r="U455" s="240"/>
      <c r="V455" s="240"/>
      <c r="W455" s="240"/>
      <c r="X455" s="240"/>
      <c r="Y455" s="240"/>
      <c r="Z455" s="240"/>
      <c r="AA455" s="240"/>
      <c r="AB455" s="240"/>
    </row>
    <row r="456">
      <c r="A456" s="240"/>
      <c r="B456" s="240" t="s">
        <v>2955</v>
      </c>
      <c r="C456" s="240"/>
      <c r="D456" s="240"/>
      <c r="E456" s="240"/>
      <c r="G456" s="240"/>
      <c r="H456" s="240"/>
      <c r="I456" s="240"/>
      <c r="J456" s="240"/>
      <c r="K456" s="240"/>
      <c r="L456" s="240"/>
      <c r="M456" s="240"/>
      <c r="N456" s="240"/>
      <c r="O456" s="240"/>
      <c r="P456" s="240"/>
      <c r="Q456" s="240"/>
      <c r="R456" s="240"/>
      <c r="S456" s="240"/>
      <c r="T456" s="240"/>
      <c r="U456" s="240"/>
      <c r="V456" s="240"/>
      <c r="W456" s="240"/>
      <c r="X456" s="240"/>
      <c r="Y456" s="240"/>
      <c r="Z456" s="240"/>
      <c r="AA456" s="240"/>
      <c r="AB456" s="240"/>
    </row>
    <row r="457">
      <c r="A457" s="240"/>
      <c r="B457" s="240" t="s">
        <v>2955</v>
      </c>
      <c r="C457" s="240"/>
      <c r="D457" s="240"/>
      <c r="E457" s="240"/>
      <c r="G457" s="240"/>
      <c r="H457" s="240"/>
      <c r="I457" s="240"/>
      <c r="J457" s="240"/>
      <c r="K457" s="240"/>
      <c r="L457" s="240"/>
      <c r="M457" s="240"/>
      <c r="N457" s="240"/>
      <c r="O457" s="240"/>
      <c r="P457" s="240"/>
      <c r="Q457" s="240"/>
      <c r="R457" s="240"/>
      <c r="S457" s="240"/>
      <c r="T457" s="240"/>
      <c r="U457" s="240"/>
      <c r="V457" s="240"/>
      <c r="W457" s="240"/>
      <c r="X457" s="240"/>
      <c r="Y457" s="240"/>
      <c r="Z457" s="240"/>
      <c r="AA457" s="240"/>
      <c r="AB457" s="240"/>
    </row>
    <row r="458">
      <c r="A458" s="240"/>
      <c r="B458" s="240" t="s">
        <v>2955</v>
      </c>
      <c r="C458" s="240"/>
      <c r="D458" s="240"/>
      <c r="E458" s="240"/>
      <c r="G458" s="240"/>
      <c r="H458" s="240"/>
      <c r="I458" s="240"/>
      <c r="J458" s="240"/>
      <c r="K458" s="240"/>
      <c r="L458" s="240"/>
      <c r="M458" s="240"/>
      <c r="N458" s="240"/>
      <c r="O458" s="240"/>
      <c r="P458" s="240"/>
      <c r="Q458" s="240"/>
      <c r="R458" s="240"/>
      <c r="S458" s="240"/>
      <c r="T458" s="240"/>
      <c r="U458" s="240"/>
      <c r="V458" s="240"/>
      <c r="W458" s="240"/>
      <c r="X458" s="240"/>
      <c r="Y458" s="240"/>
      <c r="Z458" s="240"/>
      <c r="AA458" s="240"/>
      <c r="AB458" s="240"/>
    </row>
    <row r="459">
      <c r="A459" s="240"/>
      <c r="B459" s="240" t="s">
        <v>2955</v>
      </c>
      <c r="C459" s="240"/>
      <c r="D459" s="240"/>
      <c r="E459" s="240"/>
      <c r="G459" s="240"/>
      <c r="H459" s="240"/>
      <c r="I459" s="240"/>
      <c r="J459" s="240"/>
      <c r="K459" s="240"/>
      <c r="L459" s="240"/>
      <c r="M459" s="240"/>
      <c r="N459" s="240"/>
      <c r="O459" s="240"/>
      <c r="P459" s="240"/>
      <c r="Q459" s="240"/>
      <c r="R459" s="240"/>
      <c r="S459" s="240"/>
      <c r="T459" s="240"/>
      <c r="U459" s="240"/>
      <c r="V459" s="240"/>
      <c r="W459" s="240"/>
      <c r="X459" s="240"/>
      <c r="Y459" s="240"/>
      <c r="Z459" s="240"/>
      <c r="AA459" s="240"/>
      <c r="AB459" s="240"/>
    </row>
    <row r="460">
      <c r="A460" s="240"/>
      <c r="B460" s="240" t="s">
        <v>2955</v>
      </c>
      <c r="C460" s="240"/>
      <c r="D460" s="240"/>
      <c r="E460" s="240"/>
      <c r="G460" s="240"/>
      <c r="H460" s="240"/>
      <c r="I460" s="240"/>
      <c r="J460" s="240"/>
      <c r="K460" s="240"/>
      <c r="L460" s="240"/>
      <c r="M460" s="240"/>
      <c r="N460" s="240"/>
      <c r="O460" s="240"/>
      <c r="P460" s="240"/>
      <c r="Q460" s="240"/>
      <c r="R460" s="240"/>
      <c r="S460" s="240"/>
      <c r="T460" s="240"/>
      <c r="U460" s="240"/>
      <c r="V460" s="240"/>
      <c r="W460" s="240"/>
      <c r="X460" s="240"/>
      <c r="Y460" s="240"/>
      <c r="Z460" s="240"/>
      <c r="AA460" s="240"/>
      <c r="AB460" s="240"/>
    </row>
    <row r="461">
      <c r="A461" s="240"/>
      <c r="B461" s="240" t="s">
        <v>2955</v>
      </c>
      <c r="C461" s="240"/>
      <c r="D461" s="240"/>
      <c r="E461" s="240"/>
      <c r="G461" s="240"/>
      <c r="H461" s="240"/>
      <c r="I461" s="240"/>
      <c r="J461" s="240"/>
      <c r="K461" s="240"/>
      <c r="L461" s="240"/>
      <c r="M461" s="240"/>
      <c r="N461" s="240"/>
      <c r="O461" s="240"/>
      <c r="P461" s="240"/>
      <c r="Q461" s="240"/>
      <c r="R461" s="240"/>
      <c r="S461" s="240"/>
      <c r="T461" s="240"/>
      <c r="U461" s="240"/>
      <c r="V461" s="240"/>
      <c r="W461" s="240"/>
      <c r="X461" s="240"/>
      <c r="Y461" s="240"/>
      <c r="Z461" s="240"/>
      <c r="AA461" s="240"/>
      <c r="AB461" s="240"/>
    </row>
    <row r="462">
      <c r="A462" s="240"/>
      <c r="B462" s="240" t="s">
        <v>2955</v>
      </c>
      <c r="C462" s="240"/>
      <c r="D462" s="240"/>
      <c r="E462" s="240"/>
      <c r="G462" s="240"/>
      <c r="H462" s="240"/>
      <c r="I462" s="240"/>
      <c r="J462" s="240"/>
      <c r="K462" s="240"/>
      <c r="L462" s="240"/>
      <c r="M462" s="240"/>
      <c r="N462" s="240"/>
      <c r="O462" s="240"/>
      <c r="P462" s="240"/>
      <c r="Q462" s="240"/>
      <c r="R462" s="240"/>
      <c r="S462" s="240"/>
      <c r="T462" s="240"/>
      <c r="U462" s="240"/>
      <c r="V462" s="240"/>
      <c r="W462" s="240"/>
      <c r="X462" s="240"/>
      <c r="Y462" s="240"/>
      <c r="Z462" s="240"/>
      <c r="AA462" s="240"/>
      <c r="AB462" s="240"/>
    </row>
    <row r="463">
      <c r="A463" s="240"/>
      <c r="B463" s="240" t="s">
        <v>2955</v>
      </c>
      <c r="C463" s="240"/>
      <c r="D463" s="240"/>
      <c r="E463" s="240"/>
      <c r="G463" s="240"/>
      <c r="H463" s="240"/>
      <c r="I463" s="240"/>
      <c r="J463" s="240"/>
      <c r="K463" s="240"/>
      <c r="L463" s="240"/>
      <c r="M463" s="240"/>
      <c r="N463" s="240"/>
      <c r="O463" s="240"/>
      <c r="P463" s="240"/>
      <c r="Q463" s="240"/>
      <c r="R463" s="240"/>
      <c r="S463" s="240"/>
      <c r="T463" s="240"/>
      <c r="U463" s="240"/>
      <c r="V463" s="240"/>
      <c r="W463" s="240"/>
      <c r="X463" s="240"/>
      <c r="Y463" s="240"/>
      <c r="Z463" s="240"/>
      <c r="AA463" s="240"/>
      <c r="AB463" s="240"/>
    </row>
    <row r="464">
      <c r="A464" s="240"/>
      <c r="B464" s="240" t="s">
        <v>2955</v>
      </c>
      <c r="C464" s="240"/>
      <c r="D464" s="240"/>
      <c r="E464" s="240"/>
      <c r="G464" s="240"/>
      <c r="H464" s="240"/>
      <c r="I464" s="240"/>
      <c r="J464" s="240"/>
      <c r="K464" s="240"/>
      <c r="L464" s="240"/>
      <c r="M464" s="240"/>
      <c r="N464" s="240"/>
      <c r="O464" s="240"/>
      <c r="P464" s="240"/>
      <c r="Q464" s="240"/>
      <c r="R464" s="240"/>
      <c r="S464" s="240"/>
      <c r="T464" s="240"/>
      <c r="U464" s="240"/>
      <c r="V464" s="240"/>
      <c r="W464" s="240"/>
      <c r="X464" s="240"/>
      <c r="Y464" s="240"/>
      <c r="Z464" s="240"/>
      <c r="AA464" s="240"/>
      <c r="AB464" s="240"/>
    </row>
    <row r="465">
      <c r="A465" s="240"/>
      <c r="B465" s="240" t="s">
        <v>2955</v>
      </c>
      <c r="C465" s="240"/>
      <c r="D465" s="240"/>
      <c r="E465" s="240"/>
      <c r="G465" s="240"/>
      <c r="H465" s="240"/>
      <c r="I465" s="240"/>
      <c r="J465" s="240"/>
      <c r="K465" s="240"/>
      <c r="L465" s="240"/>
      <c r="M465" s="240"/>
      <c r="N465" s="240"/>
      <c r="O465" s="240"/>
      <c r="P465" s="240"/>
      <c r="Q465" s="240"/>
      <c r="R465" s="240"/>
      <c r="S465" s="240"/>
      <c r="T465" s="240"/>
      <c r="U465" s="240"/>
      <c r="V465" s="240"/>
      <c r="W465" s="240"/>
      <c r="X465" s="240"/>
      <c r="Y465" s="240"/>
      <c r="Z465" s="240"/>
      <c r="AA465" s="240"/>
      <c r="AB465" s="240"/>
    </row>
    <row r="466">
      <c r="A466" s="240"/>
      <c r="B466" s="240" t="s">
        <v>2955</v>
      </c>
      <c r="C466" s="240"/>
      <c r="D466" s="240"/>
      <c r="E466" s="240"/>
      <c r="G466" s="240"/>
      <c r="H466" s="240"/>
      <c r="I466" s="240"/>
      <c r="J466" s="240"/>
      <c r="K466" s="240"/>
      <c r="L466" s="240"/>
      <c r="M466" s="240"/>
      <c r="N466" s="240"/>
      <c r="O466" s="240"/>
      <c r="P466" s="240"/>
      <c r="Q466" s="240"/>
      <c r="R466" s="240"/>
      <c r="S466" s="240"/>
      <c r="T466" s="240"/>
      <c r="U466" s="240"/>
      <c r="V466" s="240"/>
      <c r="W466" s="240"/>
      <c r="X466" s="240"/>
      <c r="Y466" s="240"/>
      <c r="Z466" s="240"/>
      <c r="AA466" s="240"/>
      <c r="AB466" s="240"/>
    </row>
    <row r="467">
      <c r="A467" s="240"/>
      <c r="B467" s="240" t="s">
        <v>2955</v>
      </c>
      <c r="C467" s="240"/>
      <c r="D467" s="240"/>
      <c r="E467" s="240"/>
      <c r="G467" s="240"/>
      <c r="H467" s="240"/>
      <c r="I467" s="240"/>
      <c r="J467" s="240"/>
      <c r="K467" s="240"/>
      <c r="L467" s="240"/>
      <c r="M467" s="240"/>
      <c r="N467" s="240"/>
      <c r="O467" s="240"/>
      <c r="P467" s="240"/>
      <c r="Q467" s="240"/>
      <c r="R467" s="240"/>
      <c r="S467" s="240"/>
      <c r="T467" s="240"/>
      <c r="U467" s="240"/>
      <c r="V467" s="240"/>
      <c r="W467" s="240"/>
      <c r="X467" s="240"/>
      <c r="Y467" s="240"/>
      <c r="Z467" s="240"/>
      <c r="AA467" s="240"/>
      <c r="AB467" s="240"/>
    </row>
    <row r="468">
      <c r="A468" s="240"/>
      <c r="B468" s="240" t="s">
        <v>2955</v>
      </c>
      <c r="C468" s="240"/>
      <c r="D468" s="240"/>
      <c r="E468" s="240"/>
      <c r="G468" s="240"/>
      <c r="H468" s="240"/>
      <c r="I468" s="240"/>
      <c r="J468" s="240"/>
      <c r="K468" s="240"/>
      <c r="L468" s="240"/>
      <c r="M468" s="240"/>
      <c r="N468" s="240"/>
      <c r="O468" s="240"/>
      <c r="P468" s="240"/>
      <c r="Q468" s="240"/>
      <c r="R468" s="240"/>
      <c r="S468" s="240"/>
      <c r="T468" s="240"/>
      <c r="U468" s="240"/>
      <c r="V468" s="240"/>
      <c r="W468" s="240"/>
      <c r="X468" s="240"/>
      <c r="Y468" s="240"/>
      <c r="Z468" s="240"/>
      <c r="AA468" s="240"/>
      <c r="AB468" s="240"/>
    </row>
    <row r="469">
      <c r="A469" s="240"/>
      <c r="B469" s="240" t="s">
        <v>2955</v>
      </c>
      <c r="C469" s="240"/>
      <c r="D469" s="240"/>
      <c r="E469" s="240"/>
      <c r="G469" s="240"/>
      <c r="H469" s="240"/>
      <c r="I469" s="240"/>
      <c r="J469" s="240"/>
      <c r="K469" s="240"/>
      <c r="L469" s="240"/>
      <c r="M469" s="240"/>
      <c r="N469" s="240"/>
      <c r="O469" s="240"/>
      <c r="P469" s="240"/>
      <c r="Q469" s="240"/>
      <c r="R469" s="240"/>
      <c r="S469" s="240"/>
      <c r="T469" s="240"/>
      <c r="U469" s="240"/>
      <c r="V469" s="240"/>
      <c r="W469" s="240"/>
      <c r="X469" s="240"/>
      <c r="Y469" s="240"/>
      <c r="Z469" s="240"/>
      <c r="AA469" s="240"/>
      <c r="AB469" s="240"/>
    </row>
    <row r="470">
      <c r="A470" s="240"/>
      <c r="B470" s="240" t="s">
        <v>2955</v>
      </c>
      <c r="C470" s="240"/>
      <c r="D470" s="240"/>
      <c r="E470" s="240"/>
      <c r="G470" s="240"/>
      <c r="H470" s="240"/>
      <c r="I470" s="240"/>
      <c r="J470" s="240"/>
      <c r="K470" s="240"/>
      <c r="L470" s="240"/>
      <c r="M470" s="240"/>
      <c r="N470" s="240"/>
      <c r="O470" s="240"/>
      <c r="P470" s="240"/>
      <c r="Q470" s="240"/>
      <c r="R470" s="240"/>
      <c r="S470" s="240"/>
      <c r="T470" s="240"/>
      <c r="U470" s="240"/>
      <c r="V470" s="240"/>
      <c r="W470" s="240"/>
      <c r="X470" s="240"/>
      <c r="Y470" s="240"/>
      <c r="Z470" s="240"/>
      <c r="AA470" s="240"/>
      <c r="AB470" s="240"/>
    </row>
    <row r="471">
      <c r="A471" s="240"/>
      <c r="B471" s="240" t="s">
        <v>2955</v>
      </c>
      <c r="C471" s="240"/>
      <c r="D471" s="240"/>
      <c r="E471" s="240"/>
      <c r="G471" s="240"/>
      <c r="H471" s="240"/>
      <c r="I471" s="240"/>
      <c r="J471" s="240"/>
      <c r="K471" s="240"/>
      <c r="L471" s="240"/>
      <c r="M471" s="240"/>
      <c r="N471" s="240"/>
      <c r="O471" s="240"/>
      <c r="P471" s="240"/>
      <c r="Q471" s="240"/>
      <c r="R471" s="240"/>
      <c r="S471" s="240"/>
      <c r="T471" s="240"/>
      <c r="U471" s="240"/>
      <c r="V471" s="240"/>
      <c r="W471" s="240"/>
      <c r="X471" s="240"/>
      <c r="Y471" s="240"/>
      <c r="Z471" s="240"/>
      <c r="AA471" s="240"/>
      <c r="AB471" s="240"/>
    </row>
    <row r="472">
      <c r="A472" s="240"/>
      <c r="B472" s="240" t="s">
        <v>2955</v>
      </c>
      <c r="C472" s="240"/>
      <c r="D472" s="240"/>
      <c r="E472" s="240"/>
      <c r="G472" s="240"/>
      <c r="H472" s="240"/>
      <c r="I472" s="240"/>
      <c r="J472" s="240"/>
      <c r="K472" s="240"/>
      <c r="L472" s="240"/>
      <c r="M472" s="240"/>
      <c r="N472" s="240"/>
      <c r="O472" s="240"/>
      <c r="P472" s="240"/>
      <c r="Q472" s="240"/>
      <c r="R472" s="240"/>
      <c r="S472" s="240"/>
      <c r="T472" s="240"/>
      <c r="U472" s="240"/>
      <c r="V472" s="240"/>
      <c r="W472" s="240"/>
      <c r="X472" s="240"/>
      <c r="Y472" s="240"/>
      <c r="Z472" s="240"/>
      <c r="AA472" s="240"/>
      <c r="AB472" s="240"/>
    </row>
    <row r="473">
      <c r="A473" s="240"/>
      <c r="B473" s="240" t="s">
        <v>2955</v>
      </c>
      <c r="C473" s="240"/>
      <c r="D473" s="240"/>
      <c r="E473" s="240"/>
      <c r="G473" s="240"/>
      <c r="H473" s="240"/>
      <c r="I473" s="240"/>
      <c r="J473" s="240"/>
      <c r="K473" s="240"/>
      <c r="L473" s="240"/>
      <c r="M473" s="240"/>
      <c r="N473" s="240"/>
      <c r="O473" s="240"/>
      <c r="P473" s="240"/>
      <c r="Q473" s="240"/>
      <c r="R473" s="240"/>
      <c r="S473" s="240"/>
      <c r="T473" s="240"/>
      <c r="U473" s="240"/>
      <c r="V473" s="240"/>
      <c r="W473" s="240"/>
      <c r="X473" s="240"/>
      <c r="Y473" s="240"/>
      <c r="Z473" s="240"/>
      <c r="AA473" s="240"/>
      <c r="AB473" s="240"/>
    </row>
    <row r="474">
      <c r="A474" s="240"/>
      <c r="B474" s="240" t="s">
        <v>2955</v>
      </c>
      <c r="C474" s="240"/>
      <c r="D474" s="240"/>
      <c r="E474" s="240"/>
      <c r="G474" s="240"/>
      <c r="H474" s="240"/>
      <c r="I474" s="240"/>
      <c r="J474" s="240"/>
      <c r="K474" s="240"/>
      <c r="L474" s="240"/>
      <c r="M474" s="240"/>
      <c r="N474" s="240"/>
      <c r="O474" s="240"/>
      <c r="P474" s="240"/>
      <c r="Q474" s="240"/>
      <c r="R474" s="240"/>
      <c r="S474" s="240"/>
      <c r="T474" s="240"/>
      <c r="U474" s="240"/>
      <c r="V474" s="240"/>
      <c r="W474" s="240"/>
      <c r="X474" s="240"/>
      <c r="Y474" s="240"/>
      <c r="Z474" s="240"/>
      <c r="AA474" s="240"/>
      <c r="AB474" s="240"/>
    </row>
    <row r="475">
      <c r="A475" s="240"/>
      <c r="B475" s="240" t="s">
        <v>2955</v>
      </c>
      <c r="C475" s="240"/>
      <c r="D475" s="240"/>
      <c r="E475" s="240"/>
      <c r="G475" s="240"/>
      <c r="H475" s="240"/>
      <c r="I475" s="240"/>
      <c r="J475" s="240"/>
      <c r="K475" s="240"/>
      <c r="L475" s="240"/>
      <c r="M475" s="240"/>
      <c r="N475" s="240"/>
      <c r="O475" s="240"/>
      <c r="P475" s="240"/>
      <c r="Q475" s="240"/>
      <c r="R475" s="240"/>
      <c r="S475" s="240"/>
      <c r="T475" s="240"/>
      <c r="U475" s="240"/>
      <c r="V475" s="240"/>
      <c r="W475" s="240"/>
      <c r="X475" s="240"/>
      <c r="Y475" s="240"/>
      <c r="Z475" s="240"/>
      <c r="AA475" s="240"/>
      <c r="AB475" s="240"/>
    </row>
    <row r="476">
      <c r="A476" s="240"/>
      <c r="B476" s="240" t="s">
        <v>2955</v>
      </c>
      <c r="C476" s="240"/>
      <c r="D476" s="240"/>
      <c r="E476" s="240"/>
      <c r="G476" s="240"/>
      <c r="H476" s="240"/>
      <c r="I476" s="240"/>
      <c r="J476" s="240"/>
      <c r="K476" s="240"/>
      <c r="L476" s="240"/>
      <c r="M476" s="240"/>
      <c r="N476" s="240"/>
      <c r="O476" s="240"/>
      <c r="P476" s="240"/>
      <c r="Q476" s="240"/>
      <c r="R476" s="240"/>
      <c r="S476" s="240"/>
      <c r="T476" s="240"/>
      <c r="U476" s="240"/>
      <c r="V476" s="240"/>
      <c r="W476" s="240"/>
      <c r="X476" s="240"/>
      <c r="Y476" s="240"/>
      <c r="Z476" s="240"/>
      <c r="AA476" s="240"/>
      <c r="AB476" s="240"/>
    </row>
    <row r="477">
      <c r="A477" s="240"/>
      <c r="B477" s="240" t="s">
        <v>2955</v>
      </c>
      <c r="C477" s="240"/>
      <c r="D477" s="240"/>
      <c r="E477" s="240"/>
      <c r="G477" s="240"/>
      <c r="H477" s="240"/>
      <c r="I477" s="240"/>
      <c r="J477" s="240"/>
      <c r="K477" s="240"/>
      <c r="L477" s="240"/>
      <c r="M477" s="240"/>
      <c r="N477" s="240"/>
      <c r="O477" s="240"/>
      <c r="P477" s="240"/>
      <c r="Q477" s="240"/>
      <c r="R477" s="240"/>
      <c r="S477" s="240"/>
      <c r="T477" s="240"/>
      <c r="U477" s="240"/>
      <c r="V477" s="240"/>
      <c r="W477" s="240"/>
      <c r="X477" s="240"/>
      <c r="Y477" s="240"/>
      <c r="Z477" s="240"/>
      <c r="AA477" s="240"/>
      <c r="AB477" s="240"/>
    </row>
    <row r="478">
      <c r="A478" s="240"/>
      <c r="B478" s="240" t="s">
        <v>2955</v>
      </c>
      <c r="C478" s="240"/>
      <c r="D478" s="240"/>
      <c r="E478" s="240"/>
      <c r="G478" s="240"/>
      <c r="H478" s="240"/>
      <c r="I478" s="240"/>
      <c r="J478" s="240"/>
      <c r="K478" s="240"/>
      <c r="L478" s="240"/>
      <c r="M478" s="240"/>
      <c r="N478" s="240"/>
      <c r="O478" s="240"/>
      <c r="P478" s="240"/>
      <c r="Q478" s="240"/>
      <c r="R478" s="240"/>
      <c r="S478" s="240"/>
      <c r="T478" s="240"/>
      <c r="U478" s="240"/>
      <c r="V478" s="240"/>
      <c r="W478" s="240"/>
      <c r="X478" s="240"/>
      <c r="Y478" s="240"/>
      <c r="Z478" s="240"/>
      <c r="AA478" s="240"/>
      <c r="AB478" s="240"/>
    </row>
    <row r="479">
      <c r="A479" s="240"/>
      <c r="B479" s="240" t="s">
        <v>2955</v>
      </c>
      <c r="C479" s="240"/>
      <c r="D479" s="240"/>
      <c r="E479" s="240"/>
      <c r="G479" s="240"/>
      <c r="H479" s="240"/>
      <c r="I479" s="240"/>
      <c r="J479" s="240"/>
      <c r="K479" s="240"/>
      <c r="L479" s="240"/>
      <c r="M479" s="240"/>
      <c r="N479" s="240"/>
      <c r="O479" s="240"/>
      <c r="P479" s="240"/>
      <c r="Q479" s="240"/>
      <c r="R479" s="240"/>
      <c r="S479" s="240"/>
      <c r="T479" s="240"/>
      <c r="U479" s="240"/>
      <c r="V479" s="240"/>
      <c r="W479" s="240"/>
      <c r="X479" s="240"/>
      <c r="Y479" s="240"/>
      <c r="Z479" s="240"/>
      <c r="AA479" s="240"/>
      <c r="AB479" s="240"/>
    </row>
    <row r="480">
      <c r="A480" s="240"/>
      <c r="B480" s="240" t="s">
        <v>2955</v>
      </c>
      <c r="C480" s="240"/>
      <c r="D480" s="240"/>
      <c r="E480" s="240"/>
      <c r="G480" s="240"/>
      <c r="H480" s="240"/>
      <c r="I480" s="240"/>
      <c r="J480" s="240"/>
      <c r="K480" s="240"/>
      <c r="L480" s="240"/>
      <c r="M480" s="240"/>
      <c r="N480" s="240"/>
      <c r="O480" s="240"/>
      <c r="P480" s="240"/>
      <c r="Q480" s="240"/>
      <c r="R480" s="240"/>
      <c r="S480" s="240"/>
      <c r="T480" s="240"/>
      <c r="U480" s="240"/>
      <c r="V480" s="240"/>
      <c r="W480" s="240"/>
      <c r="X480" s="240"/>
      <c r="Y480" s="240"/>
      <c r="Z480" s="240"/>
      <c r="AA480" s="240"/>
      <c r="AB480" s="240"/>
    </row>
    <row r="481">
      <c r="A481" s="240"/>
      <c r="B481" s="240" t="s">
        <v>2955</v>
      </c>
      <c r="C481" s="240"/>
      <c r="D481" s="240"/>
      <c r="E481" s="240"/>
      <c r="G481" s="240"/>
      <c r="H481" s="240"/>
      <c r="I481" s="240"/>
      <c r="J481" s="240"/>
      <c r="K481" s="240"/>
      <c r="L481" s="240"/>
      <c r="M481" s="240"/>
      <c r="N481" s="240"/>
      <c r="O481" s="240"/>
      <c r="P481" s="240"/>
      <c r="Q481" s="240"/>
      <c r="R481" s="240"/>
      <c r="S481" s="240"/>
      <c r="T481" s="240"/>
      <c r="U481" s="240"/>
      <c r="V481" s="240"/>
      <c r="W481" s="240"/>
      <c r="X481" s="240"/>
      <c r="Y481" s="240"/>
      <c r="Z481" s="240"/>
      <c r="AA481" s="240"/>
      <c r="AB481" s="240"/>
    </row>
    <row r="482">
      <c r="A482" s="240"/>
      <c r="B482" s="240" t="s">
        <v>2955</v>
      </c>
      <c r="C482" s="240"/>
      <c r="D482" s="240"/>
      <c r="E482" s="240"/>
      <c r="G482" s="240"/>
      <c r="H482" s="240"/>
      <c r="I482" s="240"/>
      <c r="J482" s="240"/>
      <c r="K482" s="240"/>
      <c r="L482" s="240"/>
      <c r="M482" s="240"/>
      <c r="N482" s="240"/>
      <c r="O482" s="240"/>
      <c r="P482" s="240"/>
      <c r="Q482" s="240"/>
      <c r="R482" s="240"/>
      <c r="S482" s="240"/>
      <c r="T482" s="240"/>
      <c r="U482" s="240"/>
      <c r="V482" s="240"/>
      <c r="W482" s="240"/>
      <c r="X482" s="240"/>
      <c r="Y482" s="240"/>
      <c r="Z482" s="240"/>
      <c r="AA482" s="240"/>
      <c r="AB482" s="240"/>
    </row>
    <row r="483">
      <c r="A483" s="240"/>
      <c r="B483" s="240" t="s">
        <v>2955</v>
      </c>
      <c r="C483" s="240"/>
      <c r="D483" s="240"/>
      <c r="E483" s="240"/>
      <c r="G483" s="240"/>
      <c r="H483" s="240"/>
      <c r="I483" s="240"/>
      <c r="J483" s="240"/>
      <c r="K483" s="240"/>
      <c r="L483" s="240"/>
      <c r="M483" s="240"/>
      <c r="N483" s="240"/>
      <c r="O483" s="240"/>
      <c r="P483" s="240"/>
      <c r="Q483" s="240"/>
      <c r="R483" s="240"/>
      <c r="S483" s="240"/>
      <c r="T483" s="240"/>
      <c r="U483" s="240"/>
      <c r="V483" s="240"/>
      <c r="W483" s="240"/>
      <c r="X483" s="240"/>
      <c r="Y483" s="240"/>
      <c r="Z483" s="240"/>
      <c r="AA483" s="240"/>
      <c r="AB483" s="240"/>
    </row>
    <row r="484">
      <c r="A484" s="240"/>
      <c r="B484" s="240" t="s">
        <v>2955</v>
      </c>
      <c r="C484" s="240"/>
      <c r="D484" s="240"/>
      <c r="E484" s="240"/>
      <c r="G484" s="240"/>
      <c r="H484" s="240"/>
      <c r="I484" s="240"/>
      <c r="J484" s="240"/>
      <c r="K484" s="240"/>
      <c r="L484" s="240"/>
      <c r="M484" s="240"/>
      <c r="N484" s="240"/>
      <c r="O484" s="240"/>
      <c r="P484" s="240"/>
      <c r="Q484" s="240"/>
      <c r="R484" s="240"/>
      <c r="S484" s="240"/>
      <c r="T484" s="240"/>
      <c r="U484" s="240"/>
      <c r="V484" s="240"/>
      <c r="W484" s="240"/>
      <c r="X484" s="240"/>
      <c r="Y484" s="240"/>
      <c r="Z484" s="240"/>
      <c r="AA484" s="240"/>
      <c r="AB484" s="240"/>
    </row>
    <row r="485">
      <c r="A485" s="240"/>
      <c r="B485" s="240" t="s">
        <v>2955</v>
      </c>
      <c r="C485" s="240"/>
      <c r="D485" s="240"/>
      <c r="E485" s="240"/>
      <c r="G485" s="240"/>
      <c r="H485" s="240"/>
      <c r="I485" s="240"/>
      <c r="J485" s="240"/>
      <c r="K485" s="240"/>
      <c r="L485" s="240"/>
      <c r="M485" s="240"/>
      <c r="N485" s="240"/>
      <c r="O485" s="240"/>
      <c r="P485" s="240"/>
      <c r="Q485" s="240"/>
      <c r="R485" s="240"/>
      <c r="S485" s="240"/>
      <c r="T485" s="240"/>
      <c r="U485" s="240"/>
      <c r="V485" s="240"/>
      <c r="W485" s="240"/>
      <c r="X485" s="240"/>
      <c r="Y485" s="240"/>
      <c r="Z485" s="240"/>
      <c r="AA485" s="240"/>
      <c r="AB485" s="240"/>
    </row>
    <row r="486">
      <c r="A486" s="240"/>
      <c r="B486" s="240" t="s">
        <v>2955</v>
      </c>
      <c r="C486" s="240"/>
      <c r="D486" s="240"/>
      <c r="E486" s="240"/>
      <c r="G486" s="240"/>
      <c r="H486" s="240"/>
      <c r="I486" s="240"/>
      <c r="J486" s="240"/>
      <c r="K486" s="240"/>
      <c r="L486" s="240"/>
      <c r="M486" s="240"/>
      <c r="N486" s="240"/>
      <c r="O486" s="240"/>
      <c r="P486" s="240"/>
      <c r="Q486" s="240"/>
      <c r="R486" s="240"/>
      <c r="S486" s="240"/>
      <c r="T486" s="240"/>
      <c r="U486" s="240"/>
      <c r="V486" s="240"/>
      <c r="W486" s="240"/>
      <c r="X486" s="240"/>
      <c r="Y486" s="240"/>
      <c r="Z486" s="240"/>
      <c r="AA486" s="240"/>
      <c r="AB486" s="240"/>
    </row>
    <row r="487">
      <c r="A487" s="240"/>
      <c r="B487" s="240" t="s">
        <v>2955</v>
      </c>
      <c r="C487" s="240"/>
      <c r="D487" s="240"/>
      <c r="E487" s="240"/>
      <c r="G487" s="240"/>
      <c r="H487" s="240"/>
      <c r="I487" s="240"/>
      <c r="J487" s="240"/>
      <c r="K487" s="240"/>
      <c r="L487" s="240"/>
      <c r="M487" s="240"/>
      <c r="N487" s="240"/>
      <c r="O487" s="240"/>
      <c r="P487" s="240"/>
      <c r="Q487" s="240"/>
      <c r="R487" s="240"/>
      <c r="S487" s="240"/>
      <c r="T487" s="240"/>
      <c r="U487" s="240"/>
      <c r="V487" s="240"/>
      <c r="W487" s="240"/>
      <c r="X487" s="240"/>
      <c r="Y487" s="240"/>
      <c r="Z487" s="240"/>
      <c r="AA487" s="240"/>
      <c r="AB487" s="240"/>
    </row>
    <row r="488">
      <c r="A488" s="240"/>
      <c r="B488" s="240" t="s">
        <v>2955</v>
      </c>
      <c r="C488" s="240"/>
      <c r="D488" s="240"/>
      <c r="E488" s="240"/>
      <c r="G488" s="240"/>
      <c r="H488" s="240"/>
      <c r="I488" s="240"/>
      <c r="J488" s="240"/>
      <c r="K488" s="240"/>
      <c r="L488" s="240"/>
      <c r="M488" s="240"/>
      <c r="N488" s="240"/>
      <c r="O488" s="240"/>
      <c r="P488" s="240"/>
      <c r="Q488" s="240"/>
      <c r="R488" s="240"/>
      <c r="S488" s="240"/>
      <c r="T488" s="240"/>
      <c r="U488" s="240"/>
      <c r="V488" s="240"/>
      <c r="W488" s="240"/>
      <c r="X488" s="240"/>
      <c r="Y488" s="240"/>
      <c r="Z488" s="240"/>
      <c r="AA488" s="240"/>
      <c r="AB488" s="240"/>
    </row>
    <row r="489">
      <c r="A489" s="240"/>
      <c r="B489" s="240" t="s">
        <v>2955</v>
      </c>
      <c r="C489" s="240"/>
      <c r="D489" s="240"/>
      <c r="E489" s="240"/>
      <c r="G489" s="240"/>
      <c r="H489" s="240"/>
      <c r="I489" s="240"/>
      <c r="J489" s="240"/>
      <c r="K489" s="240"/>
      <c r="L489" s="240"/>
      <c r="M489" s="240"/>
      <c r="N489" s="240"/>
      <c r="O489" s="240"/>
      <c r="P489" s="240"/>
      <c r="Q489" s="240"/>
      <c r="R489" s="240"/>
      <c r="S489" s="240"/>
      <c r="T489" s="240"/>
      <c r="U489" s="240"/>
      <c r="V489" s="240"/>
      <c r="W489" s="240"/>
      <c r="X489" s="240"/>
      <c r="Y489" s="240"/>
      <c r="Z489" s="240"/>
      <c r="AA489" s="240"/>
      <c r="AB489" s="240"/>
    </row>
    <row r="490">
      <c r="A490" s="240"/>
      <c r="B490" s="240" t="s">
        <v>2955</v>
      </c>
      <c r="C490" s="240"/>
      <c r="D490" s="240"/>
      <c r="E490" s="240"/>
      <c r="G490" s="240"/>
      <c r="H490" s="240"/>
      <c r="I490" s="240"/>
      <c r="J490" s="240"/>
      <c r="K490" s="240"/>
      <c r="L490" s="240"/>
      <c r="M490" s="240"/>
      <c r="N490" s="240"/>
      <c r="O490" s="240"/>
      <c r="P490" s="240"/>
      <c r="Q490" s="240"/>
      <c r="R490" s="240"/>
      <c r="S490" s="240"/>
      <c r="T490" s="240"/>
      <c r="U490" s="240"/>
      <c r="V490" s="240"/>
      <c r="W490" s="240"/>
      <c r="X490" s="240"/>
      <c r="Y490" s="240"/>
      <c r="Z490" s="240"/>
      <c r="AA490" s="240"/>
      <c r="AB490" s="240"/>
    </row>
    <row r="491">
      <c r="A491" s="240"/>
      <c r="B491" s="240" t="s">
        <v>2955</v>
      </c>
      <c r="C491" s="240"/>
      <c r="D491" s="240"/>
      <c r="E491" s="240"/>
      <c r="G491" s="240"/>
      <c r="H491" s="240"/>
      <c r="I491" s="240"/>
      <c r="J491" s="240"/>
      <c r="K491" s="240"/>
      <c r="L491" s="240"/>
      <c r="M491" s="240"/>
      <c r="N491" s="240"/>
      <c r="O491" s="240"/>
      <c r="P491" s="240"/>
      <c r="Q491" s="240"/>
      <c r="R491" s="240"/>
      <c r="S491" s="240"/>
      <c r="T491" s="240"/>
      <c r="U491" s="240"/>
      <c r="V491" s="240"/>
      <c r="W491" s="240"/>
      <c r="X491" s="240"/>
      <c r="Y491" s="240"/>
      <c r="Z491" s="240"/>
      <c r="AA491" s="240"/>
      <c r="AB491" s="240"/>
    </row>
    <row r="492">
      <c r="A492" s="240"/>
      <c r="B492" s="240" t="s">
        <v>2955</v>
      </c>
      <c r="C492" s="240"/>
      <c r="D492" s="240"/>
      <c r="E492" s="240"/>
      <c r="G492" s="240"/>
      <c r="H492" s="240"/>
      <c r="I492" s="240"/>
      <c r="J492" s="240"/>
      <c r="K492" s="240"/>
      <c r="L492" s="240"/>
      <c r="M492" s="240"/>
      <c r="N492" s="240"/>
      <c r="O492" s="240"/>
      <c r="P492" s="240"/>
      <c r="Q492" s="240"/>
      <c r="R492" s="240"/>
      <c r="S492" s="240"/>
      <c r="T492" s="240"/>
      <c r="U492" s="240"/>
      <c r="V492" s="240"/>
      <c r="W492" s="240"/>
      <c r="X492" s="240"/>
      <c r="Y492" s="240"/>
      <c r="Z492" s="240"/>
      <c r="AA492" s="240"/>
      <c r="AB492" s="240"/>
    </row>
    <row r="493">
      <c r="A493" s="240"/>
      <c r="B493" s="240" t="s">
        <v>2955</v>
      </c>
      <c r="C493" s="240"/>
      <c r="D493" s="240"/>
      <c r="E493" s="240"/>
      <c r="G493" s="240"/>
      <c r="H493" s="240"/>
      <c r="I493" s="240"/>
      <c r="J493" s="240"/>
      <c r="K493" s="240"/>
      <c r="L493" s="240"/>
      <c r="M493" s="240"/>
      <c r="N493" s="240"/>
      <c r="O493" s="240"/>
      <c r="P493" s="240"/>
      <c r="Q493" s="240"/>
      <c r="R493" s="240"/>
      <c r="S493" s="240"/>
      <c r="T493" s="240"/>
      <c r="U493" s="240"/>
      <c r="V493" s="240"/>
      <c r="W493" s="240"/>
      <c r="X493" s="240"/>
      <c r="Y493" s="240"/>
      <c r="Z493" s="240"/>
      <c r="AA493" s="240"/>
      <c r="AB493" s="240"/>
    </row>
    <row r="494">
      <c r="A494" s="240"/>
      <c r="B494" s="240" t="s">
        <v>2955</v>
      </c>
      <c r="C494" s="240"/>
      <c r="D494" s="240"/>
      <c r="E494" s="240"/>
      <c r="G494" s="240"/>
      <c r="H494" s="240"/>
      <c r="I494" s="240"/>
      <c r="J494" s="240"/>
      <c r="K494" s="240"/>
      <c r="L494" s="240"/>
      <c r="M494" s="240"/>
      <c r="N494" s="240"/>
      <c r="O494" s="240"/>
      <c r="P494" s="240"/>
      <c r="Q494" s="240"/>
      <c r="R494" s="240"/>
      <c r="S494" s="240"/>
      <c r="T494" s="240"/>
      <c r="U494" s="240"/>
      <c r="V494" s="240"/>
      <c r="W494" s="240"/>
      <c r="X494" s="240"/>
      <c r="Y494" s="240"/>
      <c r="Z494" s="240"/>
      <c r="AA494" s="240"/>
      <c r="AB494" s="240"/>
    </row>
    <row r="495">
      <c r="A495" s="240"/>
      <c r="B495" s="240" t="s">
        <v>2955</v>
      </c>
      <c r="C495" s="240"/>
      <c r="D495" s="240"/>
      <c r="E495" s="240"/>
      <c r="G495" s="240"/>
      <c r="H495" s="240"/>
      <c r="I495" s="240"/>
      <c r="J495" s="240"/>
      <c r="K495" s="240"/>
      <c r="L495" s="240"/>
      <c r="M495" s="240"/>
      <c r="N495" s="240"/>
      <c r="O495" s="240"/>
      <c r="P495" s="240"/>
      <c r="Q495" s="240"/>
      <c r="R495" s="240"/>
      <c r="S495" s="240"/>
      <c r="T495" s="240"/>
      <c r="U495" s="240"/>
      <c r="V495" s="240"/>
      <c r="W495" s="240"/>
      <c r="X495" s="240"/>
      <c r="Y495" s="240"/>
      <c r="Z495" s="240"/>
      <c r="AA495" s="240"/>
      <c r="AB495" s="240"/>
    </row>
    <row r="496">
      <c r="A496" s="240"/>
      <c r="B496" s="240" t="s">
        <v>2955</v>
      </c>
      <c r="C496" s="240"/>
      <c r="D496" s="240"/>
      <c r="E496" s="240"/>
      <c r="G496" s="240"/>
      <c r="H496" s="240"/>
      <c r="I496" s="240"/>
      <c r="J496" s="240"/>
      <c r="K496" s="240"/>
      <c r="L496" s="240"/>
      <c r="M496" s="240"/>
      <c r="N496" s="240"/>
      <c r="O496" s="240"/>
      <c r="P496" s="240"/>
      <c r="Q496" s="240"/>
      <c r="R496" s="240"/>
      <c r="S496" s="240"/>
      <c r="T496" s="240"/>
      <c r="U496" s="240"/>
      <c r="V496" s="240"/>
      <c r="W496" s="240"/>
      <c r="X496" s="240"/>
      <c r="Y496" s="240"/>
      <c r="Z496" s="240"/>
      <c r="AA496" s="240"/>
      <c r="AB496" s="240"/>
    </row>
    <row r="497">
      <c r="A497" s="240"/>
      <c r="B497" s="240" t="s">
        <v>2955</v>
      </c>
      <c r="C497" s="240"/>
      <c r="D497" s="240"/>
      <c r="E497" s="240"/>
      <c r="G497" s="240"/>
      <c r="H497" s="240"/>
      <c r="I497" s="240"/>
      <c r="J497" s="240"/>
      <c r="K497" s="240"/>
      <c r="L497" s="240"/>
      <c r="M497" s="240"/>
      <c r="N497" s="240"/>
      <c r="O497" s="240"/>
      <c r="P497" s="240"/>
      <c r="Q497" s="240"/>
      <c r="R497" s="240"/>
      <c r="S497" s="240"/>
      <c r="T497" s="240"/>
      <c r="U497" s="240"/>
      <c r="V497" s="240"/>
      <c r="W497" s="240"/>
      <c r="X497" s="240"/>
      <c r="Y497" s="240"/>
      <c r="Z497" s="240"/>
      <c r="AA497" s="240"/>
      <c r="AB497" s="240"/>
    </row>
    <row r="498">
      <c r="A498" s="240"/>
      <c r="B498" s="240" t="s">
        <v>2955</v>
      </c>
      <c r="C498" s="240"/>
      <c r="D498" s="240"/>
      <c r="E498" s="240"/>
      <c r="G498" s="240"/>
      <c r="H498" s="240"/>
      <c r="I498" s="240"/>
      <c r="J498" s="240"/>
      <c r="K498" s="240"/>
      <c r="L498" s="240"/>
      <c r="M498" s="240"/>
      <c r="N498" s="240"/>
      <c r="O498" s="240"/>
      <c r="P498" s="240"/>
      <c r="Q498" s="240"/>
      <c r="R498" s="240"/>
      <c r="S498" s="240"/>
      <c r="T498" s="240"/>
      <c r="U498" s="240"/>
      <c r="V498" s="240"/>
      <c r="W498" s="240"/>
      <c r="X498" s="240"/>
      <c r="Y498" s="240"/>
      <c r="Z498" s="240"/>
      <c r="AA498" s="240"/>
      <c r="AB498" s="240"/>
    </row>
    <row r="499">
      <c r="A499" s="240"/>
      <c r="B499" s="240" t="s">
        <v>2955</v>
      </c>
      <c r="C499" s="240"/>
      <c r="D499" s="240"/>
      <c r="E499" s="240"/>
      <c r="G499" s="240"/>
      <c r="H499" s="240"/>
      <c r="I499" s="240"/>
      <c r="J499" s="240"/>
      <c r="K499" s="240"/>
      <c r="L499" s="240"/>
      <c r="M499" s="240"/>
      <c r="N499" s="240"/>
      <c r="O499" s="240"/>
      <c r="P499" s="240"/>
      <c r="Q499" s="240"/>
      <c r="R499" s="240"/>
      <c r="S499" s="240"/>
      <c r="T499" s="240"/>
      <c r="U499" s="240"/>
      <c r="V499" s="240"/>
      <c r="W499" s="240"/>
      <c r="X499" s="240"/>
      <c r="Y499" s="240"/>
      <c r="Z499" s="240"/>
      <c r="AA499" s="240"/>
      <c r="AB499" s="240"/>
    </row>
    <row r="500">
      <c r="A500" s="240"/>
      <c r="B500" s="240" t="s">
        <v>2955</v>
      </c>
      <c r="C500" s="240"/>
      <c r="D500" s="240"/>
      <c r="E500" s="240"/>
      <c r="G500" s="240"/>
      <c r="H500" s="240"/>
      <c r="I500" s="240"/>
      <c r="J500" s="240"/>
      <c r="K500" s="240"/>
      <c r="L500" s="240"/>
      <c r="M500" s="240"/>
      <c r="N500" s="240"/>
      <c r="O500" s="240"/>
      <c r="P500" s="240"/>
      <c r="Q500" s="240"/>
      <c r="R500" s="240"/>
      <c r="S500" s="240"/>
      <c r="T500" s="240"/>
      <c r="U500" s="240"/>
      <c r="V500" s="240"/>
      <c r="W500" s="240"/>
      <c r="X500" s="240"/>
      <c r="Y500" s="240"/>
      <c r="Z500" s="240"/>
      <c r="AA500" s="240"/>
      <c r="AB500" s="240"/>
    </row>
    <row r="501">
      <c r="A501" s="240"/>
      <c r="B501" s="240" t="s">
        <v>2955</v>
      </c>
      <c r="C501" s="240"/>
      <c r="D501" s="240"/>
      <c r="E501" s="240"/>
      <c r="G501" s="240"/>
      <c r="H501" s="240"/>
      <c r="I501" s="240"/>
      <c r="J501" s="240"/>
      <c r="K501" s="240"/>
      <c r="L501" s="240"/>
      <c r="M501" s="240"/>
      <c r="N501" s="240"/>
      <c r="O501" s="240"/>
      <c r="P501" s="240"/>
      <c r="Q501" s="240"/>
      <c r="R501" s="240"/>
      <c r="S501" s="240"/>
      <c r="T501" s="240"/>
      <c r="U501" s="240"/>
      <c r="V501" s="240"/>
      <c r="W501" s="240"/>
      <c r="X501" s="240"/>
      <c r="Y501" s="240"/>
      <c r="Z501" s="240"/>
      <c r="AA501" s="240"/>
      <c r="AB501" s="240"/>
    </row>
    <row r="502">
      <c r="A502" s="240"/>
      <c r="B502" s="240" t="s">
        <v>2955</v>
      </c>
      <c r="C502" s="240"/>
      <c r="D502" s="240"/>
      <c r="E502" s="240"/>
      <c r="G502" s="240"/>
      <c r="H502" s="240"/>
      <c r="I502" s="240"/>
      <c r="J502" s="240"/>
      <c r="K502" s="240"/>
      <c r="L502" s="240"/>
      <c r="M502" s="240"/>
      <c r="N502" s="240"/>
      <c r="O502" s="240"/>
      <c r="P502" s="240"/>
      <c r="Q502" s="240"/>
      <c r="R502" s="240"/>
      <c r="S502" s="240"/>
      <c r="T502" s="240"/>
      <c r="U502" s="240"/>
      <c r="V502" s="240"/>
      <c r="W502" s="240"/>
      <c r="X502" s="240"/>
      <c r="Y502" s="240"/>
      <c r="Z502" s="240"/>
      <c r="AA502" s="240"/>
      <c r="AB502" s="240"/>
    </row>
    <row r="503">
      <c r="A503" s="240"/>
      <c r="B503" s="240" t="s">
        <v>2955</v>
      </c>
      <c r="C503" s="240"/>
      <c r="D503" s="240"/>
      <c r="E503" s="240"/>
      <c r="G503" s="240"/>
      <c r="H503" s="240"/>
      <c r="I503" s="240"/>
      <c r="J503" s="240"/>
      <c r="K503" s="240"/>
      <c r="L503" s="240"/>
      <c r="M503" s="240"/>
      <c r="N503" s="240"/>
      <c r="O503" s="240"/>
      <c r="P503" s="240"/>
      <c r="Q503" s="240"/>
      <c r="R503" s="240"/>
      <c r="S503" s="240"/>
      <c r="T503" s="240"/>
      <c r="U503" s="240"/>
      <c r="V503" s="240"/>
      <c r="W503" s="240"/>
      <c r="X503" s="240"/>
      <c r="Y503" s="240"/>
      <c r="Z503" s="240"/>
      <c r="AA503" s="240"/>
      <c r="AB503" s="240"/>
    </row>
    <row r="504">
      <c r="A504" s="240"/>
      <c r="B504" s="240" t="s">
        <v>2955</v>
      </c>
      <c r="C504" s="240"/>
      <c r="D504" s="240"/>
      <c r="E504" s="240"/>
      <c r="G504" s="240"/>
      <c r="H504" s="240"/>
      <c r="I504" s="240"/>
      <c r="J504" s="240"/>
      <c r="K504" s="240"/>
      <c r="L504" s="240"/>
      <c r="M504" s="240"/>
      <c r="N504" s="240"/>
      <c r="O504" s="240"/>
      <c r="P504" s="240"/>
      <c r="Q504" s="240"/>
      <c r="R504" s="240"/>
      <c r="S504" s="240"/>
      <c r="T504" s="240"/>
      <c r="U504" s="240"/>
      <c r="V504" s="240"/>
      <c r="W504" s="240"/>
      <c r="X504" s="240"/>
      <c r="Y504" s="240"/>
      <c r="Z504" s="240"/>
      <c r="AA504" s="240"/>
      <c r="AB504" s="240"/>
    </row>
    <row r="505">
      <c r="A505" s="240"/>
      <c r="B505" s="240" t="s">
        <v>2955</v>
      </c>
      <c r="C505" s="240"/>
      <c r="D505" s="240"/>
      <c r="E505" s="240"/>
      <c r="G505" s="240"/>
      <c r="H505" s="240"/>
      <c r="I505" s="240"/>
      <c r="J505" s="240"/>
      <c r="K505" s="240"/>
      <c r="L505" s="240"/>
      <c r="M505" s="240"/>
      <c r="N505" s="240"/>
      <c r="O505" s="240"/>
      <c r="P505" s="240"/>
      <c r="Q505" s="240"/>
      <c r="R505" s="240"/>
      <c r="S505" s="240"/>
      <c r="T505" s="240"/>
      <c r="U505" s="240"/>
      <c r="V505" s="240"/>
      <c r="W505" s="240"/>
      <c r="X505" s="240"/>
      <c r="Y505" s="240"/>
      <c r="Z505" s="240"/>
      <c r="AA505" s="240"/>
      <c r="AB505" s="240"/>
    </row>
    <row r="506">
      <c r="A506" s="240"/>
      <c r="B506" s="240" t="s">
        <v>2955</v>
      </c>
      <c r="C506" s="240"/>
      <c r="D506" s="240"/>
      <c r="E506" s="240"/>
      <c r="G506" s="240"/>
      <c r="H506" s="240"/>
      <c r="I506" s="240"/>
      <c r="J506" s="240"/>
      <c r="K506" s="240"/>
      <c r="L506" s="240"/>
      <c r="M506" s="240"/>
      <c r="N506" s="240"/>
      <c r="O506" s="240"/>
      <c r="P506" s="240"/>
      <c r="Q506" s="240"/>
      <c r="R506" s="240"/>
      <c r="S506" s="240"/>
      <c r="T506" s="240"/>
      <c r="U506" s="240"/>
      <c r="V506" s="240"/>
      <c r="W506" s="240"/>
      <c r="X506" s="240"/>
      <c r="Y506" s="240"/>
      <c r="Z506" s="240"/>
      <c r="AA506" s="240"/>
      <c r="AB506" s="240"/>
    </row>
    <row r="507">
      <c r="A507" s="240"/>
      <c r="B507" s="240" t="s">
        <v>2955</v>
      </c>
      <c r="C507" s="240"/>
      <c r="D507" s="240"/>
      <c r="E507" s="240"/>
      <c r="G507" s="240"/>
      <c r="H507" s="240"/>
      <c r="I507" s="240"/>
      <c r="J507" s="240"/>
      <c r="K507" s="240"/>
      <c r="L507" s="240"/>
      <c r="M507" s="240"/>
      <c r="N507" s="240"/>
      <c r="O507" s="240"/>
      <c r="P507" s="240"/>
      <c r="Q507" s="240"/>
      <c r="R507" s="240"/>
      <c r="S507" s="240"/>
      <c r="T507" s="240"/>
      <c r="U507" s="240"/>
      <c r="V507" s="240"/>
      <c r="W507" s="240"/>
      <c r="X507" s="240"/>
      <c r="Y507" s="240"/>
      <c r="Z507" s="240"/>
      <c r="AA507" s="240"/>
      <c r="AB507" s="240"/>
    </row>
    <row r="508">
      <c r="A508" s="240"/>
      <c r="B508" s="240" t="s">
        <v>2955</v>
      </c>
      <c r="C508" s="240"/>
      <c r="D508" s="240"/>
      <c r="E508" s="240"/>
      <c r="G508" s="240"/>
      <c r="H508" s="240"/>
      <c r="I508" s="240"/>
      <c r="J508" s="240"/>
      <c r="K508" s="240"/>
      <c r="L508" s="240"/>
      <c r="M508" s="240"/>
      <c r="N508" s="240"/>
      <c r="O508" s="240"/>
      <c r="P508" s="240"/>
      <c r="Q508" s="240"/>
      <c r="R508" s="240"/>
      <c r="S508" s="240"/>
      <c r="T508" s="240"/>
      <c r="U508" s="240"/>
      <c r="V508" s="240"/>
      <c r="W508" s="240"/>
      <c r="X508" s="240"/>
      <c r="Y508" s="240"/>
      <c r="Z508" s="240"/>
      <c r="AA508" s="240"/>
      <c r="AB508" s="240"/>
    </row>
    <row r="509">
      <c r="A509" s="240"/>
      <c r="B509" s="240" t="s">
        <v>2955</v>
      </c>
      <c r="C509" s="240"/>
      <c r="D509" s="240"/>
      <c r="E509" s="240"/>
      <c r="G509" s="240"/>
      <c r="H509" s="240"/>
      <c r="I509" s="240"/>
      <c r="J509" s="240"/>
      <c r="K509" s="240"/>
      <c r="L509" s="240"/>
      <c r="M509" s="240"/>
      <c r="N509" s="240"/>
      <c r="O509" s="240"/>
      <c r="P509" s="240"/>
      <c r="Q509" s="240"/>
      <c r="R509" s="240"/>
      <c r="S509" s="240"/>
      <c r="T509" s="240"/>
      <c r="U509" s="240"/>
      <c r="V509" s="240"/>
      <c r="W509" s="240"/>
      <c r="X509" s="240"/>
      <c r="Y509" s="240"/>
      <c r="Z509" s="240"/>
      <c r="AA509" s="240"/>
      <c r="AB509" s="240"/>
    </row>
    <row r="510">
      <c r="A510" s="240"/>
      <c r="B510" s="240" t="s">
        <v>2955</v>
      </c>
      <c r="C510" s="240"/>
      <c r="D510" s="240"/>
      <c r="E510" s="240"/>
      <c r="G510" s="240"/>
      <c r="H510" s="240"/>
      <c r="I510" s="240"/>
      <c r="J510" s="240"/>
      <c r="K510" s="240"/>
      <c r="L510" s="240"/>
      <c r="M510" s="240"/>
      <c r="N510" s="240"/>
      <c r="O510" s="240"/>
      <c r="P510" s="240"/>
      <c r="Q510" s="240"/>
      <c r="R510" s="240"/>
      <c r="S510" s="240"/>
      <c r="T510" s="240"/>
      <c r="U510" s="240"/>
      <c r="V510" s="240"/>
      <c r="W510" s="240"/>
      <c r="X510" s="240"/>
      <c r="Y510" s="240"/>
      <c r="Z510" s="240"/>
      <c r="AA510" s="240"/>
      <c r="AB510" s="240"/>
    </row>
    <row r="511">
      <c r="A511" s="240"/>
      <c r="B511" s="240" t="s">
        <v>2955</v>
      </c>
      <c r="C511" s="240"/>
      <c r="D511" s="240"/>
      <c r="E511" s="240"/>
      <c r="G511" s="240"/>
      <c r="H511" s="240"/>
      <c r="I511" s="240"/>
      <c r="J511" s="240"/>
      <c r="K511" s="240"/>
      <c r="L511" s="240"/>
      <c r="M511" s="240"/>
      <c r="N511" s="240"/>
      <c r="O511" s="240"/>
      <c r="P511" s="240"/>
      <c r="Q511" s="240"/>
      <c r="R511" s="240"/>
      <c r="S511" s="240"/>
      <c r="T511" s="240"/>
      <c r="U511" s="240"/>
      <c r="V511" s="240"/>
      <c r="W511" s="240"/>
      <c r="X511" s="240"/>
      <c r="Y511" s="240"/>
      <c r="Z511" s="240"/>
      <c r="AA511" s="240"/>
      <c r="AB511" s="240"/>
    </row>
    <row r="512">
      <c r="A512" s="240"/>
      <c r="B512" s="240" t="s">
        <v>2955</v>
      </c>
      <c r="C512" s="240"/>
      <c r="D512" s="240"/>
      <c r="E512" s="240"/>
      <c r="G512" s="240"/>
      <c r="H512" s="240"/>
      <c r="I512" s="240"/>
      <c r="J512" s="240"/>
      <c r="K512" s="240"/>
      <c r="L512" s="240"/>
      <c r="M512" s="240"/>
      <c r="N512" s="240"/>
      <c r="O512" s="240"/>
      <c r="P512" s="240"/>
      <c r="Q512" s="240"/>
      <c r="R512" s="240"/>
      <c r="S512" s="240"/>
      <c r="T512" s="240"/>
      <c r="U512" s="240"/>
      <c r="V512" s="240"/>
      <c r="W512" s="240"/>
      <c r="X512" s="240"/>
      <c r="Y512" s="240"/>
      <c r="Z512" s="240"/>
      <c r="AA512" s="240"/>
      <c r="AB512" s="240"/>
    </row>
    <row r="513">
      <c r="A513" s="240"/>
      <c r="B513" s="240" t="s">
        <v>2955</v>
      </c>
      <c r="C513" s="240"/>
      <c r="D513" s="240"/>
      <c r="E513" s="240"/>
      <c r="G513" s="240"/>
      <c r="H513" s="240"/>
      <c r="I513" s="240"/>
      <c r="J513" s="240"/>
      <c r="K513" s="240"/>
      <c r="L513" s="240"/>
      <c r="M513" s="240"/>
      <c r="N513" s="240"/>
      <c r="O513" s="240"/>
      <c r="P513" s="240"/>
      <c r="Q513" s="240"/>
      <c r="R513" s="240"/>
      <c r="S513" s="240"/>
      <c r="T513" s="240"/>
      <c r="U513" s="240"/>
      <c r="V513" s="240"/>
      <c r="W513" s="240"/>
      <c r="X513" s="240"/>
      <c r="Y513" s="240"/>
      <c r="Z513" s="240"/>
      <c r="AA513" s="240"/>
      <c r="AB513" s="240"/>
    </row>
    <row r="514">
      <c r="A514" s="240"/>
      <c r="B514" s="240" t="s">
        <v>2955</v>
      </c>
      <c r="C514" s="240"/>
      <c r="D514" s="240"/>
      <c r="E514" s="240"/>
      <c r="G514" s="240"/>
      <c r="H514" s="240"/>
      <c r="I514" s="240"/>
      <c r="J514" s="240"/>
      <c r="K514" s="240"/>
      <c r="L514" s="240"/>
      <c r="M514" s="240"/>
      <c r="N514" s="240"/>
      <c r="O514" s="240"/>
      <c r="P514" s="240"/>
      <c r="Q514" s="240"/>
      <c r="R514" s="240"/>
      <c r="S514" s="240"/>
      <c r="T514" s="240"/>
      <c r="U514" s="240"/>
      <c r="V514" s="240"/>
      <c r="W514" s="240"/>
      <c r="X514" s="240"/>
      <c r="Y514" s="240"/>
      <c r="Z514" s="240"/>
      <c r="AA514" s="240"/>
      <c r="AB514" s="240"/>
    </row>
    <row r="515">
      <c r="A515" s="240"/>
      <c r="B515" s="240" t="s">
        <v>2955</v>
      </c>
      <c r="C515" s="240"/>
      <c r="D515" s="240"/>
      <c r="E515" s="240"/>
      <c r="G515" s="240"/>
      <c r="H515" s="240"/>
      <c r="I515" s="240"/>
      <c r="J515" s="240"/>
      <c r="K515" s="240"/>
      <c r="L515" s="240"/>
      <c r="M515" s="240"/>
      <c r="N515" s="240"/>
      <c r="O515" s="240"/>
      <c r="P515" s="240"/>
      <c r="Q515" s="240"/>
      <c r="R515" s="240"/>
      <c r="S515" s="240"/>
      <c r="T515" s="240"/>
      <c r="U515" s="240"/>
      <c r="V515" s="240"/>
      <c r="W515" s="240"/>
      <c r="X515" s="240"/>
      <c r="Y515" s="240"/>
      <c r="Z515" s="240"/>
      <c r="AA515" s="240"/>
      <c r="AB515" s="240"/>
    </row>
    <row r="516">
      <c r="A516" s="240"/>
      <c r="B516" s="240" t="s">
        <v>2955</v>
      </c>
      <c r="C516" s="240"/>
      <c r="D516" s="240"/>
      <c r="E516" s="240"/>
      <c r="G516" s="240"/>
      <c r="H516" s="240"/>
      <c r="I516" s="240"/>
      <c r="J516" s="240"/>
      <c r="K516" s="240"/>
      <c r="L516" s="240"/>
      <c r="M516" s="240"/>
      <c r="N516" s="240"/>
      <c r="O516" s="240"/>
      <c r="P516" s="240"/>
      <c r="Q516" s="240"/>
      <c r="R516" s="240"/>
      <c r="S516" s="240"/>
      <c r="T516" s="240"/>
      <c r="U516" s="240"/>
      <c r="V516" s="240"/>
      <c r="W516" s="240"/>
      <c r="X516" s="240"/>
      <c r="Y516" s="240"/>
      <c r="Z516" s="240"/>
      <c r="AA516" s="240"/>
      <c r="AB516" s="240"/>
    </row>
    <row r="517">
      <c r="A517" s="240"/>
      <c r="B517" s="240" t="s">
        <v>2955</v>
      </c>
      <c r="C517" s="240"/>
      <c r="D517" s="240"/>
      <c r="E517" s="240"/>
      <c r="G517" s="240"/>
      <c r="H517" s="240"/>
      <c r="I517" s="240"/>
      <c r="J517" s="240"/>
      <c r="K517" s="240"/>
      <c r="L517" s="240"/>
      <c r="M517" s="240"/>
      <c r="N517" s="240"/>
      <c r="O517" s="240"/>
      <c r="P517" s="240"/>
      <c r="Q517" s="240"/>
      <c r="R517" s="240"/>
      <c r="S517" s="240"/>
      <c r="T517" s="240"/>
      <c r="U517" s="240"/>
      <c r="V517" s="240"/>
      <c r="W517" s="240"/>
      <c r="X517" s="240"/>
      <c r="Y517" s="240"/>
      <c r="Z517" s="240"/>
      <c r="AA517" s="240"/>
      <c r="AB517" s="240"/>
    </row>
    <row r="518">
      <c r="A518" s="240"/>
      <c r="B518" s="240" t="s">
        <v>2955</v>
      </c>
      <c r="C518" s="240"/>
      <c r="D518" s="240"/>
      <c r="E518" s="240"/>
      <c r="G518" s="240"/>
      <c r="H518" s="240"/>
      <c r="I518" s="240"/>
      <c r="J518" s="240"/>
      <c r="K518" s="240"/>
      <c r="L518" s="240"/>
      <c r="M518" s="240"/>
      <c r="N518" s="240"/>
      <c r="O518" s="240"/>
      <c r="P518" s="240"/>
      <c r="Q518" s="240"/>
      <c r="R518" s="240"/>
      <c r="S518" s="240"/>
      <c r="T518" s="240"/>
      <c r="U518" s="240"/>
      <c r="V518" s="240"/>
      <c r="W518" s="240"/>
      <c r="X518" s="240"/>
      <c r="Y518" s="240"/>
      <c r="Z518" s="240"/>
      <c r="AA518" s="240"/>
      <c r="AB518" s="240"/>
    </row>
    <row r="519">
      <c r="A519" s="240"/>
      <c r="B519" s="240" t="s">
        <v>2955</v>
      </c>
      <c r="C519" s="240"/>
      <c r="D519" s="240"/>
      <c r="E519" s="240"/>
      <c r="G519" s="240"/>
      <c r="H519" s="240"/>
      <c r="I519" s="240"/>
      <c r="J519" s="240"/>
      <c r="K519" s="240"/>
      <c r="L519" s="240"/>
      <c r="M519" s="240"/>
      <c r="N519" s="240"/>
      <c r="O519" s="240"/>
      <c r="P519" s="240"/>
      <c r="Q519" s="240"/>
      <c r="R519" s="240"/>
      <c r="S519" s="240"/>
      <c r="T519" s="240"/>
      <c r="U519" s="240"/>
      <c r="V519" s="240"/>
      <c r="W519" s="240"/>
      <c r="X519" s="240"/>
      <c r="Y519" s="240"/>
      <c r="Z519" s="240"/>
      <c r="AA519" s="240"/>
      <c r="AB519" s="240"/>
    </row>
    <row r="520">
      <c r="A520" s="240"/>
      <c r="B520" s="240" t="s">
        <v>2955</v>
      </c>
      <c r="C520" s="240"/>
      <c r="D520" s="240"/>
      <c r="E520" s="240"/>
      <c r="G520" s="240"/>
      <c r="H520" s="240"/>
      <c r="I520" s="240"/>
      <c r="J520" s="240"/>
      <c r="K520" s="240"/>
      <c r="L520" s="240"/>
      <c r="M520" s="240"/>
      <c r="N520" s="240"/>
      <c r="O520" s="240"/>
      <c r="P520" s="240"/>
      <c r="Q520" s="240"/>
      <c r="R520" s="240"/>
      <c r="S520" s="240"/>
      <c r="T520" s="240"/>
      <c r="U520" s="240"/>
      <c r="V520" s="240"/>
      <c r="W520" s="240"/>
      <c r="X520" s="240"/>
      <c r="Y520" s="240"/>
      <c r="Z520" s="240"/>
      <c r="AA520" s="240"/>
      <c r="AB520" s="240"/>
    </row>
    <row r="521">
      <c r="A521" s="240"/>
      <c r="B521" s="240" t="s">
        <v>2955</v>
      </c>
      <c r="C521" s="240"/>
      <c r="D521" s="240"/>
      <c r="E521" s="240"/>
      <c r="G521" s="240"/>
      <c r="H521" s="240"/>
      <c r="I521" s="240"/>
      <c r="J521" s="240"/>
      <c r="K521" s="240"/>
      <c r="L521" s="240"/>
      <c r="M521" s="240"/>
      <c r="N521" s="240"/>
      <c r="O521" s="240"/>
      <c r="P521" s="240"/>
      <c r="Q521" s="240"/>
      <c r="R521" s="240"/>
      <c r="S521" s="240"/>
      <c r="T521" s="240"/>
      <c r="U521" s="240"/>
      <c r="V521" s="240"/>
      <c r="W521" s="240"/>
      <c r="X521" s="240"/>
      <c r="Y521" s="240"/>
      <c r="Z521" s="240"/>
      <c r="AA521" s="240"/>
      <c r="AB521" s="240"/>
    </row>
    <row r="522">
      <c r="A522" s="240"/>
      <c r="B522" s="240" t="s">
        <v>2955</v>
      </c>
      <c r="C522" s="240"/>
      <c r="D522" s="240"/>
      <c r="E522" s="240"/>
      <c r="G522" s="240"/>
      <c r="H522" s="240"/>
      <c r="I522" s="240"/>
      <c r="J522" s="240"/>
      <c r="K522" s="240"/>
      <c r="L522" s="240"/>
      <c r="M522" s="240"/>
      <c r="N522" s="240"/>
      <c r="O522" s="240"/>
      <c r="P522" s="240"/>
      <c r="Q522" s="240"/>
      <c r="R522" s="240"/>
      <c r="S522" s="240"/>
      <c r="T522" s="240"/>
      <c r="U522" s="240"/>
      <c r="V522" s="240"/>
      <c r="W522" s="240"/>
      <c r="X522" s="240"/>
      <c r="Y522" s="240"/>
      <c r="Z522" s="240"/>
      <c r="AA522" s="240"/>
      <c r="AB522" s="240"/>
    </row>
    <row r="523">
      <c r="A523" s="240"/>
      <c r="B523" s="240" t="s">
        <v>2955</v>
      </c>
      <c r="C523" s="240"/>
      <c r="D523" s="240"/>
      <c r="E523" s="240"/>
      <c r="G523" s="240"/>
      <c r="H523" s="240"/>
      <c r="I523" s="240"/>
      <c r="J523" s="240"/>
      <c r="K523" s="240"/>
      <c r="L523" s="240"/>
      <c r="M523" s="240"/>
      <c r="N523" s="240"/>
      <c r="O523" s="240"/>
      <c r="P523" s="240"/>
      <c r="Q523" s="240"/>
      <c r="R523" s="240"/>
      <c r="S523" s="240"/>
      <c r="T523" s="240"/>
      <c r="U523" s="240"/>
      <c r="V523" s="240"/>
      <c r="W523" s="240"/>
      <c r="X523" s="240"/>
      <c r="Y523" s="240"/>
      <c r="Z523" s="240"/>
      <c r="AA523" s="240"/>
      <c r="AB523" s="240"/>
    </row>
    <row r="524">
      <c r="A524" s="240"/>
      <c r="B524" s="240" t="s">
        <v>2955</v>
      </c>
      <c r="C524" s="240"/>
      <c r="D524" s="240"/>
      <c r="E524" s="240"/>
      <c r="G524" s="240"/>
      <c r="H524" s="240"/>
      <c r="I524" s="240"/>
      <c r="J524" s="240"/>
      <c r="K524" s="240"/>
      <c r="L524" s="240"/>
      <c r="M524" s="240"/>
      <c r="N524" s="240"/>
      <c r="O524" s="240"/>
      <c r="P524" s="240"/>
      <c r="Q524" s="240"/>
      <c r="R524" s="240"/>
      <c r="S524" s="240"/>
      <c r="T524" s="240"/>
      <c r="U524" s="240"/>
      <c r="V524" s="240"/>
      <c r="W524" s="240"/>
      <c r="X524" s="240"/>
      <c r="Y524" s="240"/>
      <c r="Z524" s="240"/>
      <c r="AA524" s="240"/>
      <c r="AB524" s="240"/>
    </row>
    <row r="525">
      <c r="A525" s="240"/>
      <c r="B525" s="240" t="s">
        <v>2955</v>
      </c>
      <c r="C525" s="240"/>
      <c r="D525" s="240"/>
      <c r="E525" s="240"/>
      <c r="G525" s="240"/>
      <c r="H525" s="240"/>
      <c r="I525" s="240"/>
      <c r="J525" s="240"/>
      <c r="K525" s="240"/>
      <c r="L525" s="240"/>
      <c r="M525" s="240"/>
      <c r="N525" s="240"/>
      <c r="O525" s="240"/>
      <c r="P525" s="240"/>
      <c r="Q525" s="240"/>
      <c r="R525" s="240"/>
      <c r="S525" s="240"/>
      <c r="T525" s="240"/>
      <c r="U525" s="240"/>
      <c r="V525" s="240"/>
      <c r="W525" s="240"/>
      <c r="X525" s="240"/>
      <c r="Y525" s="240"/>
      <c r="Z525" s="240"/>
      <c r="AA525" s="240"/>
      <c r="AB525" s="240"/>
    </row>
    <row r="526">
      <c r="A526" s="240"/>
      <c r="B526" s="240" t="s">
        <v>2955</v>
      </c>
      <c r="C526" s="240"/>
      <c r="D526" s="240"/>
      <c r="E526" s="240"/>
      <c r="G526" s="240"/>
      <c r="H526" s="240"/>
      <c r="I526" s="240"/>
      <c r="J526" s="240"/>
      <c r="K526" s="240"/>
      <c r="L526" s="240"/>
      <c r="M526" s="240"/>
      <c r="N526" s="240"/>
      <c r="O526" s="240"/>
      <c r="P526" s="240"/>
      <c r="Q526" s="240"/>
      <c r="R526" s="240"/>
      <c r="S526" s="240"/>
      <c r="T526" s="240"/>
      <c r="U526" s="240"/>
      <c r="V526" s="240"/>
      <c r="W526" s="240"/>
      <c r="X526" s="240"/>
      <c r="Y526" s="240"/>
      <c r="Z526" s="240"/>
      <c r="AA526" s="240"/>
      <c r="AB526" s="240"/>
    </row>
    <row r="527">
      <c r="A527" s="240"/>
      <c r="B527" s="240" t="s">
        <v>2955</v>
      </c>
      <c r="C527" s="240"/>
      <c r="D527" s="240"/>
      <c r="E527" s="240"/>
      <c r="G527" s="240"/>
      <c r="H527" s="240"/>
      <c r="I527" s="240"/>
      <c r="J527" s="240"/>
      <c r="K527" s="240"/>
      <c r="L527" s="240"/>
      <c r="M527" s="240"/>
      <c r="N527" s="240"/>
      <c r="O527" s="240"/>
      <c r="P527" s="240"/>
      <c r="Q527" s="240"/>
      <c r="R527" s="240"/>
      <c r="S527" s="240"/>
      <c r="T527" s="240"/>
      <c r="U527" s="240"/>
      <c r="V527" s="240"/>
      <c r="W527" s="240"/>
      <c r="X527" s="240"/>
      <c r="Y527" s="240"/>
      <c r="Z527" s="240"/>
      <c r="AA527" s="240"/>
      <c r="AB527" s="240"/>
    </row>
    <row r="528">
      <c r="A528" s="240"/>
      <c r="B528" s="240" t="s">
        <v>2955</v>
      </c>
      <c r="C528" s="240"/>
      <c r="D528" s="240"/>
      <c r="E528" s="240"/>
      <c r="G528" s="240"/>
      <c r="H528" s="240"/>
      <c r="I528" s="240"/>
      <c r="J528" s="240"/>
      <c r="K528" s="240"/>
      <c r="L528" s="240"/>
      <c r="M528" s="240"/>
      <c r="N528" s="240"/>
      <c r="O528" s="240"/>
      <c r="P528" s="240"/>
      <c r="Q528" s="240"/>
      <c r="R528" s="240"/>
      <c r="S528" s="240"/>
      <c r="T528" s="240"/>
      <c r="U528" s="240"/>
      <c r="V528" s="240"/>
      <c r="W528" s="240"/>
      <c r="X528" s="240"/>
      <c r="Y528" s="240"/>
      <c r="Z528" s="240"/>
      <c r="AA528" s="240"/>
      <c r="AB528" s="240"/>
    </row>
    <row r="529">
      <c r="A529" s="240"/>
      <c r="B529" s="240" t="s">
        <v>2955</v>
      </c>
      <c r="C529" s="240"/>
      <c r="D529" s="240"/>
      <c r="E529" s="240"/>
      <c r="G529" s="240"/>
      <c r="H529" s="240"/>
      <c r="I529" s="240"/>
      <c r="J529" s="240"/>
      <c r="K529" s="240"/>
      <c r="L529" s="240"/>
      <c r="M529" s="240"/>
      <c r="N529" s="240"/>
      <c r="O529" s="240"/>
      <c r="P529" s="240"/>
      <c r="Q529" s="240"/>
      <c r="R529" s="240"/>
      <c r="S529" s="240"/>
      <c r="T529" s="240"/>
      <c r="U529" s="240"/>
      <c r="V529" s="240"/>
      <c r="W529" s="240"/>
      <c r="X529" s="240"/>
      <c r="Y529" s="240"/>
      <c r="Z529" s="240"/>
      <c r="AA529" s="240"/>
      <c r="AB529" s="240"/>
    </row>
    <row r="530">
      <c r="A530" s="240"/>
      <c r="B530" s="240" t="s">
        <v>2955</v>
      </c>
      <c r="C530" s="240"/>
      <c r="D530" s="240"/>
      <c r="E530" s="240"/>
      <c r="G530" s="240"/>
      <c r="H530" s="240"/>
      <c r="I530" s="240"/>
      <c r="J530" s="240"/>
      <c r="K530" s="240"/>
      <c r="L530" s="240"/>
      <c r="M530" s="240"/>
      <c r="N530" s="240"/>
      <c r="O530" s="240"/>
      <c r="P530" s="240"/>
      <c r="Q530" s="240"/>
      <c r="R530" s="240"/>
      <c r="S530" s="240"/>
      <c r="T530" s="240"/>
      <c r="U530" s="240"/>
      <c r="V530" s="240"/>
      <c r="W530" s="240"/>
      <c r="X530" s="240"/>
      <c r="Y530" s="240"/>
      <c r="Z530" s="240"/>
      <c r="AA530" s="240"/>
      <c r="AB530" s="240"/>
    </row>
    <row r="531">
      <c r="A531" s="240"/>
      <c r="B531" s="240" t="s">
        <v>2955</v>
      </c>
      <c r="C531" s="240"/>
      <c r="D531" s="240"/>
      <c r="E531" s="240"/>
      <c r="G531" s="240"/>
      <c r="H531" s="240"/>
      <c r="I531" s="240"/>
      <c r="J531" s="240"/>
      <c r="K531" s="240"/>
      <c r="L531" s="240"/>
      <c r="M531" s="240"/>
      <c r="N531" s="240"/>
      <c r="O531" s="240"/>
      <c r="P531" s="240"/>
      <c r="Q531" s="240"/>
      <c r="R531" s="240"/>
      <c r="S531" s="240"/>
      <c r="T531" s="240"/>
      <c r="U531" s="240"/>
      <c r="V531" s="240"/>
      <c r="W531" s="240"/>
      <c r="X531" s="240"/>
      <c r="Y531" s="240"/>
      <c r="Z531" s="240"/>
      <c r="AA531" s="240"/>
      <c r="AB531" s="240"/>
    </row>
    <row r="532">
      <c r="A532" s="240"/>
      <c r="B532" s="240" t="s">
        <v>2955</v>
      </c>
      <c r="C532" s="240"/>
      <c r="D532" s="240"/>
      <c r="E532" s="240"/>
      <c r="G532" s="240"/>
      <c r="H532" s="240"/>
      <c r="I532" s="240"/>
      <c r="J532" s="240"/>
      <c r="K532" s="240"/>
      <c r="L532" s="240"/>
      <c r="M532" s="240"/>
      <c r="N532" s="240"/>
      <c r="O532" s="240"/>
      <c r="P532" s="240"/>
      <c r="Q532" s="240"/>
      <c r="R532" s="240"/>
      <c r="S532" s="240"/>
      <c r="T532" s="240"/>
      <c r="U532" s="240"/>
      <c r="V532" s="240"/>
      <c r="W532" s="240"/>
      <c r="X532" s="240"/>
      <c r="Y532" s="240"/>
      <c r="Z532" s="240"/>
      <c r="AA532" s="240"/>
      <c r="AB532" s="240"/>
    </row>
    <row r="533">
      <c r="A533" s="240"/>
      <c r="B533" s="240" t="s">
        <v>2955</v>
      </c>
      <c r="C533" s="240"/>
      <c r="D533" s="240"/>
      <c r="E533" s="240"/>
      <c r="G533" s="240"/>
      <c r="H533" s="240"/>
      <c r="I533" s="240"/>
      <c r="J533" s="240"/>
      <c r="K533" s="240"/>
      <c r="L533" s="240"/>
      <c r="M533" s="240"/>
      <c r="N533" s="240"/>
      <c r="O533" s="240"/>
      <c r="P533" s="240"/>
      <c r="Q533" s="240"/>
      <c r="R533" s="240"/>
      <c r="S533" s="240"/>
      <c r="T533" s="240"/>
      <c r="U533" s="240"/>
      <c r="V533" s="240"/>
      <c r="W533" s="240"/>
      <c r="X533" s="240"/>
      <c r="Y533" s="240"/>
      <c r="Z533" s="240"/>
      <c r="AA533" s="240"/>
      <c r="AB533" s="240"/>
    </row>
    <row r="534">
      <c r="A534" s="240"/>
      <c r="B534" s="240" t="s">
        <v>2955</v>
      </c>
      <c r="C534" s="240"/>
      <c r="D534" s="240"/>
      <c r="E534" s="240"/>
      <c r="G534" s="240"/>
      <c r="H534" s="240"/>
      <c r="I534" s="240"/>
      <c r="J534" s="240"/>
      <c r="K534" s="240"/>
      <c r="L534" s="240"/>
      <c r="M534" s="240"/>
      <c r="N534" s="240"/>
      <c r="O534" s="240"/>
      <c r="P534" s="240"/>
      <c r="Q534" s="240"/>
      <c r="R534" s="240"/>
      <c r="S534" s="240"/>
      <c r="T534" s="240"/>
      <c r="U534" s="240"/>
      <c r="V534" s="240"/>
      <c r="W534" s="240"/>
      <c r="X534" s="240"/>
      <c r="Y534" s="240"/>
      <c r="Z534" s="240"/>
      <c r="AA534" s="240"/>
      <c r="AB534" s="240"/>
    </row>
    <row r="535">
      <c r="A535" s="240"/>
      <c r="B535" s="240" t="s">
        <v>2955</v>
      </c>
      <c r="C535" s="240"/>
      <c r="D535" s="240"/>
      <c r="E535" s="240"/>
      <c r="G535" s="240"/>
      <c r="H535" s="240"/>
      <c r="I535" s="240"/>
      <c r="J535" s="240"/>
      <c r="K535" s="240"/>
      <c r="L535" s="240"/>
      <c r="M535" s="240"/>
      <c r="N535" s="240"/>
      <c r="O535" s="240"/>
      <c r="P535" s="240"/>
      <c r="Q535" s="240"/>
      <c r="R535" s="240"/>
      <c r="S535" s="240"/>
      <c r="T535" s="240"/>
      <c r="U535" s="240"/>
      <c r="V535" s="240"/>
      <c r="W535" s="240"/>
      <c r="X535" s="240"/>
      <c r="Y535" s="240"/>
      <c r="Z535" s="240"/>
      <c r="AA535" s="240"/>
      <c r="AB535" s="240"/>
    </row>
    <row r="536">
      <c r="A536" s="240"/>
      <c r="B536" s="240" t="s">
        <v>2955</v>
      </c>
      <c r="C536" s="240"/>
      <c r="D536" s="240"/>
      <c r="E536" s="240"/>
      <c r="G536" s="240"/>
      <c r="H536" s="240"/>
      <c r="I536" s="240"/>
      <c r="J536" s="240"/>
      <c r="K536" s="240"/>
      <c r="L536" s="240"/>
      <c r="M536" s="240"/>
      <c r="N536" s="240"/>
      <c r="O536" s="240"/>
      <c r="P536" s="240"/>
      <c r="Q536" s="240"/>
      <c r="R536" s="240"/>
      <c r="S536" s="240"/>
      <c r="T536" s="240"/>
      <c r="U536" s="240"/>
      <c r="V536" s="240"/>
      <c r="W536" s="240"/>
      <c r="X536" s="240"/>
      <c r="Y536" s="240"/>
      <c r="Z536" s="240"/>
      <c r="AA536" s="240"/>
      <c r="AB536" s="240"/>
    </row>
    <row r="537">
      <c r="A537" s="240"/>
      <c r="B537" s="240" t="s">
        <v>2955</v>
      </c>
      <c r="C537" s="240"/>
      <c r="D537" s="240"/>
      <c r="E537" s="240"/>
      <c r="G537" s="240"/>
      <c r="H537" s="240"/>
      <c r="I537" s="240"/>
      <c r="J537" s="240"/>
      <c r="K537" s="240"/>
      <c r="L537" s="240"/>
      <c r="M537" s="240"/>
      <c r="N537" s="240"/>
      <c r="O537" s="240"/>
      <c r="P537" s="240"/>
      <c r="Q537" s="240"/>
      <c r="R537" s="240"/>
      <c r="S537" s="240"/>
      <c r="T537" s="240"/>
      <c r="U537" s="240"/>
      <c r="V537" s="240"/>
      <c r="W537" s="240"/>
      <c r="X537" s="240"/>
      <c r="Y537" s="240"/>
      <c r="Z537" s="240"/>
      <c r="AA537" s="240"/>
      <c r="AB537" s="240"/>
    </row>
    <row r="538">
      <c r="A538" s="240"/>
      <c r="B538" s="240" t="s">
        <v>2955</v>
      </c>
      <c r="C538" s="240"/>
      <c r="D538" s="240"/>
      <c r="E538" s="240"/>
      <c r="G538" s="240"/>
      <c r="H538" s="240"/>
      <c r="I538" s="240"/>
      <c r="J538" s="240"/>
      <c r="K538" s="240"/>
      <c r="L538" s="240"/>
      <c r="M538" s="240"/>
      <c r="N538" s="240"/>
      <c r="O538" s="240"/>
      <c r="P538" s="240"/>
      <c r="Q538" s="240"/>
      <c r="R538" s="240"/>
      <c r="S538" s="240"/>
      <c r="T538" s="240"/>
      <c r="U538" s="240"/>
      <c r="V538" s="240"/>
      <c r="W538" s="240"/>
      <c r="X538" s="240"/>
      <c r="Y538" s="240"/>
      <c r="Z538" s="240"/>
      <c r="AA538" s="240"/>
      <c r="AB538" s="240"/>
    </row>
    <row r="539">
      <c r="A539" s="240"/>
      <c r="B539" s="240" t="s">
        <v>2955</v>
      </c>
      <c r="C539" s="240"/>
      <c r="D539" s="240"/>
      <c r="E539" s="240"/>
      <c r="G539" s="240"/>
      <c r="H539" s="240"/>
      <c r="I539" s="240"/>
      <c r="J539" s="240"/>
      <c r="K539" s="240"/>
      <c r="L539" s="240"/>
      <c r="M539" s="240"/>
      <c r="N539" s="240"/>
      <c r="O539" s="240"/>
      <c r="P539" s="240"/>
      <c r="Q539" s="240"/>
      <c r="R539" s="240"/>
      <c r="S539" s="240"/>
      <c r="T539" s="240"/>
      <c r="U539" s="240"/>
      <c r="V539" s="240"/>
      <c r="W539" s="240"/>
      <c r="X539" s="240"/>
      <c r="Y539" s="240"/>
      <c r="Z539" s="240"/>
      <c r="AA539" s="240"/>
      <c r="AB539" s="240"/>
    </row>
    <row r="540">
      <c r="A540" s="240"/>
      <c r="B540" s="240" t="s">
        <v>2955</v>
      </c>
      <c r="C540" s="240"/>
      <c r="D540" s="240"/>
      <c r="E540" s="240"/>
      <c r="G540" s="240"/>
      <c r="H540" s="240"/>
      <c r="I540" s="240"/>
      <c r="J540" s="240"/>
      <c r="K540" s="240"/>
      <c r="L540" s="240"/>
      <c r="M540" s="240"/>
      <c r="N540" s="240"/>
      <c r="O540" s="240"/>
      <c r="P540" s="240"/>
      <c r="Q540" s="240"/>
      <c r="R540" s="240"/>
      <c r="S540" s="240"/>
      <c r="T540" s="240"/>
      <c r="U540" s="240"/>
      <c r="V540" s="240"/>
      <c r="W540" s="240"/>
      <c r="X540" s="240"/>
      <c r="Y540" s="240"/>
      <c r="Z540" s="240"/>
      <c r="AA540" s="240"/>
      <c r="AB540" s="240"/>
    </row>
    <row r="541">
      <c r="A541" s="240"/>
      <c r="B541" s="240" t="s">
        <v>2955</v>
      </c>
      <c r="C541" s="240"/>
      <c r="D541" s="240"/>
      <c r="E541" s="240"/>
      <c r="G541" s="240"/>
      <c r="H541" s="240"/>
      <c r="I541" s="240"/>
      <c r="J541" s="240"/>
      <c r="K541" s="240"/>
      <c r="L541" s="240"/>
      <c r="M541" s="240"/>
      <c r="N541" s="240"/>
      <c r="O541" s="240"/>
      <c r="P541" s="240"/>
      <c r="Q541" s="240"/>
      <c r="R541" s="240"/>
      <c r="S541" s="240"/>
      <c r="T541" s="240"/>
      <c r="U541" s="240"/>
      <c r="V541" s="240"/>
      <c r="W541" s="240"/>
      <c r="X541" s="240"/>
      <c r="Y541" s="240"/>
      <c r="Z541" s="240"/>
      <c r="AA541" s="240"/>
      <c r="AB541" s="240"/>
    </row>
    <row r="542">
      <c r="A542" s="240"/>
      <c r="B542" s="240" t="s">
        <v>2955</v>
      </c>
      <c r="C542" s="240"/>
      <c r="D542" s="240"/>
      <c r="E542" s="240"/>
      <c r="G542" s="240"/>
      <c r="H542" s="240"/>
      <c r="I542" s="240"/>
      <c r="J542" s="240"/>
      <c r="K542" s="240"/>
      <c r="L542" s="240"/>
      <c r="M542" s="240"/>
      <c r="N542" s="240"/>
      <c r="O542" s="240"/>
      <c r="P542" s="240"/>
      <c r="Q542" s="240"/>
      <c r="R542" s="240"/>
      <c r="S542" s="240"/>
      <c r="T542" s="240"/>
      <c r="U542" s="240"/>
      <c r="V542" s="240"/>
      <c r="W542" s="240"/>
      <c r="X542" s="240"/>
      <c r="Y542" s="240"/>
      <c r="Z542" s="240"/>
      <c r="AA542" s="240"/>
      <c r="AB542" s="240"/>
    </row>
    <row r="543">
      <c r="A543" s="240"/>
      <c r="B543" s="240" t="s">
        <v>2955</v>
      </c>
      <c r="C543" s="240"/>
      <c r="D543" s="240"/>
      <c r="E543" s="240"/>
      <c r="G543" s="240"/>
      <c r="H543" s="240"/>
      <c r="I543" s="240"/>
      <c r="J543" s="240"/>
      <c r="K543" s="240"/>
      <c r="L543" s="240"/>
      <c r="M543" s="240"/>
      <c r="N543" s="240"/>
      <c r="O543" s="240"/>
      <c r="P543" s="240"/>
      <c r="Q543" s="240"/>
      <c r="R543" s="240"/>
      <c r="S543" s="240"/>
      <c r="T543" s="240"/>
      <c r="U543" s="240"/>
      <c r="V543" s="240"/>
      <c r="W543" s="240"/>
      <c r="X543" s="240"/>
      <c r="Y543" s="240"/>
      <c r="Z543" s="240"/>
      <c r="AA543" s="240"/>
      <c r="AB543" s="240"/>
    </row>
    <row r="544">
      <c r="A544" s="240"/>
      <c r="B544" s="240" t="s">
        <v>2955</v>
      </c>
      <c r="C544" s="240"/>
      <c r="D544" s="240"/>
      <c r="E544" s="240"/>
      <c r="G544" s="240"/>
      <c r="H544" s="240"/>
      <c r="I544" s="240"/>
      <c r="J544" s="240"/>
      <c r="K544" s="240"/>
      <c r="L544" s="240"/>
      <c r="M544" s="240"/>
      <c r="N544" s="240"/>
      <c r="O544" s="240"/>
      <c r="P544" s="240"/>
      <c r="Q544" s="240"/>
      <c r="R544" s="240"/>
      <c r="S544" s="240"/>
      <c r="T544" s="240"/>
      <c r="U544" s="240"/>
      <c r="V544" s="240"/>
      <c r="W544" s="240"/>
      <c r="X544" s="240"/>
      <c r="Y544" s="240"/>
      <c r="Z544" s="240"/>
      <c r="AA544" s="240"/>
      <c r="AB544" s="240"/>
    </row>
    <row r="545">
      <c r="A545" s="240"/>
      <c r="B545" s="240" t="s">
        <v>2955</v>
      </c>
      <c r="C545" s="240"/>
      <c r="D545" s="240"/>
      <c r="E545" s="240"/>
      <c r="G545" s="240"/>
      <c r="H545" s="240"/>
      <c r="I545" s="240"/>
      <c r="J545" s="240"/>
      <c r="K545" s="240"/>
      <c r="L545" s="240"/>
      <c r="M545" s="240"/>
      <c r="N545" s="240"/>
      <c r="O545" s="240"/>
      <c r="P545" s="240"/>
      <c r="Q545" s="240"/>
      <c r="R545" s="240"/>
      <c r="S545" s="240"/>
      <c r="T545" s="240"/>
      <c r="U545" s="240"/>
      <c r="V545" s="240"/>
      <c r="W545" s="240"/>
      <c r="X545" s="240"/>
      <c r="Y545" s="240"/>
      <c r="Z545" s="240"/>
      <c r="AA545" s="240"/>
      <c r="AB545" s="240"/>
    </row>
    <row r="546">
      <c r="A546" s="240"/>
      <c r="B546" s="240" t="s">
        <v>2955</v>
      </c>
      <c r="C546" s="240"/>
      <c r="D546" s="240"/>
      <c r="E546" s="240"/>
      <c r="G546" s="240"/>
      <c r="H546" s="240"/>
      <c r="I546" s="240"/>
      <c r="J546" s="240"/>
      <c r="K546" s="240"/>
      <c r="L546" s="240"/>
      <c r="M546" s="240"/>
      <c r="N546" s="240"/>
      <c r="O546" s="240"/>
      <c r="P546" s="240"/>
      <c r="Q546" s="240"/>
      <c r="R546" s="240"/>
      <c r="S546" s="240"/>
      <c r="T546" s="240"/>
      <c r="U546" s="240"/>
      <c r="V546" s="240"/>
      <c r="W546" s="240"/>
      <c r="X546" s="240"/>
      <c r="Y546" s="240"/>
      <c r="Z546" s="240"/>
      <c r="AA546" s="240"/>
      <c r="AB546" s="240"/>
    </row>
    <row r="547">
      <c r="A547" s="240"/>
      <c r="B547" s="240" t="s">
        <v>2955</v>
      </c>
      <c r="C547" s="240"/>
      <c r="D547" s="240"/>
      <c r="E547" s="240"/>
      <c r="G547" s="240"/>
      <c r="H547" s="240"/>
      <c r="I547" s="240"/>
      <c r="J547" s="240"/>
      <c r="K547" s="240"/>
      <c r="L547" s="240"/>
      <c r="M547" s="240"/>
      <c r="N547" s="240"/>
      <c r="O547" s="240"/>
      <c r="P547" s="240"/>
      <c r="Q547" s="240"/>
      <c r="R547" s="240"/>
      <c r="S547" s="240"/>
      <c r="T547" s="240"/>
      <c r="U547" s="240"/>
      <c r="V547" s="240"/>
      <c r="W547" s="240"/>
      <c r="X547" s="240"/>
      <c r="Y547" s="240"/>
      <c r="Z547" s="240"/>
      <c r="AA547" s="240"/>
      <c r="AB547" s="240"/>
    </row>
    <row r="548">
      <c r="A548" s="240"/>
      <c r="B548" s="240" t="s">
        <v>2955</v>
      </c>
      <c r="C548" s="240"/>
      <c r="D548" s="240"/>
      <c r="E548" s="240"/>
      <c r="G548" s="240"/>
      <c r="H548" s="240"/>
      <c r="I548" s="240"/>
      <c r="J548" s="240"/>
      <c r="K548" s="240"/>
      <c r="L548" s="240"/>
      <c r="M548" s="240"/>
      <c r="N548" s="240"/>
      <c r="O548" s="240"/>
      <c r="P548" s="240"/>
      <c r="Q548" s="240"/>
      <c r="R548" s="240"/>
      <c r="S548" s="240"/>
      <c r="T548" s="240"/>
      <c r="U548" s="240"/>
      <c r="V548" s="240"/>
      <c r="W548" s="240"/>
      <c r="X548" s="240"/>
      <c r="Y548" s="240"/>
      <c r="Z548" s="240"/>
      <c r="AA548" s="240"/>
      <c r="AB548" s="240"/>
    </row>
    <row r="549">
      <c r="A549" s="240"/>
      <c r="B549" s="240" t="s">
        <v>2955</v>
      </c>
      <c r="C549" s="240"/>
      <c r="D549" s="240"/>
      <c r="E549" s="240"/>
      <c r="G549" s="240"/>
      <c r="H549" s="240"/>
      <c r="I549" s="240"/>
      <c r="J549" s="240"/>
      <c r="K549" s="240"/>
      <c r="L549" s="240"/>
      <c r="M549" s="240"/>
      <c r="N549" s="240"/>
      <c r="O549" s="240"/>
      <c r="P549" s="240"/>
      <c r="Q549" s="240"/>
      <c r="R549" s="240"/>
      <c r="S549" s="240"/>
      <c r="T549" s="240"/>
      <c r="U549" s="240"/>
      <c r="V549" s="240"/>
      <c r="W549" s="240"/>
      <c r="X549" s="240"/>
      <c r="Y549" s="240"/>
      <c r="Z549" s="240"/>
      <c r="AA549" s="240"/>
      <c r="AB549" s="240"/>
    </row>
    <row r="550">
      <c r="A550" s="240"/>
      <c r="B550" s="240" t="s">
        <v>2955</v>
      </c>
      <c r="C550" s="240"/>
      <c r="D550" s="240"/>
      <c r="E550" s="240"/>
      <c r="G550" s="240"/>
      <c r="H550" s="240"/>
      <c r="I550" s="240"/>
      <c r="J550" s="240"/>
      <c r="K550" s="240"/>
      <c r="L550" s="240"/>
      <c r="M550" s="240"/>
      <c r="N550" s="240"/>
      <c r="O550" s="240"/>
      <c r="P550" s="240"/>
      <c r="Q550" s="240"/>
      <c r="R550" s="240"/>
      <c r="S550" s="240"/>
      <c r="T550" s="240"/>
      <c r="U550" s="240"/>
      <c r="V550" s="240"/>
      <c r="W550" s="240"/>
      <c r="X550" s="240"/>
      <c r="Y550" s="240"/>
      <c r="Z550" s="240"/>
      <c r="AA550" s="240"/>
      <c r="AB550" s="240"/>
    </row>
    <row r="551">
      <c r="A551" s="240"/>
      <c r="B551" s="240" t="s">
        <v>2955</v>
      </c>
      <c r="C551" s="240"/>
      <c r="D551" s="240"/>
      <c r="E551" s="240"/>
      <c r="G551" s="240"/>
      <c r="H551" s="240"/>
      <c r="I551" s="240"/>
      <c r="J551" s="240"/>
      <c r="K551" s="240"/>
      <c r="L551" s="240"/>
      <c r="M551" s="240"/>
      <c r="N551" s="240"/>
      <c r="O551" s="240"/>
      <c r="P551" s="240"/>
      <c r="Q551" s="240"/>
      <c r="R551" s="240"/>
      <c r="S551" s="240"/>
      <c r="T551" s="240"/>
      <c r="U551" s="240"/>
      <c r="V551" s="240"/>
      <c r="W551" s="240"/>
      <c r="X551" s="240"/>
      <c r="Y551" s="240"/>
      <c r="Z551" s="240"/>
      <c r="AA551" s="240"/>
      <c r="AB551" s="240"/>
    </row>
    <row r="552">
      <c r="A552" s="240"/>
      <c r="B552" s="240" t="s">
        <v>2955</v>
      </c>
      <c r="C552" s="240"/>
      <c r="D552" s="240"/>
      <c r="E552" s="240"/>
      <c r="G552" s="240"/>
      <c r="H552" s="240"/>
      <c r="I552" s="240"/>
      <c r="J552" s="240"/>
      <c r="K552" s="240"/>
      <c r="L552" s="240"/>
      <c r="M552" s="240"/>
      <c r="N552" s="240"/>
      <c r="O552" s="240"/>
      <c r="P552" s="240"/>
      <c r="Q552" s="240"/>
      <c r="R552" s="240"/>
      <c r="S552" s="240"/>
      <c r="T552" s="240"/>
      <c r="U552" s="240"/>
      <c r="V552" s="240"/>
      <c r="W552" s="240"/>
      <c r="X552" s="240"/>
      <c r="Y552" s="240"/>
      <c r="Z552" s="240"/>
      <c r="AA552" s="240"/>
      <c r="AB552" s="240"/>
    </row>
    <row r="553">
      <c r="A553" s="240"/>
      <c r="B553" s="240" t="s">
        <v>2955</v>
      </c>
      <c r="C553" s="240"/>
      <c r="D553" s="240"/>
      <c r="E553" s="240"/>
      <c r="G553" s="240"/>
      <c r="H553" s="240"/>
      <c r="I553" s="240"/>
      <c r="J553" s="240"/>
      <c r="K553" s="240"/>
      <c r="L553" s="240"/>
      <c r="M553" s="240"/>
      <c r="N553" s="240"/>
      <c r="O553" s="240"/>
      <c r="P553" s="240"/>
      <c r="Q553" s="240"/>
      <c r="R553" s="240"/>
      <c r="S553" s="240"/>
      <c r="T553" s="240"/>
      <c r="U553" s="240"/>
      <c r="V553" s="240"/>
      <c r="W553" s="240"/>
      <c r="X553" s="240"/>
      <c r="Y553" s="240"/>
      <c r="Z553" s="240"/>
      <c r="AA553" s="240"/>
      <c r="AB553" s="240"/>
    </row>
    <row r="554">
      <c r="A554" s="240"/>
      <c r="B554" s="240" t="s">
        <v>2955</v>
      </c>
      <c r="C554" s="240"/>
      <c r="D554" s="240"/>
      <c r="E554" s="240"/>
      <c r="G554" s="240"/>
      <c r="H554" s="240"/>
      <c r="I554" s="240"/>
      <c r="J554" s="240"/>
      <c r="K554" s="240"/>
      <c r="L554" s="240"/>
      <c r="M554" s="240"/>
      <c r="N554" s="240"/>
      <c r="O554" s="240"/>
      <c r="P554" s="240"/>
      <c r="Q554" s="240"/>
      <c r="R554" s="240"/>
      <c r="S554" s="240"/>
      <c r="T554" s="240"/>
      <c r="U554" s="240"/>
      <c r="V554" s="240"/>
      <c r="W554" s="240"/>
      <c r="X554" s="240"/>
      <c r="Y554" s="240"/>
      <c r="Z554" s="240"/>
      <c r="AA554" s="240"/>
      <c r="AB554" s="240"/>
    </row>
    <row r="555">
      <c r="A555" s="240"/>
      <c r="B555" s="240" t="s">
        <v>2955</v>
      </c>
      <c r="C555" s="240"/>
      <c r="D555" s="240"/>
      <c r="E555" s="240"/>
      <c r="G555" s="240"/>
      <c r="H555" s="240"/>
      <c r="I555" s="240"/>
      <c r="J555" s="240"/>
      <c r="K555" s="240"/>
      <c r="L555" s="240"/>
      <c r="M555" s="240"/>
      <c r="N555" s="240"/>
      <c r="O555" s="240"/>
      <c r="P555" s="240"/>
      <c r="Q555" s="240"/>
      <c r="R555" s="240"/>
      <c r="S555" s="240"/>
      <c r="T555" s="240"/>
      <c r="U555" s="240"/>
      <c r="V555" s="240"/>
      <c r="W555" s="240"/>
      <c r="X555" s="240"/>
      <c r="Y555" s="240"/>
      <c r="Z555" s="240"/>
      <c r="AA555" s="240"/>
      <c r="AB555" s="240"/>
    </row>
    <row r="556">
      <c r="A556" s="240"/>
      <c r="B556" s="240" t="s">
        <v>2955</v>
      </c>
      <c r="C556" s="240"/>
      <c r="D556" s="240"/>
      <c r="E556" s="240"/>
      <c r="G556" s="240"/>
      <c r="H556" s="240"/>
      <c r="I556" s="240"/>
      <c r="J556" s="240"/>
      <c r="K556" s="240"/>
      <c r="L556" s="240"/>
      <c r="M556" s="240"/>
      <c r="N556" s="240"/>
      <c r="O556" s="240"/>
      <c r="P556" s="240"/>
      <c r="Q556" s="240"/>
      <c r="R556" s="240"/>
      <c r="S556" s="240"/>
      <c r="T556" s="240"/>
      <c r="U556" s="240"/>
      <c r="V556" s="240"/>
      <c r="W556" s="240"/>
      <c r="X556" s="240"/>
      <c r="Y556" s="240"/>
      <c r="Z556" s="240"/>
      <c r="AA556" s="240"/>
      <c r="AB556" s="240"/>
    </row>
    <row r="557">
      <c r="A557" s="240"/>
      <c r="B557" s="240" t="s">
        <v>2955</v>
      </c>
      <c r="C557" s="240"/>
      <c r="D557" s="240"/>
      <c r="E557" s="240"/>
      <c r="G557" s="240"/>
      <c r="H557" s="240"/>
      <c r="I557" s="240"/>
      <c r="J557" s="240"/>
      <c r="K557" s="240"/>
      <c r="L557" s="240"/>
      <c r="M557" s="240"/>
      <c r="N557" s="240"/>
      <c r="O557" s="240"/>
      <c r="P557" s="240"/>
      <c r="Q557" s="240"/>
      <c r="R557" s="240"/>
      <c r="S557" s="240"/>
      <c r="T557" s="240"/>
      <c r="U557" s="240"/>
      <c r="V557" s="240"/>
      <c r="W557" s="240"/>
      <c r="X557" s="240"/>
      <c r="Y557" s="240"/>
      <c r="Z557" s="240"/>
      <c r="AA557" s="240"/>
      <c r="AB557" s="240"/>
    </row>
    <row r="558">
      <c r="A558" s="240"/>
      <c r="B558" s="240" t="s">
        <v>2955</v>
      </c>
      <c r="C558" s="240"/>
      <c r="D558" s="240"/>
      <c r="E558" s="240"/>
      <c r="G558" s="240"/>
      <c r="H558" s="240"/>
      <c r="I558" s="240"/>
      <c r="J558" s="240"/>
      <c r="K558" s="240"/>
      <c r="L558" s="240"/>
      <c r="M558" s="240"/>
      <c r="N558" s="240"/>
      <c r="O558" s="240"/>
      <c r="P558" s="240"/>
      <c r="Q558" s="240"/>
      <c r="R558" s="240"/>
      <c r="S558" s="240"/>
      <c r="T558" s="240"/>
      <c r="U558" s="240"/>
      <c r="V558" s="240"/>
      <c r="W558" s="240"/>
      <c r="X558" s="240"/>
      <c r="Y558" s="240"/>
      <c r="Z558" s="240"/>
      <c r="AA558" s="240"/>
      <c r="AB558" s="240"/>
    </row>
    <row r="559">
      <c r="A559" s="240"/>
      <c r="B559" s="240" t="s">
        <v>2955</v>
      </c>
      <c r="C559" s="240"/>
      <c r="D559" s="240"/>
      <c r="E559" s="240"/>
      <c r="G559" s="240"/>
      <c r="H559" s="240"/>
      <c r="I559" s="240"/>
      <c r="J559" s="240"/>
      <c r="K559" s="240"/>
      <c r="L559" s="240"/>
      <c r="M559" s="240"/>
      <c r="N559" s="240"/>
      <c r="O559" s="240"/>
      <c r="P559" s="240"/>
      <c r="Q559" s="240"/>
      <c r="R559" s="240"/>
      <c r="S559" s="240"/>
      <c r="T559" s="240"/>
      <c r="U559" s="240"/>
      <c r="V559" s="240"/>
      <c r="W559" s="240"/>
      <c r="X559" s="240"/>
      <c r="Y559" s="240"/>
      <c r="Z559" s="240"/>
      <c r="AA559" s="240"/>
      <c r="AB559" s="240"/>
    </row>
    <row r="560">
      <c r="A560" s="240"/>
      <c r="B560" s="240" t="s">
        <v>2955</v>
      </c>
      <c r="C560" s="240"/>
      <c r="D560" s="240"/>
      <c r="E560" s="240"/>
      <c r="G560" s="240"/>
      <c r="H560" s="240"/>
      <c r="I560" s="240"/>
      <c r="J560" s="240"/>
      <c r="K560" s="240"/>
      <c r="L560" s="240"/>
      <c r="M560" s="240"/>
      <c r="N560" s="240"/>
      <c r="O560" s="240"/>
      <c r="P560" s="240"/>
      <c r="Q560" s="240"/>
      <c r="R560" s="240"/>
      <c r="S560" s="240"/>
      <c r="T560" s="240"/>
      <c r="U560" s="240"/>
      <c r="V560" s="240"/>
      <c r="W560" s="240"/>
      <c r="X560" s="240"/>
      <c r="Y560" s="240"/>
      <c r="Z560" s="240"/>
      <c r="AA560" s="240"/>
      <c r="AB560" s="240"/>
    </row>
    <row r="561">
      <c r="A561" s="240"/>
      <c r="B561" s="240" t="s">
        <v>2955</v>
      </c>
      <c r="C561" s="240"/>
      <c r="D561" s="240"/>
      <c r="E561" s="240"/>
      <c r="G561" s="240"/>
      <c r="H561" s="240"/>
      <c r="I561" s="240"/>
      <c r="J561" s="240"/>
      <c r="K561" s="240"/>
      <c r="L561" s="240"/>
      <c r="M561" s="240"/>
      <c r="N561" s="240"/>
      <c r="O561" s="240"/>
      <c r="P561" s="240"/>
      <c r="Q561" s="240"/>
      <c r="R561" s="240"/>
      <c r="S561" s="240"/>
      <c r="T561" s="240"/>
      <c r="U561" s="240"/>
      <c r="V561" s="240"/>
      <c r="W561" s="240"/>
      <c r="X561" s="240"/>
      <c r="Y561" s="240"/>
      <c r="Z561" s="240"/>
      <c r="AA561" s="240"/>
      <c r="AB561" s="240"/>
    </row>
    <row r="562">
      <c r="A562" s="240"/>
      <c r="B562" s="240" t="s">
        <v>2955</v>
      </c>
      <c r="C562" s="240"/>
      <c r="D562" s="240"/>
      <c r="E562" s="240"/>
      <c r="G562" s="240"/>
      <c r="H562" s="240"/>
      <c r="I562" s="240"/>
      <c r="J562" s="240"/>
      <c r="K562" s="240"/>
      <c r="L562" s="240"/>
      <c r="M562" s="240"/>
      <c r="N562" s="240"/>
      <c r="O562" s="240"/>
      <c r="P562" s="240"/>
      <c r="Q562" s="240"/>
      <c r="R562" s="240"/>
      <c r="S562" s="240"/>
      <c r="T562" s="240"/>
      <c r="U562" s="240"/>
      <c r="V562" s="240"/>
      <c r="W562" s="240"/>
      <c r="X562" s="240"/>
      <c r="Y562" s="240"/>
      <c r="Z562" s="240"/>
      <c r="AA562" s="240"/>
      <c r="AB562" s="240"/>
    </row>
    <row r="563">
      <c r="A563" s="240"/>
      <c r="B563" s="240" t="s">
        <v>2955</v>
      </c>
      <c r="C563" s="240"/>
      <c r="D563" s="240"/>
      <c r="E563" s="240"/>
      <c r="G563" s="240"/>
      <c r="H563" s="240"/>
      <c r="I563" s="240"/>
      <c r="J563" s="240"/>
      <c r="K563" s="240"/>
      <c r="L563" s="240"/>
      <c r="M563" s="240"/>
      <c r="N563" s="240"/>
      <c r="O563" s="240"/>
      <c r="P563" s="240"/>
      <c r="Q563" s="240"/>
      <c r="R563" s="240"/>
      <c r="S563" s="240"/>
      <c r="T563" s="240"/>
      <c r="U563" s="240"/>
      <c r="V563" s="240"/>
      <c r="W563" s="240"/>
      <c r="X563" s="240"/>
      <c r="Y563" s="240"/>
      <c r="Z563" s="240"/>
      <c r="AA563" s="240"/>
      <c r="AB563" s="240"/>
    </row>
    <row r="564">
      <c r="A564" s="240"/>
      <c r="B564" s="240" t="s">
        <v>2955</v>
      </c>
      <c r="C564" s="240"/>
      <c r="D564" s="240"/>
      <c r="E564" s="240"/>
      <c r="G564" s="240"/>
      <c r="H564" s="240"/>
      <c r="I564" s="240"/>
      <c r="J564" s="240"/>
      <c r="K564" s="240"/>
      <c r="L564" s="240"/>
      <c r="M564" s="240"/>
      <c r="N564" s="240"/>
      <c r="O564" s="240"/>
      <c r="P564" s="240"/>
      <c r="Q564" s="240"/>
      <c r="R564" s="240"/>
      <c r="S564" s="240"/>
      <c r="T564" s="240"/>
      <c r="U564" s="240"/>
      <c r="V564" s="240"/>
      <c r="W564" s="240"/>
      <c r="X564" s="240"/>
      <c r="Y564" s="240"/>
      <c r="Z564" s="240"/>
      <c r="AA564" s="240"/>
      <c r="AB564" s="240"/>
    </row>
    <row r="565">
      <c r="A565" s="240"/>
      <c r="B565" s="240" t="s">
        <v>2955</v>
      </c>
      <c r="C565" s="240"/>
      <c r="D565" s="240"/>
      <c r="E565" s="240"/>
      <c r="G565" s="240"/>
      <c r="H565" s="240"/>
      <c r="I565" s="240"/>
      <c r="J565" s="240"/>
      <c r="K565" s="240"/>
      <c r="L565" s="240"/>
      <c r="M565" s="240"/>
      <c r="N565" s="240"/>
      <c r="O565" s="240"/>
      <c r="P565" s="240"/>
      <c r="Q565" s="240"/>
      <c r="R565" s="240"/>
      <c r="S565" s="240"/>
      <c r="T565" s="240"/>
      <c r="U565" s="240"/>
      <c r="V565" s="240"/>
      <c r="W565" s="240"/>
      <c r="X565" s="240"/>
      <c r="Y565" s="240"/>
      <c r="Z565" s="240"/>
      <c r="AA565" s="240"/>
      <c r="AB565" s="240"/>
    </row>
    <row r="566">
      <c r="A566" s="240"/>
      <c r="B566" s="240" t="s">
        <v>2955</v>
      </c>
      <c r="C566" s="240"/>
      <c r="D566" s="240"/>
      <c r="E566" s="240"/>
      <c r="G566" s="240"/>
      <c r="H566" s="240"/>
      <c r="I566" s="240"/>
      <c r="J566" s="240"/>
      <c r="K566" s="240"/>
      <c r="L566" s="240"/>
      <c r="M566" s="240"/>
      <c r="N566" s="240"/>
      <c r="O566" s="240"/>
      <c r="P566" s="240"/>
      <c r="Q566" s="240"/>
      <c r="R566" s="240"/>
      <c r="S566" s="240"/>
      <c r="T566" s="240"/>
      <c r="U566" s="240"/>
      <c r="V566" s="240"/>
      <c r="W566" s="240"/>
      <c r="X566" s="240"/>
      <c r="Y566" s="240"/>
      <c r="Z566" s="240"/>
      <c r="AA566" s="240"/>
      <c r="AB566" s="240"/>
    </row>
    <row r="567">
      <c r="A567" s="240"/>
      <c r="B567" s="240" t="s">
        <v>2955</v>
      </c>
      <c r="C567" s="240"/>
      <c r="D567" s="240"/>
      <c r="E567" s="240"/>
      <c r="G567" s="240"/>
      <c r="H567" s="240"/>
      <c r="I567" s="240"/>
      <c r="J567" s="240"/>
      <c r="K567" s="240"/>
      <c r="L567" s="240"/>
      <c r="M567" s="240"/>
      <c r="N567" s="240"/>
      <c r="O567" s="240"/>
      <c r="P567" s="240"/>
      <c r="Q567" s="240"/>
      <c r="R567" s="240"/>
      <c r="S567" s="240"/>
      <c r="T567" s="240"/>
      <c r="U567" s="240"/>
      <c r="V567" s="240"/>
      <c r="W567" s="240"/>
      <c r="X567" s="240"/>
      <c r="Y567" s="240"/>
      <c r="Z567" s="240"/>
      <c r="AA567" s="240"/>
      <c r="AB567" s="240"/>
    </row>
    <row r="568">
      <c r="A568" s="240"/>
      <c r="B568" s="240" t="s">
        <v>2955</v>
      </c>
      <c r="C568" s="240"/>
      <c r="D568" s="240"/>
      <c r="E568" s="240"/>
      <c r="G568" s="240"/>
      <c r="H568" s="240"/>
      <c r="I568" s="240"/>
      <c r="J568" s="240"/>
      <c r="K568" s="240"/>
      <c r="L568" s="240"/>
      <c r="M568" s="240"/>
      <c r="N568" s="240"/>
      <c r="O568" s="240"/>
      <c r="P568" s="240"/>
      <c r="Q568" s="240"/>
      <c r="R568" s="240"/>
      <c r="S568" s="240"/>
      <c r="T568" s="240"/>
      <c r="U568" s="240"/>
      <c r="V568" s="240"/>
      <c r="W568" s="240"/>
      <c r="X568" s="240"/>
      <c r="Y568" s="240"/>
      <c r="Z568" s="240"/>
      <c r="AA568" s="240"/>
      <c r="AB568" s="240"/>
    </row>
    <row r="569">
      <c r="A569" s="240"/>
      <c r="B569" s="240" t="s">
        <v>2955</v>
      </c>
      <c r="C569" s="240"/>
      <c r="D569" s="240"/>
      <c r="E569" s="240"/>
      <c r="G569" s="240"/>
      <c r="H569" s="240"/>
      <c r="I569" s="240"/>
      <c r="J569" s="240"/>
      <c r="K569" s="240"/>
      <c r="L569" s="240"/>
      <c r="M569" s="240"/>
      <c r="N569" s="240"/>
      <c r="O569" s="240"/>
      <c r="P569" s="240"/>
      <c r="Q569" s="240"/>
      <c r="R569" s="240"/>
      <c r="S569" s="240"/>
      <c r="T569" s="240"/>
      <c r="U569" s="240"/>
      <c r="V569" s="240"/>
      <c r="W569" s="240"/>
      <c r="X569" s="240"/>
      <c r="Y569" s="240"/>
      <c r="Z569" s="240"/>
      <c r="AA569" s="240"/>
      <c r="AB569" s="240"/>
    </row>
    <row r="570">
      <c r="A570" s="240"/>
      <c r="B570" s="240" t="s">
        <v>2955</v>
      </c>
      <c r="C570" s="240"/>
      <c r="D570" s="240"/>
      <c r="E570" s="240"/>
      <c r="G570" s="240"/>
      <c r="H570" s="240"/>
      <c r="I570" s="240"/>
      <c r="J570" s="240"/>
      <c r="K570" s="240"/>
      <c r="L570" s="240"/>
      <c r="M570" s="240"/>
      <c r="N570" s="240"/>
      <c r="O570" s="240"/>
      <c r="P570" s="240"/>
      <c r="Q570" s="240"/>
      <c r="R570" s="240"/>
      <c r="S570" s="240"/>
      <c r="T570" s="240"/>
      <c r="U570" s="240"/>
      <c r="V570" s="240"/>
      <c r="W570" s="240"/>
      <c r="X570" s="240"/>
      <c r="Y570" s="240"/>
      <c r="Z570" s="240"/>
      <c r="AA570" s="240"/>
      <c r="AB570" s="240"/>
    </row>
    <row r="571">
      <c r="A571" s="240"/>
      <c r="B571" s="240" t="s">
        <v>2955</v>
      </c>
      <c r="C571" s="240"/>
      <c r="D571" s="240"/>
      <c r="E571" s="240"/>
      <c r="G571" s="240"/>
      <c r="H571" s="240"/>
      <c r="I571" s="240"/>
      <c r="J571" s="240"/>
      <c r="K571" s="240"/>
      <c r="L571" s="240"/>
      <c r="M571" s="240"/>
      <c r="N571" s="240"/>
      <c r="O571" s="240"/>
      <c r="P571" s="240"/>
      <c r="Q571" s="240"/>
      <c r="R571" s="240"/>
      <c r="S571" s="240"/>
      <c r="T571" s="240"/>
      <c r="U571" s="240"/>
      <c r="V571" s="240"/>
      <c r="W571" s="240"/>
      <c r="X571" s="240"/>
      <c r="Y571" s="240"/>
      <c r="Z571" s="240"/>
      <c r="AA571" s="240"/>
      <c r="AB571" s="240"/>
    </row>
    <row r="572">
      <c r="A572" s="240"/>
      <c r="B572" s="240" t="s">
        <v>2955</v>
      </c>
      <c r="C572" s="240"/>
      <c r="D572" s="240"/>
      <c r="E572" s="240"/>
      <c r="G572" s="240"/>
      <c r="H572" s="240"/>
      <c r="I572" s="240"/>
      <c r="J572" s="240"/>
      <c r="K572" s="240"/>
      <c r="L572" s="240"/>
      <c r="M572" s="240"/>
      <c r="N572" s="240"/>
      <c r="O572" s="240"/>
      <c r="P572" s="240"/>
      <c r="Q572" s="240"/>
      <c r="R572" s="240"/>
      <c r="S572" s="240"/>
      <c r="T572" s="240"/>
      <c r="U572" s="240"/>
      <c r="V572" s="240"/>
      <c r="W572" s="240"/>
      <c r="X572" s="240"/>
      <c r="Y572" s="240"/>
      <c r="Z572" s="240"/>
      <c r="AA572" s="240"/>
      <c r="AB572" s="240"/>
    </row>
    <row r="573">
      <c r="A573" s="240"/>
      <c r="B573" s="240" t="s">
        <v>2955</v>
      </c>
      <c r="C573" s="240"/>
      <c r="D573" s="240"/>
      <c r="E573" s="240"/>
      <c r="G573" s="240"/>
      <c r="H573" s="240"/>
      <c r="I573" s="240"/>
      <c r="J573" s="240"/>
      <c r="K573" s="240"/>
      <c r="L573" s="240"/>
      <c r="M573" s="240"/>
      <c r="N573" s="240"/>
      <c r="O573" s="240"/>
      <c r="P573" s="240"/>
      <c r="Q573" s="240"/>
      <c r="R573" s="240"/>
      <c r="S573" s="240"/>
      <c r="T573" s="240"/>
      <c r="U573" s="240"/>
      <c r="V573" s="240"/>
      <c r="W573" s="240"/>
      <c r="X573" s="240"/>
      <c r="Y573" s="240"/>
      <c r="Z573" s="240"/>
      <c r="AA573" s="240"/>
      <c r="AB573" s="240"/>
    </row>
    <row r="574">
      <c r="A574" s="240"/>
      <c r="B574" s="240" t="s">
        <v>2955</v>
      </c>
      <c r="C574" s="240"/>
      <c r="D574" s="240"/>
      <c r="E574" s="240"/>
      <c r="G574" s="240"/>
      <c r="H574" s="240"/>
      <c r="I574" s="240"/>
      <c r="J574" s="240"/>
      <c r="K574" s="240"/>
      <c r="L574" s="240"/>
      <c r="M574" s="240"/>
      <c r="N574" s="240"/>
      <c r="O574" s="240"/>
      <c r="P574" s="240"/>
      <c r="Q574" s="240"/>
      <c r="R574" s="240"/>
      <c r="S574" s="240"/>
      <c r="T574" s="240"/>
      <c r="U574" s="240"/>
      <c r="V574" s="240"/>
      <c r="W574" s="240"/>
      <c r="X574" s="240"/>
      <c r="Y574" s="240"/>
      <c r="Z574" s="240"/>
      <c r="AA574" s="240"/>
      <c r="AB574" s="240"/>
    </row>
    <row r="575">
      <c r="A575" s="240"/>
      <c r="B575" s="240" t="s">
        <v>2955</v>
      </c>
      <c r="C575" s="240"/>
      <c r="D575" s="240"/>
      <c r="E575" s="240"/>
      <c r="G575" s="240"/>
      <c r="H575" s="240"/>
      <c r="I575" s="240"/>
      <c r="J575" s="240"/>
      <c r="K575" s="240"/>
      <c r="L575" s="240"/>
      <c r="M575" s="240"/>
      <c r="N575" s="240"/>
      <c r="O575" s="240"/>
      <c r="P575" s="240"/>
      <c r="Q575" s="240"/>
      <c r="R575" s="240"/>
      <c r="S575" s="240"/>
      <c r="T575" s="240"/>
      <c r="U575" s="240"/>
      <c r="V575" s="240"/>
      <c r="W575" s="240"/>
      <c r="X575" s="240"/>
      <c r="Y575" s="240"/>
      <c r="Z575" s="240"/>
      <c r="AA575" s="240"/>
      <c r="AB575" s="240"/>
    </row>
    <row r="576">
      <c r="A576" s="240"/>
      <c r="B576" s="240" t="s">
        <v>2955</v>
      </c>
      <c r="C576" s="240"/>
      <c r="D576" s="240"/>
      <c r="E576" s="240"/>
      <c r="G576" s="240"/>
      <c r="H576" s="240"/>
      <c r="I576" s="240"/>
      <c r="J576" s="240"/>
      <c r="K576" s="240"/>
      <c r="L576" s="240"/>
      <c r="M576" s="240"/>
      <c r="N576" s="240"/>
      <c r="O576" s="240"/>
      <c r="P576" s="240"/>
      <c r="Q576" s="240"/>
      <c r="R576" s="240"/>
      <c r="S576" s="240"/>
      <c r="T576" s="240"/>
      <c r="U576" s="240"/>
      <c r="V576" s="240"/>
      <c r="W576" s="240"/>
      <c r="X576" s="240"/>
      <c r="Y576" s="240"/>
      <c r="Z576" s="240"/>
      <c r="AA576" s="240"/>
      <c r="AB576" s="240"/>
    </row>
    <row r="577">
      <c r="A577" s="240"/>
      <c r="B577" s="240" t="s">
        <v>2955</v>
      </c>
      <c r="C577" s="240"/>
      <c r="D577" s="240"/>
      <c r="E577" s="240"/>
      <c r="G577" s="240"/>
      <c r="H577" s="240"/>
      <c r="I577" s="240"/>
      <c r="J577" s="240"/>
      <c r="K577" s="240"/>
      <c r="L577" s="240"/>
      <c r="M577" s="240"/>
      <c r="N577" s="240"/>
      <c r="O577" s="240"/>
      <c r="P577" s="240"/>
      <c r="Q577" s="240"/>
      <c r="R577" s="240"/>
      <c r="S577" s="240"/>
      <c r="T577" s="240"/>
      <c r="U577" s="240"/>
      <c r="V577" s="240"/>
      <c r="W577" s="240"/>
      <c r="X577" s="240"/>
      <c r="Y577" s="240"/>
      <c r="Z577" s="240"/>
      <c r="AA577" s="240"/>
      <c r="AB577" s="240"/>
    </row>
    <row r="578">
      <c r="A578" s="240"/>
      <c r="B578" s="240" t="s">
        <v>2955</v>
      </c>
      <c r="C578" s="240"/>
      <c r="D578" s="240"/>
      <c r="E578" s="240"/>
      <c r="G578" s="240"/>
      <c r="H578" s="240"/>
      <c r="I578" s="240"/>
      <c r="J578" s="240"/>
      <c r="K578" s="240"/>
      <c r="L578" s="240"/>
      <c r="M578" s="240"/>
      <c r="N578" s="240"/>
      <c r="O578" s="240"/>
      <c r="P578" s="240"/>
      <c r="Q578" s="240"/>
      <c r="R578" s="240"/>
      <c r="S578" s="240"/>
      <c r="T578" s="240"/>
      <c r="U578" s="240"/>
      <c r="V578" s="240"/>
      <c r="W578" s="240"/>
      <c r="X578" s="240"/>
      <c r="Y578" s="240"/>
      <c r="Z578" s="240"/>
      <c r="AA578" s="240"/>
      <c r="AB578" s="240"/>
    </row>
    <row r="579">
      <c r="A579" s="240"/>
      <c r="B579" s="240" t="s">
        <v>2955</v>
      </c>
      <c r="C579" s="240"/>
      <c r="D579" s="240"/>
      <c r="E579" s="240"/>
      <c r="G579" s="240"/>
      <c r="H579" s="240"/>
      <c r="I579" s="240"/>
      <c r="J579" s="240"/>
      <c r="K579" s="240"/>
      <c r="L579" s="240"/>
      <c r="M579" s="240"/>
      <c r="N579" s="240"/>
      <c r="O579" s="240"/>
      <c r="P579" s="240"/>
      <c r="Q579" s="240"/>
      <c r="R579" s="240"/>
      <c r="S579" s="240"/>
      <c r="T579" s="240"/>
      <c r="U579" s="240"/>
      <c r="V579" s="240"/>
      <c r="W579" s="240"/>
      <c r="X579" s="240"/>
      <c r="Y579" s="240"/>
      <c r="Z579" s="240"/>
      <c r="AA579" s="240"/>
      <c r="AB579" s="240"/>
    </row>
    <row r="580">
      <c r="A580" s="240"/>
      <c r="B580" s="240" t="s">
        <v>2955</v>
      </c>
      <c r="C580" s="240"/>
      <c r="D580" s="240"/>
      <c r="E580" s="240"/>
      <c r="G580" s="240"/>
      <c r="H580" s="240"/>
      <c r="I580" s="240"/>
      <c r="J580" s="240"/>
      <c r="K580" s="240"/>
      <c r="L580" s="240"/>
      <c r="M580" s="240"/>
      <c r="N580" s="240"/>
      <c r="O580" s="240"/>
      <c r="P580" s="240"/>
      <c r="Q580" s="240"/>
      <c r="R580" s="240"/>
      <c r="S580" s="240"/>
      <c r="T580" s="240"/>
      <c r="U580" s="240"/>
      <c r="V580" s="240"/>
      <c r="W580" s="240"/>
      <c r="X580" s="240"/>
      <c r="Y580" s="240"/>
      <c r="Z580" s="240"/>
      <c r="AA580" s="240"/>
      <c r="AB580" s="240"/>
    </row>
    <row r="581">
      <c r="A581" s="240"/>
      <c r="B581" s="240" t="s">
        <v>2955</v>
      </c>
      <c r="C581" s="240"/>
      <c r="D581" s="240"/>
      <c r="E581" s="240"/>
      <c r="G581" s="240"/>
      <c r="H581" s="240"/>
      <c r="I581" s="240"/>
      <c r="J581" s="240"/>
      <c r="K581" s="240"/>
      <c r="L581" s="240"/>
      <c r="M581" s="240"/>
      <c r="N581" s="240"/>
      <c r="O581" s="240"/>
      <c r="P581" s="240"/>
      <c r="Q581" s="240"/>
      <c r="R581" s="240"/>
      <c r="S581" s="240"/>
      <c r="T581" s="240"/>
      <c r="U581" s="240"/>
      <c r="V581" s="240"/>
      <c r="W581" s="240"/>
      <c r="X581" s="240"/>
      <c r="Y581" s="240"/>
      <c r="Z581" s="240"/>
      <c r="AA581" s="240"/>
      <c r="AB581" s="240"/>
    </row>
    <row r="582">
      <c r="A582" s="240"/>
      <c r="B582" s="240" t="s">
        <v>2955</v>
      </c>
      <c r="C582" s="240"/>
      <c r="D582" s="240"/>
      <c r="E582" s="240"/>
      <c r="G582" s="240"/>
      <c r="H582" s="240"/>
      <c r="I582" s="240"/>
      <c r="J582" s="240"/>
      <c r="K582" s="240"/>
      <c r="L582" s="240"/>
      <c r="M582" s="240"/>
      <c r="N582" s="240"/>
      <c r="O582" s="240"/>
      <c r="P582" s="240"/>
      <c r="Q582" s="240"/>
      <c r="R582" s="240"/>
      <c r="S582" s="240"/>
      <c r="T582" s="240"/>
      <c r="U582" s="240"/>
      <c r="V582" s="240"/>
      <c r="W582" s="240"/>
      <c r="X582" s="240"/>
      <c r="Y582" s="240"/>
      <c r="Z582" s="240"/>
      <c r="AA582" s="240"/>
      <c r="AB582" s="240"/>
    </row>
    <row r="583">
      <c r="A583" s="240"/>
      <c r="B583" s="240" t="s">
        <v>2955</v>
      </c>
      <c r="C583" s="240"/>
      <c r="D583" s="240"/>
      <c r="E583" s="240"/>
      <c r="G583" s="240"/>
      <c r="H583" s="240"/>
      <c r="I583" s="240"/>
      <c r="J583" s="240"/>
      <c r="K583" s="240"/>
      <c r="L583" s="240"/>
      <c r="M583" s="240"/>
      <c r="N583" s="240"/>
      <c r="O583" s="240"/>
      <c r="P583" s="240"/>
      <c r="Q583" s="240"/>
      <c r="R583" s="240"/>
      <c r="S583" s="240"/>
      <c r="T583" s="240"/>
      <c r="U583" s="240"/>
      <c r="V583" s="240"/>
      <c r="W583" s="240"/>
      <c r="X583" s="240"/>
      <c r="Y583" s="240"/>
      <c r="Z583" s="240"/>
      <c r="AA583" s="240"/>
      <c r="AB583" s="240"/>
    </row>
    <row r="584">
      <c r="A584" s="240"/>
      <c r="B584" s="240" t="s">
        <v>2955</v>
      </c>
      <c r="C584" s="240"/>
      <c r="D584" s="240"/>
      <c r="E584" s="240"/>
      <c r="G584" s="240"/>
      <c r="H584" s="240"/>
      <c r="I584" s="240"/>
      <c r="J584" s="240"/>
      <c r="K584" s="240"/>
      <c r="L584" s="240"/>
      <c r="M584" s="240"/>
      <c r="N584" s="240"/>
      <c r="O584" s="240"/>
      <c r="P584" s="240"/>
      <c r="Q584" s="240"/>
      <c r="R584" s="240"/>
      <c r="S584" s="240"/>
      <c r="T584" s="240"/>
      <c r="U584" s="240"/>
      <c r="V584" s="240"/>
      <c r="W584" s="240"/>
      <c r="X584" s="240"/>
      <c r="Y584" s="240"/>
      <c r="Z584" s="240"/>
      <c r="AA584" s="240"/>
      <c r="AB584" s="240"/>
    </row>
    <row r="585">
      <c r="A585" s="240"/>
      <c r="B585" s="240" t="s">
        <v>2955</v>
      </c>
      <c r="C585" s="240"/>
      <c r="D585" s="240"/>
      <c r="E585" s="240"/>
      <c r="G585" s="240"/>
      <c r="H585" s="240"/>
      <c r="I585" s="240"/>
      <c r="J585" s="240"/>
      <c r="K585" s="240"/>
      <c r="L585" s="240"/>
      <c r="M585" s="240"/>
      <c r="N585" s="240"/>
      <c r="O585" s="240"/>
      <c r="P585" s="240"/>
      <c r="Q585" s="240"/>
      <c r="R585" s="240"/>
      <c r="S585" s="240"/>
      <c r="T585" s="240"/>
      <c r="U585" s="240"/>
      <c r="V585" s="240"/>
      <c r="W585" s="240"/>
      <c r="X585" s="240"/>
      <c r="Y585" s="240"/>
      <c r="Z585" s="240"/>
      <c r="AA585" s="240"/>
      <c r="AB585" s="240"/>
    </row>
    <row r="586">
      <c r="A586" s="240"/>
      <c r="B586" s="240" t="s">
        <v>2955</v>
      </c>
      <c r="C586" s="240"/>
      <c r="D586" s="240"/>
      <c r="E586" s="240"/>
      <c r="G586" s="240"/>
      <c r="H586" s="240"/>
      <c r="I586" s="240"/>
      <c r="J586" s="240"/>
      <c r="K586" s="240"/>
      <c r="L586" s="240"/>
      <c r="M586" s="240"/>
      <c r="N586" s="240"/>
      <c r="O586" s="240"/>
      <c r="P586" s="240"/>
      <c r="Q586" s="240"/>
      <c r="R586" s="240"/>
      <c r="S586" s="240"/>
      <c r="T586" s="240"/>
      <c r="U586" s="240"/>
      <c r="V586" s="240"/>
      <c r="W586" s="240"/>
      <c r="X586" s="240"/>
      <c r="Y586" s="240"/>
      <c r="Z586" s="240"/>
      <c r="AA586" s="240"/>
      <c r="AB586" s="240"/>
    </row>
    <row r="587">
      <c r="A587" s="240"/>
      <c r="B587" s="240" t="s">
        <v>2955</v>
      </c>
      <c r="C587" s="240"/>
      <c r="D587" s="240"/>
      <c r="E587" s="240"/>
      <c r="G587" s="240"/>
      <c r="H587" s="240"/>
      <c r="I587" s="240"/>
      <c r="J587" s="240"/>
      <c r="K587" s="240"/>
      <c r="L587" s="240"/>
      <c r="M587" s="240"/>
      <c r="N587" s="240"/>
      <c r="O587" s="240"/>
      <c r="P587" s="240"/>
      <c r="Q587" s="240"/>
      <c r="R587" s="240"/>
      <c r="S587" s="240"/>
      <c r="T587" s="240"/>
      <c r="U587" s="240"/>
      <c r="V587" s="240"/>
      <c r="W587" s="240"/>
      <c r="X587" s="240"/>
      <c r="Y587" s="240"/>
      <c r="Z587" s="240"/>
      <c r="AA587" s="240"/>
      <c r="AB587" s="240"/>
    </row>
    <row r="588">
      <c r="A588" s="240"/>
      <c r="B588" s="240" t="s">
        <v>2955</v>
      </c>
      <c r="C588" s="240"/>
      <c r="D588" s="240"/>
      <c r="E588" s="240"/>
      <c r="G588" s="240"/>
      <c r="H588" s="240"/>
      <c r="I588" s="240"/>
      <c r="J588" s="240"/>
      <c r="K588" s="240"/>
      <c r="L588" s="240"/>
      <c r="M588" s="240"/>
      <c r="N588" s="240"/>
      <c r="O588" s="240"/>
      <c r="P588" s="240"/>
      <c r="Q588" s="240"/>
      <c r="R588" s="240"/>
      <c r="S588" s="240"/>
      <c r="T588" s="240"/>
      <c r="U588" s="240"/>
      <c r="V588" s="240"/>
      <c r="W588" s="240"/>
      <c r="X588" s="240"/>
      <c r="Y588" s="240"/>
      <c r="Z588" s="240"/>
      <c r="AA588" s="240"/>
      <c r="AB588" s="240"/>
    </row>
    <row r="589">
      <c r="A589" s="240"/>
      <c r="B589" s="240" t="s">
        <v>2955</v>
      </c>
      <c r="C589" s="240"/>
      <c r="D589" s="240"/>
      <c r="E589" s="240"/>
      <c r="G589" s="240"/>
      <c r="H589" s="240"/>
      <c r="I589" s="240"/>
      <c r="J589" s="240"/>
      <c r="K589" s="240"/>
      <c r="L589" s="240"/>
      <c r="M589" s="240"/>
      <c r="N589" s="240"/>
      <c r="O589" s="240"/>
      <c r="P589" s="240"/>
      <c r="Q589" s="240"/>
      <c r="R589" s="240"/>
      <c r="S589" s="240"/>
      <c r="T589" s="240"/>
      <c r="U589" s="240"/>
      <c r="V589" s="240"/>
      <c r="W589" s="240"/>
      <c r="X589" s="240"/>
      <c r="Y589" s="240"/>
      <c r="Z589" s="240"/>
      <c r="AA589" s="240"/>
      <c r="AB589" s="240"/>
    </row>
    <row r="590">
      <c r="A590" s="240"/>
      <c r="B590" s="240" t="s">
        <v>2955</v>
      </c>
      <c r="C590" s="240"/>
      <c r="D590" s="240"/>
      <c r="E590" s="240"/>
      <c r="G590" s="240"/>
      <c r="H590" s="240"/>
      <c r="I590" s="240"/>
      <c r="J590" s="240"/>
      <c r="K590" s="240"/>
      <c r="L590" s="240"/>
      <c r="M590" s="240"/>
      <c r="N590" s="240"/>
      <c r="O590" s="240"/>
      <c r="P590" s="240"/>
      <c r="Q590" s="240"/>
      <c r="R590" s="240"/>
      <c r="S590" s="240"/>
      <c r="T590" s="240"/>
      <c r="U590" s="240"/>
      <c r="V590" s="240"/>
      <c r="W590" s="240"/>
      <c r="X590" s="240"/>
      <c r="Y590" s="240"/>
      <c r="Z590" s="240"/>
      <c r="AA590" s="240"/>
      <c r="AB590" s="240"/>
    </row>
    <row r="591">
      <c r="A591" s="240"/>
      <c r="B591" s="240" t="s">
        <v>2955</v>
      </c>
      <c r="C591" s="240"/>
      <c r="D591" s="240"/>
      <c r="E591" s="240"/>
      <c r="G591" s="240"/>
      <c r="H591" s="240"/>
      <c r="I591" s="240"/>
      <c r="J591" s="240"/>
      <c r="K591" s="240"/>
      <c r="L591" s="240"/>
      <c r="M591" s="240"/>
      <c r="N591" s="240"/>
      <c r="O591" s="240"/>
      <c r="P591" s="240"/>
      <c r="Q591" s="240"/>
      <c r="R591" s="240"/>
      <c r="S591" s="240"/>
      <c r="T591" s="240"/>
      <c r="U591" s="240"/>
      <c r="V591" s="240"/>
      <c r="W591" s="240"/>
      <c r="X591" s="240"/>
      <c r="Y591" s="240"/>
      <c r="Z591" s="240"/>
      <c r="AA591" s="240"/>
      <c r="AB591" s="240"/>
    </row>
    <row r="592">
      <c r="A592" s="240"/>
      <c r="B592" s="240" t="s">
        <v>2955</v>
      </c>
      <c r="C592" s="240"/>
      <c r="D592" s="240"/>
      <c r="E592" s="240"/>
      <c r="G592" s="240"/>
      <c r="H592" s="240"/>
      <c r="I592" s="240"/>
      <c r="J592" s="240"/>
      <c r="K592" s="240"/>
      <c r="L592" s="240"/>
      <c r="M592" s="240"/>
      <c r="N592" s="240"/>
      <c r="O592" s="240"/>
      <c r="P592" s="240"/>
      <c r="Q592" s="240"/>
      <c r="R592" s="240"/>
      <c r="S592" s="240"/>
      <c r="T592" s="240"/>
      <c r="U592" s="240"/>
      <c r="V592" s="240"/>
      <c r="W592" s="240"/>
      <c r="X592" s="240"/>
      <c r="Y592" s="240"/>
      <c r="Z592" s="240"/>
      <c r="AA592" s="240"/>
      <c r="AB592" s="240"/>
    </row>
    <row r="593">
      <c r="A593" s="240"/>
      <c r="B593" s="240" t="s">
        <v>2955</v>
      </c>
      <c r="C593" s="240"/>
      <c r="D593" s="240"/>
      <c r="E593" s="240"/>
      <c r="G593" s="240"/>
      <c r="H593" s="240"/>
      <c r="I593" s="240"/>
      <c r="J593" s="240"/>
      <c r="K593" s="240"/>
      <c r="L593" s="240"/>
      <c r="M593" s="240"/>
      <c r="N593" s="240"/>
      <c r="O593" s="240"/>
      <c r="P593" s="240"/>
      <c r="Q593" s="240"/>
      <c r="R593" s="240"/>
      <c r="S593" s="240"/>
      <c r="T593" s="240"/>
      <c r="U593" s="240"/>
      <c r="V593" s="240"/>
      <c r="W593" s="240"/>
      <c r="X593" s="240"/>
      <c r="Y593" s="240"/>
      <c r="Z593" s="240"/>
      <c r="AA593" s="240"/>
      <c r="AB593" s="240"/>
    </row>
    <row r="594">
      <c r="A594" s="240"/>
      <c r="B594" s="240" t="s">
        <v>2955</v>
      </c>
      <c r="C594" s="240"/>
      <c r="D594" s="240"/>
      <c r="E594" s="240"/>
      <c r="G594" s="240"/>
      <c r="H594" s="240"/>
      <c r="I594" s="240"/>
      <c r="J594" s="240"/>
      <c r="K594" s="240"/>
      <c r="L594" s="240"/>
      <c r="M594" s="240"/>
      <c r="N594" s="240"/>
      <c r="O594" s="240"/>
      <c r="P594" s="240"/>
      <c r="Q594" s="240"/>
      <c r="R594" s="240"/>
      <c r="S594" s="240"/>
      <c r="T594" s="240"/>
      <c r="U594" s="240"/>
      <c r="V594" s="240"/>
      <c r="W594" s="240"/>
      <c r="X594" s="240"/>
      <c r="Y594" s="240"/>
      <c r="Z594" s="240"/>
      <c r="AA594" s="240"/>
      <c r="AB594" s="240"/>
    </row>
    <row r="595">
      <c r="A595" s="240"/>
      <c r="B595" s="240" t="s">
        <v>2955</v>
      </c>
      <c r="C595" s="240"/>
      <c r="D595" s="240"/>
      <c r="E595" s="240"/>
      <c r="G595" s="240"/>
      <c r="H595" s="240"/>
      <c r="I595" s="240"/>
      <c r="J595" s="240"/>
      <c r="K595" s="240"/>
      <c r="L595" s="240"/>
      <c r="M595" s="240"/>
      <c r="N595" s="240"/>
      <c r="O595" s="240"/>
      <c r="P595" s="240"/>
      <c r="Q595" s="240"/>
      <c r="R595" s="240"/>
      <c r="S595" s="240"/>
      <c r="T595" s="240"/>
      <c r="U595" s="240"/>
      <c r="V595" s="240"/>
      <c r="W595" s="240"/>
      <c r="X595" s="240"/>
      <c r="Y595" s="240"/>
      <c r="Z595" s="240"/>
      <c r="AA595" s="240"/>
      <c r="AB595" s="240"/>
    </row>
    <row r="596">
      <c r="A596" s="240"/>
      <c r="B596" s="240" t="s">
        <v>2955</v>
      </c>
      <c r="C596" s="240"/>
      <c r="D596" s="240"/>
      <c r="E596" s="240"/>
      <c r="G596" s="240"/>
      <c r="H596" s="240"/>
      <c r="I596" s="240"/>
      <c r="J596" s="240"/>
      <c r="K596" s="240"/>
      <c r="L596" s="240"/>
      <c r="M596" s="240"/>
      <c r="N596" s="240"/>
      <c r="O596" s="240"/>
      <c r="P596" s="240"/>
      <c r="Q596" s="240"/>
      <c r="R596" s="240"/>
      <c r="S596" s="240"/>
      <c r="T596" s="240"/>
      <c r="U596" s="240"/>
      <c r="V596" s="240"/>
      <c r="W596" s="240"/>
      <c r="X596" s="240"/>
      <c r="Y596" s="240"/>
      <c r="Z596" s="240"/>
      <c r="AA596" s="240"/>
      <c r="AB596" s="240"/>
    </row>
    <row r="597">
      <c r="A597" s="240"/>
      <c r="B597" s="240" t="s">
        <v>2955</v>
      </c>
      <c r="C597" s="240"/>
      <c r="D597" s="240"/>
      <c r="E597" s="240"/>
      <c r="G597" s="240"/>
      <c r="H597" s="240"/>
      <c r="I597" s="240"/>
      <c r="J597" s="240"/>
      <c r="K597" s="240"/>
      <c r="L597" s="240"/>
      <c r="M597" s="240"/>
      <c r="N597" s="240"/>
      <c r="O597" s="240"/>
      <c r="P597" s="240"/>
      <c r="Q597" s="240"/>
      <c r="R597" s="240"/>
      <c r="S597" s="240"/>
      <c r="T597" s="240"/>
      <c r="U597" s="240"/>
      <c r="V597" s="240"/>
      <c r="W597" s="240"/>
      <c r="X597" s="240"/>
      <c r="Y597" s="240"/>
      <c r="Z597" s="240"/>
      <c r="AA597" s="240"/>
      <c r="AB597" s="240"/>
    </row>
    <row r="598">
      <c r="A598" s="240"/>
      <c r="B598" s="240" t="s">
        <v>2955</v>
      </c>
      <c r="C598" s="240"/>
      <c r="D598" s="240"/>
      <c r="E598" s="240"/>
      <c r="G598" s="240"/>
      <c r="H598" s="240"/>
      <c r="I598" s="240"/>
      <c r="J598" s="240"/>
      <c r="K598" s="240"/>
      <c r="L598" s="240"/>
      <c r="M598" s="240"/>
      <c r="N598" s="240"/>
      <c r="O598" s="240"/>
      <c r="P598" s="240"/>
      <c r="Q598" s="240"/>
      <c r="R598" s="240"/>
      <c r="S598" s="240"/>
      <c r="T598" s="240"/>
      <c r="U598" s="240"/>
      <c r="V598" s="240"/>
      <c r="W598" s="240"/>
      <c r="X598" s="240"/>
      <c r="Y598" s="240"/>
      <c r="Z598" s="240"/>
      <c r="AA598" s="240"/>
      <c r="AB598" s="240"/>
    </row>
    <row r="599">
      <c r="A599" s="240"/>
      <c r="B599" s="240" t="s">
        <v>2955</v>
      </c>
      <c r="C599" s="240"/>
      <c r="D599" s="240"/>
      <c r="E599" s="240"/>
      <c r="G599" s="240"/>
      <c r="H599" s="240"/>
      <c r="I599" s="240"/>
      <c r="J599" s="240"/>
      <c r="K599" s="240"/>
      <c r="L599" s="240"/>
      <c r="M599" s="240"/>
      <c r="N599" s="240"/>
      <c r="O599" s="240"/>
      <c r="P599" s="240"/>
      <c r="Q599" s="240"/>
      <c r="R599" s="240"/>
      <c r="S599" s="240"/>
      <c r="T599" s="240"/>
      <c r="U599" s="240"/>
      <c r="V599" s="240"/>
      <c r="W599" s="240"/>
      <c r="X599" s="240"/>
      <c r="Y599" s="240"/>
      <c r="Z599" s="240"/>
      <c r="AA599" s="240"/>
      <c r="AB599" s="240"/>
    </row>
    <row r="600">
      <c r="A600" s="240"/>
      <c r="B600" s="240" t="s">
        <v>2955</v>
      </c>
      <c r="C600" s="240"/>
      <c r="D600" s="240"/>
      <c r="E600" s="240"/>
      <c r="G600" s="240"/>
      <c r="H600" s="240"/>
      <c r="I600" s="240"/>
      <c r="J600" s="240"/>
      <c r="K600" s="240"/>
      <c r="L600" s="240"/>
      <c r="M600" s="240"/>
      <c r="N600" s="240"/>
      <c r="O600" s="240"/>
      <c r="P600" s="240"/>
      <c r="Q600" s="240"/>
      <c r="R600" s="240"/>
      <c r="S600" s="240"/>
      <c r="T600" s="240"/>
      <c r="U600" s="240"/>
      <c r="V600" s="240"/>
      <c r="W600" s="240"/>
      <c r="X600" s="240"/>
      <c r="Y600" s="240"/>
      <c r="Z600" s="240"/>
      <c r="AA600" s="240"/>
      <c r="AB600" s="240"/>
    </row>
    <row r="601">
      <c r="A601" s="240"/>
      <c r="B601" s="240" t="s">
        <v>2955</v>
      </c>
      <c r="C601" s="240"/>
      <c r="D601" s="240"/>
      <c r="E601" s="240"/>
      <c r="G601" s="240"/>
      <c r="H601" s="240"/>
      <c r="I601" s="240"/>
      <c r="J601" s="240"/>
      <c r="K601" s="240"/>
      <c r="L601" s="240"/>
      <c r="M601" s="240"/>
      <c r="N601" s="240"/>
      <c r="O601" s="240"/>
      <c r="P601" s="240"/>
      <c r="Q601" s="240"/>
      <c r="R601" s="240"/>
      <c r="S601" s="240"/>
      <c r="T601" s="240"/>
      <c r="U601" s="240"/>
      <c r="V601" s="240"/>
      <c r="W601" s="240"/>
      <c r="X601" s="240"/>
      <c r="Y601" s="240"/>
      <c r="Z601" s="240"/>
      <c r="AA601" s="240"/>
      <c r="AB601" s="240"/>
    </row>
    <row r="602">
      <c r="A602" s="240"/>
      <c r="B602" s="240" t="s">
        <v>2955</v>
      </c>
      <c r="C602" s="240"/>
      <c r="D602" s="240"/>
      <c r="E602" s="240"/>
      <c r="G602" s="240"/>
      <c r="H602" s="240"/>
      <c r="I602" s="240"/>
      <c r="J602" s="240"/>
      <c r="K602" s="240"/>
      <c r="L602" s="240"/>
      <c r="M602" s="240"/>
      <c r="N602" s="240"/>
      <c r="O602" s="240"/>
      <c r="P602" s="240"/>
      <c r="Q602" s="240"/>
      <c r="R602" s="240"/>
      <c r="S602" s="240"/>
      <c r="T602" s="240"/>
      <c r="U602" s="240"/>
      <c r="V602" s="240"/>
      <c r="W602" s="240"/>
      <c r="X602" s="240"/>
      <c r="Y602" s="240"/>
      <c r="Z602" s="240"/>
      <c r="AA602" s="240"/>
      <c r="AB602" s="240"/>
    </row>
    <row r="603">
      <c r="A603" s="240"/>
      <c r="B603" s="240" t="s">
        <v>2955</v>
      </c>
      <c r="C603" s="240"/>
      <c r="D603" s="240"/>
      <c r="E603" s="240"/>
      <c r="G603" s="240"/>
      <c r="H603" s="240"/>
      <c r="I603" s="240"/>
      <c r="J603" s="240"/>
      <c r="K603" s="240"/>
      <c r="L603" s="240"/>
      <c r="M603" s="240"/>
      <c r="N603" s="240"/>
      <c r="O603" s="240"/>
      <c r="P603" s="240"/>
      <c r="Q603" s="240"/>
      <c r="R603" s="240"/>
      <c r="S603" s="240"/>
      <c r="T603" s="240"/>
      <c r="U603" s="240"/>
      <c r="V603" s="240"/>
      <c r="W603" s="240"/>
      <c r="X603" s="240"/>
      <c r="Y603" s="240"/>
      <c r="Z603" s="240"/>
      <c r="AA603" s="240"/>
      <c r="AB603" s="240"/>
    </row>
    <row r="604">
      <c r="A604" s="240"/>
      <c r="B604" s="240" t="s">
        <v>2955</v>
      </c>
      <c r="C604" s="240"/>
      <c r="D604" s="240"/>
      <c r="E604" s="240"/>
      <c r="G604" s="240"/>
      <c r="H604" s="240"/>
      <c r="I604" s="240"/>
      <c r="J604" s="240"/>
      <c r="K604" s="240"/>
      <c r="L604" s="240"/>
      <c r="M604" s="240"/>
      <c r="N604" s="240"/>
      <c r="O604" s="240"/>
      <c r="P604" s="240"/>
      <c r="Q604" s="240"/>
      <c r="R604" s="240"/>
      <c r="S604" s="240"/>
      <c r="T604" s="240"/>
      <c r="U604" s="240"/>
      <c r="V604" s="240"/>
      <c r="W604" s="240"/>
      <c r="X604" s="240"/>
      <c r="Y604" s="240"/>
      <c r="Z604" s="240"/>
      <c r="AA604" s="240"/>
      <c r="AB604" s="240"/>
    </row>
    <row r="605">
      <c r="A605" s="240"/>
      <c r="B605" s="240" t="s">
        <v>2955</v>
      </c>
      <c r="C605" s="240"/>
      <c r="D605" s="240"/>
      <c r="E605" s="240"/>
      <c r="G605" s="240"/>
      <c r="H605" s="240"/>
      <c r="I605" s="240"/>
      <c r="J605" s="240"/>
      <c r="K605" s="240"/>
      <c r="L605" s="240"/>
      <c r="M605" s="240"/>
      <c r="N605" s="240"/>
      <c r="O605" s="240"/>
      <c r="P605" s="240"/>
      <c r="Q605" s="240"/>
      <c r="R605" s="240"/>
      <c r="S605" s="240"/>
      <c r="T605" s="240"/>
      <c r="U605" s="240"/>
      <c r="V605" s="240"/>
      <c r="W605" s="240"/>
      <c r="X605" s="240"/>
      <c r="Y605" s="240"/>
      <c r="Z605" s="240"/>
      <c r="AA605" s="240"/>
      <c r="AB605" s="240"/>
    </row>
    <row r="606">
      <c r="A606" s="240"/>
      <c r="B606" s="240" t="s">
        <v>2955</v>
      </c>
      <c r="C606" s="240"/>
      <c r="D606" s="240"/>
      <c r="E606" s="240"/>
      <c r="G606" s="240"/>
      <c r="H606" s="240"/>
      <c r="I606" s="240"/>
      <c r="J606" s="240"/>
      <c r="K606" s="240"/>
      <c r="L606" s="240"/>
      <c r="M606" s="240"/>
      <c r="N606" s="240"/>
      <c r="O606" s="240"/>
      <c r="P606" s="240"/>
      <c r="Q606" s="240"/>
      <c r="R606" s="240"/>
      <c r="S606" s="240"/>
      <c r="T606" s="240"/>
      <c r="U606" s="240"/>
      <c r="V606" s="240"/>
      <c r="W606" s="240"/>
      <c r="X606" s="240"/>
      <c r="Y606" s="240"/>
      <c r="Z606" s="240"/>
      <c r="AA606" s="240"/>
      <c r="AB606" s="240"/>
    </row>
    <row r="607">
      <c r="A607" s="240"/>
      <c r="B607" s="240" t="s">
        <v>2955</v>
      </c>
      <c r="C607" s="240"/>
      <c r="D607" s="240"/>
      <c r="E607" s="240"/>
      <c r="G607" s="240"/>
      <c r="H607" s="240"/>
      <c r="I607" s="240"/>
      <c r="J607" s="240"/>
      <c r="K607" s="240"/>
      <c r="L607" s="240"/>
      <c r="M607" s="240"/>
      <c r="N607" s="240"/>
      <c r="O607" s="240"/>
      <c r="P607" s="240"/>
      <c r="Q607" s="240"/>
      <c r="R607" s="240"/>
      <c r="S607" s="240"/>
      <c r="T607" s="240"/>
      <c r="U607" s="240"/>
      <c r="V607" s="240"/>
      <c r="W607" s="240"/>
      <c r="X607" s="240"/>
      <c r="Y607" s="240"/>
      <c r="Z607" s="240"/>
      <c r="AA607" s="240"/>
      <c r="AB607" s="240"/>
    </row>
    <row r="608">
      <c r="A608" s="240"/>
      <c r="B608" s="240" t="s">
        <v>2955</v>
      </c>
      <c r="C608" s="240"/>
      <c r="D608" s="240"/>
      <c r="E608" s="240"/>
      <c r="G608" s="240"/>
      <c r="H608" s="240"/>
      <c r="I608" s="240"/>
      <c r="J608" s="240"/>
      <c r="K608" s="240"/>
      <c r="L608" s="240"/>
      <c r="M608" s="240"/>
      <c r="N608" s="240"/>
      <c r="O608" s="240"/>
      <c r="P608" s="240"/>
      <c r="Q608" s="240"/>
      <c r="R608" s="240"/>
      <c r="S608" s="240"/>
      <c r="T608" s="240"/>
      <c r="U608" s="240"/>
      <c r="V608" s="240"/>
      <c r="W608" s="240"/>
      <c r="X608" s="240"/>
      <c r="Y608" s="240"/>
      <c r="Z608" s="240"/>
      <c r="AA608" s="240"/>
      <c r="AB608" s="240"/>
    </row>
    <row r="609">
      <c r="A609" s="240"/>
      <c r="B609" s="240" t="s">
        <v>2955</v>
      </c>
      <c r="C609" s="240"/>
      <c r="D609" s="240"/>
      <c r="E609" s="240"/>
      <c r="G609" s="240"/>
      <c r="H609" s="240"/>
      <c r="I609" s="240"/>
      <c r="J609" s="240"/>
      <c r="K609" s="240"/>
      <c r="L609" s="240"/>
      <c r="M609" s="240"/>
      <c r="N609" s="240"/>
      <c r="O609" s="240"/>
      <c r="P609" s="240"/>
      <c r="Q609" s="240"/>
      <c r="R609" s="240"/>
      <c r="S609" s="240"/>
      <c r="T609" s="240"/>
      <c r="U609" s="240"/>
      <c r="V609" s="240"/>
      <c r="W609" s="240"/>
      <c r="X609" s="240"/>
      <c r="Y609" s="240"/>
      <c r="Z609" s="240"/>
      <c r="AA609" s="240"/>
      <c r="AB609" s="240"/>
    </row>
    <row r="610">
      <c r="A610" s="240"/>
      <c r="B610" s="240" t="s">
        <v>2955</v>
      </c>
      <c r="C610" s="240"/>
      <c r="D610" s="240"/>
      <c r="E610" s="240"/>
      <c r="G610" s="240"/>
      <c r="H610" s="240"/>
      <c r="I610" s="240"/>
      <c r="J610" s="240"/>
      <c r="K610" s="240"/>
      <c r="L610" s="240"/>
      <c r="M610" s="240"/>
      <c r="N610" s="240"/>
      <c r="O610" s="240"/>
      <c r="P610" s="240"/>
      <c r="Q610" s="240"/>
      <c r="R610" s="240"/>
      <c r="S610" s="240"/>
      <c r="T610" s="240"/>
      <c r="U610" s="240"/>
      <c r="V610" s="240"/>
      <c r="W610" s="240"/>
      <c r="X610" s="240"/>
      <c r="Y610" s="240"/>
      <c r="Z610" s="240"/>
      <c r="AA610" s="240"/>
      <c r="AB610" s="240"/>
    </row>
    <row r="611">
      <c r="A611" s="240"/>
      <c r="B611" s="240" t="s">
        <v>2955</v>
      </c>
      <c r="C611" s="240"/>
      <c r="D611" s="240"/>
      <c r="E611" s="240"/>
      <c r="G611" s="240"/>
      <c r="H611" s="240"/>
      <c r="I611" s="240"/>
      <c r="J611" s="240"/>
      <c r="K611" s="240"/>
      <c r="L611" s="240"/>
      <c r="M611" s="240"/>
      <c r="N611" s="240"/>
      <c r="O611" s="240"/>
      <c r="P611" s="240"/>
      <c r="Q611" s="240"/>
      <c r="R611" s="240"/>
      <c r="S611" s="240"/>
      <c r="T611" s="240"/>
      <c r="U611" s="240"/>
      <c r="V611" s="240"/>
      <c r="W611" s="240"/>
      <c r="X611" s="240"/>
      <c r="Y611" s="240"/>
      <c r="Z611" s="240"/>
      <c r="AA611" s="240"/>
      <c r="AB611" s="240"/>
    </row>
    <row r="612">
      <c r="A612" s="240"/>
      <c r="B612" s="240" t="s">
        <v>2955</v>
      </c>
      <c r="C612" s="240"/>
      <c r="D612" s="240"/>
      <c r="E612" s="240"/>
      <c r="G612" s="240"/>
      <c r="H612" s="240"/>
      <c r="I612" s="240"/>
      <c r="J612" s="240"/>
      <c r="K612" s="240"/>
      <c r="L612" s="240"/>
      <c r="M612" s="240"/>
      <c r="N612" s="240"/>
      <c r="O612" s="240"/>
      <c r="P612" s="240"/>
      <c r="Q612" s="240"/>
      <c r="R612" s="240"/>
      <c r="S612" s="240"/>
      <c r="T612" s="240"/>
      <c r="U612" s="240"/>
      <c r="V612" s="240"/>
      <c r="W612" s="240"/>
      <c r="X612" s="240"/>
      <c r="Y612" s="240"/>
      <c r="Z612" s="240"/>
      <c r="AA612" s="240"/>
      <c r="AB612" s="240"/>
    </row>
    <row r="613">
      <c r="A613" s="240"/>
      <c r="B613" s="240" t="s">
        <v>2955</v>
      </c>
      <c r="C613" s="240"/>
      <c r="D613" s="240"/>
      <c r="E613" s="240"/>
      <c r="G613" s="240"/>
      <c r="H613" s="240"/>
      <c r="I613" s="240"/>
      <c r="J613" s="240"/>
      <c r="K613" s="240"/>
      <c r="L613" s="240"/>
      <c r="M613" s="240"/>
      <c r="N613" s="240"/>
      <c r="O613" s="240"/>
      <c r="P613" s="240"/>
      <c r="Q613" s="240"/>
      <c r="R613" s="240"/>
      <c r="S613" s="240"/>
      <c r="T613" s="240"/>
      <c r="U613" s="240"/>
      <c r="V613" s="240"/>
      <c r="W613" s="240"/>
      <c r="X613" s="240"/>
      <c r="Y613" s="240"/>
      <c r="Z613" s="240"/>
      <c r="AA613" s="240"/>
      <c r="AB613" s="240"/>
    </row>
    <row r="614">
      <c r="A614" s="240"/>
      <c r="B614" s="240" t="s">
        <v>2955</v>
      </c>
      <c r="C614" s="240"/>
      <c r="D614" s="240"/>
      <c r="E614" s="240"/>
      <c r="G614" s="240"/>
      <c r="H614" s="240"/>
      <c r="I614" s="240"/>
      <c r="J614" s="240"/>
      <c r="K614" s="240"/>
      <c r="L614" s="240"/>
      <c r="M614" s="240"/>
      <c r="N614" s="240"/>
      <c r="O614" s="240"/>
      <c r="P614" s="240"/>
      <c r="Q614" s="240"/>
      <c r="R614" s="240"/>
      <c r="S614" s="240"/>
      <c r="T614" s="240"/>
      <c r="U614" s="240"/>
      <c r="V614" s="240"/>
      <c r="W614" s="240"/>
      <c r="X614" s="240"/>
      <c r="Y614" s="240"/>
      <c r="Z614" s="240"/>
      <c r="AA614" s="240"/>
      <c r="AB614" s="240"/>
    </row>
    <row r="615">
      <c r="A615" s="240"/>
      <c r="B615" s="240" t="s">
        <v>2955</v>
      </c>
      <c r="C615" s="240"/>
      <c r="D615" s="240"/>
      <c r="E615" s="240"/>
      <c r="G615" s="240"/>
      <c r="H615" s="240"/>
      <c r="I615" s="240"/>
      <c r="J615" s="240"/>
      <c r="K615" s="240"/>
      <c r="L615" s="240"/>
      <c r="M615" s="240"/>
      <c r="N615" s="240"/>
      <c r="O615" s="240"/>
      <c r="P615" s="240"/>
      <c r="Q615" s="240"/>
      <c r="R615" s="240"/>
      <c r="S615" s="240"/>
      <c r="T615" s="240"/>
      <c r="U615" s="240"/>
      <c r="V615" s="240"/>
      <c r="W615" s="240"/>
      <c r="X615" s="240"/>
      <c r="Y615" s="240"/>
      <c r="Z615" s="240"/>
      <c r="AA615" s="240"/>
      <c r="AB615" s="240"/>
    </row>
    <row r="616">
      <c r="A616" s="240"/>
      <c r="B616" s="240" t="s">
        <v>2955</v>
      </c>
      <c r="C616" s="240"/>
      <c r="D616" s="240"/>
      <c r="E616" s="240"/>
      <c r="G616" s="240"/>
      <c r="H616" s="240"/>
      <c r="I616" s="240"/>
      <c r="J616" s="240"/>
      <c r="K616" s="240"/>
      <c r="L616" s="240"/>
      <c r="M616" s="240"/>
      <c r="N616" s="240"/>
      <c r="O616" s="240"/>
      <c r="P616" s="240"/>
      <c r="Q616" s="240"/>
      <c r="R616" s="240"/>
      <c r="S616" s="240"/>
      <c r="T616" s="240"/>
      <c r="U616" s="240"/>
      <c r="V616" s="240"/>
      <c r="W616" s="240"/>
      <c r="X616" s="240"/>
      <c r="Y616" s="240"/>
      <c r="Z616" s="240"/>
      <c r="AA616" s="240"/>
      <c r="AB616" s="240"/>
    </row>
    <row r="617">
      <c r="A617" s="240"/>
      <c r="B617" s="240" t="s">
        <v>2955</v>
      </c>
      <c r="C617" s="240"/>
      <c r="D617" s="240"/>
      <c r="E617" s="240"/>
      <c r="G617" s="240"/>
      <c r="H617" s="240"/>
      <c r="I617" s="240"/>
      <c r="J617" s="240"/>
      <c r="K617" s="240"/>
      <c r="L617" s="240"/>
      <c r="M617" s="240"/>
      <c r="N617" s="240"/>
      <c r="O617" s="240"/>
      <c r="P617" s="240"/>
      <c r="Q617" s="240"/>
      <c r="R617" s="240"/>
      <c r="S617" s="240"/>
      <c r="T617" s="240"/>
      <c r="U617" s="240"/>
      <c r="V617" s="240"/>
      <c r="W617" s="240"/>
      <c r="X617" s="240"/>
      <c r="Y617" s="240"/>
      <c r="Z617" s="240"/>
      <c r="AA617" s="240"/>
      <c r="AB617" s="240"/>
    </row>
    <row r="618">
      <c r="A618" s="240"/>
      <c r="B618" s="240" t="s">
        <v>2955</v>
      </c>
      <c r="C618" s="240"/>
      <c r="D618" s="240"/>
      <c r="E618" s="240"/>
      <c r="G618" s="240"/>
      <c r="H618" s="240"/>
      <c r="I618" s="240"/>
      <c r="J618" s="240"/>
      <c r="K618" s="240"/>
      <c r="L618" s="240"/>
      <c r="M618" s="240"/>
      <c r="N618" s="240"/>
      <c r="O618" s="240"/>
      <c r="P618" s="240"/>
      <c r="Q618" s="240"/>
      <c r="R618" s="240"/>
      <c r="S618" s="240"/>
      <c r="T618" s="240"/>
      <c r="U618" s="240"/>
      <c r="V618" s="240"/>
      <c r="W618" s="240"/>
      <c r="X618" s="240"/>
      <c r="Y618" s="240"/>
      <c r="Z618" s="240"/>
      <c r="AA618" s="240"/>
      <c r="AB618" s="240"/>
    </row>
    <row r="619">
      <c r="A619" s="240"/>
      <c r="B619" s="240" t="s">
        <v>2955</v>
      </c>
      <c r="C619" s="240"/>
      <c r="D619" s="240"/>
      <c r="E619" s="240"/>
      <c r="G619" s="240"/>
      <c r="H619" s="240"/>
      <c r="I619" s="240"/>
      <c r="J619" s="240"/>
      <c r="K619" s="240"/>
      <c r="L619" s="240"/>
      <c r="M619" s="240"/>
      <c r="N619" s="240"/>
      <c r="O619" s="240"/>
      <c r="P619" s="240"/>
      <c r="Q619" s="240"/>
      <c r="R619" s="240"/>
      <c r="S619" s="240"/>
      <c r="T619" s="240"/>
      <c r="U619" s="240"/>
      <c r="V619" s="240"/>
      <c r="W619" s="240"/>
      <c r="X619" s="240"/>
      <c r="Y619" s="240"/>
      <c r="Z619" s="240"/>
      <c r="AA619" s="240"/>
      <c r="AB619" s="240"/>
    </row>
    <row r="620">
      <c r="A620" s="240"/>
      <c r="B620" s="240" t="s">
        <v>2955</v>
      </c>
      <c r="C620" s="240"/>
      <c r="D620" s="240"/>
      <c r="E620" s="240"/>
      <c r="G620" s="240"/>
      <c r="H620" s="240"/>
      <c r="I620" s="240"/>
      <c r="J620" s="240"/>
      <c r="K620" s="240"/>
      <c r="L620" s="240"/>
      <c r="M620" s="240"/>
      <c r="N620" s="240"/>
      <c r="O620" s="240"/>
      <c r="P620" s="240"/>
      <c r="Q620" s="240"/>
      <c r="R620" s="240"/>
      <c r="S620" s="240"/>
      <c r="T620" s="240"/>
      <c r="U620" s="240"/>
      <c r="V620" s="240"/>
      <c r="W620" s="240"/>
      <c r="X620" s="240"/>
      <c r="Y620" s="240"/>
      <c r="Z620" s="240"/>
      <c r="AA620" s="240"/>
      <c r="AB620" s="240"/>
    </row>
    <row r="621">
      <c r="A621" s="240"/>
      <c r="B621" s="240" t="s">
        <v>2955</v>
      </c>
      <c r="C621" s="240"/>
      <c r="D621" s="240"/>
      <c r="E621" s="240"/>
      <c r="G621" s="240"/>
      <c r="H621" s="240"/>
      <c r="I621" s="240"/>
      <c r="J621" s="240"/>
      <c r="K621" s="240"/>
      <c r="L621" s="240"/>
      <c r="M621" s="240"/>
      <c r="N621" s="240"/>
      <c r="O621" s="240"/>
      <c r="P621" s="240"/>
      <c r="Q621" s="240"/>
      <c r="R621" s="240"/>
      <c r="S621" s="240"/>
      <c r="T621" s="240"/>
      <c r="U621" s="240"/>
      <c r="V621" s="240"/>
      <c r="W621" s="240"/>
      <c r="X621" s="240"/>
      <c r="Y621" s="240"/>
      <c r="Z621" s="240"/>
      <c r="AA621" s="240"/>
      <c r="AB621" s="240"/>
    </row>
    <row r="622">
      <c r="A622" s="240"/>
      <c r="B622" s="240" t="s">
        <v>2955</v>
      </c>
      <c r="C622" s="240"/>
      <c r="D622" s="240"/>
      <c r="E622" s="240"/>
      <c r="G622" s="240"/>
      <c r="H622" s="240"/>
      <c r="I622" s="240"/>
      <c r="J622" s="240"/>
      <c r="K622" s="240"/>
      <c r="L622" s="240"/>
      <c r="M622" s="240"/>
      <c r="N622" s="240"/>
      <c r="O622" s="240"/>
      <c r="P622" s="240"/>
      <c r="Q622" s="240"/>
      <c r="R622" s="240"/>
      <c r="S622" s="240"/>
      <c r="T622" s="240"/>
      <c r="U622" s="240"/>
      <c r="V622" s="240"/>
      <c r="W622" s="240"/>
      <c r="X622" s="240"/>
      <c r="Y622" s="240"/>
      <c r="Z622" s="240"/>
      <c r="AA622" s="240"/>
      <c r="AB622" s="240"/>
    </row>
    <row r="623">
      <c r="A623" s="240"/>
      <c r="B623" s="240" t="s">
        <v>2955</v>
      </c>
      <c r="C623" s="240"/>
      <c r="D623" s="240"/>
      <c r="E623" s="240"/>
      <c r="G623" s="240"/>
      <c r="H623" s="240"/>
      <c r="I623" s="240"/>
      <c r="J623" s="240"/>
      <c r="K623" s="240"/>
      <c r="L623" s="240"/>
      <c r="M623" s="240"/>
      <c r="N623" s="240"/>
      <c r="O623" s="240"/>
      <c r="P623" s="240"/>
      <c r="Q623" s="240"/>
      <c r="R623" s="240"/>
      <c r="S623" s="240"/>
      <c r="T623" s="240"/>
      <c r="U623" s="240"/>
      <c r="V623" s="240"/>
      <c r="W623" s="240"/>
      <c r="X623" s="240"/>
      <c r="Y623" s="240"/>
      <c r="Z623" s="240"/>
      <c r="AA623" s="240"/>
      <c r="AB623" s="240"/>
    </row>
    <row r="624">
      <c r="A624" s="240"/>
      <c r="B624" s="240" t="s">
        <v>2955</v>
      </c>
      <c r="C624" s="240"/>
      <c r="D624" s="240"/>
      <c r="E624" s="240"/>
      <c r="G624" s="240"/>
      <c r="H624" s="240"/>
      <c r="I624" s="240"/>
      <c r="J624" s="240"/>
      <c r="K624" s="240"/>
      <c r="L624" s="240"/>
      <c r="M624" s="240"/>
      <c r="N624" s="240"/>
      <c r="O624" s="240"/>
      <c r="P624" s="240"/>
      <c r="Q624" s="240"/>
      <c r="R624" s="240"/>
      <c r="S624" s="240"/>
      <c r="T624" s="240"/>
      <c r="U624" s="240"/>
      <c r="V624" s="240"/>
      <c r="W624" s="240"/>
      <c r="X624" s="240"/>
      <c r="Y624" s="240"/>
      <c r="Z624" s="240"/>
      <c r="AA624" s="240"/>
      <c r="AB624" s="240"/>
    </row>
    <row r="625">
      <c r="A625" s="240"/>
      <c r="B625" s="240" t="s">
        <v>2955</v>
      </c>
      <c r="C625" s="240"/>
      <c r="D625" s="240"/>
      <c r="E625" s="240"/>
      <c r="G625" s="240"/>
      <c r="H625" s="240"/>
      <c r="I625" s="240"/>
      <c r="J625" s="240"/>
      <c r="K625" s="240"/>
      <c r="L625" s="240"/>
      <c r="M625" s="240"/>
      <c r="N625" s="240"/>
      <c r="O625" s="240"/>
      <c r="P625" s="240"/>
      <c r="Q625" s="240"/>
      <c r="R625" s="240"/>
      <c r="S625" s="240"/>
      <c r="T625" s="240"/>
      <c r="U625" s="240"/>
      <c r="V625" s="240"/>
      <c r="W625" s="240"/>
      <c r="X625" s="240"/>
      <c r="Y625" s="240"/>
      <c r="Z625" s="240"/>
      <c r="AA625" s="240"/>
      <c r="AB625" s="240"/>
    </row>
    <row r="626">
      <c r="A626" s="240"/>
      <c r="B626" s="240" t="s">
        <v>2955</v>
      </c>
      <c r="C626" s="240"/>
      <c r="D626" s="240"/>
      <c r="E626" s="240"/>
      <c r="G626" s="240"/>
      <c r="H626" s="240"/>
      <c r="I626" s="240"/>
      <c r="J626" s="240"/>
      <c r="K626" s="240"/>
      <c r="L626" s="240"/>
      <c r="M626" s="240"/>
      <c r="N626" s="240"/>
      <c r="O626" s="240"/>
      <c r="P626" s="240"/>
      <c r="Q626" s="240"/>
      <c r="R626" s="240"/>
      <c r="S626" s="240"/>
      <c r="T626" s="240"/>
      <c r="U626" s="240"/>
      <c r="V626" s="240"/>
      <c r="W626" s="240"/>
      <c r="X626" s="240"/>
      <c r="Y626" s="240"/>
      <c r="Z626" s="240"/>
      <c r="AA626" s="240"/>
      <c r="AB626" s="240"/>
    </row>
    <row r="627">
      <c r="A627" s="240"/>
      <c r="B627" s="240" t="s">
        <v>2955</v>
      </c>
      <c r="C627" s="240"/>
      <c r="D627" s="240"/>
      <c r="E627" s="240"/>
      <c r="G627" s="240"/>
      <c r="H627" s="240"/>
      <c r="I627" s="240"/>
      <c r="J627" s="240"/>
      <c r="K627" s="240"/>
      <c r="L627" s="240"/>
      <c r="M627" s="240"/>
      <c r="N627" s="240"/>
      <c r="O627" s="240"/>
      <c r="P627" s="240"/>
      <c r="Q627" s="240"/>
      <c r="R627" s="240"/>
      <c r="S627" s="240"/>
      <c r="T627" s="240"/>
      <c r="U627" s="240"/>
      <c r="V627" s="240"/>
      <c r="W627" s="240"/>
      <c r="X627" s="240"/>
      <c r="Y627" s="240"/>
      <c r="Z627" s="240"/>
      <c r="AA627" s="240"/>
      <c r="AB627" s="240"/>
    </row>
    <row r="628">
      <c r="A628" s="240"/>
      <c r="B628" s="240" t="s">
        <v>2955</v>
      </c>
      <c r="C628" s="240"/>
      <c r="D628" s="240"/>
      <c r="E628" s="240"/>
      <c r="G628" s="240"/>
      <c r="H628" s="240"/>
      <c r="I628" s="240"/>
      <c r="J628" s="240"/>
      <c r="K628" s="240"/>
      <c r="L628" s="240"/>
      <c r="M628" s="240"/>
      <c r="N628" s="240"/>
      <c r="O628" s="240"/>
      <c r="P628" s="240"/>
      <c r="Q628" s="240"/>
      <c r="R628" s="240"/>
      <c r="S628" s="240"/>
      <c r="T628" s="240"/>
      <c r="U628" s="240"/>
      <c r="V628" s="240"/>
      <c r="W628" s="240"/>
      <c r="X628" s="240"/>
      <c r="Y628" s="240"/>
      <c r="Z628" s="240"/>
      <c r="AA628" s="240"/>
      <c r="AB628" s="240"/>
    </row>
    <row r="629">
      <c r="A629" s="240"/>
      <c r="B629" s="240" t="s">
        <v>2955</v>
      </c>
      <c r="C629" s="240"/>
      <c r="D629" s="240"/>
      <c r="E629" s="240"/>
      <c r="G629" s="240"/>
      <c r="H629" s="240"/>
      <c r="I629" s="240"/>
      <c r="J629" s="240"/>
      <c r="K629" s="240"/>
      <c r="L629" s="240"/>
      <c r="M629" s="240"/>
      <c r="N629" s="240"/>
      <c r="O629" s="240"/>
      <c r="P629" s="240"/>
      <c r="Q629" s="240"/>
      <c r="R629" s="240"/>
      <c r="S629" s="240"/>
      <c r="T629" s="240"/>
      <c r="U629" s="240"/>
      <c r="V629" s="240"/>
      <c r="W629" s="240"/>
      <c r="X629" s="240"/>
      <c r="Y629" s="240"/>
      <c r="Z629" s="240"/>
      <c r="AA629" s="240"/>
      <c r="AB629" s="240"/>
    </row>
    <row r="630">
      <c r="A630" s="240"/>
      <c r="B630" s="240" t="s">
        <v>2955</v>
      </c>
      <c r="C630" s="240"/>
      <c r="D630" s="240"/>
      <c r="E630" s="240"/>
      <c r="G630" s="240"/>
      <c r="H630" s="240"/>
      <c r="I630" s="240"/>
      <c r="J630" s="240"/>
      <c r="K630" s="240"/>
      <c r="L630" s="240"/>
      <c r="M630" s="240"/>
      <c r="N630" s="240"/>
      <c r="O630" s="240"/>
      <c r="P630" s="240"/>
      <c r="Q630" s="240"/>
      <c r="R630" s="240"/>
      <c r="S630" s="240"/>
      <c r="T630" s="240"/>
      <c r="U630" s="240"/>
      <c r="V630" s="240"/>
      <c r="W630" s="240"/>
      <c r="X630" s="240"/>
      <c r="Y630" s="240"/>
      <c r="Z630" s="240"/>
      <c r="AA630" s="240"/>
      <c r="AB630" s="240"/>
    </row>
    <row r="631">
      <c r="A631" s="240"/>
      <c r="B631" s="240" t="s">
        <v>2955</v>
      </c>
      <c r="C631" s="240"/>
      <c r="D631" s="240"/>
      <c r="E631" s="240"/>
      <c r="G631" s="240"/>
      <c r="H631" s="240"/>
      <c r="I631" s="240"/>
      <c r="J631" s="240"/>
      <c r="K631" s="240"/>
      <c r="L631" s="240"/>
      <c r="M631" s="240"/>
      <c r="N631" s="240"/>
      <c r="O631" s="240"/>
      <c r="P631" s="240"/>
      <c r="Q631" s="240"/>
      <c r="R631" s="240"/>
      <c r="S631" s="240"/>
      <c r="T631" s="240"/>
      <c r="U631" s="240"/>
      <c r="V631" s="240"/>
      <c r="W631" s="240"/>
      <c r="X631" s="240"/>
      <c r="Y631" s="240"/>
      <c r="Z631" s="240"/>
      <c r="AA631" s="240"/>
      <c r="AB631" s="240"/>
    </row>
    <row r="632">
      <c r="A632" s="240"/>
      <c r="B632" s="240" t="s">
        <v>2955</v>
      </c>
      <c r="C632" s="240"/>
      <c r="D632" s="240"/>
      <c r="E632" s="240"/>
      <c r="G632" s="240"/>
      <c r="H632" s="240"/>
      <c r="I632" s="240"/>
      <c r="J632" s="240"/>
      <c r="K632" s="240"/>
      <c r="L632" s="240"/>
      <c r="M632" s="240"/>
      <c r="N632" s="240"/>
      <c r="O632" s="240"/>
      <c r="P632" s="240"/>
      <c r="Q632" s="240"/>
      <c r="R632" s="240"/>
      <c r="S632" s="240"/>
      <c r="T632" s="240"/>
      <c r="U632" s="240"/>
      <c r="V632" s="240"/>
      <c r="W632" s="240"/>
      <c r="X632" s="240"/>
      <c r="Y632" s="240"/>
      <c r="Z632" s="240"/>
      <c r="AA632" s="240"/>
      <c r="AB632" s="240"/>
    </row>
    <row r="633">
      <c r="A633" s="240"/>
      <c r="B633" s="240" t="s">
        <v>2955</v>
      </c>
      <c r="C633" s="240"/>
      <c r="D633" s="240"/>
      <c r="E633" s="240"/>
      <c r="G633" s="240"/>
      <c r="H633" s="240"/>
      <c r="I633" s="240"/>
      <c r="J633" s="240"/>
      <c r="K633" s="240"/>
      <c r="L633" s="240"/>
      <c r="M633" s="240"/>
      <c r="N633" s="240"/>
      <c r="O633" s="240"/>
      <c r="P633" s="240"/>
      <c r="Q633" s="240"/>
      <c r="R633" s="240"/>
      <c r="S633" s="240"/>
      <c r="T633" s="240"/>
      <c r="U633" s="240"/>
      <c r="V633" s="240"/>
      <c r="W633" s="240"/>
      <c r="X633" s="240"/>
      <c r="Y633" s="240"/>
      <c r="Z633" s="240"/>
      <c r="AA633" s="240"/>
      <c r="AB633" s="240"/>
    </row>
    <row r="634">
      <c r="A634" s="240"/>
      <c r="B634" s="240" t="s">
        <v>2955</v>
      </c>
      <c r="C634" s="240"/>
      <c r="D634" s="240"/>
      <c r="E634" s="240"/>
      <c r="G634" s="240"/>
      <c r="H634" s="240"/>
      <c r="I634" s="240"/>
      <c r="J634" s="240"/>
      <c r="K634" s="240"/>
      <c r="L634" s="240"/>
      <c r="M634" s="240"/>
      <c r="N634" s="240"/>
      <c r="O634" s="240"/>
      <c r="P634" s="240"/>
      <c r="Q634" s="240"/>
      <c r="R634" s="240"/>
      <c r="S634" s="240"/>
      <c r="T634" s="240"/>
      <c r="U634" s="240"/>
      <c r="V634" s="240"/>
      <c r="W634" s="240"/>
      <c r="X634" s="240"/>
      <c r="Y634" s="240"/>
      <c r="Z634" s="240"/>
      <c r="AA634" s="240"/>
      <c r="AB634" s="240"/>
    </row>
    <row r="635">
      <c r="A635" s="240"/>
      <c r="B635" s="240" t="s">
        <v>2955</v>
      </c>
      <c r="C635" s="240"/>
      <c r="D635" s="240"/>
      <c r="E635" s="240"/>
      <c r="G635" s="240"/>
      <c r="H635" s="240"/>
      <c r="I635" s="240"/>
      <c r="J635" s="240"/>
      <c r="K635" s="240"/>
      <c r="L635" s="240"/>
      <c r="M635" s="240"/>
      <c r="N635" s="240"/>
      <c r="O635" s="240"/>
      <c r="P635" s="240"/>
      <c r="Q635" s="240"/>
      <c r="R635" s="240"/>
      <c r="S635" s="240"/>
      <c r="T635" s="240"/>
      <c r="U635" s="240"/>
      <c r="V635" s="240"/>
      <c r="W635" s="240"/>
      <c r="X635" s="240"/>
      <c r="Y635" s="240"/>
      <c r="Z635" s="240"/>
      <c r="AA635" s="240"/>
      <c r="AB635" s="240"/>
    </row>
    <row r="636">
      <c r="A636" s="240"/>
      <c r="B636" s="240" t="s">
        <v>2955</v>
      </c>
      <c r="C636" s="240"/>
      <c r="D636" s="240"/>
      <c r="E636" s="240"/>
      <c r="G636" s="240"/>
      <c r="H636" s="240"/>
      <c r="I636" s="240"/>
      <c r="J636" s="240"/>
      <c r="K636" s="240"/>
      <c r="L636" s="240"/>
      <c r="M636" s="240"/>
      <c r="N636" s="240"/>
      <c r="O636" s="240"/>
      <c r="P636" s="240"/>
      <c r="Q636" s="240"/>
      <c r="R636" s="240"/>
      <c r="S636" s="240"/>
      <c r="T636" s="240"/>
      <c r="U636" s="240"/>
      <c r="V636" s="240"/>
      <c r="W636" s="240"/>
      <c r="X636" s="240"/>
      <c r="Y636" s="240"/>
      <c r="Z636" s="240"/>
      <c r="AA636" s="240"/>
      <c r="AB636" s="240"/>
    </row>
    <row r="637">
      <c r="A637" s="240"/>
      <c r="B637" s="240" t="s">
        <v>2955</v>
      </c>
      <c r="C637" s="240"/>
      <c r="D637" s="240"/>
      <c r="E637" s="240"/>
      <c r="G637" s="240"/>
      <c r="H637" s="240"/>
      <c r="I637" s="240"/>
      <c r="J637" s="240"/>
      <c r="K637" s="240"/>
      <c r="L637" s="240"/>
      <c r="M637" s="240"/>
      <c r="N637" s="240"/>
      <c r="O637" s="240"/>
      <c r="P637" s="240"/>
      <c r="Q637" s="240"/>
      <c r="R637" s="240"/>
      <c r="S637" s="240"/>
      <c r="T637" s="240"/>
      <c r="U637" s="240"/>
      <c r="V637" s="240"/>
      <c r="W637" s="240"/>
      <c r="X637" s="240"/>
      <c r="Y637" s="240"/>
      <c r="Z637" s="240"/>
      <c r="AA637" s="240"/>
      <c r="AB637" s="240"/>
    </row>
    <row r="638">
      <c r="A638" s="240"/>
      <c r="B638" s="240" t="s">
        <v>2955</v>
      </c>
      <c r="C638" s="240"/>
      <c r="D638" s="240"/>
      <c r="E638" s="240"/>
      <c r="G638" s="240"/>
      <c r="H638" s="240"/>
      <c r="I638" s="240"/>
      <c r="J638" s="240"/>
      <c r="K638" s="240"/>
      <c r="L638" s="240"/>
      <c r="M638" s="240"/>
      <c r="N638" s="240"/>
      <c r="O638" s="240"/>
      <c r="P638" s="240"/>
      <c r="Q638" s="240"/>
      <c r="R638" s="240"/>
      <c r="S638" s="240"/>
      <c r="T638" s="240"/>
      <c r="U638" s="240"/>
      <c r="V638" s="240"/>
      <c r="W638" s="240"/>
      <c r="X638" s="240"/>
      <c r="Y638" s="240"/>
      <c r="Z638" s="240"/>
      <c r="AA638" s="240"/>
      <c r="AB638" s="240"/>
    </row>
    <row r="639">
      <c r="A639" s="240"/>
      <c r="B639" s="240" t="s">
        <v>2955</v>
      </c>
      <c r="C639" s="240"/>
      <c r="D639" s="240"/>
      <c r="E639" s="240"/>
      <c r="G639" s="240"/>
      <c r="H639" s="240"/>
      <c r="I639" s="240"/>
      <c r="J639" s="240"/>
      <c r="K639" s="240"/>
      <c r="L639" s="240"/>
      <c r="M639" s="240"/>
      <c r="N639" s="240"/>
      <c r="O639" s="240"/>
      <c r="P639" s="240"/>
      <c r="Q639" s="240"/>
      <c r="R639" s="240"/>
      <c r="S639" s="240"/>
      <c r="T639" s="240"/>
      <c r="U639" s="240"/>
      <c r="V639" s="240"/>
      <c r="W639" s="240"/>
      <c r="X639" s="240"/>
      <c r="Y639" s="240"/>
      <c r="Z639" s="240"/>
      <c r="AA639" s="240"/>
      <c r="AB639" s="240"/>
    </row>
    <row r="640">
      <c r="A640" s="240"/>
      <c r="B640" s="240" t="s">
        <v>2955</v>
      </c>
      <c r="C640" s="240"/>
      <c r="D640" s="240"/>
      <c r="E640" s="240"/>
      <c r="G640" s="240"/>
      <c r="H640" s="240"/>
      <c r="I640" s="240"/>
      <c r="J640" s="240"/>
      <c r="K640" s="240"/>
      <c r="L640" s="240"/>
      <c r="M640" s="240"/>
      <c r="N640" s="240"/>
      <c r="O640" s="240"/>
      <c r="P640" s="240"/>
      <c r="Q640" s="240"/>
      <c r="R640" s="240"/>
      <c r="S640" s="240"/>
      <c r="T640" s="240"/>
      <c r="U640" s="240"/>
      <c r="V640" s="240"/>
      <c r="W640" s="240"/>
      <c r="X640" s="240"/>
      <c r="Y640" s="240"/>
      <c r="Z640" s="240"/>
      <c r="AA640" s="240"/>
      <c r="AB640" s="240"/>
    </row>
    <row r="641">
      <c r="A641" s="240"/>
      <c r="B641" s="240" t="s">
        <v>2955</v>
      </c>
      <c r="C641" s="240"/>
      <c r="D641" s="240"/>
      <c r="E641" s="240"/>
      <c r="G641" s="240"/>
      <c r="H641" s="240"/>
      <c r="I641" s="240"/>
      <c r="J641" s="240"/>
      <c r="K641" s="240"/>
      <c r="L641" s="240"/>
      <c r="M641" s="240"/>
      <c r="N641" s="240"/>
      <c r="O641" s="240"/>
      <c r="P641" s="240"/>
      <c r="Q641" s="240"/>
      <c r="R641" s="240"/>
      <c r="S641" s="240"/>
      <c r="T641" s="240"/>
      <c r="U641" s="240"/>
      <c r="V641" s="240"/>
      <c r="W641" s="240"/>
      <c r="X641" s="240"/>
      <c r="Y641" s="240"/>
      <c r="Z641" s="240"/>
      <c r="AA641" s="240"/>
      <c r="AB641" s="240"/>
    </row>
    <row r="642">
      <c r="A642" s="240"/>
      <c r="B642" s="240" t="s">
        <v>2955</v>
      </c>
      <c r="C642" s="240"/>
      <c r="D642" s="240"/>
      <c r="E642" s="240"/>
      <c r="G642" s="240"/>
      <c r="H642" s="240"/>
      <c r="I642" s="240"/>
      <c r="J642" s="240"/>
      <c r="K642" s="240"/>
      <c r="L642" s="240"/>
      <c r="M642" s="240"/>
      <c r="N642" s="240"/>
      <c r="O642" s="240"/>
      <c r="P642" s="240"/>
      <c r="Q642" s="240"/>
      <c r="R642" s="240"/>
      <c r="S642" s="240"/>
      <c r="T642" s="240"/>
      <c r="U642" s="240"/>
      <c r="V642" s="240"/>
      <c r="W642" s="240"/>
      <c r="X642" s="240"/>
      <c r="Y642" s="240"/>
      <c r="Z642" s="240"/>
      <c r="AA642" s="240"/>
      <c r="AB642" s="240"/>
    </row>
    <row r="643">
      <c r="A643" s="240"/>
      <c r="B643" s="240" t="s">
        <v>2955</v>
      </c>
      <c r="C643" s="240"/>
      <c r="D643" s="240"/>
      <c r="E643" s="240"/>
      <c r="G643" s="240"/>
      <c r="H643" s="240"/>
      <c r="I643" s="240"/>
      <c r="J643" s="240"/>
      <c r="K643" s="240"/>
      <c r="L643" s="240"/>
      <c r="M643" s="240"/>
      <c r="N643" s="240"/>
      <c r="O643" s="240"/>
      <c r="P643" s="240"/>
      <c r="Q643" s="240"/>
      <c r="R643" s="240"/>
      <c r="S643" s="240"/>
      <c r="T643" s="240"/>
      <c r="U643" s="240"/>
      <c r="V643" s="240"/>
      <c r="W643" s="240"/>
      <c r="X643" s="240"/>
      <c r="Y643" s="240"/>
      <c r="Z643" s="240"/>
      <c r="AA643" s="240"/>
      <c r="AB643" s="240"/>
    </row>
    <row r="644">
      <c r="A644" s="240"/>
      <c r="B644" s="240" t="s">
        <v>2955</v>
      </c>
      <c r="C644" s="240"/>
      <c r="D644" s="240"/>
      <c r="E644" s="240"/>
      <c r="G644" s="240"/>
      <c r="H644" s="240"/>
      <c r="I644" s="240"/>
      <c r="J644" s="240"/>
      <c r="K644" s="240"/>
      <c r="L644" s="240"/>
      <c r="M644" s="240"/>
      <c r="N644" s="240"/>
      <c r="O644" s="240"/>
      <c r="P644" s="240"/>
      <c r="Q644" s="240"/>
      <c r="R644" s="240"/>
      <c r="S644" s="240"/>
      <c r="T644" s="240"/>
      <c r="U644" s="240"/>
      <c r="V644" s="240"/>
      <c r="W644" s="240"/>
      <c r="X644" s="240"/>
      <c r="Y644" s="240"/>
      <c r="Z644" s="240"/>
      <c r="AA644" s="240"/>
      <c r="AB644" s="240"/>
    </row>
    <row r="645">
      <c r="A645" s="240"/>
      <c r="B645" s="240" t="s">
        <v>2955</v>
      </c>
      <c r="C645" s="240"/>
      <c r="D645" s="240"/>
      <c r="E645" s="240"/>
      <c r="G645" s="240"/>
      <c r="H645" s="240"/>
      <c r="I645" s="240"/>
      <c r="J645" s="240"/>
      <c r="K645" s="240"/>
      <c r="L645" s="240"/>
      <c r="M645" s="240"/>
      <c r="N645" s="240"/>
      <c r="O645" s="240"/>
      <c r="P645" s="240"/>
      <c r="Q645" s="240"/>
      <c r="R645" s="240"/>
      <c r="S645" s="240"/>
      <c r="T645" s="240"/>
      <c r="U645" s="240"/>
      <c r="V645" s="240"/>
      <c r="W645" s="240"/>
      <c r="X645" s="240"/>
      <c r="Y645" s="240"/>
      <c r="Z645" s="240"/>
      <c r="AA645" s="240"/>
      <c r="AB645" s="240"/>
    </row>
    <row r="646">
      <c r="A646" s="240"/>
      <c r="B646" s="240" t="s">
        <v>2955</v>
      </c>
      <c r="C646" s="240"/>
      <c r="D646" s="240"/>
      <c r="E646" s="240"/>
      <c r="G646" s="240"/>
      <c r="H646" s="240"/>
      <c r="I646" s="240"/>
      <c r="J646" s="240"/>
      <c r="K646" s="240"/>
      <c r="L646" s="240"/>
      <c r="M646" s="240"/>
      <c r="N646" s="240"/>
      <c r="O646" s="240"/>
      <c r="P646" s="240"/>
      <c r="Q646" s="240"/>
      <c r="R646" s="240"/>
      <c r="S646" s="240"/>
      <c r="T646" s="240"/>
      <c r="U646" s="240"/>
      <c r="V646" s="240"/>
      <c r="W646" s="240"/>
      <c r="X646" s="240"/>
      <c r="Y646" s="240"/>
      <c r="Z646" s="240"/>
      <c r="AA646" s="240"/>
      <c r="AB646" s="240"/>
    </row>
    <row r="647">
      <c r="A647" s="240"/>
      <c r="B647" s="240" t="s">
        <v>2955</v>
      </c>
      <c r="C647" s="240"/>
      <c r="D647" s="240"/>
      <c r="E647" s="240"/>
      <c r="G647" s="240"/>
      <c r="H647" s="240"/>
      <c r="I647" s="240"/>
      <c r="J647" s="240"/>
      <c r="K647" s="240"/>
      <c r="L647" s="240"/>
      <c r="M647" s="240"/>
      <c r="N647" s="240"/>
      <c r="O647" s="240"/>
      <c r="P647" s="240"/>
      <c r="Q647" s="240"/>
      <c r="R647" s="240"/>
      <c r="S647" s="240"/>
      <c r="T647" s="240"/>
      <c r="U647" s="240"/>
      <c r="V647" s="240"/>
      <c r="W647" s="240"/>
      <c r="X647" s="240"/>
      <c r="Y647" s="240"/>
      <c r="Z647" s="240"/>
      <c r="AA647" s="240"/>
      <c r="AB647" s="240"/>
    </row>
    <row r="648">
      <c r="A648" s="240"/>
      <c r="B648" s="240" t="s">
        <v>2955</v>
      </c>
      <c r="C648" s="240"/>
      <c r="D648" s="240"/>
      <c r="E648" s="240"/>
      <c r="G648" s="240"/>
      <c r="H648" s="240"/>
      <c r="I648" s="240"/>
      <c r="J648" s="240"/>
      <c r="K648" s="240"/>
      <c r="L648" s="240"/>
      <c r="M648" s="240"/>
      <c r="N648" s="240"/>
      <c r="O648" s="240"/>
      <c r="P648" s="240"/>
      <c r="Q648" s="240"/>
      <c r="R648" s="240"/>
      <c r="S648" s="240"/>
      <c r="T648" s="240"/>
      <c r="U648" s="240"/>
      <c r="V648" s="240"/>
      <c r="W648" s="240"/>
      <c r="X648" s="240"/>
      <c r="Y648" s="240"/>
      <c r="Z648" s="240"/>
      <c r="AA648" s="240"/>
      <c r="AB648" s="240"/>
    </row>
    <row r="649">
      <c r="A649" s="240"/>
      <c r="B649" s="240" t="s">
        <v>2955</v>
      </c>
      <c r="C649" s="240"/>
      <c r="D649" s="240"/>
      <c r="E649" s="240"/>
      <c r="G649" s="240"/>
      <c r="H649" s="240"/>
      <c r="I649" s="240"/>
      <c r="J649" s="240"/>
      <c r="K649" s="240"/>
      <c r="L649" s="240"/>
      <c r="M649" s="240"/>
      <c r="N649" s="240"/>
      <c r="O649" s="240"/>
      <c r="P649" s="240"/>
      <c r="Q649" s="240"/>
      <c r="R649" s="240"/>
      <c r="S649" s="240"/>
      <c r="T649" s="240"/>
      <c r="U649" s="240"/>
      <c r="V649" s="240"/>
      <c r="W649" s="240"/>
      <c r="X649" s="240"/>
      <c r="Y649" s="240"/>
      <c r="Z649" s="240"/>
      <c r="AA649" s="240"/>
      <c r="AB649" s="240"/>
    </row>
    <row r="650">
      <c r="A650" s="240"/>
      <c r="B650" s="240" t="s">
        <v>2955</v>
      </c>
      <c r="C650" s="240"/>
      <c r="D650" s="240"/>
      <c r="E650" s="240"/>
      <c r="G650" s="240"/>
      <c r="H650" s="240"/>
      <c r="I650" s="240"/>
      <c r="J650" s="240"/>
      <c r="K650" s="240"/>
      <c r="L650" s="240"/>
      <c r="M650" s="240"/>
      <c r="N650" s="240"/>
      <c r="O650" s="240"/>
      <c r="P650" s="240"/>
      <c r="Q650" s="240"/>
      <c r="R650" s="240"/>
      <c r="S650" s="240"/>
      <c r="T650" s="240"/>
      <c r="U650" s="240"/>
      <c r="V650" s="240"/>
      <c r="W650" s="240"/>
      <c r="X650" s="240"/>
      <c r="Y650" s="240"/>
      <c r="Z650" s="240"/>
      <c r="AA650" s="240"/>
      <c r="AB650" s="240"/>
    </row>
    <row r="651">
      <c r="A651" s="240"/>
      <c r="B651" s="240" t="s">
        <v>2955</v>
      </c>
      <c r="C651" s="240"/>
      <c r="D651" s="240"/>
      <c r="E651" s="240"/>
      <c r="G651" s="240"/>
      <c r="H651" s="240"/>
      <c r="I651" s="240"/>
      <c r="J651" s="240"/>
      <c r="K651" s="240"/>
      <c r="L651" s="240"/>
      <c r="M651" s="240"/>
      <c r="N651" s="240"/>
      <c r="O651" s="240"/>
      <c r="P651" s="240"/>
      <c r="Q651" s="240"/>
      <c r="R651" s="240"/>
      <c r="S651" s="240"/>
      <c r="T651" s="240"/>
      <c r="U651" s="240"/>
      <c r="V651" s="240"/>
      <c r="W651" s="240"/>
      <c r="X651" s="240"/>
      <c r="Y651" s="240"/>
      <c r="Z651" s="240"/>
      <c r="AA651" s="240"/>
      <c r="AB651" s="240"/>
    </row>
    <row r="652">
      <c r="A652" s="240"/>
      <c r="B652" s="240" t="s">
        <v>2955</v>
      </c>
      <c r="C652" s="240"/>
      <c r="D652" s="240"/>
      <c r="E652" s="240"/>
      <c r="G652" s="240"/>
      <c r="H652" s="240"/>
      <c r="I652" s="240"/>
      <c r="J652" s="240"/>
      <c r="K652" s="240"/>
      <c r="L652" s="240"/>
      <c r="M652" s="240"/>
      <c r="N652" s="240"/>
      <c r="O652" s="240"/>
      <c r="P652" s="240"/>
      <c r="Q652" s="240"/>
      <c r="R652" s="240"/>
      <c r="S652" s="240"/>
      <c r="T652" s="240"/>
      <c r="U652" s="240"/>
      <c r="V652" s="240"/>
      <c r="W652" s="240"/>
      <c r="X652" s="240"/>
      <c r="Y652" s="240"/>
      <c r="Z652" s="240"/>
      <c r="AA652" s="240"/>
      <c r="AB652" s="240"/>
    </row>
    <row r="653">
      <c r="A653" s="240"/>
      <c r="B653" s="240" t="s">
        <v>2955</v>
      </c>
      <c r="C653" s="240"/>
      <c r="D653" s="240"/>
      <c r="E653" s="240"/>
      <c r="G653" s="240"/>
      <c r="H653" s="240"/>
      <c r="I653" s="240"/>
      <c r="J653" s="240"/>
      <c r="K653" s="240"/>
      <c r="L653" s="240"/>
      <c r="M653" s="240"/>
      <c r="N653" s="240"/>
      <c r="O653" s="240"/>
      <c r="P653" s="240"/>
      <c r="Q653" s="240"/>
      <c r="R653" s="240"/>
      <c r="S653" s="240"/>
      <c r="T653" s="240"/>
      <c r="U653" s="240"/>
      <c r="V653" s="240"/>
      <c r="W653" s="240"/>
      <c r="X653" s="240"/>
      <c r="Y653" s="240"/>
      <c r="Z653" s="240"/>
      <c r="AA653" s="240"/>
      <c r="AB653" s="240"/>
    </row>
    <row r="654">
      <c r="A654" s="240"/>
      <c r="B654" s="240" t="s">
        <v>2955</v>
      </c>
      <c r="C654" s="240"/>
      <c r="D654" s="240"/>
      <c r="E654" s="240"/>
      <c r="G654" s="240"/>
      <c r="H654" s="240"/>
      <c r="I654" s="240"/>
      <c r="J654" s="240"/>
      <c r="K654" s="240"/>
      <c r="L654" s="240"/>
      <c r="M654" s="240"/>
      <c r="N654" s="240"/>
      <c r="O654" s="240"/>
      <c r="P654" s="240"/>
      <c r="Q654" s="240"/>
      <c r="R654" s="240"/>
      <c r="S654" s="240"/>
      <c r="T654" s="240"/>
      <c r="U654" s="240"/>
      <c r="V654" s="240"/>
      <c r="W654" s="240"/>
      <c r="X654" s="240"/>
      <c r="Y654" s="240"/>
      <c r="Z654" s="240"/>
      <c r="AA654" s="240"/>
      <c r="AB654" s="240"/>
    </row>
    <row r="655">
      <c r="A655" s="240"/>
      <c r="B655" s="240" t="s">
        <v>2955</v>
      </c>
      <c r="C655" s="240"/>
      <c r="D655" s="240"/>
      <c r="E655" s="240"/>
      <c r="G655" s="240"/>
      <c r="H655" s="240"/>
      <c r="I655" s="240"/>
      <c r="J655" s="240"/>
      <c r="K655" s="240"/>
      <c r="L655" s="240"/>
      <c r="M655" s="240"/>
      <c r="N655" s="240"/>
      <c r="O655" s="240"/>
      <c r="P655" s="240"/>
      <c r="Q655" s="240"/>
      <c r="R655" s="240"/>
      <c r="S655" s="240"/>
      <c r="T655" s="240"/>
      <c r="U655" s="240"/>
      <c r="V655" s="240"/>
      <c r="W655" s="240"/>
      <c r="X655" s="240"/>
      <c r="Y655" s="240"/>
      <c r="Z655" s="240"/>
      <c r="AA655" s="240"/>
      <c r="AB655" s="240"/>
    </row>
    <row r="656">
      <c r="A656" s="240"/>
      <c r="B656" s="240" t="s">
        <v>2955</v>
      </c>
      <c r="C656" s="240"/>
      <c r="D656" s="240"/>
      <c r="E656" s="240"/>
      <c r="G656" s="240"/>
      <c r="H656" s="240"/>
      <c r="I656" s="240"/>
      <c r="J656" s="240"/>
      <c r="K656" s="240"/>
      <c r="L656" s="240"/>
      <c r="M656" s="240"/>
      <c r="N656" s="240"/>
      <c r="O656" s="240"/>
      <c r="P656" s="240"/>
      <c r="Q656" s="240"/>
      <c r="R656" s="240"/>
      <c r="S656" s="240"/>
      <c r="T656" s="240"/>
      <c r="U656" s="240"/>
      <c r="V656" s="240"/>
      <c r="W656" s="240"/>
      <c r="X656" s="240"/>
      <c r="Y656" s="240"/>
      <c r="Z656" s="240"/>
      <c r="AA656" s="240"/>
      <c r="AB656" s="240"/>
    </row>
    <row r="657">
      <c r="A657" s="240"/>
      <c r="B657" s="240" t="s">
        <v>2955</v>
      </c>
      <c r="C657" s="240"/>
      <c r="D657" s="240"/>
      <c r="E657" s="240"/>
      <c r="G657" s="240"/>
      <c r="H657" s="240"/>
      <c r="I657" s="240"/>
      <c r="J657" s="240"/>
      <c r="K657" s="240"/>
      <c r="L657" s="240"/>
      <c r="M657" s="240"/>
      <c r="N657" s="240"/>
      <c r="O657" s="240"/>
      <c r="P657" s="240"/>
      <c r="Q657" s="240"/>
      <c r="R657" s="240"/>
      <c r="S657" s="240"/>
      <c r="T657" s="240"/>
      <c r="U657" s="240"/>
      <c r="V657" s="240"/>
      <c r="W657" s="240"/>
      <c r="X657" s="240"/>
      <c r="Y657" s="240"/>
      <c r="Z657" s="240"/>
      <c r="AA657" s="240"/>
      <c r="AB657" s="240"/>
    </row>
    <row r="658">
      <c r="A658" s="240"/>
      <c r="B658" s="240" t="s">
        <v>2955</v>
      </c>
      <c r="C658" s="240"/>
      <c r="D658" s="240"/>
      <c r="E658" s="240"/>
      <c r="G658" s="240"/>
      <c r="H658" s="240"/>
      <c r="I658" s="240"/>
      <c r="J658" s="240"/>
      <c r="K658" s="240"/>
      <c r="L658" s="240"/>
      <c r="M658" s="240"/>
      <c r="N658" s="240"/>
      <c r="O658" s="240"/>
      <c r="P658" s="240"/>
      <c r="Q658" s="240"/>
      <c r="R658" s="240"/>
      <c r="S658" s="240"/>
      <c r="T658" s="240"/>
      <c r="U658" s="240"/>
      <c r="V658" s="240"/>
      <c r="W658" s="240"/>
      <c r="X658" s="240"/>
      <c r="Y658" s="240"/>
      <c r="Z658" s="240"/>
      <c r="AA658" s="240"/>
      <c r="AB658" s="240"/>
    </row>
    <row r="659">
      <c r="A659" s="240"/>
      <c r="B659" s="240" t="s">
        <v>2955</v>
      </c>
      <c r="C659" s="240"/>
      <c r="D659" s="240"/>
      <c r="E659" s="240"/>
      <c r="G659" s="240"/>
      <c r="H659" s="240"/>
      <c r="I659" s="240"/>
      <c r="J659" s="240"/>
      <c r="K659" s="240"/>
      <c r="L659" s="240"/>
      <c r="M659" s="240"/>
      <c r="N659" s="240"/>
      <c r="O659" s="240"/>
      <c r="P659" s="240"/>
      <c r="Q659" s="240"/>
      <c r="R659" s="240"/>
      <c r="S659" s="240"/>
      <c r="T659" s="240"/>
      <c r="U659" s="240"/>
      <c r="V659" s="240"/>
      <c r="W659" s="240"/>
      <c r="X659" s="240"/>
      <c r="Y659" s="240"/>
      <c r="Z659" s="240"/>
      <c r="AA659" s="240"/>
      <c r="AB659" s="240"/>
    </row>
    <row r="660">
      <c r="A660" s="240"/>
      <c r="B660" s="240" t="s">
        <v>2955</v>
      </c>
      <c r="C660" s="240"/>
      <c r="D660" s="240"/>
      <c r="E660" s="240"/>
      <c r="G660" s="240"/>
      <c r="H660" s="240"/>
      <c r="I660" s="240"/>
      <c r="J660" s="240"/>
      <c r="K660" s="240"/>
      <c r="L660" s="240"/>
      <c r="M660" s="240"/>
      <c r="N660" s="240"/>
      <c r="O660" s="240"/>
      <c r="P660" s="240"/>
      <c r="Q660" s="240"/>
      <c r="R660" s="240"/>
      <c r="S660" s="240"/>
      <c r="T660" s="240"/>
      <c r="U660" s="240"/>
      <c r="V660" s="240"/>
      <c r="W660" s="240"/>
      <c r="X660" s="240"/>
      <c r="Y660" s="240"/>
      <c r="Z660" s="240"/>
      <c r="AA660" s="240"/>
      <c r="AB660" s="240"/>
    </row>
    <row r="661">
      <c r="A661" s="240"/>
      <c r="B661" s="240" t="s">
        <v>2955</v>
      </c>
      <c r="C661" s="240"/>
      <c r="D661" s="240"/>
      <c r="E661" s="240"/>
      <c r="G661" s="240"/>
      <c r="H661" s="240"/>
      <c r="I661" s="240"/>
      <c r="J661" s="240"/>
      <c r="K661" s="240"/>
      <c r="L661" s="240"/>
      <c r="M661" s="240"/>
      <c r="N661" s="240"/>
      <c r="O661" s="240"/>
      <c r="P661" s="240"/>
      <c r="Q661" s="240"/>
      <c r="R661" s="240"/>
      <c r="S661" s="240"/>
      <c r="T661" s="240"/>
      <c r="U661" s="240"/>
      <c r="V661" s="240"/>
      <c r="W661" s="240"/>
      <c r="X661" s="240"/>
      <c r="Y661" s="240"/>
      <c r="Z661" s="240"/>
      <c r="AA661" s="240"/>
      <c r="AB661" s="240"/>
    </row>
    <row r="662">
      <c r="A662" s="240"/>
      <c r="B662" s="240" t="s">
        <v>2955</v>
      </c>
      <c r="C662" s="240"/>
      <c r="D662" s="240"/>
      <c r="E662" s="240"/>
      <c r="G662" s="240"/>
      <c r="H662" s="240"/>
      <c r="I662" s="240"/>
      <c r="J662" s="240"/>
      <c r="K662" s="240"/>
      <c r="L662" s="240"/>
      <c r="M662" s="240"/>
      <c r="N662" s="240"/>
      <c r="O662" s="240"/>
      <c r="P662" s="240"/>
      <c r="Q662" s="240"/>
      <c r="R662" s="240"/>
      <c r="S662" s="240"/>
      <c r="T662" s="240"/>
      <c r="U662" s="240"/>
      <c r="V662" s="240"/>
      <c r="W662" s="240"/>
      <c r="X662" s="240"/>
      <c r="Y662" s="240"/>
      <c r="Z662" s="240"/>
      <c r="AA662" s="240"/>
      <c r="AB662" s="240"/>
    </row>
    <row r="663">
      <c r="A663" s="240"/>
      <c r="B663" s="240" t="s">
        <v>2955</v>
      </c>
      <c r="C663" s="240"/>
      <c r="D663" s="240"/>
      <c r="E663" s="240"/>
      <c r="G663" s="240"/>
      <c r="H663" s="240"/>
      <c r="I663" s="240"/>
      <c r="J663" s="240"/>
      <c r="K663" s="240"/>
      <c r="L663" s="240"/>
      <c r="M663" s="240"/>
      <c r="N663" s="240"/>
      <c r="O663" s="240"/>
      <c r="P663" s="240"/>
      <c r="Q663" s="240"/>
      <c r="R663" s="240"/>
      <c r="S663" s="240"/>
      <c r="T663" s="240"/>
      <c r="U663" s="240"/>
      <c r="V663" s="240"/>
      <c r="W663" s="240"/>
      <c r="X663" s="240"/>
      <c r="Y663" s="240"/>
      <c r="Z663" s="240"/>
      <c r="AA663" s="240"/>
      <c r="AB663" s="240"/>
    </row>
    <row r="664">
      <c r="A664" s="240"/>
      <c r="B664" s="240" t="s">
        <v>2955</v>
      </c>
      <c r="C664" s="240"/>
      <c r="D664" s="240"/>
      <c r="E664" s="240"/>
      <c r="G664" s="240"/>
      <c r="H664" s="240"/>
      <c r="I664" s="240"/>
      <c r="J664" s="240"/>
      <c r="K664" s="240"/>
      <c r="L664" s="240"/>
      <c r="M664" s="240"/>
      <c r="N664" s="240"/>
      <c r="O664" s="240"/>
      <c r="P664" s="240"/>
      <c r="Q664" s="240"/>
      <c r="R664" s="240"/>
      <c r="S664" s="240"/>
      <c r="T664" s="240"/>
      <c r="U664" s="240"/>
      <c r="V664" s="240"/>
      <c r="W664" s="240"/>
      <c r="X664" s="240"/>
      <c r="Y664" s="240"/>
      <c r="Z664" s="240"/>
      <c r="AA664" s="240"/>
      <c r="AB664" s="240"/>
    </row>
    <row r="665">
      <c r="A665" s="240"/>
      <c r="B665" s="240" t="s">
        <v>2955</v>
      </c>
      <c r="C665" s="240"/>
      <c r="D665" s="240"/>
      <c r="E665" s="240"/>
      <c r="G665" s="240"/>
      <c r="H665" s="240"/>
      <c r="I665" s="240"/>
      <c r="J665" s="240"/>
      <c r="K665" s="240"/>
      <c r="L665" s="240"/>
      <c r="M665" s="240"/>
      <c r="N665" s="240"/>
      <c r="O665" s="240"/>
      <c r="P665" s="240"/>
      <c r="Q665" s="240"/>
      <c r="R665" s="240"/>
      <c r="S665" s="240"/>
      <c r="T665" s="240"/>
      <c r="U665" s="240"/>
      <c r="V665" s="240"/>
      <c r="W665" s="240"/>
      <c r="X665" s="240"/>
      <c r="Y665" s="240"/>
      <c r="Z665" s="240"/>
      <c r="AA665" s="240"/>
      <c r="AB665" s="240"/>
    </row>
    <row r="666">
      <c r="A666" s="240"/>
      <c r="B666" s="240" t="s">
        <v>2955</v>
      </c>
      <c r="C666" s="240"/>
      <c r="D666" s="240"/>
      <c r="E666" s="240"/>
      <c r="G666" s="240"/>
      <c r="H666" s="240"/>
      <c r="I666" s="240"/>
      <c r="J666" s="240"/>
      <c r="K666" s="240"/>
      <c r="L666" s="240"/>
      <c r="M666" s="240"/>
      <c r="N666" s="240"/>
      <c r="O666" s="240"/>
      <c r="P666" s="240"/>
      <c r="Q666" s="240"/>
      <c r="R666" s="240"/>
      <c r="S666" s="240"/>
      <c r="T666" s="240"/>
      <c r="U666" s="240"/>
      <c r="V666" s="240"/>
      <c r="W666" s="240"/>
      <c r="X666" s="240"/>
      <c r="Y666" s="240"/>
      <c r="Z666" s="240"/>
      <c r="AA666" s="240"/>
      <c r="AB666" s="240"/>
    </row>
    <row r="667">
      <c r="A667" s="240"/>
      <c r="B667" s="240" t="s">
        <v>2955</v>
      </c>
      <c r="C667" s="240"/>
      <c r="D667" s="240"/>
      <c r="E667" s="240"/>
      <c r="G667" s="240"/>
      <c r="H667" s="240"/>
      <c r="I667" s="240"/>
      <c r="J667" s="240"/>
      <c r="K667" s="240"/>
      <c r="L667" s="240"/>
      <c r="M667" s="240"/>
      <c r="N667" s="240"/>
      <c r="O667" s="240"/>
      <c r="P667" s="240"/>
      <c r="Q667" s="240"/>
      <c r="R667" s="240"/>
      <c r="S667" s="240"/>
      <c r="T667" s="240"/>
      <c r="U667" s="240"/>
      <c r="V667" s="240"/>
      <c r="W667" s="240"/>
      <c r="X667" s="240"/>
      <c r="Y667" s="240"/>
      <c r="Z667" s="240"/>
      <c r="AA667" s="240"/>
      <c r="AB667" s="240"/>
    </row>
    <row r="668">
      <c r="A668" s="240"/>
      <c r="B668" s="240" t="s">
        <v>2955</v>
      </c>
      <c r="C668" s="240"/>
      <c r="D668" s="240"/>
      <c r="E668" s="240"/>
      <c r="G668" s="240"/>
      <c r="H668" s="240"/>
      <c r="I668" s="240"/>
      <c r="J668" s="240"/>
      <c r="K668" s="240"/>
      <c r="L668" s="240"/>
      <c r="M668" s="240"/>
      <c r="N668" s="240"/>
      <c r="O668" s="240"/>
      <c r="P668" s="240"/>
      <c r="Q668" s="240"/>
      <c r="R668" s="240"/>
      <c r="S668" s="240"/>
      <c r="T668" s="240"/>
      <c r="U668" s="240"/>
      <c r="V668" s="240"/>
      <c r="W668" s="240"/>
      <c r="X668" s="240"/>
      <c r="Y668" s="240"/>
      <c r="Z668" s="240"/>
      <c r="AA668" s="240"/>
      <c r="AB668" s="240"/>
    </row>
    <row r="669">
      <c r="A669" s="240"/>
      <c r="B669" s="240" t="s">
        <v>2955</v>
      </c>
      <c r="C669" s="240"/>
      <c r="D669" s="240"/>
      <c r="E669" s="240"/>
      <c r="G669" s="240"/>
      <c r="H669" s="240"/>
      <c r="I669" s="240"/>
      <c r="J669" s="240"/>
      <c r="K669" s="240"/>
      <c r="L669" s="240"/>
      <c r="M669" s="240"/>
      <c r="N669" s="240"/>
      <c r="O669" s="240"/>
      <c r="P669" s="240"/>
      <c r="Q669" s="240"/>
      <c r="R669" s="240"/>
      <c r="S669" s="240"/>
      <c r="T669" s="240"/>
      <c r="U669" s="240"/>
      <c r="V669" s="240"/>
      <c r="W669" s="240"/>
      <c r="X669" s="240"/>
      <c r="Y669" s="240"/>
      <c r="Z669" s="240"/>
      <c r="AA669" s="240"/>
      <c r="AB669" s="240"/>
    </row>
    <row r="670">
      <c r="A670" s="240"/>
      <c r="B670" s="240" t="s">
        <v>2955</v>
      </c>
      <c r="C670" s="240"/>
      <c r="D670" s="240"/>
      <c r="E670" s="240"/>
      <c r="G670" s="240"/>
      <c r="H670" s="240"/>
      <c r="I670" s="240"/>
      <c r="J670" s="240"/>
      <c r="K670" s="240"/>
      <c r="L670" s="240"/>
      <c r="M670" s="240"/>
      <c r="N670" s="240"/>
      <c r="O670" s="240"/>
      <c r="P670" s="240"/>
      <c r="Q670" s="240"/>
      <c r="R670" s="240"/>
      <c r="S670" s="240"/>
      <c r="T670" s="240"/>
      <c r="U670" s="240"/>
      <c r="V670" s="240"/>
      <c r="W670" s="240"/>
      <c r="X670" s="240"/>
      <c r="Y670" s="240"/>
      <c r="Z670" s="240"/>
      <c r="AA670" s="240"/>
      <c r="AB670" s="240"/>
    </row>
    <row r="671">
      <c r="A671" s="240"/>
      <c r="B671" s="240" t="s">
        <v>2955</v>
      </c>
      <c r="C671" s="240"/>
      <c r="D671" s="240"/>
      <c r="E671" s="240"/>
      <c r="G671" s="240"/>
      <c r="H671" s="240"/>
      <c r="I671" s="240"/>
      <c r="J671" s="240"/>
      <c r="K671" s="240"/>
      <c r="L671" s="240"/>
      <c r="M671" s="240"/>
      <c r="N671" s="240"/>
      <c r="O671" s="240"/>
      <c r="P671" s="240"/>
      <c r="Q671" s="240"/>
      <c r="R671" s="240"/>
      <c r="S671" s="240"/>
      <c r="T671" s="240"/>
      <c r="U671" s="240"/>
      <c r="V671" s="240"/>
      <c r="W671" s="240"/>
      <c r="X671" s="240"/>
      <c r="Y671" s="240"/>
      <c r="Z671" s="240"/>
      <c r="AA671" s="240"/>
      <c r="AB671" s="240"/>
    </row>
    <row r="672">
      <c r="A672" s="240"/>
      <c r="B672" s="240" t="s">
        <v>2955</v>
      </c>
      <c r="C672" s="240"/>
      <c r="D672" s="240"/>
      <c r="E672" s="240"/>
      <c r="G672" s="240"/>
      <c r="H672" s="240"/>
      <c r="I672" s="240"/>
      <c r="J672" s="240"/>
      <c r="K672" s="240"/>
      <c r="L672" s="240"/>
      <c r="M672" s="240"/>
      <c r="N672" s="240"/>
      <c r="O672" s="240"/>
      <c r="P672" s="240"/>
      <c r="Q672" s="240"/>
      <c r="R672" s="240"/>
      <c r="S672" s="240"/>
      <c r="T672" s="240"/>
      <c r="U672" s="240"/>
      <c r="V672" s="240"/>
      <c r="W672" s="240"/>
      <c r="X672" s="240"/>
      <c r="Y672" s="240"/>
      <c r="Z672" s="240"/>
      <c r="AA672" s="240"/>
      <c r="AB672" s="240"/>
    </row>
    <row r="673">
      <c r="A673" s="240"/>
      <c r="B673" s="240" t="s">
        <v>2955</v>
      </c>
      <c r="C673" s="240"/>
      <c r="D673" s="240"/>
      <c r="E673" s="240"/>
      <c r="G673" s="240"/>
      <c r="H673" s="240"/>
      <c r="I673" s="240"/>
      <c r="J673" s="240"/>
      <c r="K673" s="240"/>
      <c r="L673" s="240"/>
      <c r="M673" s="240"/>
      <c r="N673" s="240"/>
      <c r="O673" s="240"/>
      <c r="P673" s="240"/>
      <c r="Q673" s="240"/>
      <c r="R673" s="240"/>
      <c r="S673" s="240"/>
      <c r="T673" s="240"/>
      <c r="U673" s="240"/>
      <c r="V673" s="240"/>
      <c r="W673" s="240"/>
      <c r="X673" s="240"/>
      <c r="Y673" s="240"/>
      <c r="Z673" s="240"/>
      <c r="AA673" s="240"/>
      <c r="AB673" s="240"/>
    </row>
    <row r="674">
      <c r="A674" s="240"/>
      <c r="B674" s="240" t="s">
        <v>2955</v>
      </c>
      <c r="C674" s="240"/>
      <c r="D674" s="240"/>
      <c r="E674" s="240"/>
      <c r="G674" s="240"/>
      <c r="H674" s="240"/>
      <c r="I674" s="240"/>
      <c r="J674" s="240"/>
      <c r="K674" s="240"/>
      <c r="L674" s="240"/>
      <c r="M674" s="240"/>
      <c r="N674" s="240"/>
      <c r="O674" s="240"/>
      <c r="P674" s="240"/>
      <c r="Q674" s="240"/>
      <c r="R674" s="240"/>
      <c r="S674" s="240"/>
      <c r="T674" s="240"/>
      <c r="U674" s="240"/>
      <c r="V674" s="240"/>
      <c r="W674" s="240"/>
      <c r="X674" s="240"/>
      <c r="Y674" s="240"/>
      <c r="Z674" s="240"/>
      <c r="AA674" s="240"/>
      <c r="AB674" s="240"/>
    </row>
    <row r="675">
      <c r="A675" s="240"/>
      <c r="B675" s="240" t="s">
        <v>2955</v>
      </c>
      <c r="C675" s="240"/>
      <c r="D675" s="240"/>
      <c r="E675" s="240"/>
      <c r="G675" s="240"/>
      <c r="H675" s="240"/>
      <c r="I675" s="240"/>
      <c r="J675" s="240"/>
      <c r="K675" s="240"/>
      <c r="L675" s="240"/>
      <c r="M675" s="240"/>
      <c r="N675" s="240"/>
      <c r="O675" s="240"/>
      <c r="P675" s="240"/>
      <c r="Q675" s="240"/>
      <c r="R675" s="240"/>
      <c r="S675" s="240"/>
      <c r="T675" s="240"/>
      <c r="U675" s="240"/>
      <c r="V675" s="240"/>
      <c r="W675" s="240"/>
      <c r="X675" s="240"/>
      <c r="Y675" s="240"/>
      <c r="Z675" s="240"/>
      <c r="AA675" s="240"/>
      <c r="AB675" s="240"/>
    </row>
    <row r="676">
      <c r="A676" s="240"/>
      <c r="B676" s="240" t="s">
        <v>2955</v>
      </c>
      <c r="C676" s="240"/>
      <c r="D676" s="240"/>
      <c r="E676" s="240"/>
      <c r="G676" s="240"/>
      <c r="H676" s="240"/>
      <c r="I676" s="240"/>
      <c r="J676" s="240"/>
      <c r="K676" s="240"/>
      <c r="L676" s="240"/>
      <c r="M676" s="240"/>
      <c r="N676" s="240"/>
      <c r="O676" s="240"/>
      <c r="P676" s="240"/>
      <c r="Q676" s="240"/>
      <c r="R676" s="240"/>
      <c r="S676" s="240"/>
      <c r="T676" s="240"/>
      <c r="U676" s="240"/>
      <c r="V676" s="240"/>
      <c r="W676" s="240"/>
      <c r="X676" s="240"/>
      <c r="Y676" s="240"/>
      <c r="Z676" s="240"/>
      <c r="AA676" s="240"/>
      <c r="AB676" s="240"/>
    </row>
    <row r="677">
      <c r="A677" s="240"/>
      <c r="B677" s="240" t="s">
        <v>2955</v>
      </c>
      <c r="C677" s="240"/>
      <c r="D677" s="240"/>
      <c r="E677" s="240"/>
      <c r="G677" s="240"/>
      <c r="H677" s="240"/>
      <c r="I677" s="240"/>
      <c r="J677" s="240"/>
      <c r="K677" s="240"/>
      <c r="L677" s="240"/>
      <c r="M677" s="240"/>
      <c r="N677" s="240"/>
      <c r="O677" s="240"/>
      <c r="P677" s="240"/>
      <c r="Q677" s="240"/>
      <c r="R677" s="240"/>
      <c r="S677" s="240"/>
      <c r="T677" s="240"/>
      <c r="U677" s="240"/>
      <c r="V677" s="240"/>
      <c r="W677" s="240"/>
      <c r="X677" s="240"/>
      <c r="Y677" s="240"/>
      <c r="Z677" s="240"/>
      <c r="AA677" s="240"/>
      <c r="AB677" s="240"/>
    </row>
    <row r="678">
      <c r="A678" s="240"/>
      <c r="B678" s="240" t="s">
        <v>2955</v>
      </c>
      <c r="C678" s="240"/>
      <c r="D678" s="240"/>
      <c r="E678" s="240"/>
      <c r="G678" s="240"/>
      <c r="H678" s="240"/>
      <c r="I678" s="240"/>
      <c r="J678" s="240"/>
      <c r="K678" s="240"/>
      <c r="L678" s="240"/>
      <c r="M678" s="240"/>
      <c r="N678" s="240"/>
      <c r="O678" s="240"/>
      <c r="P678" s="240"/>
      <c r="Q678" s="240"/>
      <c r="R678" s="240"/>
      <c r="S678" s="240"/>
      <c r="T678" s="240"/>
      <c r="U678" s="240"/>
      <c r="V678" s="240"/>
      <c r="W678" s="240"/>
      <c r="X678" s="240"/>
      <c r="Y678" s="240"/>
      <c r="Z678" s="240"/>
      <c r="AA678" s="240"/>
      <c r="AB678" s="240"/>
    </row>
    <row r="679">
      <c r="A679" s="240"/>
      <c r="B679" s="240" t="s">
        <v>2955</v>
      </c>
      <c r="C679" s="240"/>
      <c r="D679" s="240"/>
      <c r="E679" s="240"/>
      <c r="G679" s="240"/>
      <c r="H679" s="240"/>
      <c r="I679" s="240"/>
      <c r="J679" s="240"/>
      <c r="K679" s="240"/>
      <c r="L679" s="240"/>
      <c r="M679" s="240"/>
      <c r="N679" s="240"/>
      <c r="O679" s="240"/>
      <c r="P679" s="240"/>
      <c r="Q679" s="240"/>
      <c r="R679" s="240"/>
      <c r="S679" s="240"/>
      <c r="T679" s="240"/>
      <c r="U679" s="240"/>
      <c r="V679" s="240"/>
      <c r="W679" s="240"/>
      <c r="X679" s="240"/>
      <c r="Y679" s="240"/>
      <c r="Z679" s="240"/>
      <c r="AA679" s="240"/>
      <c r="AB679" s="240"/>
    </row>
    <row r="680">
      <c r="A680" s="240"/>
      <c r="B680" s="240" t="s">
        <v>2955</v>
      </c>
      <c r="C680" s="240"/>
      <c r="D680" s="240"/>
      <c r="E680" s="240"/>
      <c r="G680" s="240"/>
      <c r="H680" s="240"/>
      <c r="I680" s="240"/>
      <c r="J680" s="240"/>
      <c r="K680" s="240"/>
      <c r="L680" s="240"/>
      <c r="M680" s="240"/>
      <c r="N680" s="240"/>
      <c r="O680" s="240"/>
      <c r="P680" s="240"/>
      <c r="Q680" s="240"/>
      <c r="R680" s="240"/>
      <c r="S680" s="240"/>
      <c r="T680" s="240"/>
      <c r="U680" s="240"/>
      <c r="V680" s="240"/>
      <c r="W680" s="240"/>
      <c r="X680" s="240"/>
      <c r="Y680" s="240"/>
      <c r="Z680" s="240"/>
      <c r="AA680" s="240"/>
      <c r="AB680" s="240"/>
    </row>
    <row r="681">
      <c r="A681" s="240"/>
      <c r="B681" s="240" t="s">
        <v>2955</v>
      </c>
      <c r="C681" s="240"/>
      <c r="D681" s="240"/>
      <c r="E681" s="240"/>
      <c r="G681" s="240"/>
      <c r="H681" s="240"/>
      <c r="I681" s="240"/>
      <c r="J681" s="240"/>
      <c r="K681" s="240"/>
      <c r="L681" s="240"/>
      <c r="M681" s="240"/>
      <c r="N681" s="240"/>
      <c r="O681" s="240"/>
      <c r="P681" s="240"/>
      <c r="Q681" s="240"/>
      <c r="R681" s="240"/>
      <c r="S681" s="240"/>
      <c r="T681" s="240"/>
      <c r="U681" s="240"/>
      <c r="V681" s="240"/>
      <c r="W681" s="240"/>
      <c r="X681" s="240"/>
      <c r="Y681" s="240"/>
      <c r="Z681" s="240"/>
      <c r="AA681" s="240"/>
      <c r="AB681" s="240"/>
    </row>
    <row r="682">
      <c r="A682" s="240"/>
      <c r="B682" s="240" t="s">
        <v>2955</v>
      </c>
      <c r="C682" s="240"/>
      <c r="D682" s="240"/>
      <c r="E682" s="240"/>
      <c r="G682" s="240"/>
      <c r="H682" s="240"/>
      <c r="I682" s="240"/>
      <c r="J682" s="240"/>
      <c r="K682" s="240"/>
      <c r="L682" s="240"/>
      <c r="M682" s="240"/>
      <c r="N682" s="240"/>
      <c r="O682" s="240"/>
      <c r="P682" s="240"/>
      <c r="Q682" s="240"/>
      <c r="R682" s="240"/>
      <c r="S682" s="240"/>
      <c r="T682" s="240"/>
      <c r="U682" s="240"/>
      <c r="V682" s="240"/>
      <c r="W682" s="240"/>
      <c r="X682" s="240"/>
      <c r="Y682" s="240"/>
      <c r="Z682" s="240"/>
      <c r="AA682" s="240"/>
      <c r="AB682" s="240"/>
    </row>
    <row r="683">
      <c r="A683" s="240"/>
      <c r="B683" s="240" t="s">
        <v>2955</v>
      </c>
      <c r="C683" s="240"/>
      <c r="D683" s="240"/>
      <c r="E683" s="240"/>
      <c r="G683" s="240"/>
      <c r="H683" s="240"/>
      <c r="I683" s="240"/>
      <c r="J683" s="240"/>
      <c r="K683" s="240"/>
      <c r="L683" s="240"/>
      <c r="M683" s="240"/>
      <c r="N683" s="240"/>
      <c r="O683" s="240"/>
      <c r="P683" s="240"/>
      <c r="Q683" s="240"/>
      <c r="R683" s="240"/>
      <c r="S683" s="240"/>
      <c r="T683" s="240"/>
      <c r="U683" s="240"/>
      <c r="V683" s="240"/>
      <c r="W683" s="240"/>
      <c r="X683" s="240"/>
      <c r="Y683" s="240"/>
      <c r="Z683" s="240"/>
      <c r="AA683" s="240"/>
      <c r="AB683" s="240"/>
    </row>
    <row r="684">
      <c r="A684" s="240"/>
      <c r="B684" s="240" t="s">
        <v>2955</v>
      </c>
      <c r="C684" s="240"/>
      <c r="D684" s="240"/>
      <c r="E684" s="240"/>
      <c r="G684" s="240"/>
      <c r="H684" s="240"/>
      <c r="I684" s="240"/>
      <c r="J684" s="240"/>
      <c r="K684" s="240"/>
      <c r="L684" s="240"/>
      <c r="M684" s="240"/>
      <c r="N684" s="240"/>
      <c r="O684" s="240"/>
      <c r="P684" s="240"/>
      <c r="Q684" s="240"/>
      <c r="R684" s="240"/>
      <c r="S684" s="240"/>
      <c r="T684" s="240"/>
      <c r="U684" s="240"/>
      <c r="V684" s="240"/>
      <c r="W684" s="240"/>
      <c r="X684" s="240"/>
      <c r="Y684" s="240"/>
      <c r="Z684" s="240"/>
      <c r="AA684" s="240"/>
      <c r="AB684" s="240"/>
    </row>
    <row r="685">
      <c r="A685" s="240"/>
      <c r="B685" s="240" t="s">
        <v>2955</v>
      </c>
      <c r="C685" s="240"/>
      <c r="D685" s="240"/>
      <c r="E685" s="240"/>
      <c r="G685" s="240"/>
      <c r="H685" s="240"/>
      <c r="I685" s="240"/>
      <c r="J685" s="240"/>
      <c r="K685" s="240"/>
      <c r="L685" s="240"/>
      <c r="M685" s="240"/>
      <c r="N685" s="240"/>
      <c r="O685" s="240"/>
      <c r="P685" s="240"/>
      <c r="Q685" s="240"/>
      <c r="R685" s="240"/>
      <c r="S685" s="240"/>
      <c r="T685" s="240"/>
      <c r="U685" s="240"/>
      <c r="V685" s="240"/>
      <c r="W685" s="240"/>
      <c r="X685" s="240"/>
      <c r="Y685" s="240"/>
      <c r="Z685" s="240"/>
      <c r="AA685" s="240"/>
      <c r="AB685" s="240"/>
    </row>
    <row r="686">
      <c r="A686" s="240"/>
      <c r="B686" s="240" t="s">
        <v>2955</v>
      </c>
      <c r="C686" s="240"/>
      <c r="D686" s="240"/>
      <c r="E686" s="240"/>
      <c r="G686" s="240"/>
      <c r="H686" s="240"/>
      <c r="I686" s="240"/>
      <c r="J686" s="240"/>
      <c r="K686" s="240"/>
      <c r="L686" s="240"/>
      <c r="M686" s="240"/>
      <c r="N686" s="240"/>
      <c r="O686" s="240"/>
      <c r="P686" s="240"/>
      <c r="Q686" s="240"/>
      <c r="R686" s="240"/>
      <c r="S686" s="240"/>
      <c r="T686" s="240"/>
      <c r="U686" s="240"/>
      <c r="V686" s="240"/>
      <c r="W686" s="240"/>
      <c r="X686" s="240"/>
      <c r="Y686" s="240"/>
      <c r="Z686" s="240"/>
      <c r="AA686" s="240"/>
      <c r="AB686" s="240"/>
    </row>
    <row r="687">
      <c r="A687" s="240"/>
      <c r="B687" s="240" t="s">
        <v>2955</v>
      </c>
      <c r="C687" s="240"/>
      <c r="D687" s="240"/>
      <c r="E687" s="240"/>
      <c r="G687" s="240"/>
      <c r="H687" s="240"/>
      <c r="I687" s="240"/>
      <c r="J687" s="240"/>
      <c r="K687" s="240"/>
      <c r="L687" s="240"/>
      <c r="M687" s="240"/>
      <c r="N687" s="240"/>
      <c r="O687" s="240"/>
      <c r="P687" s="240"/>
      <c r="Q687" s="240"/>
      <c r="R687" s="240"/>
      <c r="S687" s="240"/>
      <c r="T687" s="240"/>
      <c r="U687" s="240"/>
      <c r="V687" s="240"/>
      <c r="W687" s="240"/>
      <c r="X687" s="240"/>
      <c r="Y687" s="240"/>
      <c r="Z687" s="240"/>
      <c r="AA687" s="240"/>
      <c r="AB687" s="240"/>
    </row>
    <row r="688">
      <c r="A688" s="240"/>
      <c r="B688" s="240" t="s">
        <v>2955</v>
      </c>
      <c r="C688" s="240"/>
      <c r="D688" s="240"/>
      <c r="E688" s="240"/>
      <c r="G688" s="240"/>
      <c r="H688" s="240"/>
      <c r="I688" s="240"/>
      <c r="J688" s="240"/>
      <c r="K688" s="240"/>
      <c r="L688" s="240"/>
      <c r="M688" s="240"/>
      <c r="N688" s="240"/>
      <c r="O688" s="240"/>
      <c r="P688" s="240"/>
      <c r="Q688" s="240"/>
      <c r="R688" s="240"/>
      <c r="S688" s="240"/>
      <c r="T688" s="240"/>
      <c r="U688" s="240"/>
      <c r="V688" s="240"/>
      <c r="W688" s="240"/>
      <c r="X688" s="240"/>
      <c r="Y688" s="240"/>
      <c r="Z688" s="240"/>
      <c r="AA688" s="240"/>
      <c r="AB688" s="240"/>
    </row>
    <row r="689">
      <c r="A689" s="240"/>
      <c r="B689" s="240" t="s">
        <v>2955</v>
      </c>
      <c r="C689" s="240"/>
      <c r="D689" s="240"/>
      <c r="E689" s="240"/>
      <c r="G689" s="240"/>
      <c r="H689" s="240"/>
      <c r="I689" s="240"/>
      <c r="J689" s="240"/>
      <c r="K689" s="240"/>
      <c r="L689" s="240"/>
      <c r="M689" s="240"/>
      <c r="N689" s="240"/>
      <c r="O689" s="240"/>
      <c r="P689" s="240"/>
      <c r="Q689" s="240"/>
      <c r="R689" s="240"/>
      <c r="S689" s="240"/>
      <c r="T689" s="240"/>
      <c r="U689" s="240"/>
      <c r="V689" s="240"/>
      <c r="W689" s="240"/>
      <c r="X689" s="240"/>
      <c r="Y689" s="240"/>
      <c r="Z689" s="240"/>
      <c r="AA689" s="240"/>
      <c r="AB689" s="240"/>
    </row>
    <row r="690">
      <c r="A690" s="240"/>
      <c r="B690" s="240" t="s">
        <v>2955</v>
      </c>
      <c r="C690" s="240"/>
      <c r="D690" s="240"/>
      <c r="E690" s="240"/>
      <c r="G690" s="240"/>
      <c r="H690" s="240"/>
      <c r="I690" s="240"/>
      <c r="J690" s="240"/>
      <c r="K690" s="240"/>
      <c r="L690" s="240"/>
      <c r="M690" s="240"/>
      <c r="N690" s="240"/>
      <c r="O690" s="240"/>
      <c r="P690" s="240"/>
      <c r="Q690" s="240"/>
      <c r="R690" s="240"/>
      <c r="S690" s="240"/>
      <c r="T690" s="240"/>
      <c r="U690" s="240"/>
      <c r="V690" s="240"/>
      <c r="W690" s="240"/>
      <c r="X690" s="240"/>
      <c r="Y690" s="240"/>
      <c r="Z690" s="240"/>
      <c r="AA690" s="240"/>
      <c r="AB690" s="240"/>
    </row>
    <row r="691">
      <c r="A691" s="240"/>
      <c r="B691" s="240" t="s">
        <v>2955</v>
      </c>
      <c r="C691" s="240"/>
      <c r="D691" s="240"/>
      <c r="E691" s="240"/>
      <c r="G691" s="240"/>
      <c r="H691" s="240"/>
      <c r="I691" s="240"/>
      <c r="J691" s="240"/>
      <c r="K691" s="240"/>
      <c r="L691" s="240"/>
      <c r="M691" s="240"/>
      <c r="N691" s="240"/>
      <c r="O691" s="240"/>
      <c r="P691" s="240"/>
      <c r="Q691" s="240"/>
      <c r="R691" s="240"/>
      <c r="S691" s="240"/>
      <c r="T691" s="240"/>
      <c r="U691" s="240"/>
      <c r="V691" s="240"/>
      <c r="W691" s="240"/>
      <c r="X691" s="240"/>
      <c r="Y691" s="240"/>
      <c r="Z691" s="240"/>
      <c r="AA691" s="240"/>
      <c r="AB691" s="240"/>
    </row>
    <row r="692">
      <c r="A692" s="240"/>
      <c r="B692" s="240" t="s">
        <v>2955</v>
      </c>
      <c r="C692" s="240"/>
      <c r="D692" s="240"/>
      <c r="E692" s="240"/>
      <c r="G692" s="240"/>
      <c r="H692" s="240"/>
      <c r="I692" s="240"/>
      <c r="J692" s="240"/>
      <c r="K692" s="240"/>
      <c r="L692" s="240"/>
      <c r="M692" s="240"/>
      <c r="N692" s="240"/>
      <c r="O692" s="240"/>
      <c r="P692" s="240"/>
      <c r="Q692" s="240"/>
      <c r="R692" s="240"/>
      <c r="S692" s="240"/>
      <c r="T692" s="240"/>
      <c r="U692" s="240"/>
      <c r="V692" s="240"/>
      <c r="W692" s="240"/>
      <c r="X692" s="240"/>
      <c r="Y692" s="240"/>
      <c r="Z692" s="240"/>
      <c r="AA692" s="240"/>
      <c r="AB692" s="240"/>
    </row>
    <row r="693">
      <c r="A693" s="240"/>
      <c r="B693" s="240" t="s">
        <v>2955</v>
      </c>
      <c r="C693" s="240"/>
      <c r="D693" s="240"/>
      <c r="E693" s="240"/>
      <c r="G693" s="240"/>
      <c r="H693" s="240"/>
      <c r="I693" s="240"/>
      <c r="J693" s="240"/>
      <c r="K693" s="240"/>
      <c r="L693" s="240"/>
      <c r="M693" s="240"/>
      <c r="N693" s="240"/>
      <c r="O693" s="240"/>
      <c r="P693" s="240"/>
      <c r="Q693" s="240"/>
      <c r="R693" s="240"/>
      <c r="S693" s="240"/>
      <c r="T693" s="240"/>
      <c r="U693" s="240"/>
      <c r="V693" s="240"/>
      <c r="W693" s="240"/>
      <c r="X693" s="240"/>
      <c r="Y693" s="240"/>
      <c r="Z693" s="240"/>
      <c r="AA693" s="240"/>
      <c r="AB693" s="240"/>
    </row>
    <row r="694">
      <c r="A694" s="240"/>
      <c r="B694" s="240" t="s">
        <v>2955</v>
      </c>
      <c r="C694" s="240"/>
      <c r="D694" s="240"/>
      <c r="E694" s="240"/>
      <c r="G694" s="240"/>
      <c r="H694" s="240"/>
      <c r="I694" s="240"/>
      <c r="J694" s="240"/>
      <c r="K694" s="240"/>
      <c r="L694" s="240"/>
      <c r="M694" s="240"/>
      <c r="N694" s="240"/>
      <c r="O694" s="240"/>
      <c r="P694" s="240"/>
      <c r="Q694" s="240"/>
      <c r="R694" s="240"/>
      <c r="S694" s="240"/>
      <c r="T694" s="240"/>
      <c r="U694" s="240"/>
      <c r="V694" s="240"/>
      <c r="W694" s="240"/>
      <c r="X694" s="240"/>
      <c r="Y694" s="240"/>
      <c r="Z694" s="240"/>
      <c r="AA694" s="240"/>
      <c r="AB694" s="240"/>
    </row>
    <row r="695">
      <c r="A695" s="240"/>
      <c r="B695" s="240" t="s">
        <v>2955</v>
      </c>
      <c r="C695" s="240"/>
      <c r="D695" s="240"/>
      <c r="E695" s="240"/>
      <c r="G695" s="240"/>
      <c r="H695" s="240"/>
      <c r="I695" s="240"/>
      <c r="J695" s="240"/>
      <c r="K695" s="240"/>
      <c r="L695" s="240"/>
      <c r="M695" s="240"/>
      <c r="N695" s="240"/>
      <c r="O695" s="240"/>
      <c r="P695" s="240"/>
      <c r="Q695" s="240"/>
      <c r="R695" s="240"/>
      <c r="S695" s="240"/>
      <c r="T695" s="240"/>
      <c r="U695" s="240"/>
      <c r="V695" s="240"/>
      <c r="W695" s="240"/>
      <c r="X695" s="240"/>
      <c r="Y695" s="240"/>
      <c r="Z695" s="240"/>
      <c r="AA695" s="240"/>
      <c r="AB695" s="240"/>
    </row>
    <row r="696">
      <c r="A696" s="240"/>
      <c r="B696" s="240" t="s">
        <v>2955</v>
      </c>
      <c r="C696" s="240"/>
      <c r="D696" s="240"/>
      <c r="E696" s="240"/>
      <c r="G696" s="240"/>
      <c r="H696" s="240"/>
      <c r="I696" s="240"/>
      <c r="J696" s="240"/>
      <c r="K696" s="240"/>
      <c r="L696" s="240"/>
      <c r="M696" s="240"/>
      <c r="N696" s="240"/>
      <c r="O696" s="240"/>
      <c r="P696" s="240"/>
      <c r="Q696" s="240"/>
      <c r="R696" s="240"/>
      <c r="S696" s="240"/>
      <c r="T696" s="240"/>
      <c r="U696" s="240"/>
      <c r="V696" s="240"/>
      <c r="W696" s="240"/>
      <c r="X696" s="240"/>
      <c r="Y696" s="240"/>
      <c r="Z696" s="240"/>
      <c r="AA696" s="240"/>
      <c r="AB696" s="240"/>
    </row>
    <row r="697">
      <c r="A697" s="240"/>
      <c r="B697" s="240" t="s">
        <v>2955</v>
      </c>
      <c r="C697" s="240"/>
      <c r="D697" s="240"/>
      <c r="E697" s="240"/>
      <c r="G697" s="240"/>
      <c r="H697" s="240"/>
      <c r="I697" s="240"/>
      <c r="J697" s="240"/>
      <c r="K697" s="240"/>
      <c r="L697" s="240"/>
      <c r="M697" s="240"/>
      <c r="N697" s="240"/>
      <c r="O697" s="240"/>
      <c r="P697" s="240"/>
      <c r="Q697" s="240"/>
      <c r="R697" s="240"/>
      <c r="S697" s="240"/>
      <c r="T697" s="240"/>
      <c r="U697" s="240"/>
      <c r="V697" s="240"/>
      <c r="W697" s="240"/>
      <c r="X697" s="240"/>
      <c r="Y697" s="240"/>
      <c r="Z697" s="240"/>
      <c r="AA697" s="240"/>
      <c r="AB697" s="240"/>
    </row>
    <row r="698">
      <c r="A698" s="240"/>
      <c r="B698" s="240" t="s">
        <v>2955</v>
      </c>
      <c r="C698" s="240"/>
      <c r="D698" s="240"/>
      <c r="E698" s="240"/>
      <c r="G698" s="240"/>
      <c r="H698" s="240"/>
      <c r="I698" s="240"/>
      <c r="J698" s="240"/>
      <c r="K698" s="240"/>
      <c r="L698" s="240"/>
      <c r="M698" s="240"/>
      <c r="N698" s="240"/>
      <c r="O698" s="240"/>
      <c r="P698" s="240"/>
      <c r="Q698" s="240"/>
      <c r="R698" s="240"/>
      <c r="S698" s="240"/>
      <c r="T698" s="240"/>
      <c r="U698" s="240"/>
      <c r="V698" s="240"/>
      <c r="W698" s="240"/>
      <c r="X698" s="240"/>
      <c r="Y698" s="240"/>
      <c r="Z698" s="240"/>
      <c r="AA698" s="240"/>
      <c r="AB698" s="240"/>
    </row>
    <row r="699">
      <c r="A699" s="240"/>
      <c r="B699" s="240" t="s">
        <v>2955</v>
      </c>
      <c r="C699" s="240"/>
      <c r="D699" s="240"/>
      <c r="E699" s="240"/>
      <c r="G699" s="240"/>
      <c r="H699" s="240"/>
      <c r="I699" s="240"/>
      <c r="J699" s="240"/>
      <c r="K699" s="240"/>
      <c r="L699" s="240"/>
      <c r="M699" s="240"/>
      <c r="N699" s="240"/>
      <c r="O699" s="240"/>
      <c r="P699" s="240"/>
      <c r="Q699" s="240"/>
      <c r="R699" s="240"/>
      <c r="S699" s="240"/>
      <c r="T699" s="240"/>
      <c r="U699" s="240"/>
      <c r="V699" s="240"/>
      <c r="W699" s="240"/>
      <c r="X699" s="240"/>
      <c r="Y699" s="240"/>
      <c r="Z699" s="240"/>
      <c r="AA699" s="240"/>
      <c r="AB699" s="240"/>
    </row>
    <row r="700">
      <c r="A700" s="240"/>
      <c r="B700" s="240" t="s">
        <v>2955</v>
      </c>
      <c r="C700" s="240"/>
      <c r="D700" s="240"/>
      <c r="E700" s="240"/>
      <c r="G700" s="240"/>
      <c r="H700" s="240"/>
      <c r="I700" s="240"/>
      <c r="J700" s="240"/>
      <c r="K700" s="240"/>
      <c r="L700" s="240"/>
      <c r="M700" s="240"/>
      <c r="N700" s="240"/>
      <c r="O700" s="240"/>
      <c r="P700" s="240"/>
      <c r="Q700" s="240"/>
      <c r="R700" s="240"/>
      <c r="S700" s="240"/>
      <c r="T700" s="240"/>
      <c r="U700" s="240"/>
      <c r="V700" s="240"/>
      <c r="W700" s="240"/>
      <c r="X700" s="240"/>
      <c r="Y700" s="240"/>
      <c r="Z700" s="240"/>
      <c r="AA700" s="240"/>
      <c r="AB700" s="240"/>
    </row>
    <row r="701">
      <c r="A701" s="240"/>
      <c r="B701" s="240" t="s">
        <v>2955</v>
      </c>
      <c r="C701" s="240"/>
      <c r="D701" s="240"/>
      <c r="E701" s="240"/>
      <c r="G701" s="240"/>
      <c r="H701" s="240"/>
      <c r="I701" s="240"/>
      <c r="J701" s="240"/>
      <c r="K701" s="240"/>
      <c r="L701" s="240"/>
      <c r="M701" s="240"/>
      <c r="N701" s="240"/>
      <c r="O701" s="240"/>
      <c r="P701" s="240"/>
      <c r="Q701" s="240"/>
      <c r="R701" s="240"/>
      <c r="S701" s="240"/>
      <c r="T701" s="240"/>
      <c r="U701" s="240"/>
      <c r="V701" s="240"/>
      <c r="W701" s="240"/>
      <c r="X701" s="240"/>
      <c r="Y701" s="240"/>
      <c r="Z701" s="240"/>
      <c r="AA701" s="240"/>
      <c r="AB701" s="240"/>
    </row>
    <row r="702">
      <c r="A702" s="240"/>
      <c r="B702" s="240" t="s">
        <v>2955</v>
      </c>
      <c r="C702" s="240"/>
      <c r="D702" s="240"/>
      <c r="E702" s="240"/>
      <c r="G702" s="240"/>
      <c r="H702" s="240"/>
      <c r="I702" s="240"/>
      <c r="J702" s="240"/>
      <c r="K702" s="240"/>
      <c r="L702" s="240"/>
      <c r="M702" s="240"/>
      <c r="N702" s="240"/>
      <c r="O702" s="240"/>
      <c r="P702" s="240"/>
      <c r="Q702" s="240"/>
      <c r="R702" s="240"/>
      <c r="S702" s="240"/>
      <c r="T702" s="240"/>
      <c r="U702" s="240"/>
      <c r="V702" s="240"/>
      <c r="W702" s="240"/>
      <c r="X702" s="240"/>
      <c r="Y702" s="240"/>
      <c r="Z702" s="240"/>
      <c r="AA702" s="240"/>
      <c r="AB702" s="240"/>
    </row>
    <row r="703">
      <c r="A703" s="240"/>
      <c r="B703" s="240" t="s">
        <v>2955</v>
      </c>
      <c r="C703" s="240"/>
      <c r="D703" s="240"/>
      <c r="E703" s="240"/>
      <c r="G703" s="240"/>
      <c r="H703" s="240"/>
      <c r="I703" s="240"/>
      <c r="J703" s="240"/>
      <c r="K703" s="240"/>
      <c r="L703" s="240"/>
      <c r="M703" s="240"/>
      <c r="N703" s="240"/>
      <c r="O703" s="240"/>
      <c r="P703" s="240"/>
      <c r="Q703" s="240"/>
      <c r="R703" s="240"/>
      <c r="S703" s="240"/>
      <c r="T703" s="240"/>
      <c r="U703" s="240"/>
      <c r="V703" s="240"/>
      <c r="W703" s="240"/>
      <c r="X703" s="240"/>
      <c r="Y703" s="240"/>
      <c r="Z703" s="240"/>
      <c r="AA703" s="240"/>
      <c r="AB703" s="240"/>
    </row>
    <row r="704">
      <c r="A704" s="240"/>
      <c r="B704" s="240" t="s">
        <v>2955</v>
      </c>
      <c r="C704" s="240"/>
      <c r="D704" s="240"/>
      <c r="E704" s="240"/>
      <c r="G704" s="240"/>
      <c r="H704" s="240"/>
      <c r="I704" s="240"/>
      <c r="J704" s="240"/>
      <c r="K704" s="240"/>
      <c r="L704" s="240"/>
      <c r="M704" s="240"/>
      <c r="N704" s="240"/>
      <c r="O704" s="240"/>
      <c r="P704" s="240"/>
      <c r="Q704" s="240"/>
      <c r="R704" s="240"/>
      <c r="S704" s="240"/>
      <c r="T704" s="240"/>
      <c r="U704" s="240"/>
      <c r="V704" s="240"/>
      <c r="W704" s="240"/>
      <c r="X704" s="240"/>
      <c r="Y704" s="240"/>
      <c r="Z704" s="240"/>
      <c r="AA704" s="240"/>
      <c r="AB704" s="240"/>
    </row>
    <row r="705">
      <c r="A705" s="240"/>
      <c r="B705" s="240" t="s">
        <v>2955</v>
      </c>
      <c r="C705" s="240"/>
      <c r="D705" s="240"/>
      <c r="E705" s="240"/>
      <c r="G705" s="240"/>
      <c r="H705" s="240"/>
      <c r="I705" s="240"/>
      <c r="J705" s="240"/>
      <c r="K705" s="240"/>
      <c r="L705" s="240"/>
      <c r="M705" s="240"/>
      <c r="N705" s="240"/>
      <c r="O705" s="240"/>
      <c r="P705" s="240"/>
      <c r="Q705" s="240"/>
      <c r="R705" s="240"/>
      <c r="S705" s="240"/>
      <c r="T705" s="240"/>
      <c r="U705" s="240"/>
      <c r="V705" s="240"/>
      <c r="W705" s="240"/>
      <c r="X705" s="240"/>
      <c r="Y705" s="240"/>
      <c r="Z705" s="240"/>
      <c r="AA705" s="240"/>
      <c r="AB705" s="240"/>
    </row>
    <row r="706">
      <c r="A706" s="240"/>
      <c r="B706" s="240" t="s">
        <v>2955</v>
      </c>
      <c r="C706" s="240"/>
      <c r="D706" s="240"/>
      <c r="E706" s="240"/>
      <c r="G706" s="240"/>
      <c r="H706" s="240"/>
      <c r="I706" s="240"/>
      <c r="J706" s="240"/>
      <c r="K706" s="240"/>
      <c r="L706" s="240"/>
      <c r="M706" s="240"/>
      <c r="N706" s="240"/>
      <c r="O706" s="240"/>
      <c r="P706" s="240"/>
      <c r="Q706" s="240"/>
      <c r="R706" s="240"/>
      <c r="S706" s="240"/>
      <c r="T706" s="240"/>
      <c r="U706" s="240"/>
      <c r="V706" s="240"/>
      <c r="W706" s="240"/>
      <c r="X706" s="240"/>
      <c r="Y706" s="240"/>
      <c r="Z706" s="240"/>
      <c r="AA706" s="240"/>
      <c r="AB706" s="240"/>
    </row>
    <row r="707">
      <c r="A707" s="240"/>
      <c r="B707" s="240" t="s">
        <v>2955</v>
      </c>
      <c r="C707" s="240"/>
      <c r="D707" s="240"/>
      <c r="E707" s="240"/>
      <c r="G707" s="240"/>
      <c r="H707" s="240"/>
      <c r="I707" s="240"/>
      <c r="J707" s="240"/>
      <c r="K707" s="240"/>
      <c r="L707" s="240"/>
      <c r="M707" s="240"/>
      <c r="N707" s="240"/>
      <c r="O707" s="240"/>
      <c r="P707" s="240"/>
      <c r="Q707" s="240"/>
      <c r="R707" s="240"/>
      <c r="S707" s="240"/>
      <c r="T707" s="240"/>
      <c r="U707" s="240"/>
      <c r="V707" s="240"/>
      <c r="W707" s="240"/>
      <c r="X707" s="240"/>
      <c r="Y707" s="240"/>
      <c r="Z707" s="240"/>
      <c r="AA707" s="240"/>
      <c r="AB707" s="240"/>
    </row>
    <row r="708">
      <c r="A708" s="240"/>
      <c r="B708" s="240" t="s">
        <v>2955</v>
      </c>
      <c r="C708" s="240"/>
      <c r="D708" s="240"/>
      <c r="E708" s="240"/>
      <c r="G708" s="240"/>
      <c r="H708" s="240"/>
      <c r="I708" s="240"/>
      <c r="J708" s="240"/>
      <c r="K708" s="240"/>
      <c r="L708" s="240"/>
      <c r="M708" s="240"/>
      <c r="N708" s="240"/>
      <c r="O708" s="240"/>
      <c r="P708" s="240"/>
      <c r="Q708" s="240"/>
      <c r="R708" s="240"/>
      <c r="S708" s="240"/>
      <c r="T708" s="240"/>
      <c r="U708" s="240"/>
      <c r="V708" s="240"/>
      <c r="W708" s="240"/>
      <c r="X708" s="240"/>
      <c r="Y708" s="240"/>
      <c r="Z708" s="240"/>
      <c r="AA708" s="240"/>
      <c r="AB708" s="240"/>
    </row>
    <row r="709">
      <c r="A709" s="240"/>
      <c r="B709" s="240" t="s">
        <v>2955</v>
      </c>
      <c r="C709" s="240"/>
      <c r="D709" s="240"/>
      <c r="E709" s="240"/>
      <c r="G709" s="240"/>
      <c r="H709" s="240"/>
      <c r="I709" s="240"/>
      <c r="J709" s="240"/>
      <c r="K709" s="240"/>
      <c r="L709" s="240"/>
      <c r="M709" s="240"/>
      <c r="N709" s="240"/>
      <c r="O709" s="240"/>
      <c r="P709" s="240"/>
      <c r="Q709" s="240"/>
      <c r="R709" s="240"/>
      <c r="S709" s="240"/>
      <c r="T709" s="240"/>
      <c r="U709" s="240"/>
      <c r="V709" s="240"/>
      <c r="W709" s="240"/>
      <c r="X709" s="240"/>
      <c r="Y709" s="240"/>
      <c r="Z709" s="240"/>
      <c r="AA709" s="240"/>
      <c r="AB709" s="240"/>
    </row>
    <row r="710">
      <c r="A710" s="240"/>
      <c r="B710" s="240" t="s">
        <v>2955</v>
      </c>
      <c r="C710" s="240"/>
      <c r="D710" s="240"/>
      <c r="E710" s="240"/>
      <c r="G710" s="240"/>
      <c r="H710" s="240"/>
      <c r="I710" s="240"/>
      <c r="J710" s="240"/>
      <c r="K710" s="240"/>
      <c r="L710" s="240"/>
      <c r="M710" s="240"/>
      <c r="N710" s="240"/>
      <c r="O710" s="240"/>
      <c r="P710" s="240"/>
      <c r="Q710" s="240"/>
      <c r="R710" s="240"/>
      <c r="S710" s="240"/>
      <c r="T710" s="240"/>
      <c r="U710" s="240"/>
      <c r="V710" s="240"/>
      <c r="W710" s="240"/>
      <c r="X710" s="240"/>
      <c r="Y710" s="240"/>
      <c r="Z710" s="240"/>
      <c r="AA710" s="240"/>
      <c r="AB710" s="240"/>
    </row>
    <row r="711">
      <c r="A711" s="240"/>
      <c r="B711" s="240" t="s">
        <v>2955</v>
      </c>
      <c r="C711" s="240"/>
      <c r="D711" s="240"/>
      <c r="E711" s="240"/>
      <c r="G711" s="240"/>
      <c r="H711" s="240"/>
      <c r="I711" s="240"/>
      <c r="J711" s="240"/>
      <c r="K711" s="240"/>
      <c r="L711" s="240"/>
      <c r="M711" s="240"/>
      <c r="N711" s="240"/>
      <c r="O711" s="240"/>
      <c r="P711" s="240"/>
      <c r="Q711" s="240"/>
      <c r="R711" s="240"/>
      <c r="S711" s="240"/>
      <c r="T711" s="240"/>
      <c r="U711" s="240"/>
      <c r="V711" s="240"/>
      <c r="W711" s="240"/>
      <c r="X711" s="240"/>
      <c r="Y711" s="240"/>
      <c r="Z711" s="240"/>
      <c r="AA711" s="240"/>
      <c r="AB711" s="240"/>
    </row>
    <row r="712">
      <c r="A712" s="240"/>
      <c r="B712" s="240" t="s">
        <v>2955</v>
      </c>
      <c r="C712" s="240"/>
      <c r="D712" s="240"/>
      <c r="E712" s="240"/>
      <c r="G712" s="240"/>
      <c r="H712" s="240"/>
      <c r="I712" s="240"/>
      <c r="J712" s="240"/>
      <c r="K712" s="240"/>
      <c r="L712" s="240"/>
      <c r="M712" s="240"/>
      <c r="N712" s="240"/>
      <c r="O712" s="240"/>
      <c r="P712" s="240"/>
      <c r="Q712" s="240"/>
      <c r="R712" s="240"/>
      <c r="S712" s="240"/>
      <c r="T712" s="240"/>
      <c r="U712" s="240"/>
      <c r="V712" s="240"/>
      <c r="W712" s="240"/>
      <c r="X712" s="240"/>
      <c r="Y712" s="240"/>
      <c r="Z712" s="240"/>
      <c r="AA712" s="240"/>
      <c r="AB712" s="240"/>
    </row>
    <row r="713">
      <c r="A713" s="240"/>
      <c r="B713" s="240" t="s">
        <v>2955</v>
      </c>
      <c r="C713" s="240"/>
      <c r="D713" s="240"/>
      <c r="E713" s="240"/>
      <c r="G713" s="240"/>
      <c r="H713" s="240"/>
      <c r="I713" s="240"/>
      <c r="J713" s="240"/>
      <c r="K713" s="240"/>
      <c r="L713" s="240"/>
      <c r="M713" s="240"/>
      <c r="N713" s="240"/>
      <c r="O713" s="240"/>
      <c r="P713" s="240"/>
      <c r="Q713" s="240"/>
      <c r="R713" s="240"/>
      <c r="S713" s="240"/>
      <c r="T713" s="240"/>
      <c r="U713" s="240"/>
      <c r="V713" s="240"/>
      <c r="W713" s="240"/>
      <c r="X713" s="240"/>
      <c r="Y713" s="240"/>
      <c r="Z713" s="240"/>
      <c r="AA713" s="240"/>
      <c r="AB713" s="240"/>
    </row>
    <row r="714">
      <c r="A714" s="240"/>
      <c r="B714" s="240" t="s">
        <v>2955</v>
      </c>
      <c r="C714" s="240"/>
      <c r="D714" s="240"/>
      <c r="E714" s="240"/>
      <c r="G714" s="240"/>
      <c r="H714" s="240"/>
      <c r="I714" s="240"/>
      <c r="J714" s="240"/>
      <c r="K714" s="240"/>
      <c r="L714" s="240"/>
      <c r="M714" s="240"/>
      <c r="N714" s="240"/>
      <c r="O714" s="240"/>
      <c r="P714" s="240"/>
      <c r="Q714" s="240"/>
      <c r="R714" s="240"/>
      <c r="S714" s="240"/>
      <c r="T714" s="240"/>
      <c r="U714" s="240"/>
      <c r="V714" s="240"/>
      <c r="W714" s="240"/>
      <c r="X714" s="240"/>
      <c r="Y714" s="240"/>
      <c r="Z714" s="240"/>
      <c r="AA714" s="240"/>
      <c r="AB714" s="240"/>
    </row>
    <row r="715">
      <c r="A715" s="240"/>
      <c r="B715" s="240" t="s">
        <v>2955</v>
      </c>
      <c r="C715" s="240"/>
      <c r="D715" s="240"/>
      <c r="E715" s="240"/>
      <c r="G715" s="240"/>
      <c r="H715" s="240"/>
      <c r="I715" s="240"/>
      <c r="J715" s="240"/>
      <c r="K715" s="240"/>
      <c r="L715" s="240"/>
      <c r="M715" s="240"/>
      <c r="N715" s="240"/>
      <c r="O715" s="240"/>
      <c r="P715" s="240"/>
      <c r="Q715" s="240"/>
      <c r="R715" s="240"/>
      <c r="S715" s="240"/>
      <c r="T715" s="240"/>
      <c r="U715" s="240"/>
      <c r="V715" s="240"/>
      <c r="W715" s="240"/>
      <c r="X715" s="240"/>
      <c r="Y715" s="240"/>
      <c r="Z715" s="240"/>
      <c r="AA715" s="240"/>
      <c r="AB715" s="240"/>
    </row>
    <row r="716">
      <c r="A716" s="240"/>
      <c r="B716" s="240" t="s">
        <v>2955</v>
      </c>
      <c r="C716" s="240"/>
      <c r="D716" s="240"/>
      <c r="E716" s="240"/>
      <c r="G716" s="240"/>
      <c r="H716" s="240"/>
      <c r="I716" s="240"/>
      <c r="J716" s="240"/>
      <c r="K716" s="240"/>
      <c r="L716" s="240"/>
      <c r="M716" s="240"/>
      <c r="N716" s="240"/>
      <c r="O716" s="240"/>
      <c r="P716" s="240"/>
      <c r="Q716" s="240"/>
      <c r="R716" s="240"/>
      <c r="S716" s="240"/>
      <c r="T716" s="240"/>
      <c r="U716" s="240"/>
      <c r="V716" s="240"/>
      <c r="W716" s="240"/>
      <c r="X716" s="240"/>
      <c r="Y716" s="240"/>
      <c r="Z716" s="240"/>
      <c r="AA716" s="240"/>
      <c r="AB716" s="240"/>
    </row>
    <row r="717">
      <c r="A717" s="240"/>
      <c r="B717" s="240" t="s">
        <v>2955</v>
      </c>
      <c r="C717" s="240"/>
      <c r="D717" s="240"/>
      <c r="E717" s="240"/>
      <c r="G717" s="240"/>
      <c r="H717" s="240"/>
      <c r="I717" s="240"/>
      <c r="J717" s="240"/>
      <c r="K717" s="240"/>
      <c r="L717" s="240"/>
      <c r="M717" s="240"/>
      <c r="N717" s="240"/>
      <c r="O717" s="240"/>
      <c r="P717" s="240"/>
      <c r="Q717" s="240"/>
      <c r="R717" s="240"/>
      <c r="S717" s="240"/>
      <c r="T717" s="240"/>
      <c r="U717" s="240"/>
      <c r="V717" s="240"/>
      <c r="W717" s="240"/>
      <c r="X717" s="240"/>
      <c r="Y717" s="240"/>
      <c r="Z717" s="240"/>
      <c r="AA717" s="240"/>
      <c r="AB717" s="240"/>
    </row>
    <row r="718">
      <c r="A718" s="240"/>
      <c r="B718" s="240" t="s">
        <v>2955</v>
      </c>
      <c r="C718" s="240"/>
      <c r="D718" s="240"/>
      <c r="E718" s="240"/>
      <c r="G718" s="240"/>
      <c r="H718" s="240"/>
      <c r="I718" s="240"/>
      <c r="J718" s="240"/>
      <c r="K718" s="240"/>
      <c r="L718" s="240"/>
      <c r="M718" s="240"/>
      <c r="N718" s="240"/>
      <c r="O718" s="240"/>
      <c r="P718" s="240"/>
      <c r="Q718" s="240"/>
      <c r="R718" s="240"/>
      <c r="S718" s="240"/>
      <c r="T718" s="240"/>
      <c r="U718" s="240"/>
      <c r="V718" s="240"/>
      <c r="W718" s="240"/>
      <c r="X718" s="240"/>
      <c r="Y718" s="240"/>
      <c r="Z718" s="240"/>
      <c r="AA718" s="240"/>
      <c r="AB718" s="240"/>
    </row>
    <row r="719">
      <c r="A719" s="240"/>
      <c r="B719" s="240" t="s">
        <v>2955</v>
      </c>
      <c r="C719" s="240"/>
      <c r="D719" s="240"/>
      <c r="E719" s="240"/>
      <c r="G719" s="240"/>
      <c r="H719" s="240"/>
      <c r="I719" s="240"/>
      <c r="J719" s="240"/>
      <c r="K719" s="240"/>
      <c r="L719" s="240"/>
      <c r="M719" s="240"/>
      <c r="N719" s="240"/>
      <c r="O719" s="240"/>
      <c r="P719" s="240"/>
      <c r="Q719" s="240"/>
      <c r="R719" s="240"/>
      <c r="S719" s="240"/>
      <c r="T719" s="240"/>
      <c r="U719" s="240"/>
      <c r="V719" s="240"/>
      <c r="W719" s="240"/>
      <c r="X719" s="240"/>
      <c r="Y719" s="240"/>
      <c r="Z719" s="240"/>
      <c r="AA719" s="240"/>
      <c r="AB719" s="240"/>
    </row>
    <row r="720">
      <c r="A720" s="240"/>
      <c r="B720" s="240" t="s">
        <v>2955</v>
      </c>
      <c r="C720" s="240"/>
      <c r="D720" s="240"/>
      <c r="E720" s="240"/>
      <c r="G720" s="240"/>
      <c r="H720" s="240"/>
      <c r="I720" s="240"/>
      <c r="J720" s="240"/>
      <c r="K720" s="240"/>
      <c r="L720" s="240"/>
      <c r="M720" s="240"/>
      <c r="N720" s="240"/>
      <c r="O720" s="240"/>
      <c r="P720" s="240"/>
      <c r="Q720" s="240"/>
      <c r="R720" s="240"/>
      <c r="S720" s="240"/>
      <c r="T720" s="240"/>
      <c r="U720" s="240"/>
      <c r="V720" s="240"/>
      <c r="W720" s="240"/>
      <c r="X720" s="240"/>
      <c r="Y720" s="240"/>
      <c r="Z720" s="240"/>
      <c r="AA720" s="240"/>
      <c r="AB720" s="240"/>
    </row>
    <row r="721">
      <c r="A721" s="240"/>
      <c r="B721" s="240" t="s">
        <v>2955</v>
      </c>
      <c r="C721" s="240"/>
      <c r="D721" s="240"/>
      <c r="E721" s="240"/>
      <c r="G721" s="240"/>
      <c r="H721" s="240"/>
      <c r="I721" s="240"/>
      <c r="J721" s="240"/>
      <c r="K721" s="240"/>
      <c r="L721" s="240"/>
      <c r="M721" s="240"/>
      <c r="N721" s="240"/>
      <c r="O721" s="240"/>
      <c r="P721" s="240"/>
      <c r="Q721" s="240"/>
      <c r="R721" s="240"/>
      <c r="S721" s="240"/>
      <c r="T721" s="240"/>
      <c r="U721" s="240"/>
      <c r="V721" s="240"/>
      <c r="W721" s="240"/>
      <c r="X721" s="240"/>
      <c r="Y721" s="240"/>
      <c r="Z721" s="240"/>
      <c r="AA721" s="240"/>
      <c r="AB721" s="240"/>
    </row>
    <row r="722">
      <c r="A722" s="240"/>
      <c r="B722" s="240" t="s">
        <v>2955</v>
      </c>
      <c r="C722" s="240"/>
      <c r="D722" s="240"/>
      <c r="E722" s="240"/>
      <c r="G722" s="240"/>
      <c r="H722" s="240"/>
      <c r="I722" s="240"/>
      <c r="J722" s="240"/>
      <c r="K722" s="240"/>
      <c r="L722" s="240"/>
      <c r="M722" s="240"/>
      <c r="N722" s="240"/>
      <c r="O722" s="240"/>
      <c r="P722" s="240"/>
      <c r="Q722" s="240"/>
      <c r="R722" s="240"/>
      <c r="S722" s="240"/>
      <c r="T722" s="240"/>
      <c r="U722" s="240"/>
      <c r="V722" s="240"/>
      <c r="W722" s="240"/>
      <c r="X722" s="240"/>
      <c r="Y722" s="240"/>
      <c r="Z722" s="240"/>
      <c r="AA722" s="240"/>
      <c r="AB722" s="240"/>
    </row>
    <row r="723">
      <c r="A723" s="240"/>
      <c r="B723" s="240" t="s">
        <v>2955</v>
      </c>
      <c r="C723" s="240"/>
      <c r="D723" s="240"/>
      <c r="E723" s="240"/>
      <c r="G723" s="240"/>
      <c r="H723" s="240"/>
      <c r="I723" s="240"/>
      <c r="J723" s="240"/>
      <c r="K723" s="240"/>
      <c r="L723" s="240"/>
      <c r="M723" s="240"/>
      <c r="N723" s="240"/>
      <c r="O723" s="240"/>
      <c r="P723" s="240"/>
      <c r="Q723" s="240"/>
      <c r="R723" s="240"/>
      <c r="S723" s="240"/>
      <c r="T723" s="240"/>
      <c r="U723" s="240"/>
      <c r="V723" s="240"/>
      <c r="W723" s="240"/>
      <c r="X723" s="240"/>
      <c r="Y723" s="240"/>
      <c r="Z723" s="240"/>
      <c r="AA723" s="240"/>
      <c r="AB723" s="240"/>
    </row>
    <row r="724">
      <c r="A724" s="240"/>
      <c r="B724" s="240" t="s">
        <v>2955</v>
      </c>
      <c r="C724" s="240"/>
      <c r="D724" s="240"/>
      <c r="E724" s="240"/>
      <c r="G724" s="240"/>
      <c r="H724" s="240"/>
      <c r="I724" s="240"/>
      <c r="J724" s="240"/>
      <c r="K724" s="240"/>
      <c r="L724" s="240"/>
      <c r="M724" s="240"/>
      <c r="N724" s="240"/>
      <c r="O724" s="240"/>
      <c r="P724" s="240"/>
      <c r="Q724" s="240"/>
      <c r="R724" s="240"/>
      <c r="S724" s="240"/>
      <c r="T724" s="240"/>
      <c r="U724" s="240"/>
      <c r="V724" s="240"/>
      <c r="W724" s="240"/>
      <c r="X724" s="240"/>
      <c r="Y724" s="240"/>
      <c r="Z724" s="240"/>
      <c r="AA724" s="240"/>
      <c r="AB724" s="240"/>
    </row>
    <row r="725">
      <c r="A725" s="240"/>
      <c r="B725" s="240" t="s">
        <v>2955</v>
      </c>
      <c r="C725" s="240"/>
      <c r="D725" s="240"/>
      <c r="E725" s="240"/>
      <c r="G725" s="240"/>
      <c r="H725" s="240"/>
      <c r="I725" s="240"/>
      <c r="J725" s="240"/>
      <c r="K725" s="240"/>
      <c r="L725" s="240"/>
      <c r="M725" s="240"/>
      <c r="N725" s="240"/>
      <c r="O725" s="240"/>
      <c r="P725" s="240"/>
      <c r="Q725" s="240"/>
      <c r="R725" s="240"/>
      <c r="S725" s="240"/>
      <c r="T725" s="240"/>
      <c r="U725" s="240"/>
      <c r="V725" s="240"/>
      <c r="W725" s="240"/>
      <c r="X725" s="240"/>
      <c r="Y725" s="240"/>
      <c r="Z725" s="240"/>
      <c r="AA725" s="240"/>
      <c r="AB725" s="240"/>
    </row>
    <row r="726">
      <c r="A726" s="240"/>
      <c r="B726" s="240" t="s">
        <v>2955</v>
      </c>
      <c r="C726" s="240"/>
      <c r="D726" s="240"/>
      <c r="E726" s="240"/>
      <c r="G726" s="240"/>
      <c r="H726" s="240"/>
      <c r="I726" s="240"/>
      <c r="J726" s="240"/>
      <c r="K726" s="240"/>
      <c r="L726" s="240"/>
      <c r="M726" s="240"/>
      <c r="N726" s="240"/>
      <c r="O726" s="240"/>
      <c r="P726" s="240"/>
      <c r="Q726" s="240"/>
      <c r="R726" s="240"/>
      <c r="S726" s="240"/>
      <c r="T726" s="240"/>
      <c r="U726" s="240"/>
      <c r="V726" s="240"/>
      <c r="W726" s="240"/>
      <c r="X726" s="240"/>
      <c r="Y726" s="240"/>
      <c r="Z726" s="240"/>
      <c r="AA726" s="240"/>
      <c r="AB726" s="240"/>
    </row>
    <row r="727">
      <c r="A727" s="240"/>
      <c r="B727" s="240" t="s">
        <v>2955</v>
      </c>
      <c r="C727" s="240"/>
      <c r="D727" s="240"/>
      <c r="E727" s="240"/>
      <c r="G727" s="240"/>
      <c r="H727" s="240"/>
      <c r="I727" s="240"/>
      <c r="J727" s="240"/>
      <c r="K727" s="240"/>
      <c r="L727" s="240"/>
      <c r="M727" s="240"/>
      <c r="N727" s="240"/>
      <c r="O727" s="240"/>
      <c r="P727" s="240"/>
      <c r="Q727" s="240"/>
      <c r="R727" s="240"/>
      <c r="S727" s="240"/>
      <c r="T727" s="240"/>
      <c r="U727" s="240"/>
      <c r="V727" s="240"/>
      <c r="W727" s="240"/>
      <c r="X727" s="240"/>
      <c r="Y727" s="240"/>
      <c r="Z727" s="240"/>
      <c r="AA727" s="240"/>
      <c r="AB727" s="240"/>
    </row>
    <row r="728">
      <c r="A728" s="240"/>
      <c r="B728" s="240" t="s">
        <v>2955</v>
      </c>
      <c r="C728" s="240"/>
      <c r="D728" s="240"/>
      <c r="E728" s="240"/>
      <c r="G728" s="240"/>
      <c r="H728" s="240"/>
      <c r="I728" s="240"/>
      <c r="J728" s="240"/>
      <c r="K728" s="240"/>
      <c r="L728" s="240"/>
      <c r="M728" s="240"/>
      <c r="N728" s="240"/>
      <c r="O728" s="240"/>
      <c r="P728" s="240"/>
      <c r="Q728" s="240"/>
      <c r="R728" s="240"/>
      <c r="S728" s="240"/>
      <c r="T728" s="240"/>
      <c r="U728" s="240"/>
      <c r="V728" s="240"/>
      <c r="W728" s="240"/>
      <c r="X728" s="240"/>
      <c r="Y728" s="240"/>
      <c r="Z728" s="240"/>
      <c r="AA728" s="240"/>
      <c r="AB728" s="240"/>
    </row>
    <row r="729">
      <c r="A729" s="240"/>
      <c r="B729" s="240" t="s">
        <v>2955</v>
      </c>
      <c r="C729" s="240"/>
      <c r="D729" s="240"/>
      <c r="E729" s="240"/>
      <c r="G729" s="240"/>
      <c r="H729" s="240"/>
      <c r="I729" s="240"/>
      <c r="J729" s="240"/>
      <c r="K729" s="240"/>
      <c r="L729" s="240"/>
      <c r="M729" s="240"/>
      <c r="N729" s="240"/>
      <c r="O729" s="240"/>
      <c r="P729" s="240"/>
      <c r="Q729" s="240"/>
      <c r="R729" s="240"/>
      <c r="S729" s="240"/>
      <c r="T729" s="240"/>
      <c r="U729" s="240"/>
      <c r="V729" s="240"/>
      <c r="W729" s="240"/>
      <c r="X729" s="240"/>
      <c r="Y729" s="240"/>
      <c r="Z729" s="240"/>
      <c r="AA729" s="240"/>
      <c r="AB729" s="240"/>
    </row>
    <row r="730">
      <c r="A730" s="240"/>
      <c r="B730" s="240" t="s">
        <v>2955</v>
      </c>
      <c r="C730" s="240"/>
      <c r="D730" s="240"/>
      <c r="E730" s="240"/>
      <c r="G730" s="240"/>
      <c r="H730" s="240"/>
      <c r="I730" s="240"/>
      <c r="J730" s="240"/>
      <c r="K730" s="240"/>
      <c r="L730" s="240"/>
      <c r="M730" s="240"/>
      <c r="N730" s="240"/>
      <c r="O730" s="240"/>
      <c r="P730" s="240"/>
      <c r="Q730" s="240"/>
      <c r="R730" s="240"/>
      <c r="S730" s="240"/>
      <c r="T730" s="240"/>
      <c r="U730" s="240"/>
      <c r="V730" s="240"/>
      <c r="W730" s="240"/>
      <c r="X730" s="240"/>
      <c r="Y730" s="240"/>
      <c r="Z730" s="240"/>
      <c r="AA730" s="240"/>
      <c r="AB730" s="240"/>
    </row>
    <row r="731">
      <c r="A731" s="240"/>
      <c r="B731" s="240" t="s">
        <v>2955</v>
      </c>
      <c r="C731" s="240"/>
      <c r="D731" s="240"/>
      <c r="E731" s="240"/>
      <c r="G731" s="240"/>
      <c r="H731" s="240"/>
      <c r="I731" s="240"/>
      <c r="J731" s="240"/>
      <c r="K731" s="240"/>
      <c r="L731" s="240"/>
      <c r="M731" s="240"/>
      <c r="N731" s="240"/>
      <c r="O731" s="240"/>
      <c r="P731" s="240"/>
      <c r="Q731" s="240"/>
      <c r="R731" s="240"/>
      <c r="S731" s="240"/>
      <c r="T731" s="240"/>
      <c r="U731" s="240"/>
      <c r="V731" s="240"/>
      <c r="W731" s="240"/>
      <c r="X731" s="240"/>
      <c r="Y731" s="240"/>
      <c r="Z731" s="240"/>
      <c r="AA731" s="240"/>
      <c r="AB731" s="240"/>
    </row>
    <row r="732">
      <c r="A732" s="240"/>
      <c r="B732" s="240" t="s">
        <v>2955</v>
      </c>
      <c r="C732" s="240"/>
      <c r="D732" s="240"/>
      <c r="E732" s="240"/>
      <c r="G732" s="240"/>
      <c r="H732" s="240"/>
      <c r="I732" s="240"/>
      <c r="J732" s="240"/>
      <c r="K732" s="240"/>
      <c r="L732" s="240"/>
      <c r="M732" s="240"/>
      <c r="N732" s="240"/>
      <c r="O732" s="240"/>
      <c r="P732" s="240"/>
      <c r="Q732" s="240"/>
      <c r="R732" s="240"/>
      <c r="S732" s="240"/>
      <c r="T732" s="240"/>
      <c r="U732" s="240"/>
      <c r="V732" s="240"/>
      <c r="W732" s="240"/>
      <c r="X732" s="240"/>
      <c r="Y732" s="240"/>
      <c r="Z732" s="240"/>
      <c r="AA732" s="240"/>
      <c r="AB732" s="240"/>
    </row>
    <row r="733">
      <c r="A733" s="240"/>
      <c r="B733" s="240" t="s">
        <v>2955</v>
      </c>
      <c r="C733" s="240"/>
      <c r="D733" s="240"/>
      <c r="E733" s="240"/>
      <c r="G733" s="240"/>
      <c r="H733" s="240"/>
      <c r="I733" s="240"/>
      <c r="J733" s="240"/>
      <c r="K733" s="240"/>
      <c r="L733" s="240"/>
      <c r="M733" s="240"/>
      <c r="N733" s="240"/>
      <c r="O733" s="240"/>
      <c r="P733" s="240"/>
      <c r="Q733" s="240"/>
      <c r="R733" s="240"/>
      <c r="S733" s="240"/>
      <c r="T733" s="240"/>
      <c r="U733" s="240"/>
      <c r="V733" s="240"/>
      <c r="W733" s="240"/>
      <c r="X733" s="240"/>
      <c r="Y733" s="240"/>
      <c r="Z733" s="240"/>
      <c r="AA733" s="240"/>
      <c r="AB733" s="240"/>
    </row>
    <row r="734">
      <c r="A734" s="240"/>
      <c r="B734" s="240" t="s">
        <v>2955</v>
      </c>
      <c r="C734" s="240"/>
      <c r="D734" s="240"/>
      <c r="E734" s="240"/>
      <c r="G734" s="240"/>
      <c r="H734" s="240"/>
      <c r="I734" s="240"/>
      <c r="J734" s="240"/>
      <c r="K734" s="240"/>
      <c r="L734" s="240"/>
      <c r="M734" s="240"/>
      <c r="N734" s="240"/>
      <c r="O734" s="240"/>
      <c r="P734" s="240"/>
      <c r="Q734" s="240"/>
      <c r="R734" s="240"/>
      <c r="S734" s="240"/>
      <c r="T734" s="240"/>
      <c r="U734" s="240"/>
      <c r="V734" s="240"/>
      <c r="W734" s="240"/>
      <c r="X734" s="240"/>
      <c r="Y734" s="240"/>
      <c r="Z734" s="240"/>
      <c r="AA734" s="240"/>
      <c r="AB734" s="240"/>
    </row>
    <row r="735">
      <c r="A735" s="240"/>
      <c r="B735" s="240" t="s">
        <v>2955</v>
      </c>
      <c r="C735" s="240"/>
      <c r="D735" s="240"/>
      <c r="E735" s="240"/>
      <c r="G735" s="240"/>
      <c r="H735" s="240"/>
      <c r="I735" s="240"/>
      <c r="J735" s="240"/>
      <c r="K735" s="240"/>
      <c r="L735" s="240"/>
      <c r="M735" s="240"/>
      <c r="N735" s="240"/>
      <c r="O735" s="240"/>
      <c r="P735" s="240"/>
      <c r="Q735" s="240"/>
      <c r="R735" s="240"/>
      <c r="S735" s="240"/>
      <c r="T735" s="240"/>
      <c r="U735" s="240"/>
      <c r="V735" s="240"/>
      <c r="W735" s="240"/>
      <c r="X735" s="240"/>
      <c r="Y735" s="240"/>
      <c r="Z735" s="240"/>
      <c r="AA735" s="240"/>
      <c r="AB735" s="240"/>
    </row>
    <row r="736">
      <c r="A736" s="240"/>
      <c r="B736" s="240" t="s">
        <v>2955</v>
      </c>
      <c r="C736" s="240"/>
      <c r="D736" s="240"/>
      <c r="E736" s="240"/>
      <c r="G736" s="240"/>
      <c r="H736" s="240"/>
      <c r="I736" s="240"/>
      <c r="J736" s="240"/>
      <c r="K736" s="240"/>
      <c r="L736" s="240"/>
      <c r="M736" s="240"/>
      <c r="N736" s="240"/>
      <c r="O736" s="240"/>
      <c r="P736" s="240"/>
      <c r="Q736" s="240"/>
      <c r="R736" s="240"/>
      <c r="S736" s="240"/>
      <c r="T736" s="240"/>
      <c r="U736" s="240"/>
      <c r="V736" s="240"/>
      <c r="W736" s="240"/>
      <c r="X736" s="240"/>
      <c r="Y736" s="240"/>
      <c r="Z736" s="240"/>
      <c r="AA736" s="240"/>
      <c r="AB736" s="240"/>
    </row>
    <row r="737">
      <c r="A737" s="240"/>
      <c r="B737" s="240" t="s">
        <v>2955</v>
      </c>
      <c r="C737" s="240"/>
      <c r="D737" s="240"/>
      <c r="E737" s="240"/>
      <c r="G737" s="240"/>
      <c r="H737" s="240"/>
      <c r="I737" s="240"/>
      <c r="J737" s="240"/>
      <c r="K737" s="240"/>
      <c r="L737" s="240"/>
      <c r="M737" s="240"/>
      <c r="N737" s="240"/>
      <c r="O737" s="240"/>
      <c r="P737" s="240"/>
      <c r="Q737" s="240"/>
      <c r="R737" s="240"/>
      <c r="S737" s="240"/>
      <c r="T737" s="240"/>
      <c r="U737" s="240"/>
      <c r="V737" s="240"/>
      <c r="W737" s="240"/>
      <c r="X737" s="240"/>
      <c r="Y737" s="240"/>
      <c r="Z737" s="240"/>
      <c r="AA737" s="240"/>
      <c r="AB737" s="240"/>
    </row>
    <row r="738">
      <c r="A738" s="240"/>
      <c r="B738" s="240" t="s">
        <v>2955</v>
      </c>
      <c r="C738" s="240"/>
      <c r="D738" s="240"/>
      <c r="E738" s="240"/>
      <c r="G738" s="240"/>
      <c r="H738" s="240"/>
      <c r="I738" s="240"/>
      <c r="J738" s="240"/>
      <c r="K738" s="240"/>
      <c r="L738" s="240"/>
      <c r="M738" s="240"/>
      <c r="N738" s="240"/>
      <c r="O738" s="240"/>
      <c r="P738" s="240"/>
      <c r="Q738" s="240"/>
      <c r="R738" s="240"/>
      <c r="S738" s="240"/>
      <c r="T738" s="240"/>
      <c r="U738" s="240"/>
      <c r="V738" s="240"/>
      <c r="W738" s="240"/>
      <c r="X738" s="240"/>
      <c r="Y738" s="240"/>
      <c r="Z738" s="240"/>
      <c r="AA738" s="240"/>
      <c r="AB738" s="240"/>
    </row>
    <row r="739">
      <c r="A739" s="240"/>
      <c r="B739" s="240" t="s">
        <v>2955</v>
      </c>
      <c r="C739" s="240"/>
      <c r="D739" s="240"/>
      <c r="E739" s="240"/>
      <c r="G739" s="240"/>
      <c r="H739" s="240"/>
      <c r="I739" s="240"/>
      <c r="J739" s="240"/>
      <c r="K739" s="240"/>
      <c r="L739" s="240"/>
      <c r="M739" s="240"/>
      <c r="N739" s="240"/>
      <c r="O739" s="240"/>
      <c r="P739" s="240"/>
      <c r="Q739" s="240"/>
      <c r="R739" s="240"/>
      <c r="S739" s="240"/>
      <c r="T739" s="240"/>
      <c r="U739" s="240"/>
      <c r="V739" s="240"/>
      <c r="W739" s="240"/>
      <c r="X739" s="240"/>
      <c r="Y739" s="240"/>
      <c r="Z739" s="240"/>
      <c r="AA739" s="240"/>
      <c r="AB739" s="240"/>
    </row>
    <row r="740">
      <c r="A740" s="240"/>
      <c r="B740" s="240" t="s">
        <v>2955</v>
      </c>
      <c r="C740" s="240"/>
      <c r="D740" s="240"/>
      <c r="E740" s="240"/>
      <c r="G740" s="240"/>
      <c r="H740" s="240"/>
      <c r="I740" s="240"/>
      <c r="J740" s="240"/>
      <c r="K740" s="240"/>
      <c r="L740" s="240"/>
      <c r="M740" s="240"/>
      <c r="N740" s="240"/>
      <c r="O740" s="240"/>
      <c r="P740" s="240"/>
      <c r="Q740" s="240"/>
      <c r="R740" s="240"/>
      <c r="S740" s="240"/>
      <c r="T740" s="240"/>
      <c r="U740" s="240"/>
      <c r="V740" s="240"/>
      <c r="W740" s="240"/>
      <c r="X740" s="240"/>
      <c r="Y740" s="240"/>
      <c r="Z740" s="240"/>
      <c r="AA740" s="240"/>
      <c r="AB740" s="240"/>
    </row>
    <row r="741">
      <c r="A741" s="240"/>
      <c r="B741" s="240" t="s">
        <v>2955</v>
      </c>
      <c r="C741" s="240"/>
      <c r="D741" s="240"/>
      <c r="E741" s="240"/>
      <c r="G741" s="240"/>
      <c r="H741" s="240"/>
      <c r="I741" s="240"/>
      <c r="J741" s="240"/>
      <c r="K741" s="240"/>
      <c r="L741" s="240"/>
      <c r="M741" s="240"/>
      <c r="N741" s="240"/>
      <c r="O741" s="240"/>
      <c r="P741" s="240"/>
      <c r="Q741" s="240"/>
      <c r="R741" s="240"/>
      <c r="S741" s="240"/>
      <c r="T741" s="240"/>
      <c r="U741" s="240"/>
      <c r="V741" s="240"/>
      <c r="W741" s="240"/>
      <c r="X741" s="240"/>
      <c r="Y741" s="240"/>
      <c r="Z741" s="240"/>
      <c r="AA741" s="240"/>
      <c r="AB741" s="240"/>
    </row>
    <row r="742">
      <c r="A742" s="240"/>
      <c r="B742" s="240" t="s">
        <v>2955</v>
      </c>
      <c r="C742" s="240"/>
      <c r="D742" s="240"/>
      <c r="E742" s="240"/>
      <c r="G742" s="240"/>
      <c r="H742" s="240"/>
      <c r="I742" s="240"/>
      <c r="J742" s="240"/>
      <c r="K742" s="240"/>
      <c r="L742" s="240"/>
      <c r="M742" s="240"/>
      <c r="N742" s="240"/>
      <c r="O742" s="240"/>
      <c r="P742" s="240"/>
      <c r="Q742" s="240"/>
      <c r="R742" s="240"/>
      <c r="S742" s="240"/>
      <c r="T742" s="240"/>
      <c r="U742" s="240"/>
      <c r="V742" s="240"/>
      <c r="W742" s="240"/>
      <c r="X742" s="240"/>
      <c r="Y742" s="240"/>
      <c r="Z742" s="240"/>
      <c r="AA742" s="240"/>
      <c r="AB742" s="240"/>
    </row>
    <row r="743">
      <c r="A743" s="240"/>
      <c r="B743" s="240" t="s">
        <v>2955</v>
      </c>
      <c r="C743" s="240"/>
      <c r="D743" s="240"/>
      <c r="E743" s="240"/>
      <c r="G743" s="240"/>
      <c r="H743" s="240"/>
      <c r="I743" s="240"/>
      <c r="J743" s="240"/>
      <c r="K743" s="240"/>
      <c r="L743" s="240"/>
      <c r="M743" s="240"/>
      <c r="N743" s="240"/>
      <c r="O743" s="240"/>
      <c r="P743" s="240"/>
      <c r="Q743" s="240"/>
      <c r="R743" s="240"/>
      <c r="S743" s="240"/>
      <c r="T743" s="240"/>
      <c r="U743" s="240"/>
      <c r="V743" s="240"/>
      <c r="W743" s="240"/>
      <c r="X743" s="240"/>
      <c r="Y743" s="240"/>
      <c r="Z743" s="240"/>
      <c r="AA743" s="240"/>
      <c r="AB743" s="240"/>
    </row>
    <row r="744">
      <c r="A744" s="240"/>
      <c r="B744" s="240" t="s">
        <v>2955</v>
      </c>
      <c r="C744" s="240"/>
      <c r="D744" s="240"/>
      <c r="E744" s="240"/>
      <c r="G744" s="240"/>
      <c r="H744" s="240"/>
      <c r="I744" s="240"/>
      <c r="J744" s="240"/>
      <c r="K744" s="240"/>
      <c r="L744" s="240"/>
      <c r="M744" s="240"/>
      <c r="N744" s="240"/>
      <c r="O744" s="240"/>
      <c r="P744" s="240"/>
      <c r="Q744" s="240"/>
      <c r="R744" s="240"/>
      <c r="S744" s="240"/>
      <c r="T744" s="240"/>
      <c r="U744" s="240"/>
      <c r="V744" s="240"/>
      <c r="W744" s="240"/>
      <c r="X744" s="240"/>
      <c r="Y744" s="240"/>
      <c r="Z744" s="240"/>
      <c r="AA744" s="240"/>
      <c r="AB744" s="240"/>
    </row>
    <row r="745">
      <c r="A745" s="240"/>
      <c r="B745" s="240" t="s">
        <v>2955</v>
      </c>
      <c r="C745" s="240"/>
      <c r="D745" s="240"/>
      <c r="E745" s="240"/>
      <c r="G745" s="240"/>
      <c r="H745" s="240"/>
      <c r="I745" s="240"/>
      <c r="J745" s="240"/>
      <c r="K745" s="240"/>
      <c r="L745" s="240"/>
      <c r="M745" s="240"/>
      <c r="N745" s="240"/>
      <c r="O745" s="240"/>
      <c r="P745" s="240"/>
      <c r="Q745" s="240"/>
      <c r="R745" s="240"/>
      <c r="S745" s="240"/>
      <c r="T745" s="240"/>
      <c r="U745" s="240"/>
      <c r="V745" s="240"/>
      <c r="W745" s="240"/>
      <c r="X745" s="240"/>
      <c r="Y745" s="240"/>
      <c r="Z745" s="240"/>
      <c r="AA745" s="240"/>
      <c r="AB745" s="240"/>
    </row>
    <row r="746">
      <c r="A746" s="240"/>
      <c r="B746" s="240" t="s">
        <v>2955</v>
      </c>
      <c r="C746" s="240"/>
      <c r="D746" s="240"/>
      <c r="E746" s="240"/>
      <c r="G746" s="240"/>
      <c r="H746" s="240"/>
      <c r="I746" s="240"/>
      <c r="J746" s="240"/>
      <c r="K746" s="240"/>
      <c r="L746" s="240"/>
      <c r="M746" s="240"/>
      <c r="N746" s="240"/>
      <c r="O746" s="240"/>
      <c r="P746" s="240"/>
      <c r="Q746" s="240"/>
      <c r="R746" s="240"/>
      <c r="S746" s="240"/>
      <c r="T746" s="240"/>
      <c r="U746" s="240"/>
      <c r="V746" s="240"/>
      <c r="W746" s="240"/>
      <c r="X746" s="240"/>
      <c r="Y746" s="240"/>
      <c r="Z746" s="240"/>
      <c r="AA746" s="240"/>
      <c r="AB746" s="240"/>
    </row>
    <row r="747">
      <c r="A747" s="240"/>
      <c r="B747" s="240" t="s">
        <v>2955</v>
      </c>
      <c r="C747" s="240"/>
      <c r="D747" s="240"/>
      <c r="E747" s="240"/>
      <c r="G747" s="240"/>
      <c r="H747" s="240"/>
      <c r="I747" s="240"/>
      <c r="J747" s="240"/>
      <c r="K747" s="240"/>
      <c r="L747" s="240"/>
      <c r="M747" s="240"/>
      <c r="N747" s="240"/>
      <c r="O747" s="240"/>
      <c r="P747" s="240"/>
      <c r="Q747" s="240"/>
      <c r="R747" s="240"/>
      <c r="S747" s="240"/>
      <c r="T747" s="240"/>
      <c r="U747" s="240"/>
      <c r="V747" s="240"/>
      <c r="W747" s="240"/>
      <c r="X747" s="240"/>
      <c r="Y747" s="240"/>
      <c r="Z747" s="240"/>
      <c r="AA747" s="240"/>
      <c r="AB747" s="240"/>
    </row>
    <row r="748">
      <c r="A748" s="240"/>
      <c r="B748" s="240" t="s">
        <v>2955</v>
      </c>
      <c r="C748" s="240"/>
      <c r="D748" s="240"/>
      <c r="E748" s="240"/>
      <c r="G748" s="240"/>
      <c r="H748" s="240"/>
      <c r="I748" s="240"/>
      <c r="J748" s="240"/>
      <c r="K748" s="240"/>
      <c r="L748" s="240"/>
      <c r="M748" s="240"/>
      <c r="N748" s="240"/>
      <c r="O748" s="240"/>
      <c r="P748" s="240"/>
      <c r="Q748" s="240"/>
      <c r="R748" s="240"/>
      <c r="S748" s="240"/>
      <c r="T748" s="240"/>
      <c r="U748" s="240"/>
      <c r="V748" s="240"/>
      <c r="W748" s="240"/>
      <c r="X748" s="240"/>
      <c r="Y748" s="240"/>
      <c r="Z748" s="240"/>
      <c r="AA748" s="240"/>
      <c r="AB748" s="240"/>
    </row>
    <row r="749">
      <c r="A749" s="240"/>
      <c r="B749" s="240" t="s">
        <v>2955</v>
      </c>
      <c r="C749" s="240"/>
      <c r="D749" s="240"/>
      <c r="E749" s="240"/>
      <c r="G749" s="240"/>
      <c r="H749" s="240"/>
      <c r="I749" s="240"/>
      <c r="J749" s="240"/>
      <c r="K749" s="240"/>
      <c r="L749" s="240"/>
      <c r="M749" s="240"/>
      <c r="N749" s="240"/>
      <c r="O749" s="240"/>
      <c r="P749" s="240"/>
      <c r="Q749" s="240"/>
      <c r="R749" s="240"/>
      <c r="S749" s="240"/>
      <c r="T749" s="240"/>
      <c r="U749" s="240"/>
      <c r="V749" s="240"/>
      <c r="W749" s="240"/>
      <c r="X749" s="240"/>
      <c r="Y749" s="240"/>
      <c r="Z749" s="240"/>
      <c r="AA749" s="240"/>
      <c r="AB749" s="240"/>
    </row>
    <row r="750">
      <c r="A750" s="240"/>
      <c r="B750" s="240" t="s">
        <v>2955</v>
      </c>
      <c r="C750" s="240"/>
      <c r="D750" s="240"/>
      <c r="E750" s="240"/>
      <c r="G750" s="240"/>
      <c r="H750" s="240"/>
      <c r="I750" s="240"/>
      <c r="J750" s="240"/>
      <c r="K750" s="240"/>
      <c r="L750" s="240"/>
      <c r="M750" s="240"/>
      <c r="N750" s="240"/>
      <c r="O750" s="240"/>
      <c r="P750" s="240"/>
      <c r="Q750" s="240"/>
      <c r="R750" s="240"/>
      <c r="S750" s="240"/>
      <c r="T750" s="240"/>
      <c r="U750" s="240"/>
      <c r="V750" s="240"/>
      <c r="W750" s="240"/>
      <c r="X750" s="240"/>
      <c r="Y750" s="240"/>
      <c r="Z750" s="240"/>
      <c r="AA750" s="240"/>
      <c r="AB750" s="240"/>
    </row>
    <row r="751">
      <c r="A751" s="240"/>
      <c r="B751" s="240" t="s">
        <v>2955</v>
      </c>
      <c r="C751" s="240"/>
      <c r="D751" s="240"/>
      <c r="E751" s="240"/>
      <c r="G751" s="240"/>
      <c r="H751" s="240"/>
      <c r="I751" s="240"/>
      <c r="J751" s="240"/>
      <c r="K751" s="240"/>
      <c r="L751" s="240"/>
      <c r="M751" s="240"/>
      <c r="N751" s="240"/>
      <c r="O751" s="240"/>
      <c r="P751" s="240"/>
      <c r="Q751" s="240"/>
      <c r="R751" s="240"/>
      <c r="S751" s="240"/>
      <c r="T751" s="240"/>
      <c r="U751" s="240"/>
      <c r="V751" s="240"/>
      <c r="W751" s="240"/>
      <c r="X751" s="240"/>
      <c r="Y751" s="240"/>
      <c r="Z751" s="240"/>
      <c r="AA751" s="240"/>
      <c r="AB751" s="240"/>
    </row>
    <row r="752">
      <c r="A752" s="240"/>
      <c r="B752" s="240" t="s">
        <v>2955</v>
      </c>
      <c r="C752" s="240"/>
      <c r="D752" s="240"/>
      <c r="E752" s="240"/>
      <c r="G752" s="240"/>
      <c r="H752" s="240"/>
      <c r="I752" s="240"/>
      <c r="J752" s="240"/>
      <c r="K752" s="240"/>
      <c r="L752" s="240"/>
      <c r="M752" s="240"/>
      <c r="N752" s="240"/>
      <c r="O752" s="240"/>
      <c r="P752" s="240"/>
      <c r="Q752" s="240"/>
      <c r="R752" s="240"/>
      <c r="S752" s="240"/>
      <c r="T752" s="240"/>
      <c r="U752" s="240"/>
      <c r="V752" s="240"/>
      <c r="W752" s="240"/>
      <c r="X752" s="240"/>
      <c r="Y752" s="240"/>
      <c r="Z752" s="240"/>
      <c r="AA752" s="240"/>
      <c r="AB752" s="240"/>
    </row>
    <row r="753">
      <c r="A753" s="240"/>
      <c r="B753" s="240" t="s">
        <v>2955</v>
      </c>
      <c r="C753" s="240"/>
      <c r="D753" s="240"/>
      <c r="E753" s="240"/>
      <c r="G753" s="240"/>
      <c r="H753" s="240"/>
      <c r="I753" s="240"/>
      <c r="J753" s="240"/>
      <c r="K753" s="240"/>
      <c r="L753" s="240"/>
      <c r="M753" s="240"/>
      <c r="N753" s="240"/>
      <c r="O753" s="240"/>
      <c r="P753" s="240"/>
      <c r="Q753" s="240"/>
      <c r="R753" s="240"/>
      <c r="S753" s="240"/>
      <c r="T753" s="240"/>
      <c r="U753" s="240"/>
      <c r="V753" s="240"/>
      <c r="W753" s="240"/>
      <c r="X753" s="240"/>
      <c r="Y753" s="240"/>
      <c r="Z753" s="240"/>
      <c r="AA753" s="240"/>
      <c r="AB753" s="240"/>
    </row>
    <row r="754">
      <c r="A754" s="240"/>
      <c r="B754" s="240" t="s">
        <v>2955</v>
      </c>
      <c r="C754" s="240"/>
      <c r="D754" s="240"/>
      <c r="E754" s="240"/>
      <c r="G754" s="240"/>
      <c r="H754" s="240"/>
      <c r="I754" s="240"/>
      <c r="J754" s="240"/>
      <c r="K754" s="240"/>
      <c r="L754" s="240"/>
      <c r="M754" s="240"/>
      <c r="N754" s="240"/>
      <c r="O754" s="240"/>
      <c r="P754" s="240"/>
      <c r="Q754" s="240"/>
      <c r="R754" s="240"/>
      <c r="S754" s="240"/>
      <c r="T754" s="240"/>
      <c r="U754" s="240"/>
      <c r="V754" s="240"/>
      <c r="W754" s="240"/>
      <c r="X754" s="240"/>
      <c r="Y754" s="240"/>
      <c r="Z754" s="240"/>
      <c r="AA754" s="240"/>
      <c r="AB754" s="240"/>
    </row>
    <row r="755">
      <c r="A755" s="240"/>
      <c r="B755" s="240" t="s">
        <v>2955</v>
      </c>
      <c r="C755" s="240"/>
      <c r="D755" s="240"/>
      <c r="E755" s="240"/>
      <c r="G755" s="240"/>
      <c r="H755" s="240"/>
      <c r="I755" s="240"/>
      <c r="J755" s="240"/>
      <c r="K755" s="240"/>
      <c r="L755" s="240"/>
      <c r="M755" s="240"/>
      <c r="N755" s="240"/>
      <c r="O755" s="240"/>
      <c r="P755" s="240"/>
      <c r="Q755" s="240"/>
      <c r="R755" s="240"/>
      <c r="S755" s="240"/>
      <c r="T755" s="240"/>
      <c r="U755" s="240"/>
      <c r="V755" s="240"/>
      <c r="W755" s="240"/>
      <c r="X755" s="240"/>
      <c r="Y755" s="240"/>
      <c r="Z755" s="240"/>
      <c r="AA755" s="240"/>
      <c r="AB755" s="240"/>
    </row>
    <row r="756">
      <c r="A756" s="240"/>
      <c r="B756" s="240" t="s">
        <v>2955</v>
      </c>
      <c r="C756" s="240"/>
      <c r="D756" s="240"/>
      <c r="E756" s="240"/>
      <c r="G756" s="240"/>
      <c r="H756" s="240"/>
      <c r="I756" s="240"/>
      <c r="J756" s="240"/>
      <c r="K756" s="240"/>
      <c r="L756" s="240"/>
      <c r="M756" s="240"/>
      <c r="N756" s="240"/>
      <c r="O756" s="240"/>
      <c r="P756" s="240"/>
      <c r="Q756" s="240"/>
      <c r="R756" s="240"/>
      <c r="S756" s="240"/>
      <c r="T756" s="240"/>
      <c r="U756" s="240"/>
      <c r="V756" s="240"/>
      <c r="W756" s="240"/>
      <c r="X756" s="240"/>
      <c r="Y756" s="240"/>
      <c r="Z756" s="240"/>
      <c r="AA756" s="240"/>
      <c r="AB756" s="240"/>
    </row>
    <row r="757">
      <c r="A757" s="240"/>
      <c r="B757" s="240" t="s">
        <v>2955</v>
      </c>
      <c r="C757" s="240"/>
      <c r="D757" s="240"/>
      <c r="E757" s="240"/>
      <c r="G757" s="240"/>
      <c r="H757" s="240"/>
      <c r="I757" s="240"/>
      <c r="J757" s="240"/>
      <c r="K757" s="240"/>
      <c r="L757" s="240"/>
      <c r="M757" s="240"/>
      <c r="N757" s="240"/>
      <c r="O757" s="240"/>
      <c r="P757" s="240"/>
      <c r="Q757" s="240"/>
      <c r="R757" s="240"/>
      <c r="S757" s="240"/>
      <c r="T757" s="240"/>
      <c r="U757" s="240"/>
      <c r="V757" s="240"/>
      <c r="W757" s="240"/>
      <c r="X757" s="240"/>
      <c r="Y757" s="240"/>
      <c r="Z757" s="240"/>
      <c r="AA757" s="240"/>
      <c r="AB757" s="240"/>
    </row>
    <row r="758">
      <c r="A758" s="240"/>
      <c r="B758" s="240" t="s">
        <v>2955</v>
      </c>
      <c r="C758" s="240"/>
      <c r="D758" s="240"/>
      <c r="E758" s="240"/>
      <c r="G758" s="240"/>
      <c r="H758" s="240"/>
      <c r="I758" s="240"/>
      <c r="J758" s="240"/>
      <c r="K758" s="240"/>
      <c r="L758" s="240"/>
      <c r="M758" s="240"/>
      <c r="N758" s="240"/>
      <c r="O758" s="240"/>
      <c r="P758" s="240"/>
      <c r="Q758" s="240"/>
      <c r="R758" s="240"/>
      <c r="S758" s="240"/>
      <c r="T758" s="240"/>
      <c r="U758" s="240"/>
      <c r="V758" s="240"/>
      <c r="W758" s="240"/>
      <c r="X758" s="240"/>
      <c r="Y758" s="240"/>
      <c r="Z758" s="240"/>
      <c r="AA758" s="240"/>
      <c r="AB758" s="240"/>
    </row>
    <row r="759">
      <c r="A759" s="240"/>
      <c r="B759" s="240" t="s">
        <v>2955</v>
      </c>
      <c r="C759" s="240"/>
      <c r="D759" s="240"/>
      <c r="E759" s="240"/>
      <c r="G759" s="240"/>
      <c r="H759" s="240"/>
      <c r="I759" s="240"/>
      <c r="J759" s="240"/>
      <c r="K759" s="240"/>
      <c r="L759" s="240"/>
      <c r="M759" s="240"/>
      <c r="N759" s="240"/>
      <c r="O759" s="240"/>
      <c r="P759" s="240"/>
      <c r="Q759" s="240"/>
      <c r="R759" s="240"/>
      <c r="S759" s="240"/>
      <c r="T759" s="240"/>
      <c r="U759" s="240"/>
      <c r="V759" s="240"/>
      <c r="W759" s="240"/>
      <c r="X759" s="240"/>
      <c r="Y759" s="240"/>
      <c r="Z759" s="240"/>
      <c r="AA759" s="240"/>
      <c r="AB759" s="240"/>
    </row>
    <row r="760">
      <c r="A760" s="240"/>
      <c r="B760" s="240" t="s">
        <v>2955</v>
      </c>
      <c r="C760" s="240"/>
      <c r="D760" s="240"/>
      <c r="E760" s="240"/>
      <c r="G760" s="240"/>
      <c r="H760" s="240"/>
      <c r="I760" s="240"/>
      <c r="J760" s="240"/>
      <c r="K760" s="240"/>
      <c r="L760" s="240"/>
      <c r="M760" s="240"/>
      <c r="N760" s="240"/>
      <c r="O760" s="240"/>
      <c r="P760" s="240"/>
      <c r="Q760" s="240"/>
      <c r="R760" s="240"/>
      <c r="S760" s="240"/>
      <c r="T760" s="240"/>
      <c r="U760" s="240"/>
      <c r="V760" s="240"/>
      <c r="W760" s="240"/>
      <c r="X760" s="240"/>
      <c r="Y760" s="240"/>
      <c r="Z760" s="240"/>
      <c r="AA760" s="240"/>
      <c r="AB760" s="240"/>
    </row>
    <row r="761">
      <c r="A761" s="240"/>
      <c r="B761" s="240" t="s">
        <v>2955</v>
      </c>
      <c r="C761" s="240"/>
      <c r="D761" s="240"/>
      <c r="E761" s="240"/>
      <c r="G761" s="240"/>
      <c r="H761" s="240"/>
      <c r="I761" s="240"/>
      <c r="J761" s="240"/>
      <c r="K761" s="240"/>
      <c r="L761" s="240"/>
      <c r="M761" s="240"/>
      <c r="N761" s="240"/>
      <c r="O761" s="240"/>
      <c r="P761" s="240"/>
      <c r="Q761" s="240"/>
      <c r="R761" s="240"/>
      <c r="S761" s="240"/>
      <c r="T761" s="240"/>
      <c r="U761" s="240"/>
      <c r="V761" s="240"/>
      <c r="W761" s="240"/>
      <c r="X761" s="240"/>
      <c r="Y761" s="240"/>
      <c r="Z761" s="240"/>
      <c r="AA761" s="240"/>
      <c r="AB761" s="240"/>
    </row>
    <row r="762">
      <c r="A762" s="240"/>
      <c r="B762" s="240" t="s">
        <v>2955</v>
      </c>
      <c r="C762" s="240"/>
      <c r="D762" s="240"/>
      <c r="E762" s="240"/>
      <c r="G762" s="240"/>
      <c r="H762" s="240"/>
      <c r="I762" s="240"/>
      <c r="J762" s="240"/>
      <c r="K762" s="240"/>
      <c r="L762" s="240"/>
      <c r="M762" s="240"/>
      <c r="N762" s="240"/>
      <c r="O762" s="240"/>
      <c r="P762" s="240"/>
      <c r="Q762" s="240"/>
      <c r="R762" s="240"/>
      <c r="S762" s="240"/>
      <c r="T762" s="240"/>
      <c r="U762" s="240"/>
      <c r="V762" s="240"/>
      <c r="W762" s="240"/>
      <c r="X762" s="240"/>
      <c r="Y762" s="240"/>
      <c r="Z762" s="240"/>
      <c r="AA762" s="240"/>
      <c r="AB762" s="240"/>
    </row>
    <row r="763">
      <c r="A763" s="240"/>
      <c r="B763" s="240" t="s">
        <v>2955</v>
      </c>
      <c r="C763" s="240"/>
      <c r="D763" s="240"/>
      <c r="E763" s="240"/>
      <c r="G763" s="240"/>
      <c r="H763" s="240"/>
      <c r="I763" s="240"/>
      <c r="J763" s="240"/>
      <c r="K763" s="240"/>
      <c r="L763" s="240"/>
      <c r="M763" s="240"/>
      <c r="N763" s="240"/>
      <c r="O763" s="240"/>
      <c r="P763" s="240"/>
      <c r="Q763" s="240"/>
      <c r="R763" s="240"/>
      <c r="S763" s="240"/>
      <c r="T763" s="240"/>
      <c r="U763" s="240"/>
      <c r="V763" s="240"/>
      <c r="W763" s="240"/>
      <c r="X763" s="240"/>
      <c r="Y763" s="240"/>
      <c r="Z763" s="240"/>
      <c r="AA763" s="240"/>
      <c r="AB763" s="240"/>
    </row>
    <row r="764">
      <c r="A764" s="240"/>
      <c r="B764" s="240" t="s">
        <v>2955</v>
      </c>
      <c r="C764" s="240"/>
      <c r="D764" s="240"/>
      <c r="E764" s="240"/>
      <c r="G764" s="240"/>
      <c r="H764" s="240"/>
      <c r="I764" s="240"/>
      <c r="J764" s="240"/>
      <c r="K764" s="240"/>
      <c r="L764" s="240"/>
      <c r="M764" s="240"/>
      <c r="N764" s="240"/>
      <c r="O764" s="240"/>
      <c r="P764" s="240"/>
      <c r="Q764" s="240"/>
      <c r="R764" s="240"/>
      <c r="S764" s="240"/>
      <c r="T764" s="240"/>
      <c r="U764" s="240"/>
      <c r="V764" s="240"/>
      <c r="W764" s="240"/>
      <c r="X764" s="240"/>
      <c r="Y764" s="240"/>
      <c r="Z764" s="240"/>
      <c r="AA764" s="240"/>
      <c r="AB764" s="240"/>
    </row>
    <row r="765">
      <c r="A765" s="240"/>
      <c r="B765" s="240" t="s">
        <v>2955</v>
      </c>
      <c r="C765" s="240"/>
      <c r="D765" s="240"/>
      <c r="E765" s="240"/>
      <c r="G765" s="240"/>
      <c r="H765" s="240"/>
      <c r="I765" s="240"/>
      <c r="J765" s="240"/>
      <c r="K765" s="240"/>
      <c r="L765" s="240"/>
      <c r="M765" s="240"/>
      <c r="N765" s="240"/>
      <c r="O765" s="240"/>
      <c r="P765" s="240"/>
      <c r="Q765" s="240"/>
      <c r="R765" s="240"/>
      <c r="S765" s="240"/>
      <c r="T765" s="240"/>
      <c r="U765" s="240"/>
      <c r="V765" s="240"/>
      <c r="W765" s="240"/>
      <c r="X765" s="240"/>
      <c r="Y765" s="240"/>
      <c r="Z765" s="240"/>
      <c r="AA765" s="240"/>
      <c r="AB765" s="240"/>
    </row>
    <row r="766">
      <c r="A766" s="240"/>
      <c r="B766" s="240" t="s">
        <v>2955</v>
      </c>
      <c r="C766" s="240"/>
      <c r="D766" s="240"/>
      <c r="E766" s="240"/>
      <c r="G766" s="240"/>
      <c r="H766" s="240"/>
      <c r="I766" s="240"/>
      <c r="J766" s="240"/>
      <c r="K766" s="240"/>
      <c r="L766" s="240"/>
      <c r="M766" s="240"/>
      <c r="N766" s="240"/>
      <c r="O766" s="240"/>
      <c r="P766" s="240"/>
      <c r="Q766" s="240"/>
      <c r="R766" s="240"/>
      <c r="S766" s="240"/>
      <c r="T766" s="240"/>
      <c r="U766" s="240"/>
      <c r="V766" s="240"/>
      <c r="W766" s="240"/>
      <c r="X766" s="240"/>
      <c r="Y766" s="240"/>
      <c r="Z766" s="240"/>
      <c r="AA766" s="240"/>
      <c r="AB766" s="240"/>
    </row>
    <row r="767">
      <c r="A767" s="240"/>
      <c r="B767" s="240" t="s">
        <v>2955</v>
      </c>
      <c r="C767" s="240"/>
      <c r="D767" s="240"/>
      <c r="E767" s="240"/>
      <c r="G767" s="240"/>
      <c r="H767" s="240"/>
      <c r="I767" s="240"/>
      <c r="J767" s="240"/>
      <c r="K767" s="240"/>
      <c r="L767" s="240"/>
      <c r="M767" s="240"/>
      <c r="N767" s="240"/>
      <c r="O767" s="240"/>
      <c r="P767" s="240"/>
      <c r="Q767" s="240"/>
      <c r="R767" s="240"/>
      <c r="S767" s="240"/>
      <c r="T767" s="240"/>
      <c r="U767" s="240"/>
      <c r="V767" s="240"/>
      <c r="W767" s="240"/>
      <c r="X767" s="240"/>
      <c r="Y767" s="240"/>
      <c r="Z767" s="240"/>
      <c r="AA767" s="240"/>
      <c r="AB767" s="240"/>
    </row>
    <row r="768">
      <c r="A768" s="240"/>
      <c r="B768" s="240" t="s">
        <v>2955</v>
      </c>
      <c r="C768" s="240"/>
      <c r="D768" s="240"/>
      <c r="E768" s="240"/>
      <c r="G768" s="240"/>
      <c r="H768" s="240"/>
      <c r="I768" s="240"/>
      <c r="J768" s="240"/>
      <c r="K768" s="240"/>
      <c r="L768" s="240"/>
      <c r="M768" s="240"/>
      <c r="N768" s="240"/>
      <c r="O768" s="240"/>
      <c r="P768" s="240"/>
      <c r="Q768" s="240"/>
      <c r="R768" s="240"/>
      <c r="S768" s="240"/>
      <c r="T768" s="240"/>
      <c r="U768" s="240"/>
      <c r="V768" s="240"/>
      <c r="W768" s="240"/>
      <c r="X768" s="240"/>
      <c r="Y768" s="240"/>
      <c r="Z768" s="240"/>
      <c r="AA768" s="240"/>
      <c r="AB768" s="240"/>
    </row>
    <row r="769">
      <c r="A769" s="240"/>
      <c r="B769" s="240" t="s">
        <v>2955</v>
      </c>
      <c r="C769" s="240"/>
      <c r="D769" s="240"/>
      <c r="E769" s="240"/>
      <c r="G769" s="240"/>
      <c r="H769" s="240"/>
      <c r="I769" s="240"/>
      <c r="J769" s="240"/>
      <c r="K769" s="240"/>
      <c r="L769" s="240"/>
      <c r="M769" s="240"/>
      <c r="N769" s="240"/>
      <c r="O769" s="240"/>
      <c r="P769" s="240"/>
      <c r="Q769" s="240"/>
      <c r="R769" s="240"/>
      <c r="S769" s="240"/>
      <c r="T769" s="240"/>
      <c r="U769" s="240"/>
      <c r="V769" s="240"/>
      <c r="W769" s="240"/>
      <c r="X769" s="240"/>
      <c r="Y769" s="240"/>
      <c r="Z769" s="240"/>
      <c r="AA769" s="240"/>
      <c r="AB769" s="240"/>
    </row>
    <row r="770">
      <c r="A770" s="240"/>
      <c r="B770" s="240" t="s">
        <v>2955</v>
      </c>
      <c r="C770" s="240"/>
      <c r="D770" s="240"/>
      <c r="E770" s="240"/>
      <c r="G770" s="240"/>
      <c r="H770" s="240"/>
      <c r="I770" s="240"/>
      <c r="J770" s="240"/>
      <c r="K770" s="240"/>
      <c r="L770" s="240"/>
      <c r="M770" s="240"/>
      <c r="N770" s="240"/>
      <c r="O770" s="240"/>
      <c r="P770" s="240"/>
      <c r="Q770" s="240"/>
      <c r="R770" s="240"/>
      <c r="S770" s="240"/>
      <c r="T770" s="240"/>
      <c r="U770" s="240"/>
      <c r="V770" s="240"/>
      <c r="W770" s="240"/>
      <c r="X770" s="240"/>
      <c r="Y770" s="240"/>
      <c r="Z770" s="240"/>
      <c r="AA770" s="240"/>
      <c r="AB770" s="240"/>
    </row>
    <row r="771">
      <c r="A771" s="240"/>
      <c r="B771" s="240" t="s">
        <v>2955</v>
      </c>
      <c r="C771" s="240"/>
      <c r="D771" s="240"/>
      <c r="E771" s="240"/>
      <c r="G771" s="240"/>
      <c r="H771" s="240"/>
      <c r="I771" s="240"/>
      <c r="J771" s="240"/>
      <c r="K771" s="240"/>
      <c r="L771" s="240"/>
      <c r="M771" s="240"/>
      <c r="N771" s="240"/>
      <c r="O771" s="240"/>
      <c r="P771" s="240"/>
      <c r="Q771" s="240"/>
      <c r="R771" s="240"/>
      <c r="S771" s="240"/>
      <c r="T771" s="240"/>
      <c r="U771" s="240"/>
      <c r="V771" s="240"/>
      <c r="W771" s="240"/>
      <c r="X771" s="240"/>
      <c r="Y771" s="240"/>
      <c r="Z771" s="240"/>
      <c r="AA771" s="240"/>
      <c r="AB771" s="240"/>
    </row>
    <row r="772">
      <c r="A772" s="240"/>
      <c r="B772" s="240" t="s">
        <v>2955</v>
      </c>
      <c r="C772" s="240"/>
      <c r="D772" s="240"/>
      <c r="E772" s="240"/>
      <c r="G772" s="240"/>
      <c r="H772" s="240"/>
      <c r="I772" s="240"/>
      <c r="J772" s="240"/>
      <c r="K772" s="240"/>
      <c r="L772" s="240"/>
      <c r="M772" s="240"/>
      <c r="N772" s="240"/>
      <c r="O772" s="240"/>
      <c r="P772" s="240"/>
      <c r="Q772" s="240"/>
      <c r="R772" s="240"/>
      <c r="S772" s="240"/>
      <c r="T772" s="240"/>
      <c r="U772" s="240"/>
      <c r="V772" s="240"/>
      <c r="W772" s="240"/>
      <c r="X772" s="240"/>
      <c r="Y772" s="240"/>
      <c r="Z772" s="240"/>
      <c r="AA772" s="240"/>
      <c r="AB772" s="240"/>
    </row>
    <row r="773">
      <c r="A773" s="240"/>
      <c r="B773" s="240" t="s">
        <v>2955</v>
      </c>
      <c r="C773" s="240"/>
      <c r="D773" s="240"/>
      <c r="E773" s="240"/>
      <c r="G773" s="240"/>
      <c r="H773" s="240"/>
      <c r="I773" s="240"/>
      <c r="J773" s="240"/>
      <c r="K773" s="240"/>
      <c r="L773" s="240"/>
      <c r="M773" s="240"/>
      <c r="N773" s="240"/>
      <c r="O773" s="240"/>
      <c r="P773" s="240"/>
      <c r="Q773" s="240"/>
      <c r="R773" s="240"/>
      <c r="S773" s="240"/>
      <c r="T773" s="240"/>
      <c r="U773" s="240"/>
      <c r="V773" s="240"/>
      <c r="W773" s="240"/>
      <c r="X773" s="240"/>
      <c r="Y773" s="240"/>
      <c r="Z773" s="240"/>
      <c r="AA773" s="240"/>
      <c r="AB773" s="240"/>
    </row>
    <row r="774">
      <c r="A774" s="240"/>
      <c r="B774" s="240" t="s">
        <v>2955</v>
      </c>
      <c r="C774" s="240"/>
      <c r="D774" s="240"/>
      <c r="E774" s="240"/>
      <c r="G774" s="240"/>
      <c r="H774" s="240"/>
      <c r="I774" s="240"/>
      <c r="J774" s="240"/>
      <c r="K774" s="240"/>
      <c r="L774" s="240"/>
      <c r="M774" s="240"/>
      <c r="N774" s="240"/>
      <c r="O774" s="240"/>
      <c r="P774" s="240"/>
      <c r="Q774" s="240"/>
      <c r="R774" s="240"/>
      <c r="S774" s="240"/>
      <c r="T774" s="240"/>
      <c r="U774" s="240"/>
      <c r="V774" s="240"/>
      <c r="W774" s="240"/>
      <c r="X774" s="240"/>
      <c r="Y774" s="240"/>
      <c r="Z774" s="240"/>
      <c r="AA774" s="240"/>
      <c r="AB774" s="240"/>
    </row>
    <row r="775">
      <c r="A775" s="240"/>
      <c r="B775" s="240" t="s">
        <v>2955</v>
      </c>
      <c r="C775" s="240"/>
      <c r="D775" s="240"/>
      <c r="E775" s="240"/>
      <c r="G775" s="240"/>
      <c r="H775" s="240"/>
      <c r="I775" s="240"/>
      <c r="J775" s="240"/>
      <c r="K775" s="240"/>
      <c r="L775" s="240"/>
      <c r="M775" s="240"/>
      <c r="N775" s="240"/>
      <c r="O775" s="240"/>
      <c r="P775" s="240"/>
      <c r="Q775" s="240"/>
      <c r="R775" s="240"/>
      <c r="S775" s="240"/>
      <c r="T775" s="240"/>
      <c r="U775" s="240"/>
      <c r="V775" s="240"/>
      <c r="W775" s="240"/>
      <c r="X775" s="240"/>
      <c r="Y775" s="240"/>
      <c r="Z775" s="240"/>
      <c r="AA775" s="240"/>
      <c r="AB775" s="240"/>
    </row>
    <row r="776">
      <c r="A776" s="240"/>
      <c r="B776" s="240" t="s">
        <v>2955</v>
      </c>
      <c r="C776" s="240"/>
      <c r="D776" s="240"/>
      <c r="E776" s="240"/>
      <c r="G776" s="240"/>
      <c r="H776" s="240"/>
      <c r="I776" s="240"/>
      <c r="J776" s="240"/>
      <c r="K776" s="240"/>
      <c r="L776" s="240"/>
      <c r="M776" s="240"/>
      <c r="N776" s="240"/>
      <c r="O776" s="240"/>
      <c r="P776" s="240"/>
      <c r="Q776" s="240"/>
      <c r="R776" s="240"/>
      <c r="S776" s="240"/>
      <c r="T776" s="240"/>
      <c r="U776" s="240"/>
      <c r="V776" s="240"/>
      <c r="W776" s="240"/>
      <c r="X776" s="240"/>
      <c r="Y776" s="240"/>
      <c r="Z776" s="240"/>
      <c r="AA776" s="240"/>
      <c r="AB776" s="240"/>
    </row>
    <row r="777">
      <c r="A777" s="240"/>
      <c r="B777" s="240" t="s">
        <v>2955</v>
      </c>
      <c r="C777" s="240"/>
      <c r="D777" s="240"/>
      <c r="E777" s="240"/>
      <c r="G777" s="240"/>
      <c r="H777" s="240"/>
      <c r="I777" s="240"/>
      <c r="J777" s="240"/>
      <c r="K777" s="240"/>
      <c r="L777" s="240"/>
      <c r="M777" s="240"/>
      <c r="N777" s="240"/>
      <c r="O777" s="240"/>
      <c r="P777" s="240"/>
      <c r="Q777" s="240"/>
      <c r="R777" s="240"/>
      <c r="S777" s="240"/>
      <c r="T777" s="240"/>
      <c r="U777" s="240"/>
      <c r="V777" s="240"/>
      <c r="W777" s="240"/>
      <c r="X777" s="240"/>
      <c r="Y777" s="240"/>
      <c r="Z777" s="240"/>
      <c r="AA777" s="240"/>
      <c r="AB777" s="240"/>
    </row>
    <row r="778">
      <c r="A778" s="240"/>
      <c r="B778" s="240" t="s">
        <v>2955</v>
      </c>
      <c r="C778" s="240"/>
      <c r="D778" s="240"/>
      <c r="E778" s="240"/>
      <c r="G778" s="240"/>
      <c r="H778" s="240"/>
      <c r="I778" s="240"/>
      <c r="J778" s="240"/>
      <c r="K778" s="240"/>
      <c r="L778" s="240"/>
      <c r="M778" s="240"/>
      <c r="N778" s="240"/>
      <c r="O778" s="240"/>
      <c r="P778" s="240"/>
      <c r="Q778" s="240"/>
      <c r="R778" s="240"/>
      <c r="S778" s="240"/>
      <c r="T778" s="240"/>
      <c r="U778" s="240"/>
      <c r="V778" s="240"/>
      <c r="W778" s="240"/>
      <c r="X778" s="240"/>
      <c r="Y778" s="240"/>
      <c r="Z778" s="240"/>
      <c r="AA778" s="240"/>
      <c r="AB778" s="240"/>
    </row>
    <row r="779">
      <c r="A779" s="240"/>
      <c r="B779" s="240" t="s">
        <v>2955</v>
      </c>
      <c r="C779" s="240"/>
      <c r="D779" s="240"/>
      <c r="E779" s="240"/>
      <c r="G779" s="240"/>
      <c r="H779" s="240"/>
      <c r="I779" s="240"/>
      <c r="J779" s="240"/>
      <c r="K779" s="240"/>
      <c r="L779" s="240"/>
      <c r="M779" s="240"/>
      <c r="N779" s="240"/>
      <c r="O779" s="240"/>
      <c r="P779" s="240"/>
      <c r="Q779" s="240"/>
      <c r="R779" s="240"/>
      <c r="S779" s="240"/>
      <c r="T779" s="240"/>
      <c r="U779" s="240"/>
      <c r="V779" s="240"/>
      <c r="W779" s="240"/>
      <c r="X779" s="240"/>
      <c r="Y779" s="240"/>
      <c r="Z779" s="240"/>
      <c r="AA779" s="240"/>
      <c r="AB779" s="240"/>
    </row>
    <row r="780">
      <c r="A780" s="240"/>
      <c r="B780" s="240" t="s">
        <v>2955</v>
      </c>
      <c r="C780" s="240"/>
      <c r="D780" s="240"/>
      <c r="E780" s="240"/>
      <c r="G780" s="240"/>
      <c r="H780" s="240"/>
      <c r="I780" s="240"/>
      <c r="J780" s="240"/>
      <c r="K780" s="240"/>
      <c r="L780" s="240"/>
      <c r="M780" s="240"/>
      <c r="N780" s="240"/>
      <c r="O780" s="240"/>
      <c r="P780" s="240"/>
      <c r="Q780" s="240"/>
      <c r="R780" s="240"/>
      <c r="S780" s="240"/>
      <c r="T780" s="240"/>
      <c r="U780" s="240"/>
      <c r="V780" s="240"/>
      <c r="W780" s="240"/>
      <c r="X780" s="240"/>
      <c r="Y780" s="240"/>
      <c r="Z780" s="240"/>
      <c r="AA780" s="240"/>
      <c r="AB780" s="240"/>
    </row>
    <row r="781">
      <c r="A781" s="240"/>
      <c r="B781" s="240" t="s">
        <v>2955</v>
      </c>
      <c r="C781" s="240"/>
      <c r="D781" s="240"/>
      <c r="E781" s="240"/>
      <c r="G781" s="240"/>
      <c r="H781" s="240"/>
      <c r="I781" s="240"/>
      <c r="J781" s="240"/>
      <c r="K781" s="240"/>
      <c r="L781" s="240"/>
      <c r="M781" s="240"/>
      <c r="N781" s="240"/>
      <c r="O781" s="240"/>
      <c r="P781" s="240"/>
      <c r="Q781" s="240"/>
      <c r="R781" s="240"/>
      <c r="S781" s="240"/>
      <c r="T781" s="240"/>
      <c r="U781" s="240"/>
      <c r="V781" s="240"/>
      <c r="W781" s="240"/>
      <c r="X781" s="240"/>
      <c r="Y781" s="240"/>
      <c r="Z781" s="240"/>
      <c r="AA781" s="240"/>
      <c r="AB781" s="240"/>
    </row>
    <row r="782">
      <c r="A782" s="240"/>
      <c r="B782" s="240" t="s">
        <v>2955</v>
      </c>
      <c r="C782" s="240"/>
      <c r="D782" s="240"/>
      <c r="E782" s="240"/>
      <c r="G782" s="240"/>
      <c r="H782" s="240"/>
      <c r="I782" s="240"/>
      <c r="J782" s="240"/>
      <c r="K782" s="240"/>
      <c r="L782" s="240"/>
      <c r="M782" s="240"/>
      <c r="N782" s="240"/>
      <c r="O782" s="240"/>
      <c r="P782" s="240"/>
      <c r="Q782" s="240"/>
      <c r="R782" s="240"/>
      <c r="S782" s="240"/>
      <c r="T782" s="240"/>
      <c r="U782" s="240"/>
      <c r="V782" s="240"/>
      <c r="W782" s="240"/>
      <c r="X782" s="240"/>
      <c r="Y782" s="240"/>
      <c r="Z782" s="240"/>
      <c r="AA782" s="240"/>
      <c r="AB782" s="240"/>
    </row>
    <row r="783">
      <c r="A783" s="240"/>
      <c r="B783" s="240" t="s">
        <v>2955</v>
      </c>
      <c r="C783" s="240"/>
      <c r="D783" s="240"/>
      <c r="E783" s="240"/>
      <c r="G783" s="240"/>
      <c r="H783" s="240"/>
      <c r="I783" s="240"/>
      <c r="J783" s="240"/>
      <c r="K783" s="240"/>
      <c r="L783" s="240"/>
      <c r="M783" s="240"/>
      <c r="N783" s="240"/>
      <c r="O783" s="240"/>
      <c r="P783" s="240"/>
      <c r="Q783" s="240"/>
      <c r="R783" s="240"/>
      <c r="S783" s="240"/>
      <c r="T783" s="240"/>
      <c r="U783" s="240"/>
      <c r="V783" s="240"/>
      <c r="W783" s="240"/>
      <c r="X783" s="240"/>
      <c r="Y783" s="240"/>
      <c r="Z783" s="240"/>
      <c r="AA783" s="240"/>
      <c r="AB783" s="240"/>
    </row>
    <row r="784">
      <c r="A784" s="240"/>
      <c r="B784" s="240" t="s">
        <v>2955</v>
      </c>
      <c r="C784" s="240"/>
      <c r="D784" s="240"/>
      <c r="E784" s="240"/>
      <c r="G784" s="240"/>
      <c r="H784" s="240"/>
      <c r="I784" s="240"/>
      <c r="J784" s="240"/>
      <c r="K784" s="240"/>
      <c r="L784" s="240"/>
      <c r="M784" s="240"/>
      <c r="N784" s="240"/>
      <c r="O784" s="240"/>
      <c r="P784" s="240"/>
      <c r="Q784" s="240"/>
      <c r="R784" s="240"/>
      <c r="S784" s="240"/>
      <c r="T784" s="240"/>
      <c r="U784" s="240"/>
      <c r="V784" s="240"/>
      <c r="W784" s="240"/>
      <c r="X784" s="240"/>
      <c r="Y784" s="240"/>
      <c r="Z784" s="240"/>
      <c r="AA784" s="240"/>
      <c r="AB784" s="240"/>
    </row>
    <row r="785">
      <c r="A785" s="240"/>
      <c r="B785" s="240" t="s">
        <v>2955</v>
      </c>
      <c r="C785" s="240"/>
      <c r="D785" s="240"/>
      <c r="E785" s="240"/>
      <c r="G785" s="240"/>
      <c r="H785" s="240"/>
      <c r="I785" s="240"/>
      <c r="J785" s="240"/>
      <c r="K785" s="240"/>
      <c r="L785" s="240"/>
      <c r="M785" s="240"/>
      <c r="N785" s="240"/>
      <c r="O785" s="240"/>
      <c r="P785" s="240"/>
      <c r="Q785" s="240"/>
      <c r="R785" s="240"/>
      <c r="S785" s="240"/>
      <c r="T785" s="240"/>
      <c r="U785" s="240"/>
      <c r="V785" s="240"/>
      <c r="W785" s="240"/>
      <c r="X785" s="240"/>
      <c r="Y785" s="240"/>
      <c r="Z785" s="240"/>
      <c r="AA785" s="240"/>
      <c r="AB785" s="240"/>
    </row>
    <row r="786">
      <c r="A786" s="240"/>
      <c r="B786" s="240" t="s">
        <v>2955</v>
      </c>
      <c r="C786" s="240"/>
      <c r="D786" s="240"/>
      <c r="E786" s="240"/>
      <c r="G786" s="240"/>
      <c r="H786" s="240"/>
      <c r="I786" s="240"/>
      <c r="J786" s="240"/>
      <c r="K786" s="240"/>
      <c r="L786" s="240"/>
      <c r="M786" s="240"/>
      <c r="N786" s="240"/>
      <c r="O786" s="240"/>
      <c r="P786" s="240"/>
      <c r="Q786" s="240"/>
      <c r="R786" s="240"/>
      <c r="S786" s="240"/>
      <c r="T786" s="240"/>
      <c r="U786" s="240"/>
      <c r="V786" s="240"/>
      <c r="W786" s="240"/>
      <c r="X786" s="240"/>
      <c r="Y786" s="240"/>
      <c r="Z786" s="240"/>
      <c r="AA786" s="240"/>
      <c r="AB786" s="240"/>
    </row>
    <row r="787">
      <c r="A787" s="240"/>
      <c r="B787" s="240" t="s">
        <v>2955</v>
      </c>
      <c r="C787" s="240"/>
      <c r="D787" s="240"/>
      <c r="E787" s="240"/>
      <c r="G787" s="240"/>
      <c r="H787" s="240"/>
      <c r="I787" s="240"/>
      <c r="J787" s="240"/>
      <c r="K787" s="240"/>
      <c r="L787" s="240"/>
      <c r="M787" s="240"/>
      <c r="N787" s="240"/>
      <c r="O787" s="240"/>
      <c r="P787" s="240"/>
      <c r="Q787" s="240"/>
      <c r="R787" s="240"/>
      <c r="S787" s="240"/>
      <c r="T787" s="240"/>
      <c r="U787" s="240"/>
      <c r="V787" s="240"/>
      <c r="W787" s="240"/>
      <c r="X787" s="240"/>
      <c r="Y787" s="240"/>
      <c r="Z787" s="240"/>
      <c r="AA787" s="240"/>
      <c r="AB787" s="240"/>
    </row>
    <row r="788">
      <c r="A788" s="240"/>
      <c r="B788" s="240" t="s">
        <v>2955</v>
      </c>
      <c r="C788" s="240"/>
      <c r="D788" s="240"/>
      <c r="E788" s="240"/>
      <c r="G788" s="240"/>
      <c r="H788" s="240"/>
      <c r="I788" s="240"/>
      <c r="J788" s="240"/>
      <c r="K788" s="240"/>
      <c r="L788" s="240"/>
      <c r="M788" s="240"/>
      <c r="N788" s="240"/>
      <c r="O788" s="240"/>
      <c r="P788" s="240"/>
      <c r="Q788" s="240"/>
      <c r="R788" s="240"/>
      <c r="S788" s="240"/>
      <c r="T788" s="240"/>
      <c r="U788" s="240"/>
      <c r="V788" s="240"/>
      <c r="W788" s="240"/>
      <c r="X788" s="240"/>
      <c r="Y788" s="240"/>
      <c r="Z788" s="240"/>
      <c r="AA788" s="240"/>
      <c r="AB788" s="240"/>
    </row>
    <row r="789">
      <c r="A789" s="240"/>
      <c r="B789" s="240" t="s">
        <v>2955</v>
      </c>
      <c r="C789" s="240"/>
      <c r="D789" s="240"/>
      <c r="E789" s="240"/>
      <c r="G789" s="240"/>
      <c r="H789" s="240"/>
      <c r="I789" s="240"/>
      <c r="J789" s="240"/>
      <c r="K789" s="240"/>
      <c r="L789" s="240"/>
      <c r="M789" s="240"/>
      <c r="N789" s="240"/>
      <c r="O789" s="240"/>
      <c r="P789" s="240"/>
      <c r="Q789" s="240"/>
      <c r="R789" s="240"/>
      <c r="S789" s="240"/>
      <c r="T789" s="240"/>
      <c r="U789" s="240"/>
      <c r="V789" s="240"/>
      <c r="W789" s="240"/>
      <c r="X789" s="240"/>
      <c r="Y789" s="240"/>
      <c r="Z789" s="240"/>
      <c r="AA789" s="240"/>
      <c r="AB789" s="240"/>
    </row>
    <row r="790">
      <c r="A790" s="240"/>
      <c r="B790" s="240" t="s">
        <v>2955</v>
      </c>
      <c r="C790" s="240"/>
      <c r="D790" s="240"/>
      <c r="E790" s="240"/>
      <c r="G790" s="240"/>
      <c r="H790" s="240"/>
      <c r="I790" s="240"/>
      <c r="J790" s="240"/>
      <c r="K790" s="240"/>
      <c r="L790" s="240"/>
      <c r="M790" s="240"/>
      <c r="N790" s="240"/>
      <c r="O790" s="240"/>
      <c r="P790" s="240"/>
      <c r="Q790" s="240"/>
      <c r="R790" s="240"/>
      <c r="S790" s="240"/>
      <c r="T790" s="240"/>
      <c r="U790" s="240"/>
      <c r="V790" s="240"/>
      <c r="W790" s="240"/>
      <c r="X790" s="240"/>
      <c r="Y790" s="240"/>
      <c r="Z790" s="240"/>
      <c r="AA790" s="240"/>
      <c r="AB790" s="240"/>
    </row>
    <row r="791">
      <c r="A791" s="240"/>
      <c r="B791" s="240" t="s">
        <v>2955</v>
      </c>
      <c r="C791" s="240"/>
      <c r="D791" s="240"/>
      <c r="E791" s="240"/>
      <c r="G791" s="240"/>
      <c r="H791" s="240"/>
      <c r="I791" s="240"/>
      <c r="J791" s="240"/>
      <c r="K791" s="240"/>
      <c r="L791" s="240"/>
      <c r="M791" s="240"/>
      <c r="N791" s="240"/>
      <c r="O791" s="240"/>
      <c r="P791" s="240"/>
      <c r="Q791" s="240"/>
      <c r="R791" s="240"/>
      <c r="S791" s="240"/>
      <c r="T791" s="240"/>
      <c r="U791" s="240"/>
      <c r="V791" s="240"/>
      <c r="W791" s="240"/>
      <c r="X791" s="240"/>
      <c r="Y791" s="240"/>
      <c r="Z791" s="240"/>
      <c r="AA791" s="240"/>
      <c r="AB791" s="240"/>
    </row>
    <row r="792">
      <c r="A792" s="240"/>
      <c r="B792" s="240" t="s">
        <v>2955</v>
      </c>
      <c r="C792" s="240"/>
      <c r="D792" s="240"/>
      <c r="E792" s="240"/>
      <c r="G792" s="240"/>
      <c r="H792" s="240"/>
      <c r="I792" s="240"/>
      <c r="J792" s="240"/>
      <c r="K792" s="240"/>
      <c r="L792" s="240"/>
      <c r="M792" s="240"/>
      <c r="N792" s="240"/>
      <c r="O792" s="240"/>
      <c r="P792" s="240"/>
      <c r="Q792" s="240"/>
      <c r="R792" s="240"/>
      <c r="S792" s="240"/>
      <c r="T792" s="240"/>
      <c r="U792" s="240"/>
      <c r="V792" s="240"/>
      <c r="W792" s="240"/>
      <c r="X792" s="240"/>
      <c r="Y792" s="240"/>
      <c r="Z792" s="240"/>
      <c r="AA792" s="240"/>
      <c r="AB792" s="240"/>
    </row>
    <row r="793">
      <c r="A793" s="240"/>
      <c r="B793" s="240" t="s">
        <v>2955</v>
      </c>
      <c r="C793" s="240"/>
      <c r="D793" s="240"/>
      <c r="E793" s="240"/>
      <c r="G793" s="240"/>
      <c r="H793" s="240"/>
      <c r="I793" s="240"/>
      <c r="J793" s="240"/>
      <c r="K793" s="240"/>
      <c r="L793" s="240"/>
      <c r="M793" s="240"/>
      <c r="N793" s="240"/>
      <c r="O793" s="240"/>
      <c r="P793" s="240"/>
      <c r="Q793" s="240"/>
      <c r="R793" s="240"/>
      <c r="S793" s="240"/>
      <c r="T793" s="240"/>
      <c r="U793" s="240"/>
      <c r="V793" s="240"/>
      <c r="W793" s="240"/>
      <c r="X793" s="240"/>
      <c r="Y793" s="240"/>
      <c r="Z793" s="240"/>
      <c r="AA793" s="240"/>
      <c r="AB793" s="240"/>
    </row>
    <row r="794">
      <c r="A794" s="240"/>
      <c r="B794" s="240" t="s">
        <v>2955</v>
      </c>
      <c r="C794" s="240"/>
      <c r="D794" s="240"/>
      <c r="E794" s="240"/>
      <c r="G794" s="240"/>
      <c r="H794" s="240"/>
      <c r="I794" s="240"/>
      <c r="J794" s="240"/>
      <c r="K794" s="240"/>
      <c r="L794" s="240"/>
      <c r="M794" s="240"/>
      <c r="N794" s="240"/>
      <c r="O794" s="240"/>
      <c r="P794" s="240"/>
      <c r="Q794" s="240"/>
      <c r="R794" s="240"/>
      <c r="S794" s="240"/>
      <c r="T794" s="240"/>
      <c r="U794" s="240"/>
      <c r="V794" s="240"/>
      <c r="W794" s="240"/>
      <c r="X794" s="240"/>
      <c r="Y794" s="240"/>
      <c r="Z794" s="240"/>
      <c r="AA794" s="240"/>
      <c r="AB794" s="240"/>
    </row>
    <row r="795">
      <c r="A795" s="240"/>
      <c r="B795" s="240" t="s">
        <v>2955</v>
      </c>
      <c r="C795" s="240"/>
      <c r="D795" s="240"/>
      <c r="E795" s="240"/>
      <c r="G795" s="240"/>
      <c r="H795" s="240"/>
      <c r="I795" s="240"/>
      <c r="J795" s="240"/>
      <c r="K795" s="240"/>
      <c r="L795" s="240"/>
      <c r="M795" s="240"/>
      <c r="N795" s="240"/>
      <c r="O795" s="240"/>
      <c r="P795" s="240"/>
      <c r="Q795" s="240"/>
      <c r="R795" s="240"/>
      <c r="S795" s="240"/>
      <c r="T795" s="240"/>
      <c r="U795" s="240"/>
      <c r="V795" s="240"/>
      <c r="W795" s="240"/>
      <c r="X795" s="240"/>
      <c r="Y795" s="240"/>
      <c r="Z795" s="240"/>
      <c r="AA795" s="240"/>
      <c r="AB795" s="240"/>
    </row>
    <row r="796">
      <c r="A796" s="240"/>
      <c r="B796" s="240" t="s">
        <v>2955</v>
      </c>
      <c r="C796" s="240"/>
      <c r="D796" s="240"/>
      <c r="E796" s="240"/>
      <c r="G796" s="240"/>
      <c r="H796" s="240"/>
      <c r="I796" s="240"/>
      <c r="J796" s="240"/>
      <c r="K796" s="240"/>
      <c r="L796" s="240"/>
      <c r="M796" s="240"/>
      <c r="N796" s="240"/>
      <c r="O796" s="240"/>
      <c r="P796" s="240"/>
      <c r="Q796" s="240"/>
      <c r="R796" s="240"/>
      <c r="S796" s="240"/>
      <c r="T796" s="240"/>
      <c r="U796" s="240"/>
      <c r="V796" s="240"/>
      <c r="W796" s="240"/>
      <c r="X796" s="240"/>
      <c r="Y796" s="240"/>
      <c r="Z796" s="240"/>
      <c r="AA796" s="240"/>
      <c r="AB796" s="240"/>
    </row>
    <row r="797">
      <c r="A797" s="240"/>
      <c r="B797" s="240" t="s">
        <v>2955</v>
      </c>
      <c r="C797" s="240"/>
      <c r="D797" s="240"/>
      <c r="E797" s="240"/>
      <c r="G797" s="240"/>
      <c r="H797" s="240"/>
      <c r="I797" s="240"/>
      <c r="J797" s="240"/>
      <c r="K797" s="240"/>
      <c r="L797" s="240"/>
      <c r="M797" s="240"/>
      <c r="N797" s="240"/>
      <c r="O797" s="240"/>
      <c r="P797" s="240"/>
      <c r="Q797" s="240"/>
      <c r="R797" s="240"/>
      <c r="S797" s="240"/>
      <c r="T797" s="240"/>
      <c r="U797" s="240"/>
      <c r="V797" s="240"/>
      <c r="W797" s="240"/>
      <c r="X797" s="240"/>
      <c r="Y797" s="240"/>
      <c r="Z797" s="240"/>
      <c r="AA797" s="240"/>
      <c r="AB797" s="240"/>
    </row>
    <row r="798">
      <c r="A798" s="240"/>
      <c r="B798" s="240" t="s">
        <v>2955</v>
      </c>
      <c r="C798" s="240"/>
      <c r="D798" s="240"/>
      <c r="E798" s="240"/>
      <c r="G798" s="240"/>
      <c r="H798" s="240"/>
      <c r="I798" s="240"/>
      <c r="J798" s="240"/>
      <c r="K798" s="240"/>
      <c r="L798" s="240"/>
      <c r="M798" s="240"/>
      <c r="N798" s="240"/>
      <c r="O798" s="240"/>
      <c r="P798" s="240"/>
      <c r="Q798" s="240"/>
      <c r="R798" s="240"/>
      <c r="S798" s="240"/>
      <c r="T798" s="240"/>
      <c r="U798" s="240"/>
      <c r="V798" s="240"/>
      <c r="W798" s="240"/>
      <c r="X798" s="240"/>
      <c r="Y798" s="240"/>
      <c r="Z798" s="240"/>
      <c r="AA798" s="240"/>
      <c r="AB798" s="240"/>
    </row>
    <row r="799">
      <c r="A799" s="240"/>
      <c r="B799" s="240" t="s">
        <v>2955</v>
      </c>
      <c r="C799" s="240"/>
      <c r="D799" s="240"/>
      <c r="E799" s="240"/>
      <c r="G799" s="240"/>
      <c r="H799" s="240"/>
      <c r="I799" s="240"/>
      <c r="J799" s="240"/>
      <c r="K799" s="240"/>
      <c r="L799" s="240"/>
      <c r="M799" s="240"/>
      <c r="N799" s="240"/>
      <c r="O799" s="240"/>
      <c r="P799" s="240"/>
      <c r="Q799" s="240"/>
      <c r="R799" s="240"/>
      <c r="S799" s="240"/>
      <c r="T799" s="240"/>
      <c r="U799" s="240"/>
      <c r="V799" s="240"/>
      <c r="W799" s="240"/>
      <c r="X799" s="240"/>
      <c r="Y799" s="240"/>
      <c r="Z799" s="240"/>
      <c r="AA799" s="240"/>
      <c r="AB799" s="240"/>
    </row>
    <row r="800">
      <c r="A800" s="240"/>
      <c r="B800" s="240" t="s">
        <v>2955</v>
      </c>
      <c r="C800" s="240"/>
      <c r="D800" s="240"/>
      <c r="E800" s="240"/>
      <c r="G800" s="240"/>
      <c r="H800" s="240"/>
      <c r="I800" s="240"/>
      <c r="J800" s="240"/>
      <c r="K800" s="240"/>
      <c r="L800" s="240"/>
      <c r="M800" s="240"/>
      <c r="N800" s="240"/>
      <c r="O800" s="240"/>
      <c r="P800" s="240"/>
      <c r="Q800" s="240"/>
      <c r="R800" s="240"/>
      <c r="S800" s="240"/>
      <c r="T800" s="240"/>
      <c r="U800" s="240"/>
      <c r="V800" s="240"/>
      <c r="W800" s="240"/>
      <c r="X800" s="240"/>
      <c r="Y800" s="240"/>
      <c r="Z800" s="240"/>
      <c r="AA800" s="240"/>
      <c r="AB800" s="240"/>
    </row>
    <row r="801">
      <c r="A801" s="240"/>
      <c r="B801" s="240" t="s">
        <v>2955</v>
      </c>
      <c r="C801" s="240"/>
      <c r="D801" s="240"/>
      <c r="E801" s="240"/>
      <c r="G801" s="240"/>
      <c r="H801" s="240"/>
      <c r="I801" s="240"/>
      <c r="J801" s="240"/>
      <c r="K801" s="240"/>
      <c r="L801" s="240"/>
      <c r="M801" s="240"/>
      <c r="N801" s="240"/>
      <c r="O801" s="240"/>
      <c r="P801" s="240"/>
      <c r="Q801" s="240"/>
      <c r="R801" s="240"/>
      <c r="S801" s="240"/>
      <c r="T801" s="240"/>
      <c r="U801" s="240"/>
      <c r="V801" s="240"/>
      <c r="W801" s="240"/>
      <c r="X801" s="240"/>
      <c r="Y801" s="240"/>
      <c r="Z801" s="240"/>
      <c r="AA801" s="240"/>
      <c r="AB801" s="240"/>
    </row>
    <row r="802">
      <c r="A802" s="240"/>
      <c r="B802" s="240" t="s">
        <v>2955</v>
      </c>
      <c r="C802" s="240"/>
      <c r="D802" s="240"/>
      <c r="E802" s="240"/>
      <c r="G802" s="240"/>
      <c r="H802" s="240"/>
      <c r="I802" s="240"/>
      <c r="J802" s="240"/>
      <c r="K802" s="240"/>
      <c r="L802" s="240"/>
      <c r="M802" s="240"/>
      <c r="N802" s="240"/>
      <c r="O802" s="240"/>
      <c r="P802" s="240"/>
      <c r="Q802" s="240"/>
      <c r="R802" s="240"/>
      <c r="S802" s="240"/>
      <c r="T802" s="240"/>
      <c r="U802" s="240"/>
      <c r="V802" s="240"/>
      <c r="W802" s="240"/>
      <c r="X802" s="240"/>
      <c r="Y802" s="240"/>
      <c r="Z802" s="240"/>
      <c r="AA802" s="240"/>
      <c r="AB802" s="240"/>
    </row>
    <row r="803">
      <c r="A803" s="240"/>
      <c r="B803" s="240" t="s">
        <v>2955</v>
      </c>
      <c r="C803" s="240"/>
      <c r="D803" s="240"/>
      <c r="E803" s="240"/>
      <c r="G803" s="240"/>
      <c r="H803" s="240"/>
      <c r="I803" s="240"/>
      <c r="J803" s="240"/>
      <c r="K803" s="240"/>
      <c r="L803" s="240"/>
      <c r="M803" s="240"/>
      <c r="N803" s="240"/>
      <c r="O803" s="240"/>
      <c r="P803" s="240"/>
      <c r="Q803" s="240"/>
      <c r="R803" s="240"/>
      <c r="S803" s="240"/>
      <c r="T803" s="240"/>
      <c r="U803" s="240"/>
      <c r="V803" s="240"/>
      <c r="W803" s="240"/>
      <c r="X803" s="240"/>
      <c r="Y803" s="240"/>
      <c r="Z803" s="240"/>
      <c r="AA803" s="240"/>
      <c r="AB803" s="240"/>
    </row>
    <row r="804">
      <c r="A804" s="240"/>
      <c r="B804" s="240" t="s">
        <v>2955</v>
      </c>
      <c r="C804" s="240"/>
      <c r="D804" s="240"/>
      <c r="E804" s="240"/>
      <c r="G804" s="240"/>
      <c r="H804" s="240"/>
      <c r="I804" s="240"/>
      <c r="J804" s="240"/>
      <c r="K804" s="240"/>
      <c r="L804" s="240"/>
      <c r="M804" s="240"/>
      <c r="N804" s="240"/>
      <c r="O804" s="240"/>
      <c r="P804" s="240"/>
      <c r="Q804" s="240"/>
      <c r="R804" s="240"/>
      <c r="S804" s="240"/>
      <c r="T804" s="240"/>
      <c r="U804" s="240"/>
      <c r="V804" s="240"/>
      <c r="W804" s="240"/>
      <c r="X804" s="240"/>
      <c r="Y804" s="240"/>
      <c r="Z804" s="240"/>
      <c r="AA804" s="240"/>
      <c r="AB804" s="240"/>
    </row>
    <row r="805">
      <c r="A805" s="240"/>
      <c r="B805" s="240" t="s">
        <v>2955</v>
      </c>
      <c r="C805" s="240"/>
      <c r="D805" s="240"/>
      <c r="E805" s="240"/>
      <c r="G805" s="240"/>
      <c r="H805" s="240"/>
      <c r="I805" s="240"/>
      <c r="J805" s="240"/>
      <c r="K805" s="240"/>
      <c r="L805" s="240"/>
      <c r="M805" s="240"/>
      <c r="N805" s="240"/>
      <c r="O805" s="240"/>
      <c r="P805" s="240"/>
      <c r="Q805" s="240"/>
      <c r="R805" s="240"/>
      <c r="S805" s="240"/>
      <c r="T805" s="240"/>
      <c r="U805" s="240"/>
      <c r="V805" s="240"/>
      <c r="W805" s="240"/>
      <c r="X805" s="240"/>
      <c r="Y805" s="240"/>
      <c r="Z805" s="240"/>
      <c r="AA805" s="240"/>
      <c r="AB805" s="240"/>
    </row>
    <row r="806">
      <c r="A806" s="240"/>
      <c r="B806" s="240" t="s">
        <v>2955</v>
      </c>
      <c r="C806" s="240"/>
      <c r="D806" s="240"/>
      <c r="E806" s="240"/>
      <c r="G806" s="240"/>
      <c r="H806" s="240"/>
      <c r="I806" s="240"/>
      <c r="J806" s="240"/>
      <c r="K806" s="240"/>
      <c r="L806" s="240"/>
      <c r="M806" s="240"/>
      <c r="N806" s="240"/>
      <c r="O806" s="240"/>
      <c r="P806" s="240"/>
      <c r="Q806" s="240"/>
      <c r="R806" s="240"/>
      <c r="S806" s="240"/>
      <c r="T806" s="240"/>
      <c r="U806" s="240"/>
      <c r="V806" s="240"/>
      <c r="W806" s="240"/>
      <c r="X806" s="240"/>
      <c r="Y806" s="240"/>
      <c r="Z806" s="240"/>
      <c r="AA806" s="240"/>
      <c r="AB806" s="240"/>
    </row>
    <row r="807">
      <c r="A807" s="240"/>
      <c r="B807" s="240" t="s">
        <v>2955</v>
      </c>
      <c r="C807" s="240"/>
      <c r="D807" s="240"/>
      <c r="E807" s="240"/>
      <c r="G807" s="240"/>
      <c r="H807" s="240"/>
      <c r="I807" s="240"/>
      <c r="J807" s="240"/>
      <c r="K807" s="240"/>
      <c r="L807" s="240"/>
      <c r="M807" s="240"/>
      <c r="N807" s="240"/>
      <c r="O807" s="240"/>
      <c r="P807" s="240"/>
      <c r="Q807" s="240"/>
      <c r="R807" s="240"/>
      <c r="S807" s="240"/>
      <c r="T807" s="240"/>
      <c r="U807" s="240"/>
      <c r="V807" s="240"/>
      <c r="W807" s="240"/>
      <c r="X807" s="240"/>
      <c r="Y807" s="240"/>
      <c r="Z807" s="240"/>
      <c r="AA807" s="240"/>
      <c r="AB807" s="240"/>
    </row>
    <row r="808">
      <c r="A808" s="240"/>
      <c r="B808" s="240" t="s">
        <v>2955</v>
      </c>
      <c r="C808" s="240"/>
      <c r="D808" s="240"/>
      <c r="E808" s="240"/>
      <c r="G808" s="240"/>
      <c r="H808" s="240"/>
      <c r="I808" s="240"/>
      <c r="J808" s="240"/>
      <c r="K808" s="240"/>
      <c r="L808" s="240"/>
      <c r="M808" s="240"/>
      <c r="N808" s="240"/>
      <c r="O808" s="240"/>
      <c r="P808" s="240"/>
      <c r="Q808" s="240"/>
      <c r="R808" s="240"/>
      <c r="S808" s="240"/>
      <c r="T808" s="240"/>
      <c r="U808" s="240"/>
      <c r="V808" s="240"/>
      <c r="W808" s="240"/>
      <c r="X808" s="240"/>
      <c r="Y808" s="240"/>
      <c r="Z808" s="240"/>
      <c r="AA808" s="240"/>
      <c r="AB808" s="240"/>
    </row>
    <row r="809">
      <c r="A809" s="240"/>
      <c r="B809" s="240" t="s">
        <v>2955</v>
      </c>
      <c r="C809" s="240"/>
      <c r="D809" s="240"/>
      <c r="E809" s="240"/>
      <c r="G809" s="240"/>
      <c r="H809" s="240"/>
      <c r="I809" s="240"/>
      <c r="J809" s="240"/>
      <c r="K809" s="240"/>
      <c r="L809" s="240"/>
      <c r="M809" s="240"/>
      <c r="N809" s="240"/>
      <c r="O809" s="240"/>
      <c r="P809" s="240"/>
      <c r="Q809" s="240"/>
      <c r="R809" s="240"/>
      <c r="S809" s="240"/>
      <c r="T809" s="240"/>
      <c r="U809" s="240"/>
      <c r="V809" s="240"/>
      <c r="W809" s="240"/>
      <c r="X809" s="240"/>
      <c r="Y809" s="240"/>
      <c r="Z809" s="240"/>
      <c r="AA809" s="240"/>
      <c r="AB809" s="240"/>
    </row>
    <row r="810">
      <c r="A810" s="240"/>
      <c r="B810" s="240" t="s">
        <v>2955</v>
      </c>
      <c r="C810" s="240"/>
      <c r="D810" s="240"/>
      <c r="E810" s="240"/>
      <c r="G810" s="240"/>
      <c r="H810" s="240"/>
      <c r="I810" s="240"/>
      <c r="J810" s="240"/>
      <c r="K810" s="240"/>
      <c r="L810" s="240"/>
      <c r="M810" s="240"/>
      <c r="N810" s="240"/>
      <c r="O810" s="240"/>
      <c r="P810" s="240"/>
      <c r="Q810" s="240"/>
      <c r="R810" s="240"/>
      <c r="S810" s="240"/>
      <c r="T810" s="240"/>
      <c r="U810" s="240"/>
      <c r="V810" s="240"/>
      <c r="W810" s="240"/>
      <c r="X810" s="240"/>
      <c r="Y810" s="240"/>
      <c r="Z810" s="240"/>
      <c r="AA810" s="240"/>
      <c r="AB810" s="240"/>
    </row>
    <row r="811">
      <c r="A811" s="240"/>
      <c r="B811" s="240" t="s">
        <v>2955</v>
      </c>
      <c r="C811" s="240"/>
      <c r="D811" s="240"/>
      <c r="E811" s="240"/>
      <c r="G811" s="240"/>
      <c r="H811" s="240"/>
      <c r="I811" s="240"/>
      <c r="J811" s="240"/>
      <c r="K811" s="240"/>
      <c r="L811" s="240"/>
      <c r="M811" s="240"/>
      <c r="N811" s="240"/>
      <c r="O811" s="240"/>
      <c r="P811" s="240"/>
      <c r="Q811" s="240"/>
      <c r="R811" s="240"/>
      <c r="S811" s="240"/>
      <c r="T811" s="240"/>
      <c r="U811" s="240"/>
      <c r="V811" s="240"/>
      <c r="W811" s="240"/>
      <c r="X811" s="240"/>
      <c r="Y811" s="240"/>
      <c r="Z811" s="240"/>
      <c r="AA811" s="240"/>
      <c r="AB811" s="240"/>
    </row>
    <row r="812">
      <c r="A812" s="240"/>
      <c r="B812" s="240" t="s">
        <v>2955</v>
      </c>
      <c r="C812" s="240"/>
      <c r="D812" s="240"/>
      <c r="E812" s="240"/>
      <c r="G812" s="240"/>
      <c r="H812" s="240"/>
      <c r="I812" s="240"/>
      <c r="J812" s="240"/>
      <c r="K812" s="240"/>
      <c r="L812" s="240"/>
      <c r="M812" s="240"/>
      <c r="N812" s="240"/>
      <c r="O812" s="240"/>
      <c r="P812" s="240"/>
      <c r="Q812" s="240"/>
      <c r="R812" s="240"/>
      <c r="S812" s="240"/>
      <c r="T812" s="240"/>
      <c r="U812" s="240"/>
      <c r="V812" s="240"/>
      <c r="W812" s="240"/>
      <c r="X812" s="240"/>
      <c r="Y812" s="240"/>
      <c r="Z812" s="240"/>
      <c r="AA812" s="240"/>
      <c r="AB812" s="240"/>
    </row>
    <row r="813">
      <c r="A813" s="240"/>
      <c r="B813" s="240" t="s">
        <v>2955</v>
      </c>
      <c r="C813" s="240"/>
      <c r="D813" s="240"/>
      <c r="E813" s="240"/>
      <c r="G813" s="240"/>
      <c r="H813" s="240"/>
      <c r="I813" s="240"/>
      <c r="J813" s="240"/>
      <c r="K813" s="240"/>
      <c r="L813" s="240"/>
      <c r="M813" s="240"/>
      <c r="N813" s="240"/>
      <c r="O813" s="240"/>
      <c r="P813" s="240"/>
      <c r="Q813" s="240"/>
      <c r="R813" s="240"/>
      <c r="S813" s="240"/>
      <c r="T813" s="240"/>
      <c r="U813" s="240"/>
      <c r="V813" s="240"/>
      <c r="W813" s="240"/>
      <c r="X813" s="240"/>
      <c r="Y813" s="240"/>
      <c r="Z813" s="240"/>
      <c r="AA813" s="240"/>
      <c r="AB813" s="240"/>
    </row>
    <row r="814">
      <c r="A814" s="240"/>
      <c r="B814" s="240" t="s">
        <v>2955</v>
      </c>
      <c r="C814" s="240"/>
      <c r="D814" s="240"/>
      <c r="E814" s="240"/>
      <c r="G814" s="240"/>
      <c r="H814" s="240"/>
      <c r="I814" s="240"/>
      <c r="J814" s="240"/>
      <c r="K814" s="240"/>
      <c r="L814" s="240"/>
      <c r="M814" s="240"/>
      <c r="N814" s="240"/>
      <c r="O814" s="240"/>
      <c r="P814" s="240"/>
      <c r="Q814" s="240"/>
      <c r="R814" s="240"/>
      <c r="S814" s="240"/>
      <c r="T814" s="240"/>
      <c r="U814" s="240"/>
      <c r="V814" s="240"/>
      <c r="W814" s="240"/>
      <c r="X814" s="240"/>
      <c r="Y814" s="240"/>
      <c r="Z814" s="240"/>
      <c r="AA814" s="240"/>
      <c r="AB814" s="240"/>
    </row>
    <row r="815">
      <c r="A815" s="240"/>
      <c r="B815" s="240" t="s">
        <v>2955</v>
      </c>
      <c r="C815" s="240"/>
      <c r="D815" s="240"/>
      <c r="E815" s="240"/>
      <c r="G815" s="240"/>
      <c r="H815" s="240"/>
      <c r="I815" s="240"/>
      <c r="J815" s="240"/>
      <c r="K815" s="240"/>
      <c r="L815" s="240"/>
      <c r="M815" s="240"/>
      <c r="N815" s="240"/>
      <c r="O815" s="240"/>
      <c r="P815" s="240"/>
      <c r="Q815" s="240"/>
      <c r="R815" s="240"/>
      <c r="S815" s="240"/>
      <c r="T815" s="240"/>
      <c r="U815" s="240"/>
      <c r="V815" s="240"/>
      <c r="W815" s="240"/>
      <c r="X815" s="240"/>
      <c r="Y815" s="240"/>
      <c r="Z815" s="240"/>
      <c r="AA815" s="240"/>
      <c r="AB815" s="240"/>
    </row>
    <row r="816">
      <c r="A816" s="240"/>
      <c r="B816" s="240" t="s">
        <v>2955</v>
      </c>
      <c r="C816" s="240"/>
      <c r="D816" s="240"/>
      <c r="E816" s="240"/>
      <c r="G816" s="240"/>
      <c r="H816" s="240"/>
      <c r="I816" s="240"/>
      <c r="J816" s="240"/>
      <c r="K816" s="240"/>
      <c r="L816" s="240"/>
      <c r="M816" s="240"/>
      <c r="N816" s="240"/>
      <c r="O816" s="240"/>
      <c r="P816" s="240"/>
      <c r="Q816" s="240"/>
      <c r="R816" s="240"/>
      <c r="S816" s="240"/>
      <c r="T816" s="240"/>
      <c r="U816" s="240"/>
      <c r="V816" s="240"/>
      <c r="W816" s="240"/>
      <c r="X816" s="240"/>
      <c r="Y816" s="240"/>
      <c r="Z816" s="240"/>
      <c r="AA816" s="240"/>
      <c r="AB816" s="240"/>
    </row>
    <row r="817">
      <c r="A817" s="240"/>
      <c r="B817" s="240" t="s">
        <v>2955</v>
      </c>
      <c r="C817" s="240"/>
      <c r="D817" s="240"/>
      <c r="E817" s="240"/>
      <c r="G817" s="240"/>
      <c r="H817" s="240"/>
      <c r="I817" s="240"/>
      <c r="J817" s="240"/>
      <c r="K817" s="240"/>
      <c r="L817" s="240"/>
      <c r="M817" s="240"/>
      <c r="N817" s="240"/>
      <c r="O817" s="240"/>
      <c r="P817" s="240"/>
      <c r="Q817" s="240"/>
      <c r="R817" s="240"/>
      <c r="S817" s="240"/>
      <c r="T817" s="240"/>
      <c r="U817" s="240"/>
      <c r="V817" s="240"/>
      <c r="W817" s="240"/>
      <c r="X817" s="240"/>
      <c r="Y817" s="240"/>
      <c r="Z817" s="240"/>
      <c r="AA817" s="240"/>
      <c r="AB817" s="240"/>
    </row>
    <row r="818">
      <c r="A818" s="240"/>
      <c r="B818" s="240" t="s">
        <v>2955</v>
      </c>
      <c r="C818" s="240"/>
      <c r="D818" s="240"/>
      <c r="E818" s="240"/>
      <c r="G818" s="240"/>
      <c r="H818" s="240"/>
      <c r="I818" s="240"/>
      <c r="J818" s="240"/>
      <c r="K818" s="240"/>
      <c r="L818" s="240"/>
      <c r="M818" s="240"/>
      <c r="N818" s="240"/>
      <c r="O818" s="240"/>
      <c r="P818" s="240"/>
      <c r="Q818" s="240"/>
      <c r="R818" s="240"/>
      <c r="S818" s="240"/>
      <c r="T818" s="240"/>
      <c r="U818" s="240"/>
      <c r="V818" s="240"/>
      <c r="W818" s="240"/>
      <c r="X818" s="240"/>
      <c r="Y818" s="240"/>
      <c r="Z818" s="240"/>
      <c r="AA818" s="240"/>
      <c r="AB818" s="240"/>
    </row>
    <row r="819">
      <c r="A819" s="240"/>
      <c r="B819" s="240" t="s">
        <v>2955</v>
      </c>
      <c r="C819" s="240"/>
      <c r="D819" s="240"/>
      <c r="E819" s="240"/>
      <c r="G819" s="240"/>
      <c r="H819" s="240"/>
      <c r="I819" s="240"/>
      <c r="J819" s="240"/>
      <c r="K819" s="240"/>
      <c r="L819" s="240"/>
      <c r="M819" s="240"/>
      <c r="N819" s="240"/>
      <c r="O819" s="240"/>
      <c r="P819" s="240"/>
      <c r="Q819" s="240"/>
      <c r="R819" s="240"/>
      <c r="S819" s="240"/>
      <c r="T819" s="240"/>
      <c r="U819" s="240"/>
      <c r="V819" s="240"/>
      <c r="W819" s="240"/>
      <c r="X819" s="240"/>
      <c r="Y819" s="240"/>
      <c r="Z819" s="240"/>
      <c r="AA819" s="240"/>
      <c r="AB819" s="240"/>
    </row>
    <row r="820">
      <c r="A820" s="240"/>
      <c r="B820" s="240" t="s">
        <v>2955</v>
      </c>
      <c r="C820" s="240"/>
      <c r="D820" s="240"/>
      <c r="E820" s="240"/>
      <c r="G820" s="240"/>
      <c r="H820" s="240"/>
      <c r="I820" s="240"/>
      <c r="J820" s="240"/>
      <c r="K820" s="240"/>
      <c r="L820" s="240"/>
      <c r="M820" s="240"/>
      <c r="N820" s="240"/>
      <c r="O820" s="240"/>
      <c r="P820" s="240"/>
      <c r="Q820" s="240"/>
      <c r="R820" s="240"/>
      <c r="S820" s="240"/>
      <c r="T820" s="240"/>
      <c r="U820" s="240"/>
      <c r="V820" s="240"/>
      <c r="W820" s="240"/>
      <c r="X820" s="240"/>
      <c r="Y820" s="240"/>
      <c r="Z820" s="240"/>
      <c r="AA820" s="240"/>
      <c r="AB820" s="240"/>
    </row>
    <row r="821">
      <c r="A821" s="240"/>
      <c r="B821" s="240" t="s">
        <v>2955</v>
      </c>
      <c r="C821" s="240"/>
      <c r="D821" s="240"/>
      <c r="E821" s="240"/>
      <c r="G821" s="240"/>
      <c r="H821" s="240"/>
      <c r="I821" s="240"/>
      <c r="J821" s="240"/>
      <c r="K821" s="240"/>
      <c r="L821" s="240"/>
      <c r="M821" s="240"/>
      <c r="N821" s="240"/>
      <c r="O821" s="240"/>
      <c r="P821" s="240"/>
      <c r="Q821" s="240"/>
      <c r="R821" s="240"/>
      <c r="S821" s="240"/>
      <c r="T821" s="240"/>
      <c r="U821" s="240"/>
      <c r="V821" s="240"/>
      <c r="W821" s="240"/>
      <c r="X821" s="240"/>
      <c r="Y821" s="240"/>
      <c r="Z821" s="240"/>
      <c r="AA821" s="240"/>
      <c r="AB821" s="240"/>
    </row>
    <row r="822">
      <c r="A822" s="240"/>
      <c r="B822" s="240" t="s">
        <v>2955</v>
      </c>
      <c r="C822" s="240"/>
      <c r="D822" s="240"/>
      <c r="E822" s="240"/>
      <c r="G822" s="240"/>
      <c r="H822" s="240"/>
      <c r="I822" s="240"/>
      <c r="J822" s="240"/>
      <c r="K822" s="240"/>
      <c r="L822" s="240"/>
      <c r="M822" s="240"/>
      <c r="N822" s="240"/>
      <c r="O822" s="240"/>
      <c r="P822" s="240"/>
      <c r="Q822" s="240"/>
      <c r="R822" s="240"/>
      <c r="S822" s="240"/>
      <c r="T822" s="240"/>
      <c r="U822" s="240"/>
      <c r="V822" s="240"/>
      <c r="W822" s="240"/>
      <c r="X822" s="240"/>
      <c r="Y822" s="240"/>
      <c r="Z822" s="240"/>
      <c r="AA822" s="240"/>
      <c r="AB822" s="240"/>
    </row>
    <row r="823">
      <c r="A823" s="240"/>
      <c r="B823" s="240" t="s">
        <v>2955</v>
      </c>
      <c r="C823" s="240"/>
      <c r="D823" s="240"/>
      <c r="E823" s="240"/>
      <c r="G823" s="240"/>
      <c r="H823" s="240"/>
      <c r="I823" s="240"/>
      <c r="J823" s="240"/>
      <c r="K823" s="240"/>
      <c r="L823" s="240"/>
      <c r="M823" s="240"/>
      <c r="N823" s="240"/>
      <c r="O823" s="240"/>
      <c r="P823" s="240"/>
      <c r="Q823" s="240"/>
      <c r="R823" s="240"/>
      <c r="S823" s="240"/>
      <c r="T823" s="240"/>
      <c r="U823" s="240"/>
      <c r="V823" s="240"/>
      <c r="W823" s="240"/>
      <c r="X823" s="240"/>
      <c r="Y823" s="240"/>
      <c r="Z823" s="240"/>
      <c r="AA823" s="240"/>
      <c r="AB823" s="240"/>
    </row>
    <row r="824">
      <c r="A824" s="240"/>
      <c r="B824" s="240" t="s">
        <v>2955</v>
      </c>
      <c r="C824" s="240"/>
      <c r="D824" s="240"/>
      <c r="E824" s="240"/>
      <c r="G824" s="240"/>
      <c r="H824" s="240"/>
      <c r="I824" s="240"/>
      <c r="J824" s="240"/>
      <c r="K824" s="240"/>
      <c r="L824" s="240"/>
      <c r="M824" s="240"/>
      <c r="N824" s="240"/>
      <c r="O824" s="240"/>
      <c r="P824" s="240"/>
      <c r="Q824" s="240"/>
      <c r="R824" s="240"/>
      <c r="S824" s="240"/>
      <c r="T824" s="240"/>
      <c r="U824" s="240"/>
      <c r="V824" s="240"/>
      <c r="W824" s="240"/>
      <c r="X824" s="240"/>
      <c r="Y824" s="240"/>
      <c r="Z824" s="240"/>
      <c r="AA824" s="240"/>
      <c r="AB824" s="240"/>
    </row>
    <row r="825">
      <c r="A825" s="240"/>
      <c r="B825" s="240" t="s">
        <v>2955</v>
      </c>
      <c r="C825" s="240"/>
      <c r="D825" s="240"/>
      <c r="E825" s="240"/>
      <c r="G825" s="240"/>
      <c r="H825" s="240"/>
      <c r="I825" s="240"/>
      <c r="J825" s="240"/>
      <c r="K825" s="240"/>
      <c r="L825" s="240"/>
      <c r="M825" s="240"/>
      <c r="N825" s="240"/>
      <c r="O825" s="240"/>
      <c r="P825" s="240"/>
      <c r="Q825" s="240"/>
      <c r="R825" s="240"/>
      <c r="S825" s="240"/>
      <c r="T825" s="240"/>
      <c r="U825" s="240"/>
      <c r="V825" s="240"/>
      <c r="W825" s="240"/>
      <c r="X825" s="240"/>
      <c r="Y825" s="240"/>
      <c r="Z825" s="240"/>
      <c r="AA825" s="240"/>
      <c r="AB825" s="240"/>
    </row>
    <row r="826">
      <c r="A826" s="240"/>
      <c r="B826" s="240" t="s">
        <v>2955</v>
      </c>
      <c r="C826" s="240"/>
      <c r="D826" s="240"/>
      <c r="E826" s="240"/>
      <c r="G826" s="240"/>
      <c r="H826" s="240"/>
      <c r="I826" s="240"/>
      <c r="J826" s="240"/>
      <c r="K826" s="240"/>
      <c r="L826" s="240"/>
      <c r="M826" s="240"/>
      <c r="N826" s="240"/>
      <c r="O826" s="240"/>
      <c r="P826" s="240"/>
      <c r="Q826" s="240"/>
      <c r="R826" s="240"/>
      <c r="S826" s="240"/>
      <c r="T826" s="240"/>
      <c r="U826" s="240"/>
      <c r="V826" s="240"/>
      <c r="W826" s="240"/>
      <c r="X826" s="240"/>
      <c r="Y826" s="240"/>
      <c r="Z826" s="240"/>
      <c r="AA826" s="240"/>
      <c r="AB826" s="240"/>
    </row>
    <row r="827">
      <c r="A827" s="240"/>
      <c r="B827" s="240" t="s">
        <v>2955</v>
      </c>
      <c r="C827" s="240"/>
      <c r="D827" s="240"/>
      <c r="E827" s="240"/>
      <c r="G827" s="240"/>
      <c r="H827" s="240"/>
      <c r="I827" s="240"/>
      <c r="J827" s="240"/>
      <c r="K827" s="240"/>
      <c r="L827" s="240"/>
      <c r="M827" s="240"/>
      <c r="N827" s="240"/>
      <c r="O827" s="240"/>
      <c r="P827" s="240"/>
      <c r="Q827" s="240"/>
      <c r="R827" s="240"/>
      <c r="S827" s="240"/>
      <c r="T827" s="240"/>
      <c r="U827" s="240"/>
      <c r="V827" s="240"/>
      <c r="W827" s="240"/>
      <c r="X827" s="240"/>
      <c r="Y827" s="240"/>
      <c r="Z827" s="240"/>
      <c r="AA827" s="240"/>
      <c r="AB827" s="240"/>
    </row>
    <row r="828">
      <c r="A828" s="240"/>
      <c r="B828" s="240" t="s">
        <v>2955</v>
      </c>
      <c r="C828" s="240"/>
      <c r="D828" s="240"/>
      <c r="E828" s="240"/>
      <c r="G828" s="240"/>
      <c r="H828" s="240"/>
      <c r="I828" s="240"/>
      <c r="J828" s="240"/>
      <c r="K828" s="240"/>
      <c r="L828" s="240"/>
      <c r="M828" s="240"/>
      <c r="N828" s="240"/>
      <c r="O828" s="240"/>
      <c r="P828" s="240"/>
      <c r="Q828" s="240"/>
      <c r="R828" s="240"/>
      <c r="S828" s="240"/>
      <c r="T828" s="240"/>
      <c r="U828" s="240"/>
      <c r="V828" s="240"/>
      <c r="W828" s="240"/>
      <c r="X828" s="240"/>
      <c r="Y828" s="240"/>
      <c r="Z828" s="240"/>
      <c r="AA828" s="240"/>
      <c r="AB828" s="240"/>
    </row>
    <row r="829">
      <c r="A829" s="240"/>
      <c r="B829" s="240" t="s">
        <v>2955</v>
      </c>
      <c r="C829" s="240"/>
      <c r="D829" s="240"/>
      <c r="E829" s="240"/>
      <c r="G829" s="240"/>
      <c r="H829" s="240"/>
      <c r="I829" s="240"/>
      <c r="J829" s="240"/>
      <c r="K829" s="240"/>
      <c r="L829" s="240"/>
      <c r="M829" s="240"/>
      <c r="N829" s="240"/>
      <c r="O829" s="240"/>
      <c r="P829" s="240"/>
      <c r="Q829" s="240"/>
      <c r="R829" s="240"/>
      <c r="S829" s="240"/>
      <c r="T829" s="240"/>
      <c r="U829" s="240"/>
      <c r="V829" s="240"/>
      <c r="W829" s="240"/>
      <c r="X829" s="240"/>
      <c r="Y829" s="240"/>
      <c r="Z829" s="240"/>
      <c r="AA829" s="240"/>
      <c r="AB829" s="240"/>
    </row>
    <row r="830">
      <c r="A830" s="240"/>
      <c r="B830" s="240" t="s">
        <v>2955</v>
      </c>
      <c r="C830" s="240"/>
      <c r="D830" s="240"/>
      <c r="E830" s="240"/>
      <c r="G830" s="240"/>
      <c r="H830" s="240"/>
      <c r="I830" s="240"/>
      <c r="J830" s="240"/>
      <c r="K830" s="240"/>
      <c r="L830" s="240"/>
      <c r="M830" s="240"/>
      <c r="N830" s="240"/>
      <c r="O830" s="240"/>
      <c r="P830" s="240"/>
      <c r="Q830" s="240"/>
      <c r="R830" s="240"/>
      <c r="S830" s="240"/>
      <c r="T830" s="240"/>
      <c r="U830" s="240"/>
      <c r="V830" s="240"/>
      <c r="W830" s="240"/>
      <c r="X830" s="240"/>
      <c r="Y830" s="240"/>
      <c r="Z830" s="240"/>
      <c r="AA830" s="240"/>
      <c r="AB830" s="240"/>
    </row>
    <row r="831">
      <c r="A831" s="240"/>
      <c r="B831" s="240" t="s">
        <v>2955</v>
      </c>
      <c r="C831" s="240"/>
      <c r="D831" s="240"/>
      <c r="E831" s="240"/>
      <c r="G831" s="240"/>
      <c r="H831" s="240"/>
      <c r="I831" s="240"/>
      <c r="J831" s="240"/>
      <c r="K831" s="240"/>
      <c r="L831" s="240"/>
      <c r="M831" s="240"/>
      <c r="N831" s="240"/>
      <c r="O831" s="240"/>
      <c r="P831" s="240"/>
      <c r="Q831" s="240"/>
      <c r="R831" s="240"/>
      <c r="S831" s="240"/>
      <c r="T831" s="240"/>
      <c r="U831" s="240"/>
      <c r="V831" s="240"/>
      <c r="W831" s="240"/>
      <c r="X831" s="240"/>
      <c r="Y831" s="240"/>
      <c r="Z831" s="240"/>
      <c r="AA831" s="240"/>
      <c r="AB831" s="240"/>
    </row>
    <row r="832">
      <c r="A832" s="240"/>
      <c r="B832" s="240" t="s">
        <v>2955</v>
      </c>
      <c r="C832" s="240"/>
      <c r="D832" s="240"/>
      <c r="E832" s="240"/>
      <c r="G832" s="240"/>
      <c r="H832" s="240"/>
      <c r="I832" s="240"/>
      <c r="J832" s="240"/>
      <c r="K832" s="240"/>
      <c r="L832" s="240"/>
      <c r="M832" s="240"/>
      <c r="N832" s="240"/>
      <c r="O832" s="240"/>
      <c r="P832" s="240"/>
      <c r="Q832" s="240"/>
      <c r="R832" s="240"/>
      <c r="S832" s="240"/>
      <c r="T832" s="240"/>
      <c r="U832" s="240"/>
      <c r="V832" s="240"/>
      <c r="W832" s="240"/>
      <c r="X832" s="240"/>
      <c r="Y832" s="240"/>
      <c r="Z832" s="240"/>
      <c r="AA832" s="240"/>
      <c r="AB832" s="240"/>
    </row>
    <row r="833">
      <c r="A833" s="240"/>
      <c r="B833" s="240" t="s">
        <v>2955</v>
      </c>
      <c r="C833" s="240"/>
      <c r="D833" s="240"/>
      <c r="E833" s="240"/>
      <c r="G833" s="240"/>
      <c r="H833" s="240"/>
      <c r="I833" s="240"/>
      <c r="J833" s="240"/>
      <c r="K833" s="240"/>
      <c r="L833" s="240"/>
      <c r="M833" s="240"/>
      <c r="N833" s="240"/>
      <c r="O833" s="240"/>
      <c r="P833" s="240"/>
      <c r="Q833" s="240"/>
      <c r="R833" s="240"/>
      <c r="S833" s="240"/>
      <c r="T833" s="240"/>
      <c r="U833" s="240"/>
      <c r="V833" s="240"/>
      <c r="W833" s="240"/>
      <c r="X833" s="240"/>
      <c r="Y833" s="240"/>
      <c r="Z833" s="240"/>
      <c r="AA833" s="240"/>
      <c r="AB833" s="240"/>
    </row>
    <row r="834">
      <c r="A834" s="240"/>
      <c r="B834" s="240" t="s">
        <v>2955</v>
      </c>
      <c r="C834" s="240"/>
      <c r="D834" s="240"/>
      <c r="E834" s="240"/>
      <c r="G834" s="240"/>
      <c r="H834" s="240"/>
      <c r="I834" s="240"/>
      <c r="J834" s="240"/>
      <c r="K834" s="240"/>
      <c r="L834" s="240"/>
      <c r="M834" s="240"/>
      <c r="N834" s="240"/>
      <c r="O834" s="240"/>
      <c r="P834" s="240"/>
      <c r="Q834" s="240"/>
      <c r="R834" s="240"/>
      <c r="S834" s="240"/>
      <c r="T834" s="240"/>
      <c r="U834" s="240"/>
      <c r="V834" s="240"/>
      <c r="W834" s="240"/>
      <c r="X834" s="240"/>
      <c r="Y834" s="240"/>
      <c r="Z834" s="240"/>
      <c r="AA834" s="240"/>
      <c r="AB834" s="240"/>
    </row>
    <row r="835">
      <c r="A835" s="240"/>
      <c r="B835" s="240" t="s">
        <v>2955</v>
      </c>
      <c r="C835" s="240"/>
      <c r="D835" s="240"/>
      <c r="E835" s="240"/>
      <c r="G835" s="240"/>
      <c r="H835" s="240"/>
      <c r="I835" s="240"/>
      <c r="J835" s="240"/>
      <c r="K835" s="240"/>
      <c r="L835" s="240"/>
      <c r="M835" s="240"/>
      <c r="N835" s="240"/>
      <c r="O835" s="240"/>
      <c r="P835" s="240"/>
      <c r="Q835" s="240"/>
      <c r="R835" s="240"/>
      <c r="S835" s="240"/>
      <c r="T835" s="240"/>
      <c r="U835" s="240"/>
      <c r="V835" s="240"/>
      <c r="W835" s="240"/>
      <c r="X835" s="240"/>
      <c r="Y835" s="240"/>
      <c r="Z835" s="240"/>
      <c r="AA835" s="240"/>
      <c r="AB835" s="240"/>
    </row>
    <row r="836">
      <c r="A836" s="240"/>
      <c r="B836" s="240" t="s">
        <v>2955</v>
      </c>
      <c r="C836" s="240"/>
      <c r="D836" s="240"/>
      <c r="E836" s="240"/>
      <c r="G836" s="240"/>
      <c r="H836" s="240"/>
      <c r="I836" s="240"/>
      <c r="J836" s="240"/>
      <c r="K836" s="240"/>
      <c r="L836" s="240"/>
      <c r="M836" s="240"/>
      <c r="N836" s="240"/>
      <c r="O836" s="240"/>
      <c r="P836" s="240"/>
      <c r="Q836" s="240"/>
      <c r="R836" s="240"/>
      <c r="S836" s="240"/>
      <c r="T836" s="240"/>
      <c r="U836" s="240"/>
      <c r="V836" s="240"/>
      <c r="W836" s="240"/>
      <c r="X836" s="240"/>
      <c r="Y836" s="240"/>
      <c r="Z836" s="240"/>
      <c r="AA836" s="240"/>
      <c r="AB836" s="240"/>
    </row>
    <row r="837">
      <c r="A837" s="240"/>
      <c r="B837" s="240" t="s">
        <v>2955</v>
      </c>
      <c r="C837" s="240"/>
      <c r="D837" s="240"/>
      <c r="E837" s="240"/>
      <c r="G837" s="240"/>
      <c r="H837" s="240"/>
      <c r="I837" s="240"/>
      <c r="J837" s="240"/>
      <c r="K837" s="240"/>
      <c r="L837" s="240"/>
      <c r="M837" s="240"/>
      <c r="N837" s="240"/>
      <c r="O837" s="240"/>
      <c r="P837" s="240"/>
      <c r="Q837" s="240"/>
      <c r="R837" s="240"/>
      <c r="S837" s="240"/>
      <c r="T837" s="240"/>
      <c r="U837" s="240"/>
      <c r="V837" s="240"/>
      <c r="W837" s="240"/>
      <c r="X837" s="240"/>
      <c r="Y837" s="240"/>
      <c r="Z837" s="240"/>
      <c r="AA837" s="240"/>
      <c r="AB837" s="240"/>
    </row>
    <row r="838">
      <c r="A838" s="240"/>
      <c r="B838" s="240" t="s">
        <v>2955</v>
      </c>
      <c r="C838" s="240"/>
      <c r="D838" s="240"/>
      <c r="E838" s="240"/>
      <c r="G838" s="240"/>
      <c r="H838" s="240"/>
      <c r="I838" s="240"/>
      <c r="J838" s="240"/>
      <c r="K838" s="240"/>
      <c r="L838" s="240"/>
      <c r="M838" s="240"/>
      <c r="N838" s="240"/>
      <c r="O838" s="240"/>
      <c r="P838" s="240"/>
      <c r="Q838" s="240"/>
      <c r="R838" s="240"/>
      <c r="S838" s="240"/>
      <c r="T838" s="240"/>
      <c r="U838" s="240"/>
      <c r="V838" s="240"/>
      <c r="W838" s="240"/>
      <c r="X838" s="240"/>
      <c r="Y838" s="240"/>
      <c r="Z838" s="240"/>
      <c r="AA838" s="240"/>
      <c r="AB838" s="240"/>
    </row>
    <row r="839">
      <c r="A839" s="240"/>
      <c r="B839" s="240" t="s">
        <v>2955</v>
      </c>
      <c r="C839" s="240"/>
      <c r="D839" s="240"/>
      <c r="E839" s="240"/>
      <c r="G839" s="240"/>
      <c r="H839" s="240"/>
      <c r="I839" s="240"/>
      <c r="J839" s="240"/>
      <c r="K839" s="240"/>
      <c r="L839" s="240"/>
      <c r="M839" s="240"/>
      <c r="N839" s="240"/>
      <c r="O839" s="240"/>
      <c r="P839" s="240"/>
      <c r="Q839" s="240"/>
      <c r="R839" s="240"/>
      <c r="S839" s="240"/>
      <c r="T839" s="240"/>
      <c r="U839" s="240"/>
      <c r="V839" s="240"/>
      <c r="W839" s="240"/>
      <c r="X839" s="240"/>
      <c r="Y839" s="240"/>
      <c r="Z839" s="240"/>
      <c r="AA839" s="240"/>
      <c r="AB839" s="240"/>
    </row>
    <row r="840">
      <c r="A840" s="240"/>
      <c r="B840" s="240" t="s">
        <v>2955</v>
      </c>
      <c r="C840" s="240"/>
      <c r="D840" s="240"/>
      <c r="E840" s="240"/>
      <c r="G840" s="240"/>
      <c r="H840" s="240"/>
      <c r="I840" s="240"/>
      <c r="J840" s="240"/>
      <c r="K840" s="240"/>
      <c r="L840" s="240"/>
      <c r="M840" s="240"/>
      <c r="N840" s="240"/>
      <c r="O840" s="240"/>
      <c r="P840" s="240"/>
      <c r="Q840" s="240"/>
      <c r="R840" s="240"/>
      <c r="S840" s="240"/>
      <c r="T840" s="240"/>
      <c r="U840" s="240"/>
      <c r="V840" s="240"/>
      <c r="W840" s="240"/>
      <c r="X840" s="240"/>
      <c r="Y840" s="240"/>
      <c r="Z840" s="240"/>
      <c r="AA840" s="240"/>
      <c r="AB840" s="240"/>
    </row>
    <row r="841">
      <c r="A841" s="240"/>
      <c r="B841" s="240" t="s">
        <v>2955</v>
      </c>
      <c r="C841" s="240"/>
      <c r="D841" s="240"/>
      <c r="E841" s="240"/>
      <c r="G841" s="240"/>
      <c r="H841" s="240"/>
      <c r="I841" s="240"/>
      <c r="J841" s="240"/>
      <c r="K841" s="240"/>
      <c r="L841" s="240"/>
      <c r="M841" s="240"/>
      <c r="N841" s="240"/>
      <c r="O841" s="240"/>
      <c r="P841" s="240"/>
      <c r="Q841" s="240"/>
      <c r="R841" s="240"/>
      <c r="S841" s="240"/>
      <c r="T841" s="240"/>
      <c r="U841" s="240"/>
      <c r="V841" s="240"/>
      <c r="W841" s="240"/>
      <c r="X841" s="240"/>
      <c r="Y841" s="240"/>
      <c r="Z841" s="240"/>
      <c r="AA841" s="240"/>
      <c r="AB841" s="240"/>
    </row>
    <row r="842">
      <c r="A842" s="240"/>
      <c r="B842" s="240" t="s">
        <v>2955</v>
      </c>
      <c r="C842" s="240"/>
      <c r="D842" s="240"/>
      <c r="E842" s="240"/>
      <c r="G842" s="240"/>
      <c r="H842" s="240"/>
      <c r="I842" s="240"/>
      <c r="J842" s="240"/>
      <c r="K842" s="240"/>
      <c r="L842" s="240"/>
      <c r="M842" s="240"/>
      <c r="N842" s="240"/>
      <c r="O842" s="240"/>
      <c r="P842" s="240"/>
      <c r="Q842" s="240"/>
      <c r="R842" s="240"/>
      <c r="S842" s="240"/>
      <c r="T842" s="240"/>
      <c r="U842" s="240"/>
      <c r="V842" s="240"/>
      <c r="W842" s="240"/>
      <c r="X842" s="240"/>
      <c r="Y842" s="240"/>
      <c r="Z842" s="240"/>
      <c r="AA842" s="240"/>
      <c r="AB842" s="240"/>
    </row>
    <row r="843">
      <c r="A843" s="240"/>
      <c r="B843" s="240" t="s">
        <v>2955</v>
      </c>
      <c r="C843" s="240"/>
      <c r="D843" s="240"/>
      <c r="E843" s="240"/>
      <c r="G843" s="240"/>
      <c r="H843" s="240"/>
      <c r="I843" s="240"/>
      <c r="J843" s="240"/>
      <c r="K843" s="240"/>
      <c r="L843" s="240"/>
      <c r="M843" s="240"/>
      <c r="N843" s="240"/>
      <c r="O843" s="240"/>
      <c r="P843" s="240"/>
      <c r="Q843" s="240"/>
      <c r="R843" s="240"/>
      <c r="S843" s="240"/>
      <c r="T843" s="240"/>
      <c r="U843" s="240"/>
      <c r="V843" s="240"/>
      <c r="W843" s="240"/>
      <c r="X843" s="240"/>
      <c r="Y843" s="240"/>
      <c r="Z843" s="240"/>
      <c r="AA843" s="240"/>
      <c r="AB843" s="240"/>
    </row>
    <row r="844">
      <c r="A844" s="240"/>
      <c r="B844" s="240" t="s">
        <v>2955</v>
      </c>
      <c r="C844" s="240"/>
      <c r="D844" s="240"/>
      <c r="E844" s="240"/>
      <c r="G844" s="240"/>
      <c r="H844" s="240"/>
      <c r="I844" s="240"/>
      <c r="J844" s="240"/>
      <c r="K844" s="240"/>
      <c r="L844" s="240"/>
      <c r="M844" s="240"/>
      <c r="N844" s="240"/>
      <c r="O844" s="240"/>
      <c r="P844" s="240"/>
      <c r="Q844" s="240"/>
      <c r="R844" s="240"/>
      <c r="S844" s="240"/>
      <c r="T844" s="240"/>
      <c r="U844" s="240"/>
      <c r="V844" s="240"/>
      <c r="W844" s="240"/>
      <c r="X844" s="240"/>
      <c r="Y844" s="240"/>
      <c r="Z844" s="240"/>
      <c r="AA844" s="240"/>
      <c r="AB844" s="240"/>
    </row>
    <row r="845">
      <c r="A845" s="240"/>
      <c r="B845" s="240" t="s">
        <v>2955</v>
      </c>
      <c r="C845" s="240"/>
      <c r="D845" s="240"/>
      <c r="E845" s="240"/>
      <c r="G845" s="240"/>
      <c r="H845" s="240"/>
      <c r="I845" s="240"/>
      <c r="J845" s="240"/>
      <c r="K845" s="240"/>
      <c r="L845" s="240"/>
      <c r="M845" s="240"/>
      <c r="N845" s="240"/>
      <c r="O845" s="240"/>
      <c r="P845" s="240"/>
      <c r="Q845" s="240"/>
      <c r="R845" s="240"/>
      <c r="S845" s="240"/>
      <c r="T845" s="240"/>
      <c r="U845" s="240"/>
      <c r="V845" s="240"/>
      <c r="W845" s="240"/>
      <c r="X845" s="240"/>
      <c r="Y845" s="240"/>
      <c r="Z845" s="240"/>
      <c r="AA845" s="240"/>
      <c r="AB845" s="240"/>
    </row>
    <row r="846">
      <c r="A846" s="240"/>
      <c r="B846" s="240" t="s">
        <v>2955</v>
      </c>
      <c r="C846" s="240"/>
      <c r="D846" s="240"/>
      <c r="E846" s="240"/>
      <c r="G846" s="240"/>
      <c r="H846" s="240"/>
      <c r="I846" s="240"/>
      <c r="J846" s="240"/>
      <c r="K846" s="240"/>
      <c r="L846" s="240"/>
      <c r="M846" s="240"/>
      <c r="N846" s="240"/>
      <c r="O846" s="240"/>
      <c r="P846" s="240"/>
      <c r="Q846" s="240"/>
      <c r="R846" s="240"/>
      <c r="S846" s="240"/>
      <c r="T846" s="240"/>
      <c r="U846" s="240"/>
      <c r="V846" s="240"/>
      <c r="W846" s="240"/>
      <c r="X846" s="240"/>
      <c r="Y846" s="240"/>
      <c r="Z846" s="240"/>
      <c r="AA846" s="240"/>
      <c r="AB846" s="240"/>
    </row>
    <row r="847">
      <c r="A847" s="240"/>
      <c r="B847" s="240" t="s">
        <v>2955</v>
      </c>
      <c r="C847" s="240"/>
      <c r="D847" s="240"/>
      <c r="E847" s="240"/>
      <c r="G847" s="240"/>
      <c r="H847" s="240"/>
      <c r="I847" s="240"/>
      <c r="J847" s="240"/>
      <c r="K847" s="240"/>
      <c r="L847" s="240"/>
      <c r="M847" s="240"/>
      <c r="N847" s="240"/>
      <c r="O847" s="240"/>
      <c r="P847" s="240"/>
      <c r="Q847" s="240"/>
      <c r="R847" s="240"/>
      <c r="S847" s="240"/>
      <c r="T847" s="240"/>
      <c r="U847" s="240"/>
      <c r="V847" s="240"/>
      <c r="W847" s="240"/>
      <c r="X847" s="240"/>
      <c r="Y847" s="240"/>
      <c r="Z847" s="240"/>
      <c r="AA847" s="240"/>
      <c r="AB847" s="240"/>
    </row>
    <row r="848">
      <c r="A848" s="240"/>
      <c r="B848" s="240" t="s">
        <v>2955</v>
      </c>
      <c r="C848" s="240"/>
      <c r="D848" s="240"/>
      <c r="E848" s="240"/>
      <c r="G848" s="240"/>
      <c r="H848" s="240"/>
      <c r="I848" s="240"/>
      <c r="J848" s="240"/>
      <c r="K848" s="240"/>
      <c r="L848" s="240"/>
      <c r="M848" s="240"/>
      <c r="N848" s="240"/>
      <c r="O848" s="240"/>
      <c r="P848" s="240"/>
      <c r="Q848" s="240"/>
      <c r="R848" s="240"/>
      <c r="S848" s="240"/>
      <c r="T848" s="240"/>
      <c r="U848" s="240"/>
      <c r="V848" s="240"/>
      <c r="W848" s="240"/>
      <c r="X848" s="240"/>
      <c r="Y848" s="240"/>
      <c r="Z848" s="240"/>
      <c r="AA848" s="240"/>
      <c r="AB848" s="240"/>
    </row>
    <row r="849">
      <c r="A849" s="240"/>
      <c r="B849" s="240" t="s">
        <v>2955</v>
      </c>
      <c r="C849" s="240"/>
      <c r="D849" s="240"/>
      <c r="E849" s="240"/>
      <c r="G849" s="240"/>
      <c r="H849" s="240"/>
      <c r="I849" s="240"/>
      <c r="J849" s="240"/>
      <c r="K849" s="240"/>
      <c r="L849" s="240"/>
      <c r="M849" s="240"/>
      <c r="N849" s="240"/>
      <c r="O849" s="240"/>
      <c r="P849" s="240"/>
      <c r="Q849" s="240"/>
      <c r="R849" s="240"/>
      <c r="S849" s="240"/>
      <c r="T849" s="240"/>
      <c r="U849" s="240"/>
      <c r="V849" s="240"/>
      <c r="W849" s="240"/>
      <c r="X849" s="240"/>
      <c r="Y849" s="240"/>
      <c r="Z849" s="240"/>
      <c r="AA849" s="240"/>
      <c r="AB849" s="240"/>
    </row>
    <row r="850">
      <c r="A850" s="240"/>
      <c r="B850" s="240" t="s">
        <v>2955</v>
      </c>
      <c r="C850" s="240"/>
      <c r="D850" s="240"/>
      <c r="E850" s="240"/>
      <c r="G850" s="240"/>
      <c r="H850" s="240"/>
      <c r="I850" s="240"/>
      <c r="J850" s="240"/>
      <c r="K850" s="240"/>
      <c r="L850" s="240"/>
      <c r="M850" s="240"/>
      <c r="N850" s="240"/>
      <c r="O850" s="240"/>
      <c r="P850" s="240"/>
      <c r="Q850" s="240"/>
      <c r="R850" s="240"/>
      <c r="S850" s="240"/>
      <c r="T850" s="240"/>
      <c r="U850" s="240"/>
      <c r="V850" s="240"/>
      <c r="W850" s="240"/>
      <c r="X850" s="240"/>
      <c r="Y850" s="240"/>
      <c r="Z850" s="240"/>
      <c r="AA850" s="240"/>
      <c r="AB850" s="240"/>
    </row>
    <row r="851">
      <c r="A851" s="240"/>
      <c r="B851" s="240" t="s">
        <v>2955</v>
      </c>
      <c r="C851" s="240"/>
      <c r="D851" s="240"/>
      <c r="E851" s="240"/>
      <c r="G851" s="240"/>
      <c r="H851" s="240"/>
      <c r="I851" s="240"/>
      <c r="J851" s="240"/>
      <c r="K851" s="240"/>
      <c r="L851" s="240"/>
      <c r="M851" s="240"/>
      <c r="N851" s="240"/>
      <c r="O851" s="240"/>
      <c r="P851" s="240"/>
      <c r="Q851" s="240"/>
      <c r="R851" s="240"/>
      <c r="S851" s="240"/>
      <c r="T851" s="240"/>
      <c r="U851" s="240"/>
      <c r="V851" s="240"/>
      <c r="W851" s="240"/>
      <c r="X851" s="240"/>
      <c r="Y851" s="240"/>
      <c r="Z851" s="240"/>
      <c r="AA851" s="240"/>
      <c r="AB851" s="240"/>
    </row>
    <row r="852">
      <c r="A852" s="240"/>
      <c r="B852" s="240" t="s">
        <v>2955</v>
      </c>
      <c r="C852" s="240"/>
      <c r="D852" s="240"/>
      <c r="E852" s="240"/>
      <c r="G852" s="240"/>
      <c r="H852" s="240"/>
      <c r="I852" s="240"/>
      <c r="J852" s="240"/>
      <c r="K852" s="240"/>
      <c r="L852" s="240"/>
      <c r="M852" s="240"/>
      <c r="N852" s="240"/>
      <c r="O852" s="240"/>
      <c r="P852" s="240"/>
      <c r="Q852" s="240"/>
      <c r="R852" s="240"/>
      <c r="S852" s="240"/>
      <c r="T852" s="240"/>
      <c r="U852" s="240"/>
      <c r="V852" s="240"/>
      <c r="W852" s="240"/>
      <c r="X852" s="240"/>
      <c r="Y852" s="240"/>
      <c r="Z852" s="240"/>
      <c r="AA852" s="240"/>
      <c r="AB852" s="240"/>
    </row>
    <row r="853">
      <c r="A853" s="240"/>
      <c r="B853" s="240" t="s">
        <v>2955</v>
      </c>
      <c r="C853" s="240"/>
      <c r="D853" s="240"/>
      <c r="E853" s="240"/>
      <c r="G853" s="240"/>
      <c r="H853" s="240"/>
      <c r="I853" s="240"/>
      <c r="J853" s="240"/>
      <c r="K853" s="240"/>
      <c r="L853" s="240"/>
      <c r="M853" s="240"/>
      <c r="N853" s="240"/>
      <c r="O853" s="240"/>
      <c r="P853" s="240"/>
      <c r="Q853" s="240"/>
      <c r="R853" s="240"/>
      <c r="S853" s="240"/>
      <c r="T853" s="240"/>
      <c r="U853" s="240"/>
      <c r="V853" s="240"/>
      <c r="W853" s="240"/>
      <c r="X853" s="240"/>
      <c r="Y853" s="240"/>
      <c r="Z853" s="240"/>
      <c r="AA853" s="240"/>
      <c r="AB853" s="240"/>
    </row>
    <row r="854">
      <c r="A854" s="240"/>
      <c r="B854" s="240" t="s">
        <v>2955</v>
      </c>
      <c r="C854" s="240"/>
      <c r="D854" s="240"/>
      <c r="E854" s="240"/>
      <c r="G854" s="240"/>
      <c r="H854" s="240"/>
      <c r="I854" s="240"/>
      <c r="J854" s="240"/>
      <c r="K854" s="240"/>
      <c r="L854" s="240"/>
      <c r="M854" s="240"/>
      <c r="N854" s="240"/>
      <c r="O854" s="240"/>
      <c r="P854" s="240"/>
      <c r="Q854" s="240"/>
      <c r="R854" s="240"/>
      <c r="S854" s="240"/>
      <c r="T854" s="240"/>
      <c r="U854" s="240"/>
      <c r="V854" s="240"/>
      <c r="W854" s="240"/>
      <c r="X854" s="240"/>
      <c r="Y854" s="240"/>
      <c r="Z854" s="240"/>
      <c r="AA854" s="240"/>
      <c r="AB854" s="240"/>
    </row>
    <row r="855">
      <c r="A855" s="240"/>
      <c r="B855" s="240" t="s">
        <v>2955</v>
      </c>
      <c r="C855" s="240"/>
      <c r="D855" s="240"/>
      <c r="E855" s="240"/>
      <c r="G855" s="240"/>
      <c r="H855" s="240"/>
      <c r="I855" s="240"/>
      <c r="J855" s="240"/>
      <c r="K855" s="240"/>
      <c r="L855" s="240"/>
      <c r="M855" s="240"/>
      <c r="N855" s="240"/>
      <c r="O855" s="240"/>
      <c r="P855" s="240"/>
      <c r="Q855" s="240"/>
      <c r="R855" s="240"/>
      <c r="S855" s="240"/>
      <c r="T855" s="240"/>
      <c r="U855" s="240"/>
      <c r="V855" s="240"/>
      <c r="W855" s="240"/>
      <c r="X855" s="240"/>
      <c r="Y855" s="240"/>
      <c r="Z855" s="240"/>
      <c r="AA855" s="240"/>
      <c r="AB855" s="240"/>
    </row>
    <row r="856">
      <c r="A856" s="240"/>
      <c r="B856" s="240" t="s">
        <v>2955</v>
      </c>
      <c r="C856" s="240"/>
      <c r="D856" s="240"/>
      <c r="E856" s="240"/>
      <c r="G856" s="240"/>
      <c r="H856" s="240"/>
      <c r="I856" s="240"/>
      <c r="J856" s="240"/>
      <c r="K856" s="240"/>
      <c r="L856" s="240"/>
      <c r="M856" s="240"/>
      <c r="N856" s="240"/>
      <c r="O856" s="240"/>
      <c r="P856" s="240"/>
      <c r="Q856" s="240"/>
      <c r="R856" s="240"/>
      <c r="S856" s="240"/>
      <c r="T856" s="240"/>
      <c r="U856" s="240"/>
      <c r="V856" s="240"/>
      <c r="W856" s="240"/>
      <c r="X856" s="240"/>
      <c r="Y856" s="240"/>
      <c r="Z856" s="240"/>
      <c r="AA856" s="240"/>
      <c r="AB856" s="240"/>
    </row>
    <row r="857">
      <c r="A857" s="240"/>
      <c r="B857" s="240" t="s">
        <v>2955</v>
      </c>
      <c r="C857" s="240"/>
      <c r="D857" s="240"/>
      <c r="E857" s="240"/>
      <c r="G857" s="240"/>
      <c r="H857" s="240"/>
      <c r="I857" s="240"/>
      <c r="J857" s="240"/>
      <c r="K857" s="240"/>
      <c r="L857" s="240"/>
      <c r="M857" s="240"/>
      <c r="N857" s="240"/>
      <c r="O857" s="240"/>
      <c r="P857" s="240"/>
      <c r="Q857" s="240"/>
      <c r="R857" s="240"/>
      <c r="S857" s="240"/>
      <c r="T857" s="240"/>
      <c r="U857" s="240"/>
      <c r="V857" s="240"/>
      <c r="W857" s="240"/>
      <c r="X857" s="240"/>
      <c r="Y857" s="240"/>
      <c r="Z857" s="240"/>
      <c r="AA857" s="240"/>
      <c r="AB857" s="240"/>
    </row>
    <row r="858">
      <c r="A858" s="240"/>
      <c r="B858" s="240" t="s">
        <v>2955</v>
      </c>
      <c r="C858" s="240"/>
      <c r="D858" s="240"/>
      <c r="E858" s="240"/>
      <c r="G858" s="240"/>
      <c r="H858" s="240"/>
      <c r="I858" s="240"/>
      <c r="J858" s="240"/>
      <c r="K858" s="240"/>
      <c r="L858" s="240"/>
      <c r="M858" s="240"/>
      <c r="N858" s="240"/>
      <c r="O858" s="240"/>
      <c r="P858" s="240"/>
      <c r="Q858" s="240"/>
      <c r="R858" s="240"/>
      <c r="S858" s="240"/>
      <c r="T858" s="240"/>
      <c r="U858" s="240"/>
      <c r="V858" s="240"/>
      <c r="W858" s="240"/>
      <c r="X858" s="240"/>
      <c r="Y858" s="240"/>
      <c r="Z858" s="240"/>
      <c r="AA858" s="240"/>
      <c r="AB858" s="240"/>
    </row>
    <row r="859">
      <c r="A859" s="240"/>
      <c r="B859" s="240" t="s">
        <v>2955</v>
      </c>
      <c r="C859" s="240"/>
      <c r="D859" s="240"/>
      <c r="E859" s="240"/>
      <c r="G859" s="240"/>
      <c r="H859" s="240"/>
      <c r="I859" s="240"/>
      <c r="J859" s="240"/>
      <c r="K859" s="240"/>
      <c r="L859" s="240"/>
      <c r="M859" s="240"/>
      <c r="N859" s="240"/>
      <c r="O859" s="240"/>
      <c r="P859" s="240"/>
      <c r="Q859" s="240"/>
      <c r="R859" s="240"/>
      <c r="S859" s="240"/>
      <c r="T859" s="240"/>
      <c r="U859" s="240"/>
      <c r="V859" s="240"/>
      <c r="W859" s="240"/>
      <c r="X859" s="240"/>
      <c r="Y859" s="240"/>
      <c r="Z859" s="240"/>
      <c r="AA859" s="240"/>
      <c r="AB859" s="240"/>
    </row>
    <row r="860">
      <c r="A860" s="240"/>
      <c r="B860" s="240" t="s">
        <v>2955</v>
      </c>
      <c r="C860" s="240"/>
      <c r="D860" s="240"/>
      <c r="E860" s="240"/>
      <c r="G860" s="240"/>
      <c r="H860" s="240"/>
      <c r="I860" s="240"/>
      <c r="J860" s="240"/>
      <c r="K860" s="240"/>
      <c r="L860" s="240"/>
      <c r="M860" s="240"/>
      <c r="N860" s="240"/>
      <c r="O860" s="240"/>
      <c r="P860" s="240"/>
      <c r="Q860" s="240"/>
      <c r="R860" s="240"/>
      <c r="S860" s="240"/>
      <c r="T860" s="240"/>
      <c r="U860" s="240"/>
      <c r="V860" s="240"/>
      <c r="W860" s="240"/>
      <c r="X860" s="240"/>
      <c r="Y860" s="240"/>
      <c r="Z860" s="240"/>
      <c r="AA860" s="240"/>
      <c r="AB860" s="240"/>
    </row>
    <row r="861">
      <c r="A861" s="240"/>
      <c r="B861" s="240" t="s">
        <v>2955</v>
      </c>
      <c r="C861" s="240"/>
      <c r="D861" s="240"/>
      <c r="E861" s="240"/>
      <c r="G861" s="240"/>
      <c r="H861" s="240"/>
      <c r="I861" s="240"/>
      <c r="J861" s="240"/>
      <c r="K861" s="240"/>
      <c r="L861" s="240"/>
      <c r="M861" s="240"/>
      <c r="N861" s="240"/>
      <c r="O861" s="240"/>
      <c r="P861" s="240"/>
      <c r="Q861" s="240"/>
      <c r="R861" s="240"/>
      <c r="S861" s="240"/>
      <c r="T861" s="240"/>
      <c r="U861" s="240"/>
      <c r="V861" s="240"/>
      <c r="W861" s="240"/>
      <c r="X861" s="240"/>
      <c r="Y861" s="240"/>
      <c r="Z861" s="240"/>
      <c r="AA861" s="240"/>
      <c r="AB861" s="240"/>
    </row>
    <row r="862">
      <c r="A862" s="240"/>
      <c r="B862" s="240" t="s">
        <v>2955</v>
      </c>
      <c r="C862" s="240"/>
      <c r="D862" s="240"/>
      <c r="E862" s="240"/>
      <c r="G862" s="240"/>
      <c r="H862" s="240"/>
      <c r="I862" s="240"/>
      <c r="J862" s="240"/>
      <c r="K862" s="240"/>
      <c r="L862" s="240"/>
      <c r="M862" s="240"/>
      <c r="N862" s="240"/>
      <c r="O862" s="240"/>
      <c r="P862" s="240"/>
      <c r="Q862" s="240"/>
      <c r="R862" s="240"/>
      <c r="S862" s="240"/>
      <c r="T862" s="240"/>
      <c r="U862" s="240"/>
      <c r="V862" s="240"/>
      <c r="W862" s="240"/>
      <c r="X862" s="240"/>
      <c r="Y862" s="240"/>
      <c r="Z862" s="240"/>
      <c r="AA862" s="240"/>
      <c r="AB862" s="240"/>
    </row>
    <row r="863">
      <c r="A863" s="240"/>
      <c r="B863" s="240" t="s">
        <v>2955</v>
      </c>
      <c r="C863" s="240"/>
      <c r="D863" s="240"/>
      <c r="E863" s="240"/>
      <c r="G863" s="240"/>
      <c r="H863" s="240"/>
      <c r="I863" s="240"/>
      <c r="J863" s="240"/>
      <c r="K863" s="240"/>
      <c r="L863" s="240"/>
      <c r="M863" s="240"/>
      <c r="N863" s="240"/>
      <c r="O863" s="240"/>
      <c r="P863" s="240"/>
      <c r="Q863" s="240"/>
      <c r="R863" s="240"/>
      <c r="S863" s="240"/>
      <c r="T863" s="240"/>
      <c r="U863" s="240"/>
      <c r="V863" s="240"/>
      <c r="W863" s="240"/>
      <c r="X863" s="240"/>
      <c r="Y863" s="240"/>
      <c r="Z863" s="240"/>
      <c r="AA863" s="240"/>
      <c r="AB863" s="240"/>
    </row>
    <row r="864">
      <c r="A864" s="240"/>
      <c r="B864" s="240" t="s">
        <v>2955</v>
      </c>
      <c r="C864" s="240"/>
      <c r="D864" s="240"/>
      <c r="E864" s="240"/>
      <c r="G864" s="240"/>
      <c r="H864" s="240"/>
      <c r="I864" s="240"/>
      <c r="J864" s="240"/>
      <c r="K864" s="240"/>
      <c r="L864" s="240"/>
      <c r="M864" s="240"/>
      <c r="N864" s="240"/>
      <c r="O864" s="240"/>
      <c r="P864" s="240"/>
      <c r="Q864" s="240"/>
      <c r="R864" s="240"/>
      <c r="S864" s="240"/>
      <c r="T864" s="240"/>
      <c r="U864" s="240"/>
      <c r="V864" s="240"/>
      <c r="W864" s="240"/>
      <c r="X864" s="240"/>
      <c r="Y864" s="240"/>
      <c r="Z864" s="240"/>
      <c r="AA864" s="240"/>
      <c r="AB864" s="240"/>
    </row>
    <row r="865">
      <c r="A865" s="240"/>
      <c r="B865" s="240" t="s">
        <v>2955</v>
      </c>
      <c r="C865" s="240"/>
      <c r="D865" s="240"/>
      <c r="E865" s="240"/>
      <c r="G865" s="240"/>
      <c r="H865" s="240"/>
      <c r="I865" s="240"/>
      <c r="J865" s="240"/>
      <c r="K865" s="240"/>
      <c r="L865" s="240"/>
      <c r="M865" s="240"/>
      <c r="N865" s="240"/>
      <c r="O865" s="240"/>
      <c r="P865" s="240"/>
      <c r="Q865" s="240"/>
      <c r="R865" s="240"/>
      <c r="S865" s="240"/>
      <c r="T865" s="240"/>
      <c r="U865" s="240"/>
      <c r="V865" s="240"/>
      <c r="W865" s="240"/>
      <c r="X865" s="240"/>
      <c r="Y865" s="240"/>
      <c r="Z865" s="240"/>
      <c r="AA865" s="240"/>
      <c r="AB865" s="240"/>
    </row>
    <row r="866">
      <c r="A866" s="240"/>
      <c r="B866" s="240" t="s">
        <v>2955</v>
      </c>
      <c r="C866" s="240"/>
      <c r="D866" s="240"/>
      <c r="E866" s="240"/>
      <c r="G866" s="240"/>
      <c r="H866" s="240"/>
      <c r="I866" s="240"/>
      <c r="J866" s="240"/>
      <c r="K866" s="240"/>
      <c r="L866" s="240"/>
      <c r="M866" s="240"/>
      <c r="N866" s="240"/>
      <c r="O866" s="240"/>
      <c r="P866" s="240"/>
      <c r="Q866" s="240"/>
      <c r="R866" s="240"/>
      <c r="S866" s="240"/>
      <c r="T866" s="240"/>
      <c r="U866" s="240"/>
      <c r="V866" s="240"/>
      <c r="W866" s="240"/>
      <c r="X866" s="240"/>
      <c r="Y866" s="240"/>
      <c r="Z866" s="240"/>
      <c r="AA866" s="240"/>
      <c r="AB866" s="240"/>
    </row>
    <row r="867">
      <c r="A867" s="240"/>
      <c r="B867" s="240" t="s">
        <v>2955</v>
      </c>
      <c r="C867" s="240"/>
      <c r="D867" s="240"/>
      <c r="E867" s="240"/>
      <c r="G867" s="240"/>
      <c r="H867" s="240"/>
      <c r="I867" s="240"/>
      <c r="J867" s="240"/>
      <c r="K867" s="240"/>
      <c r="L867" s="240"/>
      <c r="M867" s="240"/>
      <c r="N867" s="240"/>
      <c r="O867" s="240"/>
      <c r="P867" s="240"/>
      <c r="Q867" s="240"/>
      <c r="R867" s="240"/>
      <c r="S867" s="240"/>
      <c r="T867" s="240"/>
      <c r="U867" s="240"/>
      <c r="V867" s="240"/>
      <c r="W867" s="240"/>
      <c r="X867" s="240"/>
      <c r="Y867" s="240"/>
      <c r="Z867" s="240"/>
      <c r="AA867" s="240"/>
      <c r="AB867" s="240"/>
    </row>
    <row r="868">
      <c r="A868" s="240"/>
      <c r="B868" s="240" t="s">
        <v>2955</v>
      </c>
      <c r="C868" s="240"/>
      <c r="D868" s="240"/>
      <c r="E868" s="240"/>
      <c r="G868" s="240"/>
      <c r="H868" s="240"/>
      <c r="I868" s="240"/>
      <c r="J868" s="240"/>
      <c r="K868" s="240"/>
      <c r="L868" s="240"/>
      <c r="M868" s="240"/>
      <c r="N868" s="240"/>
      <c r="O868" s="240"/>
      <c r="P868" s="240"/>
      <c r="Q868" s="240"/>
      <c r="R868" s="240"/>
      <c r="S868" s="240"/>
      <c r="T868" s="240"/>
      <c r="U868" s="240"/>
      <c r="V868" s="240"/>
      <c r="W868" s="240"/>
      <c r="X868" s="240"/>
      <c r="Y868" s="240"/>
      <c r="Z868" s="240"/>
      <c r="AA868" s="240"/>
      <c r="AB868" s="240"/>
    </row>
    <row r="869">
      <c r="A869" s="240"/>
      <c r="B869" s="240" t="s">
        <v>2955</v>
      </c>
      <c r="C869" s="240"/>
      <c r="D869" s="240"/>
      <c r="E869" s="240"/>
      <c r="G869" s="240"/>
      <c r="H869" s="240"/>
      <c r="I869" s="240"/>
      <c r="J869" s="240"/>
      <c r="K869" s="240"/>
      <c r="L869" s="240"/>
      <c r="M869" s="240"/>
      <c r="N869" s="240"/>
      <c r="O869" s="240"/>
      <c r="P869" s="240"/>
      <c r="Q869" s="240"/>
      <c r="R869" s="240"/>
      <c r="S869" s="240"/>
      <c r="T869" s="240"/>
      <c r="U869" s="240"/>
      <c r="V869" s="240"/>
      <c r="W869" s="240"/>
      <c r="X869" s="240"/>
      <c r="Y869" s="240"/>
      <c r="Z869" s="240"/>
      <c r="AA869" s="240"/>
      <c r="AB869" s="240"/>
    </row>
    <row r="870">
      <c r="A870" s="240"/>
      <c r="B870" s="240" t="s">
        <v>2955</v>
      </c>
      <c r="C870" s="240"/>
      <c r="D870" s="240"/>
      <c r="E870" s="240"/>
      <c r="G870" s="240"/>
      <c r="H870" s="240"/>
      <c r="I870" s="240"/>
      <c r="J870" s="240"/>
      <c r="K870" s="240"/>
      <c r="L870" s="240"/>
      <c r="M870" s="240"/>
      <c r="N870" s="240"/>
      <c r="O870" s="240"/>
      <c r="P870" s="240"/>
      <c r="Q870" s="240"/>
      <c r="R870" s="240"/>
      <c r="S870" s="240"/>
      <c r="T870" s="240"/>
      <c r="U870" s="240"/>
      <c r="V870" s="240"/>
      <c r="W870" s="240"/>
      <c r="X870" s="240"/>
      <c r="Y870" s="240"/>
      <c r="Z870" s="240"/>
      <c r="AA870" s="240"/>
      <c r="AB870" s="240"/>
    </row>
    <row r="871">
      <c r="A871" s="240"/>
      <c r="B871" s="240" t="s">
        <v>2955</v>
      </c>
      <c r="C871" s="240"/>
      <c r="D871" s="240"/>
      <c r="E871" s="240"/>
      <c r="G871" s="240"/>
      <c r="H871" s="240"/>
      <c r="I871" s="240"/>
      <c r="J871" s="240"/>
      <c r="K871" s="240"/>
      <c r="L871" s="240"/>
      <c r="M871" s="240"/>
      <c r="N871" s="240"/>
      <c r="O871" s="240"/>
      <c r="P871" s="240"/>
      <c r="Q871" s="240"/>
      <c r="R871" s="240"/>
      <c r="S871" s="240"/>
      <c r="T871" s="240"/>
      <c r="U871" s="240"/>
      <c r="V871" s="240"/>
      <c r="W871" s="240"/>
      <c r="X871" s="240"/>
      <c r="Y871" s="240"/>
      <c r="Z871" s="240"/>
      <c r="AA871" s="240"/>
      <c r="AB871" s="240"/>
    </row>
    <row r="872">
      <c r="A872" s="240"/>
      <c r="B872" s="240" t="s">
        <v>2955</v>
      </c>
      <c r="C872" s="240"/>
      <c r="D872" s="240"/>
      <c r="E872" s="240"/>
      <c r="G872" s="240"/>
      <c r="H872" s="240"/>
      <c r="I872" s="240"/>
      <c r="J872" s="240"/>
      <c r="K872" s="240"/>
      <c r="L872" s="240"/>
      <c r="M872" s="240"/>
      <c r="N872" s="240"/>
      <c r="O872" s="240"/>
      <c r="P872" s="240"/>
      <c r="Q872" s="240"/>
      <c r="R872" s="240"/>
      <c r="S872" s="240"/>
      <c r="T872" s="240"/>
      <c r="U872" s="240"/>
      <c r="V872" s="240"/>
      <c r="W872" s="240"/>
      <c r="X872" s="240"/>
      <c r="Y872" s="240"/>
      <c r="Z872" s="240"/>
      <c r="AA872" s="240"/>
      <c r="AB872" s="240"/>
    </row>
    <row r="873">
      <c r="A873" s="240"/>
      <c r="B873" s="240" t="s">
        <v>2955</v>
      </c>
      <c r="C873" s="240"/>
      <c r="D873" s="240"/>
      <c r="E873" s="240"/>
      <c r="G873" s="240"/>
      <c r="H873" s="240"/>
      <c r="I873" s="240"/>
      <c r="J873" s="240"/>
      <c r="K873" s="240"/>
      <c r="L873" s="240"/>
      <c r="M873" s="240"/>
      <c r="N873" s="240"/>
      <c r="O873" s="240"/>
      <c r="P873" s="240"/>
      <c r="Q873" s="240"/>
      <c r="R873" s="240"/>
      <c r="S873" s="240"/>
      <c r="T873" s="240"/>
      <c r="U873" s="240"/>
      <c r="V873" s="240"/>
      <c r="W873" s="240"/>
      <c r="X873" s="240"/>
      <c r="Y873" s="240"/>
      <c r="Z873" s="240"/>
      <c r="AA873" s="240"/>
      <c r="AB873" s="240"/>
    </row>
    <row r="874">
      <c r="A874" s="240"/>
      <c r="B874" s="240" t="s">
        <v>2955</v>
      </c>
      <c r="C874" s="240"/>
      <c r="D874" s="240"/>
      <c r="E874" s="240"/>
      <c r="G874" s="240"/>
      <c r="H874" s="240"/>
      <c r="I874" s="240"/>
      <c r="J874" s="240"/>
      <c r="K874" s="240"/>
      <c r="L874" s="240"/>
      <c r="M874" s="240"/>
      <c r="N874" s="240"/>
      <c r="O874" s="240"/>
      <c r="P874" s="240"/>
      <c r="Q874" s="240"/>
      <c r="R874" s="240"/>
      <c r="S874" s="240"/>
      <c r="T874" s="240"/>
      <c r="U874" s="240"/>
      <c r="V874" s="240"/>
      <c r="W874" s="240"/>
      <c r="X874" s="240"/>
      <c r="Y874" s="240"/>
      <c r="Z874" s="240"/>
      <c r="AA874" s="240"/>
      <c r="AB874" s="240"/>
    </row>
    <row r="875">
      <c r="A875" s="240"/>
      <c r="B875" s="240" t="s">
        <v>2955</v>
      </c>
      <c r="C875" s="240"/>
      <c r="D875" s="240"/>
      <c r="E875" s="240"/>
      <c r="G875" s="240"/>
      <c r="H875" s="240"/>
      <c r="I875" s="240"/>
      <c r="J875" s="240"/>
      <c r="K875" s="240"/>
      <c r="L875" s="240"/>
      <c r="M875" s="240"/>
      <c r="N875" s="240"/>
      <c r="O875" s="240"/>
      <c r="P875" s="240"/>
      <c r="Q875" s="240"/>
      <c r="R875" s="240"/>
      <c r="S875" s="240"/>
      <c r="T875" s="240"/>
      <c r="U875" s="240"/>
      <c r="V875" s="240"/>
      <c r="W875" s="240"/>
      <c r="X875" s="240"/>
      <c r="Y875" s="240"/>
      <c r="Z875" s="240"/>
      <c r="AA875" s="240"/>
      <c r="AB875" s="240"/>
    </row>
    <row r="876">
      <c r="A876" s="240"/>
      <c r="B876" s="240" t="s">
        <v>2955</v>
      </c>
      <c r="C876" s="240"/>
      <c r="D876" s="240"/>
      <c r="E876" s="240"/>
      <c r="G876" s="240"/>
      <c r="H876" s="240"/>
      <c r="I876" s="240"/>
      <c r="J876" s="240"/>
      <c r="K876" s="240"/>
      <c r="L876" s="240"/>
      <c r="M876" s="240"/>
      <c r="N876" s="240"/>
      <c r="O876" s="240"/>
      <c r="P876" s="240"/>
      <c r="Q876" s="240"/>
      <c r="R876" s="240"/>
      <c r="S876" s="240"/>
      <c r="T876" s="240"/>
      <c r="U876" s="240"/>
      <c r="V876" s="240"/>
      <c r="W876" s="240"/>
      <c r="X876" s="240"/>
      <c r="Y876" s="240"/>
      <c r="Z876" s="240"/>
      <c r="AA876" s="240"/>
      <c r="AB876" s="240"/>
    </row>
    <row r="877">
      <c r="A877" s="240"/>
      <c r="B877" s="240" t="s">
        <v>2955</v>
      </c>
      <c r="C877" s="240"/>
      <c r="D877" s="240"/>
      <c r="E877" s="240"/>
      <c r="G877" s="240"/>
      <c r="H877" s="240"/>
      <c r="I877" s="240"/>
      <c r="J877" s="240"/>
      <c r="K877" s="240"/>
      <c r="L877" s="240"/>
      <c r="M877" s="240"/>
      <c r="N877" s="240"/>
      <c r="O877" s="240"/>
      <c r="P877" s="240"/>
      <c r="Q877" s="240"/>
      <c r="R877" s="240"/>
      <c r="S877" s="240"/>
      <c r="T877" s="240"/>
      <c r="U877" s="240"/>
      <c r="V877" s="240"/>
      <c r="W877" s="240"/>
      <c r="X877" s="240"/>
      <c r="Y877" s="240"/>
      <c r="Z877" s="240"/>
      <c r="AA877" s="240"/>
      <c r="AB877" s="240"/>
    </row>
    <row r="878">
      <c r="A878" s="240"/>
      <c r="B878" s="240" t="s">
        <v>2955</v>
      </c>
      <c r="C878" s="240"/>
      <c r="D878" s="240"/>
      <c r="E878" s="240"/>
      <c r="G878" s="240"/>
      <c r="H878" s="240"/>
      <c r="I878" s="240"/>
      <c r="J878" s="240"/>
      <c r="K878" s="240"/>
      <c r="L878" s="240"/>
      <c r="M878" s="240"/>
      <c r="N878" s="240"/>
      <c r="O878" s="240"/>
      <c r="P878" s="240"/>
      <c r="Q878" s="240"/>
      <c r="R878" s="240"/>
      <c r="S878" s="240"/>
      <c r="T878" s="240"/>
      <c r="U878" s="240"/>
      <c r="V878" s="240"/>
      <c r="W878" s="240"/>
      <c r="X878" s="240"/>
      <c r="Y878" s="240"/>
      <c r="Z878" s="240"/>
      <c r="AA878" s="240"/>
      <c r="AB878" s="240"/>
    </row>
    <row r="879">
      <c r="A879" s="240"/>
      <c r="B879" s="240" t="s">
        <v>2955</v>
      </c>
      <c r="C879" s="240"/>
      <c r="D879" s="240"/>
      <c r="E879" s="240"/>
      <c r="G879" s="240"/>
      <c r="H879" s="240"/>
      <c r="I879" s="240"/>
      <c r="J879" s="240"/>
      <c r="K879" s="240"/>
      <c r="L879" s="240"/>
      <c r="M879" s="240"/>
      <c r="N879" s="240"/>
      <c r="O879" s="240"/>
      <c r="P879" s="240"/>
      <c r="Q879" s="240"/>
      <c r="R879" s="240"/>
      <c r="S879" s="240"/>
      <c r="T879" s="240"/>
      <c r="U879" s="240"/>
      <c r="V879" s="240"/>
      <c r="W879" s="240"/>
      <c r="X879" s="240"/>
      <c r="Y879" s="240"/>
      <c r="Z879" s="240"/>
      <c r="AA879" s="240"/>
      <c r="AB879" s="240"/>
    </row>
    <row r="880">
      <c r="A880" s="240"/>
      <c r="B880" s="240" t="s">
        <v>2955</v>
      </c>
      <c r="C880" s="240"/>
      <c r="D880" s="240"/>
      <c r="E880" s="240"/>
      <c r="G880" s="240"/>
      <c r="H880" s="240"/>
      <c r="I880" s="240"/>
      <c r="J880" s="240"/>
      <c r="K880" s="240"/>
      <c r="L880" s="240"/>
      <c r="M880" s="240"/>
      <c r="N880" s="240"/>
      <c r="O880" s="240"/>
      <c r="P880" s="240"/>
      <c r="Q880" s="240"/>
      <c r="R880" s="240"/>
      <c r="S880" s="240"/>
      <c r="T880" s="240"/>
      <c r="U880" s="240"/>
      <c r="V880" s="240"/>
      <c r="W880" s="240"/>
      <c r="X880" s="240"/>
      <c r="Y880" s="240"/>
      <c r="Z880" s="240"/>
      <c r="AA880" s="240"/>
      <c r="AB880" s="240"/>
    </row>
    <row r="881">
      <c r="A881" s="240"/>
      <c r="B881" s="240" t="s">
        <v>2955</v>
      </c>
      <c r="C881" s="240"/>
      <c r="D881" s="240"/>
      <c r="E881" s="240"/>
      <c r="G881" s="240"/>
      <c r="H881" s="240"/>
      <c r="I881" s="240"/>
      <c r="J881" s="240"/>
      <c r="K881" s="240"/>
      <c r="L881" s="240"/>
      <c r="M881" s="240"/>
      <c r="N881" s="240"/>
      <c r="O881" s="240"/>
      <c r="P881" s="240"/>
      <c r="Q881" s="240"/>
      <c r="R881" s="240"/>
      <c r="S881" s="240"/>
      <c r="T881" s="240"/>
      <c r="U881" s="240"/>
      <c r="V881" s="240"/>
      <c r="W881" s="240"/>
      <c r="X881" s="240"/>
      <c r="Y881" s="240"/>
      <c r="Z881" s="240"/>
      <c r="AA881" s="240"/>
      <c r="AB881" s="240"/>
    </row>
    <row r="882">
      <c r="A882" s="240"/>
      <c r="B882" s="240" t="s">
        <v>2955</v>
      </c>
      <c r="C882" s="240"/>
      <c r="D882" s="240"/>
      <c r="E882" s="240"/>
      <c r="G882" s="240"/>
      <c r="H882" s="240"/>
      <c r="I882" s="240"/>
      <c r="J882" s="240"/>
      <c r="K882" s="240"/>
      <c r="L882" s="240"/>
      <c r="M882" s="240"/>
      <c r="N882" s="240"/>
      <c r="O882" s="240"/>
      <c r="P882" s="240"/>
      <c r="Q882" s="240"/>
      <c r="R882" s="240"/>
      <c r="S882" s="240"/>
      <c r="T882" s="240"/>
      <c r="U882" s="240"/>
      <c r="V882" s="240"/>
      <c r="W882" s="240"/>
      <c r="X882" s="240"/>
      <c r="Y882" s="240"/>
      <c r="Z882" s="240"/>
      <c r="AA882" s="240"/>
      <c r="AB882" s="240"/>
    </row>
    <row r="883">
      <c r="A883" s="240"/>
      <c r="B883" s="240" t="s">
        <v>2955</v>
      </c>
      <c r="C883" s="240"/>
      <c r="D883" s="240"/>
      <c r="E883" s="240"/>
      <c r="G883" s="240"/>
      <c r="H883" s="240"/>
      <c r="I883" s="240"/>
      <c r="J883" s="240"/>
      <c r="K883" s="240"/>
      <c r="L883" s="240"/>
      <c r="M883" s="240"/>
      <c r="N883" s="240"/>
      <c r="O883" s="240"/>
      <c r="P883" s="240"/>
      <c r="Q883" s="240"/>
      <c r="R883" s="240"/>
      <c r="S883" s="240"/>
      <c r="T883" s="240"/>
      <c r="U883" s="240"/>
      <c r="V883" s="240"/>
      <c r="W883" s="240"/>
      <c r="X883" s="240"/>
      <c r="Y883" s="240"/>
      <c r="Z883" s="240"/>
      <c r="AA883" s="240"/>
      <c r="AB883" s="240"/>
    </row>
    <row r="884">
      <c r="A884" s="240"/>
      <c r="B884" s="240" t="s">
        <v>2955</v>
      </c>
      <c r="C884" s="240"/>
      <c r="D884" s="240"/>
      <c r="E884" s="240"/>
      <c r="G884" s="240"/>
      <c r="H884" s="240"/>
      <c r="I884" s="240"/>
      <c r="J884" s="240"/>
      <c r="K884" s="240"/>
      <c r="L884" s="240"/>
      <c r="M884" s="240"/>
      <c r="N884" s="240"/>
      <c r="O884" s="240"/>
      <c r="P884" s="240"/>
      <c r="Q884" s="240"/>
      <c r="R884" s="240"/>
      <c r="S884" s="240"/>
      <c r="T884" s="240"/>
      <c r="U884" s="240"/>
      <c r="V884" s="240"/>
      <c r="W884" s="240"/>
      <c r="X884" s="240"/>
      <c r="Y884" s="240"/>
      <c r="Z884" s="240"/>
      <c r="AA884" s="240"/>
      <c r="AB884" s="240"/>
    </row>
    <row r="885">
      <c r="A885" s="240"/>
      <c r="B885" s="240" t="s">
        <v>2955</v>
      </c>
      <c r="C885" s="240"/>
      <c r="D885" s="240"/>
      <c r="E885" s="240"/>
      <c r="G885" s="240"/>
      <c r="H885" s="240"/>
      <c r="I885" s="240"/>
      <c r="J885" s="240"/>
      <c r="K885" s="240"/>
      <c r="L885" s="240"/>
      <c r="M885" s="240"/>
      <c r="N885" s="240"/>
      <c r="O885" s="240"/>
      <c r="P885" s="240"/>
      <c r="Q885" s="240"/>
      <c r="R885" s="240"/>
      <c r="S885" s="240"/>
      <c r="T885" s="240"/>
      <c r="U885" s="240"/>
      <c r="V885" s="240"/>
      <c r="W885" s="240"/>
      <c r="X885" s="240"/>
      <c r="Y885" s="240"/>
      <c r="Z885" s="240"/>
      <c r="AA885" s="240"/>
      <c r="AB885" s="240"/>
    </row>
    <row r="886">
      <c r="A886" s="240"/>
      <c r="B886" s="240" t="s">
        <v>2955</v>
      </c>
      <c r="C886" s="240"/>
      <c r="D886" s="240"/>
      <c r="E886" s="240"/>
      <c r="G886" s="240"/>
      <c r="H886" s="240"/>
      <c r="I886" s="240"/>
      <c r="J886" s="240"/>
      <c r="K886" s="240"/>
      <c r="L886" s="240"/>
      <c r="M886" s="240"/>
      <c r="N886" s="240"/>
      <c r="O886" s="240"/>
      <c r="P886" s="240"/>
      <c r="Q886" s="240"/>
      <c r="R886" s="240"/>
      <c r="S886" s="240"/>
      <c r="T886" s="240"/>
      <c r="U886" s="240"/>
      <c r="V886" s="240"/>
      <c r="W886" s="240"/>
      <c r="X886" s="240"/>
      <c r="Y886" s="240"/>
      <c r="Z886" s="240"/>
      <c r="AA886" s="240"/>
      <c r="AB886" s="240"/>
    </row>
    <row r="887">
      <c r="A887" s="240"/>
      <c r="B887" s="240" t="s">
        <v>2955</v>
      </c>
      <c r="C887" s="240"/>
      <c r="D887" s="240"/>
      <c r="E887" s="240"/>
      <c r="G887" s="240"/>
      <c r="H887" s="240"/>
      <c r="I887" s="240"/>
      <c r="J887" s="240"/>
      <c r="K887" s="240"/>
      <c r="L887" s="240"/>
      <c r="M887" s="240"/>
      <c r="N887" s="240"/>
      <c r="O887" s="240"/>
      <c r="P887" s="240"/>
      <c r="Q887" s="240"/>
      <c r="R887" s="240"/>
      <c r="S887" s="240"/>
      <c r="T887" s="240"/>
      <c r="U887" s="240"/>
      <c r="V887" s="240"/>
      <c r="W887" s="240"/>
      <c r="X887" s="240"/>
      <c r="Y887" s="240"/>
      <c r="Z887" s="240"/>
      <c r="AA887" s="240"/>
      <c r="AB887" s="240"/>
    </row>
    <row r="888">
      <c r="A888" s="240"/>
      <c r="B888" s="240" t="s">
        <v>2955</v>
      </c>
      <c r="C888" s="240"/>
      <c r="D888" s="240"/>
      <c r="E888" s="240"/>
      <c r="G888" s="240"/>
      <c r="H888" s="240"/>
      <c r="I888" s="240"/>
      <c r="J888" s="240"/>
      <c r="K888" s="240"/>
      <c r="L888" s="240"/>
      <c r="M888" s="240"/>
      <c r="N888" s="240"/>
      <c r="O888" s="240"/>
      <c r="P888" s="240"/>
      <c r="Q888" s="240"/>
      <c r="R888" s="240"/>
      <c r="S888" s="240"/>
      <c r="T888" s="240"/>
      <c r="U888" s="240"/>
      <c r="V888" s="240"/>
      <c r="W888" s="240"/>
      <c r="X888" s="240"/>
      <c r="Y888" s="240"/>
      <c r="Z888" s="240"/>
      <c r="AA888" s="240"/>
      <c r="AB888" s="240"/>
    </row>
    <row r="889">
      <c r="A889" s="240"/>
      <c r="B889" s="240" t="s">
        <v>2955</v>
      </c>
      <c r="C889" s="240"/>
      <c r="D889" s="240"/>
      <c r="E889" s="240"/>
      <c r="G889" s="240"/>
      <c r="H889" s="240"/>
      <c r="I889" s="240"/>
      <c r="J889" s="240"/>
      <c r="K889" s="240"/>
      <c r="L889" s="240"/>
      <c r="M889" s="240"/>
      <c r="N889" s="240"/>
      <c r="O889" s="240"/>
      <c r="P889" s="240"/>
      <c r="Q889" s="240"/>
      <c r="R889" s="240"/>
      <c r="S889" s="240"/>
      <c r="T889" s="240"/>
      <c r="U889" s="240"/>
      <c r="V889" s="240"/>
      <c r="W889" s="240"/>
      <c r="X889" s="240"/>
      <c r="Y889" s="240"/>
      <c r="Z889" s="240"/>
      <c r="AA889" s="240"/>
      <c r="AB889" s="240"/>
    </row>
    <row r="890">
      <c r="A890" s="240"/>
      <c r="B890" s="240" t="s">
        <v>2955</v>
      </c>
      <c r="C890" s="240"/>
      <c r="D890" s="240"/>
      <c r="E890" s="240"/>
      <c r="G890" s="240"/>
      <c r="H890" s="240"/>
      <c r="I890" s="240"/>
      <c r="J890" s="240"/>
      <c r="K890" s="240"/>
      <c r="L890" s="240"/>
      <c r="M890" s="240"/>
      <c r="N890" s="240"/>
      <c r="O890" s="240"/>
      <c r="P890" s="240"/>
      <c r="Q890" s="240"/>
      <c r="R890" s="240"/>
      <c r="S890" s="240"/>
      <c r="T890" s="240"/>
      <c r="U890" s="240"/>
      <c r="V890" s="240"/>
      <c r="W890" s="240"/>
      <c r="X890" s="240"/>
      <c r="Y890" s="240"/>
      <c r="Z890" s="240"/>
      <c r="AA890" s="240"/>
      <c r="AB890" s="240"/>
    </row>
    <row r="891">
      <c r="A891" s="240"/>
      <c r="B891" s="240" t="s">
        <v>2955</v>
      </c>
      <c r="C891" s="240"/>
      <c r="D891" s="240"/>
      <c r="E891" s="240"/>
      <c r="G891" s="240"/>
      <c r="H891" s="240"/>
      <c r="I891" s="240"/>
      <c r="J891" s="240"/>
      <c r="K891" s="240"/>
      <c r="L891" s="240"/>
      <c r="M891" s="240"/>
      <c r="N891" s="240"/>
      <c r="O891" s="240"/>
      <c r="P891" s="240"/>
      <c r="Q891" s="240"/>
      <c r="R891" s="240"/>
      <c r="S891" s="240"/>
      <c r="T891" s="240"/>
      <c r="U891" s="240"/>
      <c r="V891" s="240"/>
      <c r="W891" s="240"/>
      <c r="X891" s="240"/>
      <c r="Y891" s="240"/>
      <c r="Z891" s="240"/>
      <c r="AA891" s="240"/>
      <c r="AB891" s="240"/>
    </row>
    <row r="892">
      <c r="A892" s="240"/>
      <c r="B892" s="240" t="s">
        <v>2955</v>
      </c>
      <c r="C892" s="240"/>
      <c r="D892" s="240"/>
      <c r="E892" s="240"/>
      <c r="G892" s="240"/>
      <c r="H892" s="240"/>
      <c r="I892" s="240"/>
      <c r="J892" s="240"/>
      <c r="K892" s="240"/>
      <c r="L892" s="240"/>
      <c r="M892" s="240"/>
      <c r="N892" s="240"/>
      <c r="O892" s="240"/>
      <c r="P892" s="240"/>
      <c r="Q892" s="240"/>
      <c r="R892" s="240"/>
      <c r="S892" s="240"/>
      <c r="T892" s="240"/>
      <c r="U892" s="240"/>
      <c r="V892" s="240"/>
      <c r="W892" s="240"/>
      <c r="X892" s="240"/>
      <c r="Y892" s="240"/>
      <c r="Z892" s="240"/>
      <c r="AA892" s="240"/>
      <c r="AB892" s="240"/>
    </row>
    <row r="893">
      <c r="A893" s="240"/>
      <c r="B893" s="240" t="s">
        <v>2955</v>
      </c>
      <c r="C893" s="240"/>
      <c r="D893" s="240"/>
      <c r="E893" s="240"/>
      <c r="G893" s="240"/>
      <c r="H893" s="240"/>
      <c r="I893" s="240"/>
      <c r="J893" s="240"/>
      <c r="K893" s="240"/>
      <c r="L893" s="240"/>
      <c r="M893" s="240"/>
      <c r="N893" s="240"/>
      <c r="O893" s="240"/>
      <c r="P893" s="240"/>
      <c r="Q893" s="240"/>
      <c r="R893" s="240"/>
      <c r="S893" s="240"/>
      <c r="T893" s="240"/>
      <c r="U893" s="240"/>
      <c r="V893" s="240"/>
      <c r="W893" s="240"/>
      <c r="X893" s="240"/>
      <c r="Y893" s="240"/>
      <c r="Z893" s="240"/>
      <c r="AA893" s="240"/>
      <c r="AB893" s="240"/>
    </row>
    <row r="894">
      <c r="A894" s="240"/>
      <c r="B894" s="240" t="s">
        <v>2955</v>
      </c>
      <c r="C894" s="240"/>
      <c r="D894" s="240"/>
      <c r="E894" s="240"/>
      <c r="G894" s="240"/>
      <c r="H894" s="240"/>
      <c r="I894" s="240"/>
      <c r="J894" s="240"/>
      <c r="K894" s="240"/>
      <c r="L894" s="240"/>
      <c r="M894" s="240"/>
      <c r="N894" s="240"/>
      <c r="O894" s="240"/>
      <c r="P894" s="240"/>
      <c r="Q894" s="240"/>
      <c r="R894" s="240"/>
      <c r="S894" s="240"/>
      <c r="T894" s="240"/>
      <c r="U894" s="240"/>
      <c r="V894" s="240"/>
      <c r="W894" s="240"/>
      <c r="X894" s="240"/>
      <c r="Y894" s="240"/>
      <c r="Z894" s="240"/>
      <c r="AA894" s="240"/>
      <c r="AB894" s="240"/>
    </row>
    <row r="895">
      <c r="A895" s="240"/>
      <c r="B895" s="240" t="s">
        <v>2955</v>
      </c>
      <c r="C895" s="240"/>
      <c r="D895" s="240"/>
      <c r="E895" s="240"/>
      <c r="G895" s="240"/>
      <c r="H895" s="240"/>
      <c r="I895" s="240"/>
      <c r="J895" s="240"/>
      <c r="K895" s="240"/>
      <c r="L895" s="240"/>
      <c r="M895" s="240"/>
      <c r="N895" s="240"/>
      <c r="O895" s="240"/>
      <c r="P895" s="240"/>
      <c r="Q895" s="240"/>
      <c r="R895" s="240"/>
      <c r="S895" s="240"/>
      <c r="T895" s="240"/>
      <c r="U895" s="240"/>
      <c r="V895" s="240"/>
      <c r="W895" s="240"/>
      <c r="X895" s="240"/>
      <c r="Y895" s="240"/>
      <c r="Z895" s="240"/>
      <c r="AA895" s="240"/>
      <c r="AB895" s="240"/>
    </row>
    <row r="896">
      <c r="A896" s="240"/>
      <c r="B896" s="240" t="s">
        <v>2955</v>
      </c>
      <c r="C896" s="240"/>
      <c r="D896" s="240"/>
      <c r="E896" s="240"/>
      <c r="G896" s="240"/>
      <c r="H896" s="240"/>
      <c r="I896" s="240"/>
      <c r="J896" s="240"/>
      <c r="K896" s="240"/>
      <c r="L896" s="240"/>
      <c r="M896" s="240"/>
      <c r="N896" s="240"/>
      <c r="O896" s="240"/>
      <c r="P896" s="240"/>
      <c r="Q896" s="240"/>
      <c r="R896" s="240"/>
      <c r="S896" s="240"/>
      <c r="T896" s="240"/>
      <c r="U896" s="240"/>
      <c r="V896" s="240"/>
      <c r="W896" s="240"/>
      <c r="X896" s="240"/>
      <c r="Y896" s="240"/>
      <c r="Z896" s="240"/>
      <c r="AA896" s="240"/>
      <c r="AB896" s="240"/>
    </row>
    <row r="897">
      <c r="A897" s="240"/>
      <c r="B897" s="240" t="s">
        <v>2955</v>
      </c>
      <c r="C897" s="240"/>
      <c r="D897" s="240"/>
      <c r="E897" s="240"/>
      <c r="G897" s="240"/>
      <c r="H897" s="240"/>
      <c r="I897" s="240"/>
      <c r="J897" s="240"/>
      <c r="K897" s="240"/>
      <c r="L897" s="240"/>
      <c r="M897" s="240"/>
      <c r="N897" s="240"/>
      <c r="O897" s="240"/>
      <c r="P897" s="240"/>
      <c r="Q897" s="240"/>
      <c r="R897" s="240"/>
      <c r="S897" s="240"/>
      <c r="T897" s="240"/>
      <c r="U897" s="240"/>
      <c r="V897" s="240"/>
      <c r="W897" s="240"/>
      <c r="X897" s="240"/>
      <c r="Y897" s="240"/>
      <c r="Z897" s="240"/>
      <c r="AA897" s="240"/>
      <c r="AB897" s="240"/>
    </row>
    <row r="898">
      <c r="A898" s="240"/>
      <c r="B898" s="240" t="s">
        <v>2955</v>
      </c>
      <c r="C898" s="240"/>
      <c r="D898" s="240"/>
      <c r="E898" s="240"/>
      <c r="G898" s="240"/>
      <c r="H898" s="240"/>
      <c r="I898" s="240"/>
      <c r="J898" s="240"/>
      <c r="K898" s="240"/>
      <c r="L898" s="240"/>
      <c r="M898" s="240"/>
      <c r="N898" s="240"/>
      <c r="O898" s="240"/>
      <c r="P898" s="240"/>
      <c r="Q898" s="240"/>
      <c r="R898" s="240"/>
      <c r="S898" s="240"/>
      <c r="T898" s="240"/>
      <c r="U898" s="240"/>
      <c r="V898" s="240"/>
      <c r="W898" s="240"/>
      <c r="X898" s="240"/>
      <c r="Y898" s="240"/>
      <c r="Z898" s="240"/>
      <c r="AA898" s="240"/>
      <c r="AB898" s="240"/>
    </row>
    <row r="899">
      <c r="A899" s="240"/>
      <c r="B899" s="240" t="s">
        <v>2955</v>
      </c>
      <c r="C899" s="240"/>
      <c r="D899" s="240"/>
      <c r="E899" s="240"/>
      <c r="G899" s="240"/>
      <c r="H899" s="240"/>
      <c r="I899" s="240"/>
      <c r="J899" s="240"/>
      <c r="K899" s="240"/>
      <c r="L899" s="240"/>
      <c r="M899" s="240"/>
      <c r="N899" s="240"/>
      <c r="O899" s="240"/>
      <c r="P899" s="240"/>
      <c r="Q899" s="240"/>
      <c r="R899" s="240"/>
      <c r="S899" s="240"/>
      <c r="T899" s="240"/>
      <c r="U899" s="240"/>
      <c r="V899" s="240"/>
      <c r="W899" s="240"/>
      <c r="X899" s="240"/>
      <c r="Y899" s="240"/>
      <c r="Z899" s="240"/>
      <c r="AA899" s="240"/>
      <c r="AB899" s="240"/>
    </row>
    <row r="900">
      <c r="A900" s="240"/>
      <c r="B900" s="240" t="s">
        <v>2955</v>
      </c>
      <c r="C900" s="240"/>
      <c r="D900" s="240"/>
      <c r="E900" s="240"/>
      <c r="G900" s="240"/>
      <c r="H900" s="240"/>
      <c r="I900" s="240"/>
      <c r="J900" s="240"/>
      <c r="K900" s="240"/>
      <c r="L900" s="240"/>
      <c r="M900" s="240"/>
      <c r="N900" s="240"/>
      <c r="O900" s="240"/>
      <c r="P900" s="240"/>
      <c r="Q900" s="240"/>
      <c r="R900" s="240"/>
      <c r="S900" s="240"/>
      <c r="T900" s="240"/>
      <c r="U900" s="240"/>
      <c r="V900" s="240"/>
      <c r="W900" s="240"/>
      <c r="X900" s="240"/>
      <c r="Y900" s="240"/>
      <c r="Z900" s="240"/>
      <c r="AA900" s="240"/>
      <c r="AB900" s="240"/>
    </row>
    <row r="901">
      <c r="A901" s="240"/>
      <c r="B901" s="240" t="s">
        <v>2955</v>
      </c>
      <c r="C901" s="240"/>
      <c r="D901" s="240"/>
      <c r="E901" s="240"/>
      <c r="G901" s="240"/>
      <c r="H901" s="240"/>
      <c r="I901" s="240"/>
      <c r="J901" s="240"/>
      <c r="K901" s="240"/>
      <c r="L901" s="240"/>
      <c r="M901" s="240"/>
      <c r="N901" s="240"/>
      <c r="O901" s="240"/>
      <c r="P901" s="240"/>
      <c r="Q901" s="240"/>
      <c r="R901" s="240"/>
      <c r="S901" s="240"/>
      <c r="T901" s="240"/>
      <c r="U901" s="240"/>
      <c r="V901" s="240"/>
      <c r="W901" s="240"/>
      <c r="X901" s="240"/>
      <c r="Y901" s="240"/>
      <c r="Z901" s="240"/>
      <c r="AA901" s="240"/>
      <c r="AB901" s="240"/>
    </row>
    <row r="902">
      <c r="A902" s="240"/>
      <c r="B902" s="240" t="s">
        <v>2955</v>
      </c>
      <c r="C902" s="240"/>
      <c r="D902" s="240"/>
      <c r="E902" s="240"/>
      <c r="G902" s="240"/>
      <c r="H902" s="240"/>
      <c r="I902" s="240"/>
      <c r="J902" s="240"/>
      <c r="K902" s="240"/>
      <c r="L902" s="240"/>
      <c r="M902" s="240"/>
      <c r="N902" s="240"/>
      <c r="O902" s="240"/>
      <c r="P902" s="240"/>
      <c r="Q902" s="240"/>
      <c r="R902" s="240"/>
      <c r="S902" s="240"/>
      <c r="T902" s="240"/>
      <c r="U902" s="240"/>
      <c r="V902" s="240"/>
      <c r="W902" s="240"/>
      <c r="X902" s="240"/>
      <c r="Y902" s="240"/>
      <c r="Z902" s="240"/>
      <c r="AA902" s="240"/>
      <c r="AB902" s="240"/>
    </row>
    <row r="903">
      <c r="A903" s="240"/>
      <c r="B903" s="240" t="s">
        <v>2955</v>
      </c>
      <c r="C903" s="240"/>
      <c r="D903" s="240"/>
      <c r="E903" s="240"/>
      <c r="G903" s="240"/>
      <c r="H903" s="240"/>
      <c r="I903" s="240"/>
      <c r="J903" s="240"/>
      <c r="K903" s="240"/>
      <c r="L903" s="240"/>
      <c r="M903" s="240"/>
      <c r="N903" s="240"/>
      <c r="O903" s="240"/>
      <c r="P903" s="240"/>
      <c r="Q903" s="240"/>
      <c r="R903" s="240"/>
      <c r="S903" s="240"/>
      <c r="T903" s="240"/>
      <c r="U903" s="240"/>
      <c r="V903" s="240"/>
      <c r="W903" s="240"/>
      <c r="X903" s="240"/>
      <c r="Y903" s="240"/>
      <c r="Z903" s="240"/>
      <c r="AA903" s="240"/>
      <c r="AB903" s="240"/>
    </row>
    <row r="904">
      <c r="A904" s="240"/>
      <c r="B904" s="240" t="s">
        <v>2955</v>
      </c>
      <c r="C904" s="240"/>
      <c r="D904" s="240"/>
      <c r="E904" s="240"/>
      <c r="G904" s="240"/>
      <c r="H904" s="240"/>
      <c r="I904" s="240"/>
      <c r="J904" s="240"/>
      <c r="K904" s="240"/>
      <c r="L904" s="240"/>
      <c r="M904" s="240"/>
      <c r="N904" s="240"/>
      <c r="O904" s="240"/>
      <c r="P904" s="240"/>
      <c r="Q904" s="240"/>
      <c r="R904" s="240"/>
      <c r="S904" s="240"/>
      <c r="T904" s="240"/>
      <c r="U904" s="240"/>
      <c r="V904" s="240"/>
      <c r="W904" s="240"/>
      <c r="X904" s="240"/>
      <c r="Y904" s="240"/>
      <c r="Z904" s="240"/>
      <c r="AA904" s="240"/>
      <c r="AB904" s="240"/>
    </row>
    <row r="905">
      <c r="A905" s="240"/>
      <c r="B905" s="240" t="s">
        <v>2955</v>
      </c>
      <c r="C905" s="240"/>
      <c r="D905" s="240"/>
      <c r="E905" s="240"/>
      <c r="G905" s="240"/>
      <c r="H905" s="240"/>
      <c r="I905" s="240"/>
      <c r="J905" s="240"/>
      <c r="K905" s="240"/>
      <c r="L905" s="240"/>
      <c r="M905" s="240"/>
      <c r="N905" s="240"/>
      <c r="O905" s="240"/>
      <c r="P905" s="240"/>
      <c r="Q905" s="240"/>
      <c r="R905" s="240"/>
      <c r="S905" s="240"/>
      <c r="T905" s="240"/>
      <c r="U905" s="240"/>
      <c r="V905" s="240"/>
      <c r="W905" s="240"/>
      <c r="X905" s="240"/>
      <c r="Y905" s="240"/>
      <c r="Z905" s="240"/>
      <c r="AA905" s="240"/>
      <c r="AB905" s="240"/>
    </row>
    <row r="906">
      <c r="A906" s="240"/>
      <c r="B906" s="240" t="s">
        <v>2955</v>
      </c>
      <c r="C906" s="240"/>
      <c r="D906" s="240"/>
      <c r="E906" s="240"/>
      <c r="G906" s="240"/>
      <c r="H906" s="240"/>
      <c r="I906" s="240"/>
      <c r="J906" s="240"/>
      <c r="K906" s="240"/>
      <c r="L906" s="240"/>
      <c r="M906" s="240"/>
      <c r="N906" s="240"/>
      <c r="O906" s="240"/>
      <c r="P906" s="240"/>
      <c r="Q906" s="240"/>
      <c r="R906" s="240"/>
      <c r="S906" s="240"/>
      <c r="T906" s="240"/>
      <c r="U906" s="240"/>
      <c r="V906" s="240"/>
      <c r="W906" s="240"/>
      <c r="X906" s="240"/>
      <c r="Y906" s="240"/>
      <c r="Z906" s="240"/>
      <c r="AA906" s="240"/>
      <c r="AB906" s="240"/>
    </row>
    <row r="907">
      <c r="A907" s="240"/>
      <c r="B907" s="240" t="s">
        <v>2955</v>
      </c>
      <c r="C907" s="240"/>
      <c r="D907" s="240"/>
      <c r="E907" s="240"/>
      <c r="G907" s="240"/>
      <c r="H907" s="240"/>
      <c r="I907" s="240"/>
      <c r="J907" s="240"/>
      <c r="K907" s="240"/>
      <c r="L907" s="240"/>
      <c r="M907" s="240"/>
      <c r="N907" s="240"/>
      <c r="O907" s="240"/>
      <c r="P907" s="240"/>
      <c r="Q907" s="240"/>
      <c r="R907" s="240"/>
      <c r="S907" s="240"/>
      <c r="T907" s="240"/>
      <c r="U907" s="240"/>
      <c r="V907" s="240"/>
      <c r="W907" s="240"/>
      <c r="X907" s="240"/>
      <c r="Y907" s="240"/>
      <c r="Z907" s="240"/>
      <c r="AA907" s="240"/>
      <c r="AB907" s="240"/>
    </row>
    <row r="908">
      <c r="A908" s="240"/>
      <c r="B908" s="240" t="s">
        <v>2955</v>
      </c>
      <c r="C908" s="240"/>
      <c r="D908" s="240"/>
      <c r="E908" s="240"/>
      <c r="G908" s="240"/>
      <c r="H908" s="240"/>
      <c r="I908" s="240"/>
      <c r="J908" s="240"/>
      <c r="K908" s="240"/>
      <c r="L908" s="240"/>
      <c r="M908" s="240"/>
      <c r="N908" s="240"/>
      <c r="O908" s="240"/>
      <c r="P908" s="240"/>
      <c r="Q908" s="240"/>
      <c r="R908" s="240"/>
      <c r="S908" s="240"/>
      <c r="T908" s="240"/>
      <c r="U908" s="240"/>
      <c r="V908" s="240"/>
      <c r="W908" s="240"/>
      <c r="X908" s="240"/>
      <c r="Y908" s="240"/>
      <c r="Z908" s="240"/>
      <c r="AA908" s="240"/>
      <c r="AB908" s="240"/>
    </row>
    <row r="909">
      <c r="A909" s="240"/>
      <c r="B909" s="240" t="s">
        <v>2955</v>
      </c>
      <c r="C909" s="240"/>
      <c r="D909" s="240"/>
      <c r="E909" s="240"/>
      <c r="G909" s="240"/>
      <c r="H909" s="240"/>
      <c r="I909" s="240"/>
      <c r="J909" s="240"/>
      <c r="K909" s="240"/>
      <c r="L909" s="240"/>
      <c r="M909" s="240"/>
      <c r="N909" s="240"/>
      <c r="O909" s="240"/>
      <c r="P909" s="240"/>
      <c r="Q909" s="240"/>
      <c r="R909" s="240"/>
      <c r="S909" s="240"/>
      <c r="T909" s="240"/>
      <c r="U909" s="240"/>
      <c r="V909" s="240"/>
      <c r="W909" s="240"/>
      <c r="X909" s="240"/>
      <c r="Y909" s="240"/>
      <c r="Z909" s="240"/>
      <c r="AA909" s="240"/>
      <c r="AB909" s="240"/>
    </row>
    <row r="910">
      <c r="A910" s="240"/>
      <c r="B910" s="240" t="s">
        <v>2955</v>
      </c>
      <c r="C910" s="240"/>
      <c r="D910" s="240"/>
      <c r="E910" s="240"/>
      <c r="G910" s="240"/>
      <c r="H910" s="240"/>
      <c r="I910" s="240"/>
      <c r="J910" s="240"/>
      <c r="K910" s="240"/>
      <c r="L910" s="240"/>
      <c r="M910" s="240"/>
      <c r="N910" s="240"/>
      <c r="O910" s="240"/>
      <c r="P910" s="240"/>
      <c r="Q910" s="240"/>
      <c r="R910" s="240"/>
      <c r="S910" s="240"/>
      <c r="T910" s="240"/>
      <c r="U910" s="240"/>
      <c r="V910" s="240"/>
      <c r="W910" s="240"/>
      <c r="X910" s="240"/>
      <c r="Y910" s="240"/>
      <c r="Z910" s="240"/>
      <c r="AA910" s="240"/>
      <c r="AB910" s="240"/>
    </row>
    <row r="911">
      <c r="A911" s="240"/>
      <c r="B911" s="240" t="s">
        <v>2955</v>
      </c>
      <c r="C911" s="240"/>
      <c r="D911" s="240"/>
      <c r="E911" s="240"/>
      <c r="G911" s="240"/>
      <c r="H911" s="240"/>
      <c r="I911" s="240"/>
      <c r="J911" s="240"/>
      <c r="K911" s="240"/>
      <c r="L911" s="240"/>
      <c r="M911" s="240"/>
      <c r="N911" s="240"/>
      <c r="O911" s="240"/>
      <c r="P911" s="240"/>
      <c r="Q911" s="240"/>
      <c r="R911" s="240"/>
      <c r="S911" s="240"/>
      <c r="T911" s="240"/>
      <c r="U911" s="240"/>
      <c r="V911" s="240"/>
      <c r="W911" s="240"/>
      <c r="X911" s="240"/>
      <c r="Y911" s="240"/>
      <c r="Z911" s="240"/>
      <c r="AA911" s="240"/>
      <c r="AB911" s="240"/>
    </row>
    <row r="912">
      <c r="A912" s="240"/>
      <c r="B912" s="240" t="s">
        <v>2955</v>
      </c>
      <c r="C912" s="240"/>
      <c r="D912" s="240"/>
      <c r="E912" s="240"/>
      <c r="G912" s="240"/>
      <c r="H912" s="240"/>
      <c r="I912" s="240"/>
      <c r="J912" s="240"/>
      <c r="K912" s="240"/>
      <c r="L912" s="240"/>
      <c r="M912" s="240"/>
      <c r="N912" s="240"/>
      <c r="O912" s="240"/>
      <c r="P912" s="240"/>
      <c r="Q912" s="240"/>
      <c r="R912" s="240"/>
      <c r="S912" s="240"/>
      <c r="T912" s="240"/>
      <c r="U912" s="240"/>
      <c r="V912" s="240"/>
      <c r="W912" s="240"/>
      <c r="X912" s="240"/>
      <c r="Y912" s="240"/>
      <c r="Z912" s="240"/>
      <c r="AA912" s="240"/>
      <c r="AB912" s="240"/>
    </row>
    <row r="913">
      <c r="A913" s="240"/>
      <c r="B913" s="240" t="s">
        <v>2955</v>
      </c>
      <c r="C913" s="240"/>
      <c r="D913" s="240"/>
      <c r="E913" s="240"/>
      <c r="G913" s="240"/>
      <c r="H913" s="240"/>
      <c r="I913" s="240"/>
      <c r="J913" s="240"/>
      <c r="K913" s="240"/>
      <c r="L913" s="240"/>
      <c r="M913" s="240"/>
      <c r="N913" s="240"/>
      <c r="O913" s="240"/>
      <c r="P913" s="240"/>
      <c r="Q913" s="240"/>
      <c r="R913" s="240"/>
      <c r="S913" s="240"/>
      <c r="T913" s="240"/>
      <c r="U913" s="240"/>
      <c r="V913" s="240"/>
      <c r="W913" s="240"/>
      <c r="X913" s="240"/>
      <c r="Y913" s="240"/>
      <c r="Z913" s="240"/>
      <c r="AA913" s="240"/>
      <c r="AB913" s="240"/>
    </row>
    <row r="914">
      <c r="A914" s="240"/>
      <c r="B914" s="240" t="s">
        <v>2955</v>
      </c>
      <c r="C914" s="240"/>
      <c r="D914" s="240"/>
      <c r="E914" s="240"/>
      <c r="G914" s="240"/>
      <c r="H914" s="240"/>
      <c r="I914" s="240"/>
      <c r="J914" s="240"/>
      <c r="K914" s="240"/>
      <c r="L914" s="240"/>
      <c r="M914" s="240"/>
      <c r="N914" s="240"/>
      <c r="O914" s="240"/>
      <c r="P914" s="240"/>
      <c r="Q914" s="240"/>
      <c r="R914" s="240"/>
      <c r="S914" s="240"/>
      <c r="T914" s="240"/>
      <c r="U914" s="240"/>
      <c r="V914" s="240"/>
      <c r="W914" s="240"/>
      <c r="X914" s="240"/>
      <c r="Y914" s="240"/>
      <c r="Z914" s="240"/>
      <c r="AA914" s="240"/>
      <c r="AB914" s="240"/>
    </row>
    <row r="915">
      <c r="A915" s="240"/>
      <c r="B915" s="240" t="s">
        <v>2955</v>
      </c>
      <c r="C915" s="240"/>
      <c r="D915" s="240"/>
      <c r="E915" s="240"/>
      <c r="G915" s="240"/>
      <c r="H915" s="240"/>
      <c r="I915" s="240"/>
      <c r="J915" s="240"/>
      <c r="K915" s="240"/>
      <c r="L915" s="240"/>
      <c r="M915" s="240"/>
      <c r="N915" s="240"/>
      <c r="O915" s="240"/>
      <c r="P915" s="240"/>
      <c r="Q915" s="240"/>
      <c r="R915" s="240"/>
      <c r="S915" s="240"/>
      <c r="T915" s="240"/>
      <c r="U915" s="240"/>
      <c r="V915" s="240"/>
      <c r="W915" s="240"/>
      <c r="X915" s="240"/>
      <c r="Y915" s="240"/>
      <c r="Z915" s="240"/>
      <c r="AA915" s="240"/>
      <c r="AB915" s="240"/>
    </row>
    <row r="916">
      <c r="A916" s="240"/>
      <c r="B916" s="240" t="s">
        <v>2955</v>
      </c>
      <c r="C916" s="240"/>
      <c r="D916" s="240"/>
      <c r="E916" s="240"/>
      <c r="G916" s="240"/>
      <c r="H916" s="240"/>
      <c r="I916" s="240"/>
      <c r="J916" s="240"/>
      <c r="K916" s="240"/>
      <c r="L916" s="240"/>
      <c r="M916" s="240"/>
      <c r="N916" s="240"/>
      <c r="O916" s="240"/>
      <c r="P916" s="240"/>
      <c r="Q916" s="240"/>
      <c r="R916" s="240"/>
      <c r="S916" s="240"/>
      <c r="T916" s="240"/>
      <c r="U916" s="240"/>
      <c r="V916" s="240"/>
      <c r="W916" s="240"/>
      <c r="X916" s="240"/>
      <c r="Y916" s="240"/>
      <c r="Z916" s="240"/>
      <c r="AA916" s="240"/>
      <c r="AB916" s="240"/>
    </row>
    <row r="917">
      <c r="A917" s="240"/>
      <c r="B917" s="240" t="s">
        <v>2955</v>
      </c>
      <c r="C917" s="240"/>
      <c r="D917" s="240"/>
      <c r="E917" s="240"/>
      <c r="G917" s="240"/>
      <c r="H917" s="240"/>
      <c r="I917" s="240"/>
      <c r="J917" s="240"/>
      <c r="K917" s="240"/>
      <c r="L917" s="240"/>
      <c r="M917" s="240"/>
      <c r="N917" s="240"/>
      <c r="O917" s="240"/>
      <c r="P917" s="240"/>
      <c r="Q917" s="240"/>
      <c r="R917" s="240"/>
      <c r="S917" s="240"/>
      <c r="T917" s="240"/>
      <c r="U917" s="240"/>
      <c r="V917" s="240"/>
      <c r="W917" s="240"/>
      <c r="X917" s="240"/>
      <c r="Y917" s="240"/>
      <c r="Z917" s="240"/>
      <c r="AA917" s="240"/>
      <c r="AB917" s="240"/>
    </row>
    <row r="918">
      <c r="A918" s="240"/>
      <c r="B918" s="240" t="s">
        <v>2955</v>
      </c>
      <c r="C918" s="240"/>
      <c r="D918" s="240"/>
      <c r="E918" s="240"/>
      <c r="G918" s="240"/>
      <c r="H918" s="240"/>
      <c r="I918" s="240"/>
      <c r="J918" s="240"/>
      <c r="K918" s="240"/>
      <c r="L918" s="240"/>
      <c r="M918" s="240"/>
      <c r="N918" s="240"/>
      <c r="O918" s="240"/>
      <c r="P918" s="240"/>
      <c r="Q918" s="240"/>
      <c r="R918" s="240"/>
      <c r="S918" s="240"/>
      <c r="T918" s="240"/>
      <c r="U918" s="240"/>
      <c r="V918" s="240"/>
      <c r="W918" s="240"/>
      <c r="X918" s="240"/>
      <c r="Y918" s="240"/>
      <c r="Z918" s="240"/>
      <c r="AA918" s="240"/>
      <c r="AB918" s="240"/>
    </row>
    <row r="919">
      <c r="A919" s="240"/>
      <c r="B919" s="240" t="s">
        <v>2955</v>
      </c>
      <c r="C919" s="240"/>
      <c r="D919" s="240"/>
      <c r="E919" s="240"/>
      <c r="G919" s="240"/>
      <c r="H919" s="240"/>
      <c r="I919" s="240"/>
      <c r="J919" s="240"/>
      <c r="K919" s="240"/>
      <c r="L919" s="240"/>
      <c r="M919" s="240"/>
      <c r="N919" s="240"/>
      <c r="O919" s="240"/>
      <c r="P919" s="240"/>
      <c r="Q919" s="240"/>
      <c r="R919" s="240"/>
      <c r="S919" s="240"/>
      <c r="T919" s="240"/>
      <c r="U919" s="240"/>
      <c r="V919" s="240"/>
      <c r="W919" s="240"/>
      <c r="X919" s="240"/>
      <c r="Y919" s="240"/>
      <c r="Z919" s="240"/>
      <c r="AA919" s="240"/>
      <c r="AB919" s="240"/>
    </row>
    <row r="920">
      <c r="A920" s="240"/>
      <c r="B920" s="240" t="s">
        <v>2955</v>
      </c>
      <c r="C920" s="240"/>
      <c r="D920" s="240"/>
      <c r="E920" s="240"/>
      <c r="G920" s="240"/>
      <c r="H920" s="240"/>
      <c r="I920" s="240"/>
      <c r="J920" s="240"/>
      <c r="K920" s="240"/>
      <c r="L920" s="240"/>
      <c r="M920" s="240"/>
      <c r="N920" s="240"/>
      <c r="O920" s="240"/>
      <c r="P920" s="240"/>
      <c r="Q920" s="240"/>
      <c r="R920" s="240"/>
      <c r="S920" s="240"/>
      <c r="T920" s="240"/>
      <c r="U920" s="240"/>
      <c r="V920" s="240"/>
      <c r="W920" s="240"/>
      <c r="X920" s="240"/>
      <c r="Y920" s="240"/>
      <c r="Z920" s="240"/>
      <c r="AA920" s="240"/>
      <c r="AB920" s="240"/>
    </row>
    <row r="921">
      <c r="A921" s="240"/>
      <c r="B921" s="240" t="s">
        <v>2955</v>
      </c>
      <c r="C921" s="240"/>
      <c r="D921" s="240"/>
      <c r="E921" s="240"/>
      <c r="G921" s="240"/>
      <c r="H921" s="240"/>
      <c r="I921" s="240"/>
      <c r="J921" s="240"/>
      <c r="K921" s="240"/>
      <c r="L921" s="240"/>
      <c r="M921" s="240"/>
      <c r="N921" s="240"/>
      <c r="O921" s="240"/>
      <c r="P921" s="240"/>
      <c r="Q921" s="240"/>
      <c r="R921" s="240"/>
      <c r="S921" s="240"/>
      <c r="T921" s="240"/>
      <c r="U921" s="240"/>
      <c r="V921" s="240"/>
      <c r="W921" s="240"/>
      <c r="X921" s="240"/>
      <c r="Y921" s="240"/>
      <c r="Z921" s="240"/>
      <c r="AA921" s="240"/>
      <c r="AB921" s="240"/>
    </row>
    <row r="922">
      <c r="A922" s="240"/>
      <c r="B922" s="240" t="s">
        <v>2955</v>
      </c>
      <c r="C922" s="240"/>
      <c r="D922" s="240"/>
      <c r="E922" s="240"/>
      <c r="G922" s="240"/>
      <c r="H922" s="240"/>
      <c r="I922" s="240"/>
      <c r="J922" s="240"/>
      <c r="K922" s="240"/>
      <c r="L922" s="240"/>
      <c r="M922" s="240"/>
      <c r="N922" s="240"/>
      <c r="O922" s="240"/>
      <c r="P922" s="240"/>
      <c r="Q922" s="240"/>
      <c r="R922" s="240"/>
      <c r="S922" s="240"/>
      <c r="T922" s="240"/>
      <c r="U922" s="240"/>
      <c r="V922" s="240"/>
      <c r="W922" s="240"/>
      <c r="X922" s="240"/>
      <c r="Y922" s="240"/>
      <c r="Z922" s="240"/>
      <c r="AA922" s="240"/>
      <c r="AB922" s="240"/>
    </row>
    <row r="923">
      <c r="A923" s="240"/>
      <c r="B923" s="240" t="s">
        <v>2955</v>
      </c>
      <c r="C923" s="240"/>
      <c r="D923" s="240"/>
      <c r="E923" s="240"/>
      <c r="G923" s="240"/>
      <c r="H923" s="240"/>
      <c r="I923" s="240"/>
      <c r="J923" s="240"/>
      <c r="K923" s="240"/>
      <c r="L923" s="240"/>
      <c r="M923" s="240"/>
      <c r="N923" s="240"/>
      <c r="O923" s="240"/>
      <c r="P923" s="240"/>
      <c r="Q923" s="240"/>
      <c r="R923" s="240"/>
      <c r="S923" s="240"/>
      <c r="T923" s="240"/>
      <c r="U923" s="240"/>
      <c r="V923" s="240"/>
      <c r="W923" s="240"/>
      <c r="X923" s="240"/>
      <c r="Y923" s="240"/>
      <c r="Z923" s="240"/>
      <c r="AA923" s="240"/>
      <c r="AB923" s="240"/>
    </row>
    <row r="924">
      <c r="A924" s="240"/>
      <c r="B924" s="240" t="s">
        <v>2955</v>
      </c>
      <c r="C924" s="240"/>
      <c r="D924" s="240"/>
      <c r="E924" s="240"/>
      <c r="G924" s="240"/>
      <c r="H924" s="240"/>
      <c r="I924" s="240"/>
      <c r="J924" s="240"/>
      <c r="K924" s="240"/>
      <c r="L924" s="240"/>
      <c r="M924" s="240"/>
      <c r="N924" s="240"/>
      <c r="O924" s="240"/>
      <c r="P924" s="240"/>
      <c r="Q924" s="240"/>
      <c r="R924" s="240"/>
      <c r="S924" s="240"/>
      <c r="T924" s="240"/>
      <c r="U924" s="240"/>
      <c r="V924" s="240"/>
      <c r="W924" s="240"/>
      <c r="X924" s="240"/>
      <c r="Y924" s="240"/>
      <c r="Z924" s="240"/>
      <c r="AA924" s="240"/>
      <c r="AB924" s="240"/>
    </row>
    <row r="925">
      <c r="A925" s="240"/>
      <c r="B925" s="240" t="s">
        <v>2955</v>
      </c>
      <c r="C925" s="240"/>
      <c r="D925" s="240"/>
      <c r="E925" s="240"/>
      <c r="G925" s="240"/>
      <c r="H925" s="240"/>
      <c r="I925" s="240"/>
      <c r="J925" s="240"/>
      <c r="K925" s="240"/>
      <c r="L925" s="240"/>
      <c r="M925" s="240"/>
      <c r="N925" s="240"/>
      <c r="O925" s="240"/>
      <c r="P925" s="240"/>
      <c r="Q925" s="240"/>
      <c r="R925" s="240"/>
      <c r="S925" s="240"/>
      <c r="T925" s="240"/>
      <c r="U925" s="240"/>
      <c r="V925" s="240"/>
      <c r="W925" s="240"/>
      <c r="X925" s="240"/>
      <c r="Y925" s="240"/>
      <c r="Z925" s="240"/>
      <c r="AA925" s="240"/>
      <c r="AB925" s="240"/>
    </row>
    <row r="926">
      <c r="A926" s="240"/>
      <c r="B926" s="240" t="s">
        <v>2955</v>
      </c>
      <c r="C926" s="240"/>
      <c r="D926" s="240"/>
      <c r="E926" s="240"/>
      <c r="G926" s="240"/>
      <c r="H926" s="240"/>
      <c r="I926" s="240"/>
      <c r="J926" s="240"/>
      <c r="K926" s="240"/>
      <c r="L926" s="240"/>
      <c r="M926" s="240"/>
      <c r="N926" s="240"/>
      <c r="O926" s="240"/>
      <c r="P926" s="240"/>
      <c r="Q926" s="240"/>
      <c r="R926" s="240"/>
      <c r="S926" s="240"/>
      <c r="T926" s="240"/>
      <c r="U926" s="240"/>
      <c r="V926" s="240"/>
      <c r="W926" s="240"/>
      <c r="X926" s="240"/>
      <c r="Y926" s="240"/>
      <c r="Z926" s="240"/>
      <c r="AA926" s="240"/>
      <c r="AB926" s="240"/>
    </row>
    <row r="927">
      <c r="A927" s="240"/>
      <c r="B927" s="240" t="s">
        <v>2955</v>
      </c>
      <c r="C927" s="240"/>
      <c r="D927" s="240"/>
      <c r="E927" s="240"/>
      <c r="G927" s="240"/>
      <c r="H927" s="240"/>
      <c r="I927" s="240"/>
      <c r="J927" s="240"/>
      <c r="K927" s="240"/>
      <c r="L927" s="240"/>
      <c r="M927" s="240"/>
      <c r="N927" s="240"/>
      <c r="O927" s="240"/>
      <c r="P927" s="240"/>
      <c r="Q927" s="240"/>
      <c r="R927" s="240"/>
      <c r="S927" s="240"/>
      <c r="T927" s="240"/>
      <c r="U927" s="240"/>
      <c r="V927" s="240"/>
      <c r="W927" s="240"/>
      <c r="X927" s="240"/>
      <c r="Y927" s="240"/>
      <c r="Z927" s="240"/>
      <c r="AA927" s="240"/>
      <c r="AB927" s="240"/>
    </row>
    <row r="928">
      <c r="A928" s="240"/>
      <c r="B928" s="240" t="s">
        <v>2955</v>
      </c>
      <c r="C928" s="240"/>
      <c r="D928" s="240"/>
      <c r="E928" s="240"/>
      <c r="G928" s="240"/>
      <c r="H928" s="240"/>
      <c r="I928" s="240"/>
      <c r="J928" s="240"/>
      <c r="K928" s="240"/>
      <c r="L928" s="240"/>
      <c r="M928" s="240"/>
      <c r="N928" s="240"/>
      <c r="O928" s="240"/>
      <c r="P928" s="240"/>
      <c r="Q928" s="240"/>
      <c r="R928" s="240"/>
      <c r="S928" s="240"/>
      <c r="T928" s="240"/>
      <c r="U928" s="240"/>
      <c r="V928" s="240"/>
      <c r="W928" s="240"/>
      <c r="X928" s="240"/>
      <c r="Y928" s="240"/>
      <c r="Z928" s="240"/>
      <c r="AA928" s="240"/>
      <c r="AB928" s="240"/>
    </row>
    <row r="929">
      <c r="A929" s="240"/>
      <c r="B929" s="240" t="s">
        <v>2955</v>
      </c>
      <c r="C929" s="240"/>
      <c r="D929" s="240"/>
      <c r="E929" s="240"/>
      <c r="G929" s="240"/>
      <c r="H929" s="240"/>
      <c r="I929" s="240"/>
      <c r="J929" s="240"/>
      <c r="K929" s="240"/>
      <c r="L929" s="240"/>
      <c r="M929" s="240"/>
      <c r="N929" s="240"/>
      <c r="O929" s="240"/>
      <c r="P929" s="240"/>
      <c r="Q929" s="240"/>
      <c r="R929" s="240"/>
      <c r="S929" s="240"/>
      <c r="T929" s="240"/>
      <c r="U929" s="240"/>
      <c r="V929" s="240"/>
      <c r="W929" s="240"/>
      <c r="X929" s="240"/>
      <c r="Y929" s="240"/>
      <c r="Z929" s="240"/>
      <c r="AA929" s="240"/>
      <c r="AB929" s="240"/>
    </row>
    <row r="930">
      <c r="A930" s="240"/>
      <c r="B930" s="240" t="s">
        <v>2955</v>
      </c>
      <c r="C930" s="240"/>
      <c r="D930" s="240"/>
      <c r="E930" s="240"/>
      <c r="G930" s="240"/>
      <c r="H930" s="240"/>
      <c r="I930" s="240"/>
      <c r="J930" s="240"/>
      <c r="K930" s="240"/>
      <c r="L930" s="240"/>
      <c r="M930" s="240"/>
      <c r="N930" s="240"/>
      <c r="O930" s="240"/>
      <c r="P930" s="240"/>
      <c r="Q930" s="240"/>
      <c r="R930" s="240"/>
      <c r="S930" s="240"/>
      <c r="T930" s="240"/>
      <c r="U930" s="240"/>
      <c r="V930" s="240"/>
      <c r="W930" s="240"/>
      <c r="X930" s="240"/>
      <c r="Y930" s="240"/>
      <c r="Z930" s="240"/>
      <c r="AA930" s="240"/>
      <c r="AB930" s="240"/>
    </row>
    <row r="931">
      <c r="A931" s="240"/>
      <c r="B931" s="240" t="s">
        <v>2955</v>
      </c>
      <c r="C931" s="240"/>
      <c r="D931" s="240"/>
      <c r="E931" s="240"/>
      <c r="G931" s="240"/>
      <c r="H931" s="240"/>
      <c r="I931" s="240"/>
      <c r="J931" s="240"/>
      <c r="K931" s="240"/>
      <c r="L931" s="240"/>
      <c r="M931" s="240"/>
      <c r="N931" s="240"/>
      <c r="O931" s="240"/>
      <c r="P931" s="240"/>
      <c r="Q931" s="240"/>
      <c r="R931" s="240"/>
      <c r="S931" s="240"/>
      <c r="T931" s="240"/>
      <c r="U931" s="240"/>
      <c r="V931" s="240"/>
      <c r="W931" s="240"/>
      <c r="X931" s="240"/>
      <c r="Y931" s="240"/>
      <c r="Z931" s="240"/>
      <c r="AA931" s="240"/>
      <c r="AB931" s="240"/>
    </row>
    <row r="932">
      <c r="A932" s="240"/>
      <c r="B932" s="240" t="s">
        <v>2955</v>
      </c>
      <c r="C932" s="240"/>
      <c r="D932" s="240"/>
      <c r="E932" s="240"/>
      <c r="G932" s="240"/>
      <c r="H932" s="240"/>
      <c r="I932" s="240"/>
      <c r="J932" s="240"/>
      <c r="K932" s="240"/>
      <c r="L932" s="240"/>
      <c r="M932" s="240"/>
      <c r="N932" s="240"/>
      <c r="O932" s="240"/>
      <c r="P932" s="240"/>
      <c r="Q932" s="240"/>
      <c r="R932" s="240"/>
      <c r="S932" s="240"/>
      <c r="T932" s="240"/>
      <c r="U932" s="240"/>
      <c r="V932" s="240"/>
      <c r="W932" s="240"/>
      <c r="X932" s="240"/>
      <c r="Y932" s="240"/>
      <c r="Z932" s="240"/>
      <c r="AA932" s="240"/>
      <c r="AB932" s="240"/>
    </row>
    <row r="933">
      <c r="A933" s="240"/>
      <c r="B933" s="240" t="s">
        <v>2955</v>
      </c>
      <c r="C933" s="240"/>
      <c r="D933" s="240"/>
      <c r="E933" s="240"/>
      <c r="G933" s="240"/>
      <c r="H933" s="240"/>
      <c r="I933" s="240"/>
      <c r="J933" s="240"/>
      <c r="K933" s="240"/>
      <c r="L933" s="240"/>
      <c r="M933" s="240"/>
      <c r="N933" s="240"/>
      <c r="O933" s="240"/>
      <c r="P933" s="240"/>
      <c r="Q933" s="240"/>
      <c r="R933" s="240"/>
      <c r="S933" s="240"/>
      <c r="T933" s="240"/>
      <c r="U933" s="240"/>
      <c r="V933" s="240"/>
      <c r="W933" s="240"/>
      <c r="X933" s="240"/>
      <c r="Y933" s="240"/>
      <c r="Z933" s="240"/>
      <c r="AA933" s="240"/>
      <c r="AB933" s="240"/>
    </row>
    <row r="934">
      <c r="A934" s="240"/>
      <c r="B934" s="240" t="s">
        <v>2955</v>
      </c>
      <c r="C934" s="240"/>
      <c r="D934" s="240"/>
      <c r="E934" s="240"/>
      <c r="G934" s="240"/>
      <c r="H934" s="240"/>
      <c r="I934" s="240"/>
      <c r="J934" s="240"/>
      <c r="K934" s="240"/>
      <c r="L934" s="240"/>
      <c r="M934" s="240"/>
      <c r="N934" s="240"/>
      <c r="O934" s="240"/>
      <c r="P934" s="240"/>
      <c r="Q934" s="240"/>
      <c r="R934" s="240"/>
      <c r="S934" s="240"/>
      <c r="T934" s="240"/>
      <c r="U934" s="240"/>
      <c r="V934" s="240"/>
      <c r="W934" s="240"/>
      <c r="X934" s="240"/>
      <c r="Y934" s="240"/>
      <c r="Z934" s="240"/>
      <c r="AA934" s="240"/>
      <c r="AB934" s="240"/>
    </row>
    <row r="935">
      <c r="A935" s="240"/>
      <c r="B935" s="240" t="s">
        <v>2955</v>
      </c>
      <c r="C935" s="240"/>
      <c r="D935" s="240"/>
      <c r="E935" s="240"/>
      <c r="G935" s="240"/>
      <c r="H935" s="240"/>
      <c r="I935" s="240"/>
      <c r="J935" s="240"/>
      <c r="K935" s="240"/>
      <c r="L935" s="240"/>
      <c r="M935" s="240"/>
      <c r="N935" s="240"/>
      <c r="O935" s="240"/>
      <c r="P935" s="240"/>
      <c r="Q935" s="240"/>
      <c r="R935" s="240"/>
      <c r="S935" s="240"/>
      <c r="T935" s="240"/>
      <c r="U935" s="240"/>
      <c r="V935" s="240"/>
      <c r="W935" s="240"/>
      <c r="X935" s="240"/>
      <c r="Y935" s="240"/>
      <c r="Z935" s="240"/>
      <c r="AA935" s="240"/>
      <c r="AB935" s="240"/>
    </row>
    <row r="936">
      <c r="A936" s="240"/>
      <c r="B936" s="240" t="s">
        <v>2955</v>
      </c>
      <c r="C936" s="240"/>
      <c r="D936" s="240"/>
      <c r="E936" s="240"/>
      <c r="G936" s="240"/>
      <c r="H936" s="240"/>
      <c r="I936" s="240"/>
      <c r="J936" s="240"/>
      <c r="K936" s="240"/>
      <c r="L936" s="240"/>
      <c r="M936" s="240"/>
      <c r="N936" s="240"/>
      <c r="O936" s="240"/>
      <c r="P936" s="240"/>
      <c r="Q936" s="240"/>
      <c r="R936" s="240"/>
      <c r="S936" s="240"/>
      <c r="T936" s="240"/>
      <c r="U936" s="240"/>
      <c r="V936" s="240"/>
      <c r="W936" s="240"/>
      <c r="X936" s="240"/>
      <c r="Y936" s="240"/>
      <c r="Z936" s="240"/>
      <c r="AA936" s="240"/>
      <c r="AB936" s="240"/>
    </row>
    <row r="937">
      <c r="A937" s="240"/>
      <c r="B937" s="240" t="s">
        <v>2955</v>
      </c>
      <c r="C937" s="240"/>
      <c r="D937" s="240"/>
      <c r="E937" s="240"/>
      <c r="G937" s="240"/>
      <c r="H937" s="240"/>
      <c r="I937" s="240"/>
      <c r="J937" s="240"/>
      <c r="K937" s="240"/>
      <c r="L937" s="240"/>
      <c r="M937" s="240"/>
      <c r="N937" s="240"/>
      <c r="O937" s="240"/>
      <c r="P937" s="240"/>
      <c r="Q937" s="240"/>
      <c r="R937" s="240"/>
      <c r="S937" s="240"/>
      <c r="T937" s="240"/>
      <c r="U937" s="240"/>
      <c r="V937" s="240"/>
      <c r="W937" s="240"/>
      <c r="X937" s="240"/>
      <c r="Y937" s="240"/>
      <c r="Z937" s="240"/>
      <c r="AA937" s="240"/>
      <c r="AB937" s="240"/>
    </row>
    <row r="938">
      <c r="A938" s="240"/>
      <c r="B938" s="240" t="s">
        <v>2955</v>
      </c>
      <c r="C938" s="240"/>
      <c r="D938" s="240"/>
      <c r="E938" s="240"/>
      <c r="G938" s="240"/>
      <c r="H938" s="240"/>
      <c r="I938" s="240"/>
      <c r="J938" s="240"/>
      <c r="K938" s="240"/>
      <c r="L938" s="240"/>
      <c r="M938" s="240"/>
      <c r="N938" s="240"/>
      <c r="O938" s="240"/>
      <c r="P938" s="240"/>
      <c r="Q938" s="240"/>
      <c r="R938" s="240"/>
      <c r="S938" s="240"/>
      <c r="T938" s="240"/>
      <c r="U938" s="240"/>
      <c r="V938" s="240"/>
      <c r="W938" s="240"/>
      <c r="X938" s="240"/>
      <c r="Y938" s="240"/>
      <c r="Z938" s="240"/>
      <c r="AA938" s="240"/>
      <c r="AB938" s="240"/>
    </row>
    <row r="939">
      <c r="A939" s="240"/>
      <c r="B939" s="240" t="s">
        <v>2955</v>
      </c>
      <c r="C939" s="240"/>
      <c r="D939" s="240"/>
      <c r="E939" s="240"/>
      <c r="G939" s="240"/>
      <c r="H939" s="240"/>
      <c r="I939" s="240"/>
      <c r="J939" s="240"/>
      <c r="K939" s="240"/>
      <c r="L939" s="240"/>
      <c r="M939" s="240"/>
      <c r="N939" s="240"/>
      <c r="O939" s="240"/>
      <c r="P939" s="240"/>
      <c r="Q939" s="240"/>
      <c r="R939" s="240"/>
      <c r="S939" s="240"/>
      <c r="T939" s="240"/>
      <c r="U939" s="240"/>
      <c r="V939" s="240"/>
      <c r="W939" s="240"/>
      <c r="X939" s="240"/>
      <c r="Y939" s="240"/>
      <c r="Z939" s="240"/>
      <c r="AA939" s="240"/>
      <c r="AB939" s="240"/>
    </row>
    <row r="940">
      <c r="A940" s="240"/>
      <c r="B940" s="240" t="s">
        <v>2955</v>
      </c>
      <c r="C940" s="240"/>
      <c r="D940" s="240"/>
      <c r="E940" s="240"/>
      <c r="G940" s="240"/>
      <c r="H940" s="240"/>
      <c r="I940" s="240"/>
      <c r="J940" s="240"/>
      <c r="K940" s="240"/>
      <c r="L940" s="240"/>
      <c r="M940" s="240"/>
      <c r="N940" s="240"/>
      <c r="O940" s="240"/>
      <c r="P940" s="240"/>
      <c r="Q940" s="240"/>
      <c r="R940" s="240"/>
      <c r="S940" s="240"/>
      <c r="T940" s="240"/>
      <c r="U940" s="240"/>
      <c r="V940" s="240"/>
      <c r="W940" s="240"/>
      <c r="X940" s="240"/>
      <c r="Y940" s="240"/>
      <c r="Z940" s="240"/>
      <c r="AA940" s="240"/>
      <c r="AB940" s="240"/>
    </row>
    <row r="941">
      <c r="A941" s="240"/>
      <c r="B941" s="240" t="s">
        <v>2955</v>
      </c>
      <c r="C941" s="240"/>
      <c r="D941" s="240"/>
      <c r="E941" s="240"/>
      <c r="G941" s="240"/>
      <c r="H941" s="240"/>
      <c r="I941" s="240"/>
      <c r="J941" s="240"/>
      <c r="K941" s="240"/>
      <c r="L941" s="240"/>
      <c r="M941" s="240"/>
      <c r="N941" s="240"/>
      <c r="O941" s="240"/>
      <c r="P941" s="240"/>
      <c r="Q941" s="240"/>
      <c r="R941" s="240"/>
      <c r="S941" s="240"/>
      <c r="T941" s="240"/>
      <c r="U941" s="240"/>
      <c r="V941" s="240"/>
      <c r="W941" s="240"/>
      <c r="X941" s="240"/>
      <c r="Y941" s="240"/>
      <c r="Z941" s="240"/>
      <c r="AA941" s="240"/>
      <c r="AB941" s="240"/>
    </row>
    <row r="942">
      <c r="A942" s="240"/>
      <c r="B942" s="240" t="s">
        <v>2955</v>
      </c>
      <c r="C942" s="240"/>
      <c r="D942" s="240"/>
      <c r="E942" s="240"/>
      <c r="G942" s="240"/>
      <c r="H942" s="240"/>
      <c r="I942" s="240"/>
      <c r="J942" s="240"/>
      <c r="K942" s="240"/>
      <c r="L942" s="240"/>
      <c r="M942" s="240"/>
      <c r="N942" s="240"/>
      <c r="O942" s="240"/>
      <c r="P942" s="240"/>
      <c r="Q942" s="240"/>
      <c r="R942" s="240"/>
      <c r="S942" s="240"/>
      <c r="T942" s="240"/>
      <c r="U942" s="240"/>
      <c r="V942" s="240"/>
      <c r="W942" s="240"/>
      <c r="X942" s="240"/>
      <c r="Y942" s="240"/>
      <c r="Z942" s="240"/>
      <c r="AA942" s="240"/>
      <c r="AB942" s="240"/>
    </row>
    <row r="943">
      <c r="A943" s="240"/>
      <c r="B943" s="240" t="s">
        <v>2955</v>
      </c>
      <c r="C943" s="240"/>
      <c r="D943" s="240"/>
      <c r="E943" s="240"/>
      <c r="G943" s="240"/>
      <c r="H943" s="240"/>
      <c r="I943" s="240"/>
      <c r="J943" s="240"/>
      <c r="K943" s="240"/>
      <c r="L943" s="240"/>
      <c r="M943" s="240"/>
      <c r="N943" s="240"/>
      <c r="O943" s="240"/>
      <c r="P943" s="240"/>
      <c r="Q943" s="240"/>
      <c r="R943" s="240"/>
      <c r="S943" s="240"/>
      <c r="T943" s="240"/>
      <c r="U943" s="240"/>
      <c r="V943" s="240"/>
      <c r="W943" s="240"/>
      <c r="X943" s="240"/>
      <c r="Y943" s="240"/>
      <c r="Z943" s="240"/>
      <c r="AA943" s="240"/>
      <c r="AB943" s="240"/>
    </row>
    <row r="944">
      <c r="A944" s="240"/>
      <c r="B944" s="240" t="s">
        <v>2955</v>
      </c>
      <c r="C944" s="240"/>
      <c r="D944" s="240"/>
      <c r="E944" s="240"/>
      <c r="G944" s="240"/>
      <c r="H944" s="240"/>
      <c r="I944" s="240"/>
      <c r="J944" s="240"/>
      <c r="K944" s="240"/>
      <c r="L944" s="240"/>
      <c r="M944" s="240"/>
      <c r="N944" s="240"/>
      <c r="O944" s="240"/>
      <c r="P944" s="240"/>
      <c r="Q944" s="240"/>
      <c r="R944" s="240"/>
      <c r="S944" s="240"/>
      <c r="T944" s="240"/>
      <c r="U944" s="240"/>
      <c r="V944" s="240"/>
      <c r="W944" s="240"/>
      <c r="X944" s="240"/>
      <c r="Y944" s="240"/>
      <c r="Z944" s="240"/>
      <c r="AA944" s="240"/>
      <c r="AB944" s="240"/>
    </row>
    <row r="945">
      <c r="A945" s="240"/>
      <c r="B945" s="240" t="s">
        <v>2955</v>
      </c>
      <c r="C945" s="240"/>
      <c r="D945" s="240"/>
      <c r="E945" s="240"/>
      <c r="G945" s="240"/>
      <c r="H945" s="240"/>
      <c r="I945" s="240"/>
      <c r="J945" s="240"/>
      <c r="K945" s="240"/>
      <c r="L945" s="240"/>
      <c r="M945" s="240"/>
      <c r="N945" s="240"/>
      <c r="O945" s="240"/>
      <c r="P945" s="240"/>
      <c r="Q945" s="240"/>
      <c r="R945" s="240"/>
      <c r="S945" s="240"/>
      <c r="T945" s="240"/>
      <c r="U945" s="240"/>
      <c r="V945" s="240"/>
      <c r="W945" s="240"/>
      <c r="X945" s="240"/>
      <c r="Y945" s="240"/>
      <c r="Z945" s="240"/>
      <c r="AA945" s="240"/>
      <c r="AB945" s="240"/>
    </row>
    <row r="946">
      <c r="A946" s="240"/>
      <c r="B946" s="240" t="s">
        <v>2955</v>
      </c>
      <c r="C946" s="240"/>
      <c r="D946" s="240"/>
      <c r="E946" s="240"/>
      <c r="G946" s="240"/>
      <c r="H946" s="240"/>
      <c r="I946" s="240"/>
      <c r="J946" s="240"/>
      <c r="K946" s="240"/>
      <c r="L946" s="240"/>
      <c r="M946" s="240"/>
      <c r="N946" s="240"/>
      <c r="O946" s="240"/>
      <c r="P946" s="240"/>
      <c r="Q946" s="240"/>
      <c r="R946" s="240"/>
      <c r="S946" s="240"/>
      <c r="T946" s="240"/>
      <c r="U946" s="240"/>
      <c r="V946" s="240"/>
      <c r="W946" s="240"/>
      <c r="X946" s="240"/>
      <c r="Y946" s="240"/>
      <c r="Z946" s="240"/>
      <c r="AA946" s="240"/>
      <c r="AB946" s="240"/>
    </row>
    <row r="947">
      <c r="A947" s="240"/>
      <c r="B947" s="240" t="s">
        <v>2955</v>
      </c>
      <c r="C947" s="240"/>
      <c r="D947" s="240"/>
      <c r="E947" s="240"/>
      <c r="G947" s="240"/>
      <c r="H947" s="240"/>
      <c r="I947" s="240"/>
      <c r="J947" s="240"/>
      <c r="K947" s="240"/>
      <c r="L947" s="240"/>
      <c r="M947" s="240"/>
      <c r="N947" s="240"/>
      <c r="O947" s="240"/>
      <c r="P947" s="240"/>
      <c r="Q947" s="240"/>
      <c r="R947" s="240"/>
      <c r="S947" s="240"/>
      <c r="T947" s="240"/>
      <c r="U947" s="240"/>
      <c r="V947" s="240"/>
      <c r="W947" s="240"/>
      <c r="X947" s="240"/>
      <c r="Y947" s="240"/>
      <c r="Z947" s="240"/>
      <c r="AA947" s="240"/>
      <c r="AB947" s="240"/>
    </row>
    <row r="948">
      <c r="A948" s="240"/>
      <c r="B948" s="240" t="s">
        <v>2955</v>
      </c>
      <c r="C948" s="240"/>
      <c r="D948" s="240"/>
      <c r="E948" s="240"/>
      <c r="G948" s="240"/>
      <c r="H948" s="240"/>
      <c r="I948" s="240"/>
      <c r="J948" s="240"/>
      <c r="K948" s="240"/>
      <c r="L948" s="240"/>
      <c r="M948" s="240"/>
      <c r="N948" s="240"/>
      <c r="O948" s="240"/>
      <c r="P948" s="240"/>
      <c r="Q948" s="240"/>
      <c r="R948" s="240"/>
      <c r="S948" s="240"/>
      <c r="T948" s="240"/>
      <c r="U948" s="240"/>
      <c r="V948" s="240"/>
      <c r="W948" s="240"/>
      <c r="X948" s="240"/>
      <c r="Y948" s="240"/>
      <c r="Z948" s="240"/>
      <c r="AA948" s="240"/>
      <c r="AB948" s="240"/>
    </row>
    <row r="949">
      <c r="A949" s="240"/>
      <c r="B949" s="240" t="s">
        <v>2955</v>
      </c>
      <c r="C949" s="240"/>
      <c r="D949" s="240"/>
      <c r="E949" s="240"/>
      <c r="G949" s="240"/>
      <c r="H949" s="240"/>
      <c r="I949" s="240"/>
      <c r="J949" s="240"/>
      <c r="K949" s="240"/>
      <c r="L949" s="240"/>
      <c r="M949" s="240"/>
      <c r="N949" s="240"/>
      <c r="O949" s="240"/>
      <c r="P949" s="240"/>
      <c r="Q949" s="240"/>
      <c r="R949" s="240"/>
      <c r="S949" s="240"/>
      <c r="T949" s="240"/>
      <c r="U949" s="240"/>
      <c r="V949" s="240"/>
      <c r="W949" s="240"/>
      <c r="X949" s="240"/>
      <c r="Y949" s="240"/>
      <c r="Z949" s="240"/>
      <c r="AA949" s="240"/>
      <c r="AB949" s="240"/>
    </row>
    <row r="950">
      <c r="A950" s="240"/>
      <c r="B950" s="240" t="s">
        <v>2955</v>
      </c>
      <c r="C950" s="240"/>
      <c r="D950" s="240"/>
      <c r="E950" s="240"/>
      <c r="G950" s="240"/>
      <c r="H950" s="240"/>
      <c r="I950" s="240"/>
      <c r="J950" s="240"/>
      <c r="K950" s="240"/>
      <c r="L950" s="240"/>
      <c r="M950" s="240"/>
      <c r="N950" s="240"/>
      <c r="O950" s="240"/>
      <c r="P950" s="240"/>
      <c r="Q950" s="240"/>
      <c r="R950" s="240"/>
      <c r="S950" s="240"/>
      <c r="T950" s="240"/>
      <c r="U950" s="240"/>
      <c r="V950" s="240"/>
      <c r="W950" s="240"/>
      <c r="X950" s="240"/>
      <c r="Y950" s="240"/>
      <c r="Z950" s="240"/>
      <c r="AA950" s="240"/>
      <c r="AB950" s="240"/>
    </row>
    <row r="951">
      <c r="A951" s="240"/>
      <c r="B951" s="240" t="s">
        <v>2955</v>
      </c>
      <c r="C951" s="240"/>
      <c r="D951" s="240"/>
      <c r="E951" s="240"/>
      <c r="G951" s="240"/>
      <c r="H951" s="240"/>
      <c r="I951" s="240"/>
      <c r="J951" s="240"/>
      <c r="K951" s="240"/>
      <c r="L951" s="240"/>
      <c r="M951" s="240"/>
      <c r="N951" s="240"/>
      <c r="O951" s="240"/>
      <c r="P951" s="240"/>
      <c r="Q951" s="240"/>
      <c r="R951" s="240"/>
      <c r="S951" s="240"/>
      <c r="T951" s="240"/>
      <c r="U951" s="240"/>
      <c r="V951" s="240"/>
      <c r="W951" s="240"/>
      <c r="X951" s="240"/>
      <c r="Y951" s="240"/>
      <c r="Z951" s="240"/>
      <c r="AA951" s="240"/>
      <c r="AB951" s="240"/>
    </row>
    <row r="952">
      <c r="A952" s="240"/>
      <c r="B952" s="240" t="s">
        <v>2955</v>
      </c>
      <c r="C952" s="240"/>
      <c r="D952" s="240"/>
      <c r="E952" s="240"/>
      <c r="G952" s="240"/>
      <c r="H952" s="240"/>
      <c r="I952" s="240"/>
      <c r="J952" s="240"/>
      <c r="K952" s="240"/>
      <c r="L952" s="240"/>
      <c r="M952" s="240"/>
      <c r="N952" s="240"/>
      <c r="O952" s="240"/>
      <c r="P952" s="240"/>
      <c r="Q952" s="240"/>
      <c r="R952" s="240"/>
      <c r="S952" s="240"/>
      <c r="T952" s="240"/>
      <c r="U952" s="240"/>
      <c r="V952" s="240"/>
      <c r="W952" s="240"/>
      <c r="X952" s="240"/>
      <c r="Y952" s="240"/>
      <c r="Z952" s="240"/>
      <c r="AA952" s="240"/>
      <c r="AB952" s="240"/>
    </row>
    <row r="953">
      <c r="A953" s="240"/>
      <c r="B953" s="240" t="s">
        <v>2955</v>
      </c>
      <c r="C953" s="240"/>
      <c r="D953" s="240"/>
      <c r="E953" s="240"/>
      <c r="G953" s="240"/>
      <c r="H953" s="240"/>
      <c r="I953" s="240"/>
      <c r="J953" s="240"/>
      <c r="K953" s="240"/>
      <c r="L953" s="240"/>
      <c r="M953" s="240"/>
      <c r="N953" s="240"/>
      <c r="O953" s="240"/>
      <c r="P953" s="240"/>
      <c r="Q953" s="240"/>
      <c r="R953" s="240"/>
      <c r="S953" s="240"/>
      <c r="T953" s="240"/>
      <c r="U953" s="240"/>
      <c r="V953" s="240"/>
      <c r="W953" s="240"/>
      <c r="X953" s="240"/>
      <c r="Y953" s="240"/>
      <c r="Z953" s="240"/>
      <c r="AA953" s="240"/>
      <c r="AB953" s="240"/>
    </row>
    <row r="954">
      <c r="A954" s="240"/>
      <c r="B954" s="240" t="s">
        <v>2955</v>
      </c>
      <c r="C954" s="240"/>
      <c r="D954" s="240"/>
      <c r="E954" s="240"/>
      <c r="G954" s="240"/>
      <c r="H954" s="240"/>
      <c r="I954" s="240"/>
      <c r="J954" s="240"/>
      <c r="K954" s="240"/>
      <c r="L954" s="240"/>
      <c r="M954" s="240"/>
      <c r="N954" s="240"/>
      <c r="O954" s="240"/>
      <c r="P954" s="240"/>
      <c r="Q954" s="240"/>
      <c r="R954" s="240"/>
      <c r="S954" s="240"/>
      <c r="T954" s="240"/>
      <c r="U954" s="240"/>
      <c r="V954" s="240"/>
      <c r="W954" s="240"/>
      <c r="X954" s="240"/>
      <c r="Y954" s="240"/>
      <c r="Z954" s="240"/>
      <c r="AA954" s="240"/>
      <c r="AB954" s="240"/>
    </row>
    <row r="955">
      <c r="A955" s="240"/>
      <c r="B955" s="240" t="s">
        <v>2955</v>
      </c>
      <c r="C955" s="240"/>
      <c r="D955" s="240"/>
      <c r="E955" s="240"/>
      <c r="G955" s="240"/>
      <c r="H955" s="240"/>
      <c r="I955" s="240"/>
      <c r="J955" s="240"/>
      <c r="K955" s="240"/>
      <c r="L955" s="240"/>
      <c r="M955" s="240"/>
      <c r="N955" s="240"/>
      <c r="O955" s="240"/>
      <c r="P955" s="240"/>
      <c r="Q955" s="240"/>
      <c r="R955" s="240"/>
      <c r="S955" s="240"/>
      <c r="T955" s="240"/>
      <c r="U955" s="240"/>
      <c r="V955" s="240"/>
      <c r="W955" s="240"/>
      <c r="X955" s="240"/>
      <c r="Y955" s="240"/>
      <c r="Z955" s="240"/>
      <c r="AA955" s="240"/>
      <c r="AB955" s="240"/>
    </row>
    <row r="956">
      <c r="A956" s="240"/>
      <c r="B956" s="240" t="s">
        <v>2955</v>
      </c>
      <c r="C956" s="240"/>
      <c r="D956" s="240"/>
      <c r="E956" s="240"/>
      <c r="G956" s="240"/>
      <c r="H956" s="240"/>
      <c r="I956" s="240"/>
      <c r="J956" s="240"/>
      <c r="K956" s="240"/>
      <c r="L956" s="240"/>
      <c r="M956" s="240"/>
      <c r="N956" s="240"/>
      <c r="O956" s="240"/>
      <c r="P956" s="240"/>
      <c r="Q956" s="240"/>
      <c r="R956" s="240"/>
      <c r="S956" s="240"/>
      <c r="T956" s="240"/>
      <c r="U956" s="240"/>
      <c r="V956" s="240"/>
      <c r="W956" s="240"/>
      <c r="X956" s="240"/>
      <c r="Y956" s="240"/>
      <c r="Z956" s="240"/>
      <c r="AA956" s="240"/>
      <c r="AB956" s="240"/>
    </row>
    <row r="957">
      <c r="A957" s="240"/>
      <c r="B957" s="240" t="s">
        <v>2955</v>
      </c>
      <c r="C957" s="240"/>
      <c r="D957" s="240"/>
      <c r="E957" s="240"/>
      <c r="G957" s="240"/>
      <c r="H957" s="240"/>
      <c r="I957" s="240"/>
      <c r="J957" s="240"/>
      <c r="K957" s="240"/>
      <c r="L957" s="240"/>
      <c r="M957" s="240"/>
      <c r="N957" s="240"/>
      <c r="O957" s="240"/>
      <c r="P957" s="240"/>
      <c r="Q957" s="240"/>
      <c r="R957" s="240"/>
      <c r="S957" s="240"/>
      <c r="T957" s="240"/>
      <c r="U957" s="240"/>
      <c r="V957" s="240"/>
      <c r="W957" s="240"/>
      <c r="X957" s="240"/>
      <c r="Y957" s="240"/>
      <c r="Z957" s="240"/>
      <c r="AA957" s="240"/>
      <c r="AB957" s="240"/>
    </row>
    <row r="958">
      <c r="A958" s="240"/>
      <c r="B958" s="240" t="s">
        <v>2955</v>
      </c>
      <c r="C958" s="240"/>
      <c r="D958" s="240"/>
      <c r="E958" s="240"/>
      <c r="G958" s="240"/>
      <c r="H958" s="240"/>
      <c r="I958" s="240"/>
      <c r="J958" s="240"/>
      <c r="K958" s="240"/>
      <c r="L958" s="240"/>
      <c r="M958" s="240"/>
      <c r="N958" s="240"/>
      <c r="O958" s="240"/>
      <c r="P958" s="240"/>
      <c r="Q958" s="240"/>
      <c r="R958" s="240"/>
      <c r="S958" s="240"/>
      <c r="T958" s="240"/>
      <c r="U958" s="240"/>
      <c r="V958" s="240"/>
      <c r="W958" s="240"/>
      <c r="X958" s="240"/>
      <c r="Y958" s="240"/>
      <c r="Z958" s="240"/>
      <c r="AA958" s="240"/>
      <c r="AB958" s="240"/>
    </row>
    <row r="959">
      <c r="A959" s="240"/>
      <c r="B959" s="240" t="s">
        <v>2955</v>
      </c>
      <c r="C959" s="240"/>
      <c r="D959" s="240"/>
      <c r="E959" s="240"/>
      <c r="G959" s="240"/>
      <c r="H959" s="240"/>
      <c r="I959" s="240"/>
      <c r="J959" s="240"/>
      <c r="K959" s="240"/>
      <c r="L959" s="240"/>
      <c r="M959" s="240"/>
      <c r="N959" s="240"/>
      <c r="O959" s="240"/>
      <c r="P959" s="240"/>
      <c r="Q959" s="240"/>
      <c r="R959" s="240"/>
      <c r="S959" s="240"/>
      <c r="T959" s="240"/>
      <c r="U959" s="240"/>
      <c r="V959" s="240"/>
      <c r="W959" s="240"/>
      <c r="X959" s="240"/>
      <c r="Y959" s="240"/>
      <c r="Z959" s="240"/>
      <c r="AA959" s="240"/>
      <c r="AB959" s="240"/>
    </row>
    <row r="960">
      <c r="A960" s="240"/>
      <c r="B960" s="240" t="s">
        <v>2955</v>
      </c>
      <c r="C960" s="240"/>
      <c r="D960" s="240"/>
      <c r="E960" s="240"/>
      <c r="G960" s="240"/>
      <c r="H960" s="240"/>
      <c r="I960" s="240"/>
      <c r="J960" s="240"/>
      <c r="K960" s="240"/>
      <c r="L960" s="240"/>
      <c r="M960" s="240"/>
      <c r="N960" s="240"/>
      <c r="O960" s="240"/>
      <c r="P960" s="240"/>
      <c r="Q960" s="240"/>
      <c r="R960" s="240"/>
      <c r="S960" s="240"/>
      <c r="T960" s="240"/>
      <c r="U960" s="240"/>
      <c r="V960" s="240"/>
      <c r="W960" s="240"/>
      <c r="X960" s="240"/>
      <c r="Y960" s="240"/>
      <c r="Z960" s="240"/>
      <c r="AA960" s="240"/>
      <c r="AB960" s="240"/>
    </row>
  </sheetData>
  <autoFilter ref="$L$1:$L$960"/>
  <drawing r:id="rId1"/>
</worksheet>
</file>